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charts/chart10.xml" ContentType="application/vnd.openxmlformats-officedocument.drawingml.chart+xml"/>
  <Override PartName="/xl/charts/chart11.xml" ContentType="application/vnd.openxmlformats-officedocument.drawingml.chart+xml"/>
  <Override PartName="/xl/drawings/drawing12.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defaultThemeVersion="124226"/>
  <bookViews>
    <workbookView xWindow="7620" yWindow="60" windowWidth="7665" windowHeight="7455" tabRatio="624"/>
  </bookViews>
  <sheets>
    <sheet name="Вывод расчетов"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externalReferences>
    <externalReference r:id="rId8"/>
  </externalReferences>
  <definedNames>
    <definedName name="Раздел_7_Параметры_рабочего_режима_двигателя">'Вывод расчетов'!#REF!</definedName>
  </definedNames>
  <calcPr calcId="144525" iterateDelta="1E-4"/>
</workbook>
</file>

<file path=xl/calcChain.xml><?xml version="1.0" encoding="utf-8"?>
<calcChain xmlns="http://schemas.openxmlformats.org/spreadsheetml/2006/main">
  <c r="AP16" i="1" l="1"/>
  <c r="AK17" i="1"/>
  <c r="BZ80" i="1" l="1"/>
  <c r="CB111" i="1"/>
  <c r="IT62" i="1" l="1"/>
  <c r="MM115" i="1" l="1"/>
  <c r="NX115" i="1"/>
  <c r="OB115" i="1"/>
  <c r="EC81" i="1" l="1"/>
  <c r="EC85" i="1"/>
  <c r="EC77" i="1"/>
  <c r="CO119" i="1"/>
  <c r="XJ53" i="1" l="1"/>
  <c r="XK53" i="1"/>
  <c r="XL53" i="1"/>
  <c r="XM53" i="1"/>
  <c r="XN53" i="1"/>
  <c r="XO53" i="1"/>
  <c r="XP53" i="1"/>
  <c r="XQ53" i="1"/>
  <c r="XR53" i="1"/>
  <c r="XS53" i="1"/>
  <c r="XT53" i="1"/>
  <c r="XU53" i="1"/>
  <c r="XV53" i="1"/>
  <c r="XW53" i="1"/>
  <c r="XX53" i="1"/>
  <c r="XY53" i="1"/>
  <c r="XZ53" i="1"/>
  <c r="YA53" i="1"/>
  <c r="YB53" i="1"/>
  <c r="YC53" i="1"/>
  <c r="YD53" i="1"/>
  <c r="YE53" i="1"/>
  <c r="YF53" i="1"/>
  <c r="YG53" i="1"/>
  <c r="YH53" i="1"/>
  <c r="YI53" i="1"/>
  <c r="YJ53" i="1"/>
  <c r="YK53" i="1"/>
  <c r="YL53" i="1"/>
  <c r="YM53" i="1"/>
  <c r="YN53" i="1"/>
  <c r="YO53" i="1"/>
  <c r="YP53" i="1"/>
  <c r="YQ53" i="1"/>
  <c r="YR53" i="1"/>
  <c r="YS53" i="1"/>
  <c r="YT53" i="1"/>
  <c r="YU53" i="1"/>
  <c r="YV53" i="1"/>
  <c r="YW53" i="1"/>
  <c r="YX53" i="1"/>
  <c r="YY53" i="1"/>
  <c r="YZ53" i="1"/>
  <c r="ZA53" i="1"/>
  <c r="ZB53" i="1"/>
  <c r="ZC53" i="1"/>
  <c r="ZD53" i="1"/>
  <c r="ZE53" i="1"/>
  <c r="ZF53" i="1"/>
  <c r="ZG53" i="1"/>
  <c r="ZH53" i="1"/>
  <c r="ZI53" i="1"/>
  <c r="ZJ53" i="1"/>
  <c r="ZK53" i="1"/>
  <c r="ZL53" i="1"/>
  <c r="ZM53" i="1"/>
  <c r="ZN53" i="1"/>
  <c r="ZO53" i="1"/>
  <c r="ZP53" i="1"/>
  <c r="ZQ53" i="1"/>
  <c r="ZR53" i="1"/>
  <c r="ZS53" i="1"/>
  <c r="ZT53" i="1"/>
  <c r="ZU53" i="1"/>
  <c r="ZV53" i="1"/>
  <c r="ZW53" i="1"/>
  <c r="ZX53" i="1"/>
  <c r="ZY53" i="1"/>
  <c r="ZZ53" i="1"/>
  <c r="AAA53" i="1"/>
  <c r="AAB53" i="1"/>
  <c r="AAC53" i="1"/>
  <c r="AAD53" i="1"/>
  <c r="AAE53" i="1"/>
  <c r="AAF53" i="1"/>
  <c r="AAG53" i="1"/>
  <c r="AAH53" i="1"/>
  <c r="AAI53" i="1"/>
  <c r="AAJ53" i="1"/>
  <c r="AAK53" i="1"/>
  <c r="AAL53" i="1"/>
  <c r="AAM53" i="1"/>
  <c r="AAN53" i="1"/>
  <c r="AAO53" i="1"/>
  <c r="AAP53" i="1"/>
  <c r="AAQ53" i="1"/>
  <c r="AAR53" i="1"/>
  <c r="AAS53" i="1"/>
  <c r="AAT53" i="1"/>
  <c r="XH53" i="1"/>
  <c r="XI53" i="1"/>
  <c r="XG53" i="1"/>
  <c r="WR81" i="1" l="1"/>
  <c r="WL153" i="1" l="1"/>
  <c r="WO80" i="1"/>
  <c r="AGO244" i="1"/>
  <c r="WR80" i="1" l="1"/>
  <c r="WN152" i="1" l="1"/>
  <c r="AEO63" i="1" l="1"/>
  <c r="AEM63" i="1" s="1"/>
  <c r="AEO135" i="1"/>
  <c r="AEM135" i="1" s="1"/>
  <c r="AEO62" i="1"/>
  <c r="AEM62" i="1" s="1"/>
  <c r="AEO61" i="1"/>
  <c r="AEM61" i="1" s="1"/>
  <c r="AEO60" i="1"/>
  <c r="AEM60" i="1" s="1"/>
  <c r="AEO59" i="1"/>
  <c r="AEM59" i="1" s="1"/>
  <c r="AEO58" i="1"/>
  <c r="AEM58" i="1" s="1"/>
  <c r="AEO57" i="1"/>
  <c r="AEM57" i="1" s="1"/>
  <c r="AEO56" i="1"/>
  <c r="AEM56" i="1" s="1"/>
  <c r="AEO55" i="1"/>
  <c r="AEM55" i="1" s="1"/>
  <c r="AEO54" i="1"/>
  <c r="AEM54" i="1" s="1"/>
  <c r="AEO53" i="1"/>
  <c r="AEM53" i="1" s="1"/>
  <c r="AEO52" i="1"/>
  <c r="AEM52" i="1" s="1"/>
  <c r="AEO51" i="1"/>
  <c r="AEM51" i="1" s="1"/>
  <c r="AEO50" i="1"/>
  <c r="AEM50" i="1" s="1"/>
  <c r="AEO49" i="1"/>
  <c r="AEM49" i="1" s="1"/>
  <c r="AEO48" i="1"/>
  <c r="AEM48" i="1" s="1"/>
  <c r="AEO47" i="1"/>
  <c r="AEM47" i="1" s="1"/>
  <c r="AEO46" i="1"/>
  <c r="AEM46" i="1" s="1"/>
  <c r="AEO45" i="1"/>
  <c r="AEM45" i="1" s="1"/>
  <c r="AEO44" i="1"/>
  <c r="AEM44" i="1" s="1"/>
  <c r="AEO43" i="1"/>
  <c r="AEM43" i="1" s="1"/>
  <c r="AEO42" i="1"/>
  <c r="AEM42" i="1" s="1"/>
  <c r="AEO41" i="1"/>
  <c r="AEM41" i="1" s="1"/>
  <c r="AEO40" i="1"/>
  <c r="AEM40" i="1" s="1"/>
  <c r="AEO39" i="1"/>
  <c r="AEM39" i="1" s="1"/>
  <c r="AEO38" i="1"/>
  <c r="AEM38" i="1" s="1"/>
  <c r="AEO37" i="1"/>
  <c r="AEM37" i="1" s="1"/>
  <c r="AEO36" i="1"/>
  <c r="AEO35" i="1"/>
  <c r="AEO34" i="1"/>
  <c r="AEO33" i="1"/>
  <c r="AEO32" i="1"/>
  <c r="AEO31" i="1"/>
  <c r="AEO30" i="1"/>
  <c r="AEO29" i="1"/>
  <c r="AEO28" i="1"/>
  <c r="AEO27" i="1"/>
  <c r="AEO26" i="1"/>
  <c r="AEO25" i="1"/>
  <c r="AEO24" i="1"/>
  <c r="AEO23" i="1"/>
  <c r="AEO22" i="1"/>
  <c r="AEO21" i="1"/>
  <c r="AEO20" i="1"/>
  <c r="AEO19" i="1"/>
  <c r="AEO18" i="1"/>
  <c r="AEO17" i="1"/>
  <c r="AEO16" i="1"/>
  <c r="AEO15" i="1"/>
  <c r="AEO14" i="1"/>
  <c r="AEO13" i="1"/>
  <c r="AEE62" i="1"/>
  <c r="AEE61" i="1"/>
  <c r="AEE60" i="1"/>
  <c r="AEE59" i="1"/>
  <c r="AEE58" i="1"/>
  <c r="AEE57" i="1"/>
  <c r="AEE56" i="1"/>
  <c r="AEE55" i="1"/>
  <c r="AEE54" i="1"/>
  <c r="AEE53" i="1"/>
  <c r="AEE52" i="1"/>
  <c r="AEE51" i="1"/>
  <c r="AEE50" i="1"/>
  <c r="AEE49" i="1"/>
  <c r="AEE48" i="1"/>
  <c r="AEE47" i="1"/>
  <c r="AEE46" i="1"/>
  <c r="AEE45" i="1"/>
  <c r="AEE44" i="1"/>
  <c r="AEE43" i="1"/>
  <c r="AEE42" i="1"/>
  <c r="AEE41" i="1"/>
  <c r="AEE40" i="1"/>
  <c r="AEE39" i="1"/>
  <c r="AEE38" i="1"/>
  <c r="AEE37" i="1"/>
  <c r="AEE36" i="1"/>
  <c r="AEE35" i="1"/>
  <c r="AEE34" i="1"/>
  <c r="AEE33" i="1"/>
  <c r="AEE32" i="1"/>
  <c r="AEE31" i="1"/>
  <c r="AEE30" i="1"/>
  <c r="AEE29" i="1"/>
  <c r="AEE28" i="1"/>
  <c r="AEE27" i="1"/>
  <c r="AEE26" i="1"/>
  <c r="AEE25" i="1"/>
  <c r="AEE24" i="1"/>
  <c r="AEE23" i="1"/>
  <c r="AEE22" i="1"/>
  <c r="AEE21" i="1"/>
  <c r="AEE20" i="1"/>
  <c r="AEE19" i="1"/>
  <c r="AEE18" i="1"/>
  <c r="AEE17" i="1"/>
  <c r="AEE16" i="1"/>
  <c r="AEE15" i="1"/>
  <c r="AEE14" i="1"/>
  <c r="AEE13" i="1"/>
  <c r="ADU62" i="1"/>
  <c r="ADU61" i="1"/>
  <c r="ADU60" i="1"/>
  <c r="ADU59" i="1"/>
  <c r="ADU58" i="1"/>
  <c r="ADU57" i="1"/>
  <c r="ADU56" i="1"/>
  <c r="ADU55" i="1"/>
  <c r="ADU54" i="1"/>
  <c r="ADU53" i="1"/>
  <c r="ADU52" i="1"/>
  <c r="ADU51" i="1"/>
  <c r="ADU50" i="1"/>
  <c r="ADU49" i="1"/>
  <c r="ADU48" i="1"/>
  <c r="ADU47" i="1"/>
  <c r="ADU46" i="1"/>
  <c r="ADU45" i="1"/>
  <c r="ADU44" i="1"/>
  <c r="ADU43" i="1"/>
  <c r="ADU42" i="1"/>
  <c r="ADU41" i="1"/>
  <c r="ADU40" i="1"/>
  <c r="ADU39" i="1"/>
  <c r="ADU38" i="1"/>
  <c r="ADU37" i="1"/>
  <c r="ADU36" i="1"/>
  <c r="ADU35" i="1"/>
  <c r="ADU34" i="1"/>
  <c r="ADU33" i="1"/>
  <c r="ADU32" i="1"/>
  <c r="ADU31" i="1"/>
  <c r="ADU30" i="1"/>
  <c r="ADU29" i="1"/>
  <c r="ADU28" i="1"/>
  <c r="ADU27" i="1"/>
  <c r="ADU26" i="1"/>
  <c r="ADU25" i="1"/>
  <c r="ADU24" i="1"/>
  <c r="ADU23" i="1"/>
  <c r="ADU22" i="1"/>
  <c r="ADU21" i="1"/>
  <c r="ADU20" i="1"/>
  <c r="ADU19" i="1"/>
  <c r="ADU18" i="1"/>
  <c r="ADU17" i="1"/>
  <c r="ADU16" i="1"/>
  <c r="ADU15" i="1"/>
  <c r="ADU14" i="1"/>
  <c r="ADU13" i="1"/>
  <c r="ADK62" i="1"/>
  <c r="ADK61" i="1"/>
  <c r="ADK60" i="1"/>
  <c r="ADK59" i="1"/>
  <c r="ADK58" i="1"/>
  <c r="ADK57" i="1"/>
  <c r="ADK56" i="1"/>
  <c r="ADK55" i="1"/>
  <c r="ADK54" i="1"/>
  <c r="ADK53" i="1"/>
  <c r="ADK52" i="1"/>
  <c r="ADK51" i="1"/>
  <c r="ADK50" i="1"/>
  <c r="ADK49" i="1"/>
  <c r="ADK48" i="1"/>
  <c r="ADK47" i="1"/>
  <c r="ADK46" i="1"/>
  <c r="ADK45" i="1"/>
  <c r="ADK44" i="1"/>
  <c r="ADK43" i="1"/>
  <c r="ADK42" i="1"/>
  <c r="ADK41" i="1"/>
  <c r="ADK40" i="1"/>
  <c r="ADK39" i="1"/>
  <c r="ADK38" i="1"/>
  <c r="ADK37" i="1"/>
  <c r="ADK36" i="1"/>
  <c r="ADK35" i="1"/>
  <c r="ADK34" i="1"/>
  <c r="ADK33" i="1"/>
  <c r="ADK32" i="1"/>
  <c r="ADK31" i="1"/>
  <c r="ADK30" i="1"/>
  <c r="ADK29" i="1"/>
  <c r="ADK28" i="1"/>
  <c r="ADK27" i="1"/>
  <c r="ADK26" i="1"/>
  <c r="ADK25" i="1"/>
  <c r="ADK24" i="1"/>
  <c r="ADK23" i="1"/>
  <c r="ADK22" i="1"/>
  <c r="ADK21" i="1"/>
  <c r="ADK20" i="1"/>
  <c r="ADK19" i="1"/>
  <c r="ADK18" i="1"/>
  <c r="ADK17" i="1"/>
  <c r="ADK16" i="1"/>
  <c r="ADK15" i="1"/>
  <c r="ADK14" i="1"/>
  <c r="ADK13" i="1"/>
  <c r="ADA62" i="1"/>
  <c r="ADA61" i="1"/>
  <c r="ADA60" i="1"/>
  <c r="ADA59" i="1"/>
  <c r="ADA58" i="1"/>
  <c r="ADA57" i="1"/>
  <c r="ADA56" i="1"/>
  <c r="ADA55" i="1"/>
  <c r="ADA54" i="1"/>
  <c r="ADA53" i="1"/>
  <c r="ADA52" i="1"/>
  <c r="ADA51" i="1"/>
  <c r="ADA50" i="1"/>
  <c r="ADA49" i="1"/>
  <c r="ADA48" i="1"/>
  <c r="ADA47" i="1"/>
  <c r="ADA46" i="1"/>
  <c r="ADA45" i="1"/>
  <c r="ADA44" i="1"/>
  <c r="ADA43" i="1"/>
  <c r="ADA42" i="1"/>
  <c r="ADA41" i="1"/>
  <c r="ADA40" i="1"/>
  <c r="ADA39" i="1"/>
  <c r="ADA38" i="1"/>
  <c r="ADA37" i="1"/>
  <c r="ADA36" i="1"/>
  <c r="ADA35" i="1"/>
  <c r="ADA34" i="1"/>
  <c r="ADA33" i="1"/>
  <c r="ADA32" i="1"/>
  <c r="ADA31" i="1"/>
  <c r="ADA30" i="1"/>
  <c r="ADA29" i="1"/>
  <c r="ADA28" i="1"/>
  <c r="ADA27" i="1"/>
  <c r="ADA26" i="1"/>
  <c r="ADA25" i="1"/>
  <c r="ADA24" i="1"/>
  <c r="ADA23" i="1"/>
  <c r="ADA22" i="1"/>
  <c r="ADA21" i="1"/>
  <c r="ADA20" i="1"/>
  <c r="ADA19" i="1"/>
  <c r="ADA18" i="1"/>
  <c r="ADA17" i="1"/>
  <c r="ADA16" i="1"/>
  <c r="ADA15" i="1"/>
  <c r="ADA14" i="1"/>
  <c r="ADA13" i="1"/>
  <c r="ACQ62" i="1"/>
  <c r="ACQ61" i="1"/>
  <c r="ACO61" i="1" s="1"/>
  <c r="ACQ60" i="1"/>
  <c r="ACO60" i="1" s="1"/>
  <c r="ACQ59" i="1"/>
  <c r="ACO59" i="1" s="1"/>
  <c r="ACQ58" i="1"/>
  <c r="ACO58" i="1" s="1"/>
  <c r="ACQ57" i="1"/>
  <c r="ACQ56" i="1"/>
  <c r="ACO56" i="1" s="1"/>
  <c r="ACQ55" i="1"/>
  <c r="ACO55" i="1" s="1"/>
  <c r="ACQ54" i="1"/>
  <c r="ACO54" i="1" s="1"/>
  <c r="ACQ53" i="1"/>
  <c r="ACO53" i="1" s="1"/>
  <c r="ACQ52" i="1"/>
  <c r="ACO52" i="1" s="1"/>
  <c r="ACQ51" i="1"/>
  <c r="ACO51" i="1" s="1"/>
  <c r="ACQ50" i="1"/>
  <c r="ACO50" i="1" s="1"/>
  <c r="ACQ49" i="1"/>
  <c r="ACO49" i="1" s="1"/>
  <c r="ACQ48" i="1"/>
  <c r="ACO48" i="1" s="1"/>
  <c r="ACQ47" i="1"/>
  <c r="ACO47" i="1" s="1"/>
  <c r="ACQ46" i="1"/>
  <c r="ACO46" i="1" s="1"/>
  <c r="ACQ45" i="1"/>
  <c r="ACO45" i="1" s="1"/>
  <c r="ACQ44" i="1"/>
  <c r="ACO44" i="1" s="1"/>
  <c r="ACQ43" i="1"/>
  <c r="ACO43" i="1" s="1"/>
  <c r="ACQ42" i="1"/>
  <c r="ACO42" i="1" s="1"/>
  <c r="ACQ41" i="1"/>
  <c r="ACO41" i="1" s="1"/>
  <c r="ACQ40" i="1"/>
  <c r="ACO40" i="1" s="1"/>
  <c r="ACQ39" i="1"/>
  <c r="ACO39" i="1" s="1"/>
  <c r="ACQ38" i="1"/>
  <c r="ACO38" i="1" s="1"/>
  <c r="ACQ37" i="1"/>
  <c r="ACQ36" i="1"/>
  <c r="ACO36" i="1" s="1"/>
  <c r="ACQ35" i="1"/>
  <c r="ACO35" i="1" s="1"/>
  <c r="ACQ34" i="1"/>
  <c r="ACO34" i="1" s="1"/>
  <c r="ACQ33" i="1"/>
  <c r="ACO33" i="1" s="1"/>
  <c r="ACQ32" i="1"/>
  <c r="ACO32" i="1" s="1"/>
  <c r="ACQ31" i="1"/>
  <c r="ACO31" i="1" s="1"/>
  <c r="ACQ30" i="1"/>
  <c r="ACO30" i="1" s="1"/>
  <c r="ACQ29" i="1"/>
  <c r="ACO29" i="1" s="1"/>
  <c r="ACQ28" i="1"/>
  <c r="ACO28" i="1" s="1"/>
  <c r="ACQ27" i="1"/>
  <c r="ACO27" i="1" s="1"/>
  <c r="ACQ26" i="1"/>
  <c r="ACO26" i="1" s="1"/>
  <c r="ACQ25" i="1"/>
  <c r="ACO25" i="1" s="1"/>
  <c r="ACQ24" i="1"/>
  <c r="ACO24" i="1" s="1"/>
  <c r="ACQ23" i="1"/>
  <c r="ACO23" i="1" s="1"/>
  <c r="ACQ22" i="1"/>
  <c r="ACO22" i="1" s="1"/>
  <c r="ACQ21" i="1"/>
  <c r="ACO21" i="1" s="1"/>
  <c r="ACQ20" i="1"/>
  <c r="ACO20" i="1" s="1"/>
  <c r="ACQ19" i="1"/>
  <c r="ACO19" i="1" s="1"/>
  <c r="ACQ18" i="1"/>
  <c r="ACO18" i="1" s="1"/>
  <c r="ACQ17" i="1"/>
  <c r="ACO17" i="1" s="1"/>
  <c r="ACQ16" i="1"/>
  <c r="ACO16" i="1" s="1"/>
  <c r="ACQ15" i="1"/>
  <c r="ACO15" i="1" s="1"/>
  <c r="ACQ14" i="1"/>
  <c r="ACO14" i="1" s="1"/>
  <c r="ACQ13" i="1"/>
  <c r="ACO13" i="1" s="1"/>
  <c r="ACO62" i="1"/>
  <c r="ACO57" i="1"/>
  <c r="AEO86" i="1"/>
  <c r="AEM86" i="1" s="1"/>
  <c r="AEO87" i="1"/>
  <c r="AEM87" i="1" s="1"/>
  <c r="AEO88" i="1"/>
  <c r="AEM88" i="1" s="1"/>
  <c r="AEO89" i="1"/>
  <c r="AEM89" i="1" s="1"/>
  <c r="AEO90" i="1"/>
  <c r="AEO91" i="1"/>
  <c r="AEM91" i="1" s="1"/>
  <c r="AEO92" i="1"/>
  <c r="AEM92" i="1" s="1"/>
  <c r="AEO93" i="1"/>
  <c r="AEM93" i="1" s="1"/>
  <c r="AEO94" i="1"/>
  <c r="AEM94" i="1" s="1"/>
  <c r="AEO95" i="1"/>
  <c r="AEM95" i="1" s="1"/>
  <c r="AEO96" i="1"/>
  <c r="AEM96" i="1" s="1"/>
  <c r="AEO97" i="1"/>
  <c r="AEM97" i="1" s="1"/>
  <c r="AEO98" i="1"/>
  <c r="AEM98" i="1" s="1"/>
  <c r="AEO99" i="1"/>
  <c r="AEM99" i="1" s="1"/>
  <c r="AEO100" i="1"/>
  <c r="AEM100" i="1" s="1"/>
  <c r="AEO101" i="1"/>
  <c r="AEM101" i="1" s="1"/>
  <c r="AEO102" i="1"/>
  <c r="AEM102" i="1" s="1"/>
  <c r="AEO103" i="1"/>
  <c r="AEM103" i="1" s="1"/>
  <c r="AEO104" i="1"/>
  <c r="AEM104" i="1" s="1"/>
  <c r="AEO105" i="1"/>
  <c r="AEM105" i="1" s="1"/>
  <c r="AEO106" i="1"/>
  <c r="AEM106" i="1" s="1"/>
  <c r="AEO107" i="1"/>
  <c r="AEM107" i="1" s="1"/>
  <c r="AEO108" i="1"/>
  <c r="AEM108" i="1" s="1"/>
  <c r="AEO109" i="1"/>
  <c r="AEM109" i="1" s="1"/>
  <c r="AEO110" i="1"/>
  <c r="AEM110" i="1" s="1"/>
  <c r="AEO111" i="1"/>
  <c r="AEM111" i="1" s="1"/>
  <c r="AEO112" i="1"/>
  <c r="AEM112" i="1" s="1"/>
  <c r="AEO113" i="1"/>
  <c r="AEM113" i="1" s="1"/>
  <c r="AEO114" i="1"/>
  <c r="AEM114" i="1" s="1"/>
  <c r="AEO115" i="1"/>
  <c r="AEM115" i="1" s="1"/>
  <c r="AEO116" i="1"/>
  <c r="AEM116" i="1" s="1"/>
  <c r="AEO117" i="1"/>
  <c r="AEM117" i="1" s="1"/>
  <c r="AEO118" i="1"/>
  <c r="AEM118" i="1" s="1"/>
  <c r="AEO119" i="1"/>
  <c r="AEM119" i="1" s="1"/>
  <c r="AEO120" i="1"/>
  <c r="AEM120" i="1" s="1"/>
  <c r="AEO121" i="1"/>
  <c r="AEM121" i="1" s="1"/>
  <c r="AEO122" i="1"/>
  <c r="AEM122" i="1" s="1"/>
  <c r="AEO123" i="1"/>
  <c r="AEM123" i="1" s="1"/>
  <c r="AEO124" i="1"/>
  <c r="AEM124" i="1" s="1"/>
  <c r="AEO125" i="1"/>
  <c r="AEM125" i="1" s="1"/>
  <c r="AEO126" i="1"/>
  <c r="AEM126" i="1" s="1"/>
  <c r="AEO127" i="1"/>
  <c r="AEM127" i="1" s="1"/>
  <c r="AEO128" i="1"/>
  <c r="AEM128" i="1" s="1"/>
  <c r="AEO129" i="1"/>
  <c r="AEM129" i="1" s="1"/>
  <c r="AEO130" i="1"/>
  <c r="AEM130" i="1" s="1"/>
  <c r="AEO131" i="1"/>
  <c r="AEM131" i="1" s="1"/>
  <c r="AEO132" i="1"/>
  <c r="AEM132" i="1" s="1"/>
  <c r="AEO133" i="1"/>
  <c r="AEM133" i="1" s="1"/>
  <c r="AEO134" i="1"/>
  <c r="AEM134" i="1" s="1"/>
  <c r="AEE86" i="1"/>
  <c r="AEC86" i="1" s="1"/>
  <c r="AEE87" i="1"/>
  <c r="AEC87" i="1" s="1"/>
  <c r="AEE88" i="1"/>
  <c r="AEC88" i="1" s="1"/>
  <c r="AEE89" i="1"/>
  <c r="AEC89" i="1" s="1"/>
  <c r="AEE90" i="1"/>
  <c r="AEC90" i="1" s="1"/>
  <c r="AEE91" i="1"/>
  <c r="AEC91" i="1" s="1"/>
  <c r="AEE92" i="1"/>
  <c r="AEC92" i="1" s="1"/>
  <c r="AEE93" i="1"/>
  <c r="AEC93" i="1" s="1"/>
  <c r="AEE94" i="1"/>
  <c r="AEC94" i="1" s="1"/>
  <c r="AEE95" i="1"/>
  <c r="AEC95" i="1" s="1"/>
  <c r="AEE96" i="1"/>
  <c r="AEC96" i="1" s="1"/>
  <c r="AEE97" i="1"/>
  <c r="AEC97" i="1" s="1"/>
  <c r="AEE98" i="1"/>
  <c r="AEC98" i="1" s="1"/>
  <c r="AEE99" i="1"/>
  <c r="AEC99" i="1" s="1"/>
  <c r="AEE100" i="1"/>
  <c r="AEC100" i="1" s="1"/>
  <c r="AEE101" i="1"/>
  <c r="AEC101" i="1" s="1"/>
  <c r="AEE102" i="1"/>
  <c r="AEC102" i="1" s="1"/>
  <c r="AEE103" i="1"/>
  <c r="AEC103" i="1" s="1"/>
  <c r="AEE104" i="1"/>
  <c r="AEC104" i="1" s="1"/>
  <c r="AEE105" i="1"/>
  <c r="AEC105" i="1" s="1"/>
  <c r="AEE106" i="1"/>
  <c r="AEC106" i="1" s="1"/>
  <c r="AEE107" i="1"/>
  <c r="AEC107" i="1" s="1"/>
  <c r="AEE108" i="1"/>
  <c r="AEC108" i="1" s="1"/>
  <c r="AEE109" i="1"/>
  <c r="AEC109" i="1" s="1"/>
  <c r="AEE110" i="1"/>
  <c r="AEC110" i="1" s="1"/>
  <c r="AEE111" i="1"/>
  <c r="AEC111" i="1" s="1"/>
  <c r="AEE112" i="1"/>
  <c r="AEC112" i="1" s="1"/>
  <c r="AEE113" i="1"/>
  <c r="AEC113" i="1" s="1"/>
  <c r="AEE114" i="1"/>
  <c r="AEC114" i="1" s="1"/>
  <c r="AEE115" i="1"/>
  <c r="AEC115" i="1" s="1"/>
  <c r="AEE116" i="1"/>
  <c r="AEC116" i="1" s="1"/>
  <c r="AEE117" i="1"/>
  <c r="AEC117" i="1" s="1"/>
  <c r="AEE118" i="1"/>
  <c r="AEC118" i="1" s="1"/>
  <c r="AEE119" i="1"/>
  <c r="AEC119" i="1" s="1"/>
  <c r="AEE120" i="1"/>
  <c r="AEC120" i="1" s="1"/>
  <c r="AEE121" i="1"/>
  <c r="AEC121" i="1" s="1"/>
  <c r="AEE122" i="1"/>
  <c r="AEC122" i="1" s="1"/>
  <c r="AEE123" i="1"/>
  <c r="AEC123" i="1" s="1"/>
  <c r="AEE124" i="1"/>
  <c r="AEC124" i="1" s="1"/>
  <c r="AEE125" i="1"/>
  <c r="AEC125" i="1" s="1"/>
  <c r="AEE126" i="1"/>
  <c r="AEC126" i="1" s="1"/>
  <c r="AEE127" i="1"/>
  <c r="AEC127" i="1" s="1"/>
  <c r="AEE128" i="1"/>
  <c r="AEC128" i="1" s="1"/>
  <c r="AEE129" i="1"/>
  <c r="AEC129" i="1" s="1"/>
  <c r="AEE130" i="1"/>
  <c r="AEC130" i="1" s="1"/>
  <c r="AEE131" i="1"/>
  <c r="AEC131" i="1" s="1"/>
  <c r="AEE132" i="1"/>
  <c r="AEC132" i="1" s="1"/>
  <c r="AEE133" i="1"/>
  <c r="AEC133" i="1" s="1"/>
  <c r="AEE134" i="1"/>
  <c r="AEC134" i="1" s="1"/>
  <c r="ADU86" i="1"/>
  <c r="ADS86" i="1" s="1"/>
  <c r="ADU87" i="1"/>
  <c r="ADS87" i="1" s="1"/>
  <c r="ADU88" i="1"/>
  <c r="ADS88" i="1" s="1"/>
  <c r="ADU89" i="1"/>
  <c r="ADS89" i="1" s="1"/>
  <c r="ADU90" i="1"/>
  <c r="ADS90" i="1" s="1"/>
  <c r="ADU91" i="1"/>
  <c r="ADS91" i="1" s="1"/>
  <c r="ADU92" i="1"/>
  <c r="ADS92" i="1" s="1"/>
  <c r="ADU93" i="1"/>
  <c r="ADS93" i="1" s="1"/>
  <c r="ADU94" i="1"/>
  <c r="ADS94" i="1" s="1"/>
  <c r="ADU95" i="1"/>
  <c r="ADS95" i="1" s="1"/>
  <c r="ADU96" i="1"/>
  <c r="ADS96" i="1" s="1"/>
  <c r="ADU97" i="1"/>
  <c r="ADS97" i="1" s="1"/>
  <c r="ADU98" i="1"/>
  <c r="ADS98" i="1" s="1"/>
  <c r="ADU99" i="1"/>
  <c r="ADS99" i="1" s="1"/>
  <c r="ADU100" i="1"/>
  <c r="ADS100" i="1" s="1"/>
  <c r="ADU101" i="1"/>
  <c r="ADS101" i="1" s="1"/>
  <c r="ADU102" i="1"/>
  <c r="ADS102" i="1" s="1"/>
  <c r="ADU103" i="1"/>
  <c r="ADS103" i="1" s="1"/>
  <c r="ADU104" i="1"/>
  <c r="ADS104" i="1" s="1"/>
  <c r="ADU105" i="1"/>
  <c r="ADS105" i="1" s="1"/>
  <c r="ADU106" i="1"/>
  <c r="ADS106" i="1" s="1"/>
  <c r="ADU107" i="1"/>
  <c r="ADS107" i="1" s="1"/>
  <c r="ADU108" i="1"/>
  <c r="ADS108" i="1" s="1"/>
  <c r="ADU109" i="1"/>
  <c r="ADS109" i="1" s="1"/>
  <c r="ADU110" i="1"/>
  <c r="ADS110" i="1" s="1"/>
  <c r="ADU111" i="1"/>
  <c r="ADS111" i="1" s="1"/>
  <c r="ADU112" i="1"/>
  <c r="ADS112" i="1" s="1"/>
  <c r="ADU113" i="1"/>
  <c r="ADS113" i="1" s="1"/>
  <c r="ADU114" i="1"/>
  <c r="ADS114" i="1" s="1"/>
  <c r="ADU115" i="1"/>
  <c r="ADS115" i="1" s="1"/>
  <c r="ADU116" i="1"/>
  <c r="ADS116" i="1" s="1"/>
  <c r="ADU117" i="1"/>
  <c r="ADS117" i="1" s="1"/>
  <c r="ADU118" i="1"/>
  <c r="ADS118" i="1" s="1"/>
  <c r="ADU119" i="1"/>
  <c r="ADS119" i="1" s="1"/>
  <c r="ADU120" i="1"/>
  <c r="ADS120" i="1" s="1"/>
  <c r="ADU121" i="1"/>
  <c r="ADS121" i="1" s="1"/>
  <c r="ADU122" i="1"/>
  <c r="ADS122" i="1" s="1"/>
  <c r="ADU123" i="1"/>
  <c r="ADS123" i="1" s="1"/>
  <c r="ADU124" i="1"/>
  <c r="ADS124" i="1" s="1"/>
  <c r="ADU125" i="1"/>
  <c r="ADS125" i="1" s="1"/>
  <c r="ADU126" i="1"/>
  <c r="ADS126" i="1" s="1"/>
  <c r="ADU127" i="1"/>
  <c r="ADS127" i="1" s="1"/>
  <c r="ADU128" i="1"/>
  <c r="ADS128" i="1" s="1"/>
  <c r="ADU129" i="1"/>
  <c r="ADS129" i="1" s="1"/>
  <c r="ADU130" i="1"/>
  <c r="ADS130" i="1" s="1"/>
  <c r="ADU131" i="1"/>
  <c r="ADS131" i="1" s="1"/>
  <c r="ADU132" i="1"/>
  <c r="ADS132" i="1" s="1"/>
  <c r="ADU133" i="1"/>
  <c r="ADS133" i="1" s="1"/>
  <c r="ADU134" i="1"/>
  <c r="ADS134" i="1" s="1"/>
  <c r="ADK86" i="1"/>
  <c r="ADI86" i="1" s="1"/>
  <c r="ADK87" i="1"/>
  <c r="ADI87" i="1" s="1"/>
  <c r="ADK88" i="1"/>
  <c r="ADI88" i="1" s="1"/>
  <c r="ADK89" i="1"/>
  <c r="ADI89" i="1" s="1"/>
  <c r="ADK90" i="1"/>
  <c r="ADI90" i="1" s="1"/>
  <c r="ADK91" i="1"/>
  <c r="ADI91" i="1" s="1"/>
  <c r="ADK92" i="1"/>
  <c r="ADI92" i="1" s="1"/>
  <c r="ADK93" i="1"/>
  <c r="ADI93" i="1" s="1"/>
  <c r="ADK94" i="1"/>
  <c r="ADI94" i="1" s="1"/>
  <c r="ADK95" i="1"/>
  <c r="ADI95" i="1" s="1"/>
  <c r="ADK96" i="1"/>
  <c r="ADI96" i="1" s="1"/>
  <c r="ADK97" i="1"/>
  <c r="ADI97" i="1" s="1"/>
  <c r="ADK98" i="1"/>
  <c r="ADI98" i="1" s="1"/>
  <c r="ADK99" i="1"/>
  <c r="ADI99" i="1" s="1"/>
  <c r="ADK100" i="1"/>
  <c r="ADI100" i="1" s="1"/>
  <c r="ADK101" i="1"/>
  <c r="ADI101" i="1" s="1"/>
  <c r="ADK102" i="1"/>
  <c r="ADI102" i="1" s="1"/>
  <c r="ADK103" i="1"/>
  <c r="ADI103" i="1" s="1"/>
  <c r="ADK104" i="1"/>
  <c r="ADI104" i="1" s="1"/>
  <c r="ADK105" i="1"/>
  <c r="ADI105" i="1" s="1"/>
  <c r="ADK106" i="1"/>
  <c r="ADI106" i="1" s="1"/>
  <c r="ADK107" i="1"/>
  <c r="ADI107" i="1" s="1"/>
  <c r="ADK108" i="1"/>
  <c r="ADI108" i="1" s="1"/>
  <c r="ADK109" i="1"/>
  <c r="ADI109" i="1" s="1"/>
  <c r="ADK110" i="1"/>
  <c r="ADI110" i="1" s="1"/>
  <c r="ADK111" i="1"/>
  <c r="ADI111" i="1" s="1"/>
  <c r="ADK112" i="1"/>
  <c r="ADI112" i="1" s="1"/>
  <c r="ADK113" i="1"/>
  <c r="ADI113" i="1" s="1"/>
  <c r="ADK114" i="1"/>
  <c r="ADI114" i="1" s="1"/>
  <c r="ADK115" i="1"/>
  <c r="ADI115" i="1" s="1"/>
  <c r="ADK116" i="1"/>
  <c r="ADI116" i="1" s="1"/>
  <c r="ADK117" i="1"/>
  <c r="ADI117" i="1" s="1"/>
  <c r="ADK118" i="1"/>
  <c r="ADI118" i="1" s="1"/>
  <c r="ADK119" i="1"/>
  <c r="ADI119" i="1" s="1"/>
  <c r="ADK120" i="1"/>
  <c r="ADI120" i="1" s="1"/>
  <c r="ADK121" i="1"/>
  <c r="ADI121" i="1" s="1"/>
  <c r="ADK122" i="1"/>
  <c r="ADI122" i="1" s="1"/>
  <c r="ADK123" i="1"/>
  <c r="ADI123" i="1" s="1"/>
  <c r="ADK124" i="1"/>
  <c r="ADI124" i="1" s="1"/>
  <c r="ADK125" i="1"/>
  <c r="ADI125" i="1" s="1"/>
  <c r="ADK126" i="1"/>
  <c r="ADI126" i="1" s="1"/>
  <c r="ADK127" i="1"/>
  <c r="ADI127" i="1" s="1"/>
  <c r="ADK128" i="1"/>
  <c r="ADI128" i="1" s="1"/>
  <c r="ADK129" i="1"/>
  <c r="ADI129" i="1" s="1"/>
  <c r="ADK130" i="1"/>
  <c r="ADI130" i="1" s="1"/>
  <c r="ADK131" i="1"/>
  <c r="ADI131" i="1" s="1"/>
  <c r="ADK132" i="1"/>
  <c r="ADI132" i="1" s="1"/>
  <c r="ADK133" i="1"/>
  <c r="ADI133" i="1" s="1"/>
  <c r="ADK134" i="1"/>
  <c r="ADI134" i="1" s="1"/>
  <c r="ADA86" i="1"/>
  <c r="ACY86" i="1" s="1"/>
  <c r="ADA87" i="1"/>
  <c r="ACY87" i="1" s="1"/>
  <c r="ADA88" i="1"/>
  <c r="ACY88" i="1" s="1"/>
  <c r="ADA89" i="1"/>
  <c r="ACY89" i="1" s="1"/>
  <c r="ADA90" i="1"/>
  <c r="ACY90" i="1" s="1"/>
  <c r="ADA91" i="1"/>
  <c r="ACY91" i="1" s="1"/>
  <c r="ADA92" i="1"/>
  <c r="ACY92" i="1" s="1"/>
  <c r="ADA93" i="1"/>
  <c r="ACY93" i="1" s="1"/>
  <c r="ADA94" i="1"/>
  <c r="ACY94" i="1" s="1"/>
  <c r="ADA95" i="1"/>
  <c r="ACY95" i="1" s="1"/>
  <c r="ADA96" i="1"/>
  <c r="ACY96" i="1" s="1"/>
  <c r="ADA97" i="1"/>
  <c r="ACY97" i="1" s="1"/>
  <c r="ADA98" i="1"/>
  <c r="ACY98" i="1" s="1"/>
  <c r="ADA99" i="1"/>
  <c r="ACY99" i="1" s="1"/>
  <c r="ADA100" i="1"/>
  <c r="ACY100" i="1" s="1"/>
  <c r="ADA101" i="1"/>
  <c r="ACY101" i="1" s="1"/>
  <c r="ADA102" i="1"/>
  <c r="ACY102" i="1" s="1"/>
  <c r="ADA103" i="1"/>
  <c r="ACY103" i="1" s="1"/>
  <c r="ADA104" i="1"/>
  <c r="ACY104" i="1" s="1"/>
  <c r="ADA105" i="1"/>
  <c r="ACY105" i="1" s="1"/>
  <c r="ADA106" i="1"/>
  <c r="ACY106" i="1" s="1"/>
  <c r="ADA107" i="1"/>
  <c r="ACY107" i="1" s="1"/>
  <c r="ADA108" i="1"/>
  <c r="ACY108" i="1" s="1"/>
  <c r="ADA109" i="1"/>
  <c r="ACY109" i="1" s="1"/>
  <c r="ADA110" i="1"/>
  <c r="ACY110" i="1" s="1"/>
  <c r="ADA111" i="1"/>
  <c r="ACY111" i="1" s="1"/>
  <c r="ADA112" i="1"/>
  <c r="ACY112" i="1" s="1"/>
  <c r="ADA113" i="1"/>
  <c r="ACY113" i="1" s="1"/>
  <c r="ADA114" i="1"/>
  <c r="ACY114" i="1" s="1"/>
  <c r="ADA115" i="1"/>
  <c r="ACY115" i="1" s="1"/>
  <c r="ADA116" i="1"/>
  <c r="ACY116" i="1" s="1"/>
  <c r="ADA117" i="1"/>
  <c r="ACY117" i="1" s="1"/>
  <c r="ADA118" i="1"/>
  <c r="ACY118" i="1" s="1"/>
  <c r="ADA119" i="1"/>
  <c r="ACY119" i="1" s="1"/>
  <c r="ADA120" i="1"/>
  <c r="ACY120" i="1" s="1"/>
  <c r="ADA121" i="1"/>
  <c r="ACY121" i="1" s="1"/>
  <c r="ADA122" i="1"/>
  <c r="ACY122" i="1" s="1"/>
  <c r="ADA123" i="1"/>
  <c r="ACY123" i="1" s="1"/>
  <c r="ADA124" i="1"/>
  <c r="ACY124" i="1" s="1"/>
  <c r="ADA125" i="1"/>
  <c r="ACY125" i="1" s="1"/>
  <c r="ADA126" i="1"/>
  <c r="ACY126" i="1" s="1"/>
  <c r="ADA127" i="1"/>
  <c r="ACY127" i="1" s="1"/>
  <c r="ADA128" i="1"/>
  <c r="ACY128" i="1" s="1"/>
  <c r="ADA129" i="1"/>
  <c r="ACY129" i="1" s="1"/>
  <c r="ADA130" i="1"/>
  <c r="ACY130" i="1" s="1"/>
  <c r="ADA131" i="1"/>
  <c r="ACY131" i="1" s="1"/>
  <c r="ADA132" i="1"/>
  <c r="ACY132" i="1" s="1"/>
  <c r="ADA133" i="1"/>
  <c r="ACY133" i="1" s="1"/>
  <c r="ADA134" i="1"/>
  <c r="ACY134" i="1" s="1"/>
  <c r="ACQ86" i="1"/>
  <c r="ACO86" i="1" s="1"/>
  <c r="ACQ87" i="1"/>
  <c r="ACO87" i="1" s="1"/>
  <c r="ACQ88" i="1"/>
  <c r="ACO88" i="1" s="1"/>
  <c r="ACQ89" i="1"/>
  <c r="ACO89" i="1" s="1"/>
  <c r="ACQ90" i="1"/>
  <c r="ACO90" i="1" s="1"/>
  <c r="ACQ91" i="1"/>
  <c r="ACO91" i="1" s="1"/>
  <c r="ACQ92" i="1"/>
  <c r="ACO92" i="1" s="1"/>
  <c r="ACQ93" i="1"/>
  <c r="ACO93" i="1" s="1"/>
  <c r="ACQ94" i="1"/>
  <c r="ACO94" i="1" s="1"/>
  <c r="ACQ95" i="1"/>
  <c r="ACO95" i="1" s="1"/>
  <c r="ACQ96" i="1"/>
  <c r="ACO96" i="1" s="1"/>
  <c r="ACQ97" i="1"/>
  <c r="ACO97" i="1" s="1"/>
  <c r="ACQ98" i="1"/>
  <c r="ACO98" i="1" s="1"/>
  <c r="ACQ99" i="1"/>
  <c r="ACO99" i="1" s="1"/>
  <c r="ACQ100" i="1"/>
  <c r="ACO100" i="1" s="1"/>
  <c r="ACQ101" i="1"/>
  <c r="ACO101" i="1" s="1"/>
  <c r="ACQ102" i="1"/>
  <c r="ACO102" i="1" s="1"/>
  <c r="ACQ103" i="1"/>
  <c r="ACO103" i="1" s="1"/>
  <c r="ACQ104" i="1"/>
  <c r="ACO104" i="1" s="1"/>
  <c r="ACQ105" i="1"/>
  <c r="ACO105" i="1" s="1"/>
  <c r="ACQ106" i="1"/>
  <c r="ACO106" i="1" s="1"/>
  <c r="ACQ107" i="1"/>
  <c r="ACO107" i="1" s="1"/>
  <c r="ACQ108" i="1"/>
  <c r="ACO108" i="1" s="1"/>
  <c r="ACQ109" i="1"/>
  <c r="ACO109" i="1" s="1"/>
  <c r="ACQ110" i="1"/>
  <c r="ACO110" i="1" s="1"/>
  <c r="ACQ111" i="1"/>
  <c r="ACO111" i="1" s="1"/>
  <c r="ACQ112" i="1"/>
  <c r="ACO112" i="1" s="1"/>
  <c r="ACQ113" i="1"/>
  <c r="ACO113" i="1" s="1"/>
  <c r="ACQ114" i="1"/>
  <c r="ACO114" i="1" s="1"/>
  <c r="ACQ115" i="1"/>
  <c r="ACO115" i="1" s="1"/>
  <c r="ACQ116" i="1"/>
  <c r="ACO116" i="1" s="1"/>
  <c r="ACQ117" i="1"/>
  <c r="ACO117" i="1" s="1"/>
  <c r="ACQ118" i="1"/>
  <c r="ACO118" i="1" s="1"/>
  <c r="ACQ119" i="1"/>
  <c r="ACO119" i="1" s="1"/>
  <c r="ACQ120" i="1"/>
  <c r="ACO120" i="1" s="1"/>
  <c r="ACQ121" i="1"/>
  <c r="ACO121" i="1" s="1"/>
  <c r="ACQ122" i="1"/>
  <c r="ACO122" i="1" s="1"/>
  <c r="ACQ123" i="1"/>
  <c r="ACO123" i="1" s="1"/>
  <c r="ACQ124" i="1"/>
  <c r="ACO124" i="1" s="1"/>
  <c r="ACQ125" i="1"/>
  <c r="ACO125" i="1" s="1"/>
  <c r="ACQ126" i="1"/>
  <c r="ACO126" i="1" s="1"/>
  <c r="ACQ127" i="1"/>
  <c r="ACO127" i="1" s="1"/>
  <c r="ACQ128" i="1"/>
  <c r="ACO128" i="1" s="1"/>
  <c r="ACQ129" i="1"/>
  <c r="ACO129" i="1" s="1"/>
  <c r="ACQ130" i="1"/>
  <c r="ACO130" i="1" s="1"/>
  <c r="ACQ131" i="1"/>
  <c r="ACO131" i="1" s="1"/>
  <c r="ACQ132" i="1"/>
  <c r="ACO132" i="1" s="1"/>
  <c r="ACQ133" i="1"/>
  <c r="ACO133" i="1" s="1"/>
  <c r="ACQ134" i="1"/>
  <c r="ACO134" i="1" s="1"/>
  <c r="AEO85" i="1"/>
  <c r="AEM85" i="1" s="1"/>
  <c r="AEE85" i="1"/>
  <c r="AEC85" i="1" s="1"/>
  <c r="ADU85" i="1"/>
  <c r="ADK85" i="1"/>
  <c r="ADA85" i="1"/>
  <c r="ACQ85" i="1"/>
  <c r="AEM90" i="1"/>
  <c r="ACO37" i="1" l="1"/>
  <c r="ADA229" i="1"/>
  <c r="ADA230" i="1"/>
  <c r="ACY230" i="1" s="1"/>
  <c r="ADA231" i="1"/>
  <c r="ACY231" i="1" s="1"/>
  <c r="ADA232" i="1"/>
  <c r="ACY232" i="1" s="1"/>
  <c r="ADA233" i="1"/>
  <c r="ACY233" i="1" s="1"/>
  <c r="ADA234" i="1"/>
  <c r="ACY234" i="1" s="1"/>
  <c r="ADA235" i="1"/>
  <c r="ACY235" i="1" s="1"/>
  <c r="ADA236" i="1"/>
  <c r="ACY236" i="1" s="1"/>
  <c r="ADA237" i="1"/>
  <c r="ADA238" i="1"/>
  <c r="ACY238" i="1" s="1"/>
  <c r="ADA239" i="1"/>
  <c r="ACY239" i="1" s="1"/>
  <c r="ADA240" i="1"/>
  <c r="ACY240" i="1" s="1"/>
  <c r="ADA241" i="1"/>
  <c r="ACY241" i="1" s="1"/>
  <c r="ADA242" i="1"/>
  <c r="ACY242" i="1" s="1"/>
  <c r="ADA243" i="1"/>
  <c r="ACY243" i="1" s="1"/>
  <c r="ADA244" i="1"/>
  <c r="ACY244" i="1" s="1"/>
  <c r="ADA245" i="1"/>
  <c r="ACY245" i="1" s="1"/>
  <c r="ADA246" i="1"/>
  <c r="ACY246" i="1" s="1"/>
  <c r="ADA247" i="1"/>
  <c r="ACY247" i="1" s="1"/>
  <c r="ADA248" i="1"/>
  <c r="ACY248" i="1" s="1"/>
  <c r="ADA249" i="1"/>
  <c r="ACY249" i="1" s="1"/>
  <c r="ADA250" i="1"/>
  <c r="ACY250" i="1" s="1"/>
  <c r="ADA251" i="1"/>
  <c r="ACY251" i="1" s="1"/>
  <c r="ADA252" i="1"/>
  <c r="ACY252" i="1" s="1"/>
  <c r="ADA253" i="1"/>
  <c r="ADA254" i="1"/>
  <c r="ADA255" i="1"/>
  <c r="ACY255" i="1" s="1"/>
  <c r="ADA256" i="1"/>
  <c r="ACY256" i="1" s="1"/>
  <c r="ADA257" i="1"/>
  <c r="ACY257" i="1" s="1"/>
  <c r="ADA258" i="1"/>
  <c r="ACY258" i="1" s="1"/>
  <c r="ADA259" i="1"/>
  <c r="ACY259" i="1" s="1"/>
  <c r="ADA260" i="1"/>
  <c r="ACY260" i="1" s="1"/>
  <c r="ADA261" i="1"/>
  <c r="ADA262" i="1"/>
  <c r="ACY262" i="1" s="1"/>
  <c r="ADA263" i="1"/>
  <c r="ACY263" i="1" s="1"/>
  <c r="ADA264" i="1"/>
  <c r="ACY264" i="1" s="1"/>
  <c r="ADA265" i="1"/>
  <c r="ACY265" i="1" s="1"/>
  <c r="ADA266" i="1"/>
  <c r="ACY266" i="1" s="1"/>
  <c r="ADA267" i="1"/>
  <c r="ACY267" i="1" s="1"/>
  <c r="ADA268" i="1"/>
  <c r="ACY268" i="1" s="1"/>
  <c r="ADA269" i="1"/>
  <c r="ACY269" i="1" s="1"/>
  <c r="ADA270" i="1"/>
  <c r="ACY270" i="1" s="1"/>
  <c r="ADA271" i="1"/>
  <c r="ACY271" i="1" s="1"/>
  <c r="ADA272" i="1"/>
  <c r="ACY272" i="1" s="1"/>
  <c r="ADA273" i="1"/>
  <c r="ACY273" i="1" s="1"/>
  <c r="ADA274" i="1"/>
  <c r="ACY274" i="1" s="1"/>
  <c r="ADA275" i="1"/>
  <c r="ACY275" i="1" s="1"/>
  <c r="ADA276" i="1"/>
  <c r="ACY276" i="1" s="1"/>
  <c r="ADA277" i="1"/>
  <c r="ADK229" i="1"/>
  <c r="ADK230" i="1"/>
  <c r="ADK231" i="1"/>
  <c r="ADK232" i="1"/>
  <c r="ADK233" i="1"/>
  <c r="ADK234" i="1"/>
  <c r="ADK235" i="1"/>
  <c r="ADK236" i="1"/>
  <c r="ADK237" i="1"/>
  <c r="ADK238" i="1"/>
  <c r="ADK239" i="1"/>
  <c r="ADK240" i="1"/>
  <c r="ADK241" i="1"/>
  <c r="ADK242" i="1"/>
  <c r="ADK243" i="1"/>
  <c r="ADK244" i="1"/>
  <c r="ADK245" i="1"/>
  <c r="ADK246" i="1"/>
  <c r="ADK247" i="1"/>
  <c r="ADK248" i="1"/>
  <c r="ADK249" i="1"/>
  <c r="ADK250" i="1"/>
  <c r="ADK251" i="1"/>
  <c r="ADK252" i="1"/>
  <c r="ADK253" i="1"/>
  <c r="ADK254" i="1"/>
  <c r="ADK255" i="1"/>
  <c r="ADK256" i="1"/>
  <c r="ADK257" i="1"/>
  <c r="ADK258" i="1"/>
  <c r="ADK259" i="1"/>
  <c r="ADK260" i="1"/>
  <c r="ADK261" i="1"/>
  <c r="ADK262" i="1"/>
  <c r="ADK263" i="1"/>
  <c r="ADK264" i="1"/>
  <c r="ADK265" i="1"/>
  <c r="ADK266" i="1"/>
  <c r="ADK267" i="1"/>
  <c r="ADK268" i="1"/>
  <c r="ADK269" i="1"/>
  <c r="ADK270" i="1"/>
  <c r="ADK271" i="1"/>
  <c r="ADK272" i="1"/>
  <c r="ADK273" i="1"/>
  <c r="ADK274" i="1"/>
  <c r="ADK275" i="1"/>
  <c r="ADK276" i="1"/>
  <c r="ADK277" i="1"/>
  <c r="ADU229" i="1"/>
  <c r="ADU230" i="1"/>
  <c r="ADU231" i="1"/>
  <c r="ADU232" i="1"/>
  <c r="ADU233" i="1"/>
  <c r="ADU234" i="1"/>
  <c r="ADU235" i="1"/>
  <c r="ADU236" i="1"/>
  <c r="ADU237" i="1"/>
  <c r="ADU238" i="1"/>
  <c r="ADU239" i="1"/>
  <c r="ADU240" i="1"/>
  <c r="ADU241" i="1"/>
  <c r="ADU242" i="1"/>
  <c r="ADU243" i="1"/>
  <c r="ADU244" i="1"/>
  <c r="ADU245" i="1"/>
  <c r="ADU246" i="1"/>
  <c r="ADU247" i="1"/>
  <c r="ADU248" i="1"/>
  <c r="ADU249" i="1"/>
  <c r="ADU250" i="1"/>
  <c r="ADU251" i="1"/>
  <c r="ADU252" i="1"/>
  <c r="ADU253" i="1"/>
  <c r="ADU254" i="1"/>
  <c r="ADU255" i="1"/>
  <c r="ADU256" i="1"/>
  <c r="ADU257" i="1"/>
  <c r="ADU258" i="1"/>
  <c r="ADU259" i="1"/>
  <c r="ADU260" i="1"/>
  <c r="ADU261" i="1"/>
  <c r="ADU262" i="1"/>
  <c r="ADU263" i="1"/>
  <c r="ADU264" i="1"/>
  <c r="ADU265" i="1"/>
  <c r="ADU266" i="1"/>
  <c r="ADU267" i="1"/>
  <c r="ADU268" i="1"/>
  <c r="ADU269" i="1"/>
  <c r="ADU270" i="1"/>
  <c r="ADU271" i="1"/>
  <c r="ADU272" i="1"/>
  <c r="ADU273" i="1"/>
  <c r="ADU274" i="1"/>
  <c r="ADU275" i="1"/>
  <c r="ADU276" i="1"/>
  <c r="ADU277" i="1"/>
  <c r="AEE229" i="1"/>
  <c r="AEC229" i="1" s="1"/>
  <c r="AEE230" i="1"/>
  <c r="AEC230" i="1" s="1"/>
  <c r="AEE231" i="1"/>
  <c r="AEC231" i="1" s="1"/>
  <c r="AEE232" i="1"/>
  <c r="AEC232" i="1" s="1"/>
  <c r="AEE233" i="1"/>
  <c r="AEC233" i="1" s="1"/>
  <c r="AEE234" i="1"/>
  <c r="AEC234" i="1" s="1"/>
  <c r="AEE235" i="1"/>
  <c r="AEC235" i="1" s="1"/>
  <c r="AEE236" i="1"/>
  <c r="AEC236" i="1" s="1"/>
  <c r="AEE237" i="1"/>
  <c r="AEC237" i="1" s="1"/>
  <c r="AEE238" i="1"/>
  <c r="AEC238" i="1" s="1"/>
  <c r="AEE239" i="1"/>
  <c r="AEE240" i="1"/>
  <c r="AEC240" i="1" s="1"/>
  <c r="AEE241" i="1"/>
  <c r="AEC241" i="1" s="1"/>
  <c r="AEE242" i="1"/>
  <c r="AEC242" i="1" s="1"/>
  <c r="AEE243" i="1"/>
  <c r="AEC243" i="1" s="1"/>
  <c r="AEE244" i="1"/>
  <c r="AEC244" i="1" s="1"/>
  <c r="AEE245" i="1"/>
  <c r="AEC245" i="1" s="1"/>
  <c r="AEE246" i="1"/>
  <c r="AEC246" i="1" s="1"/>
  <c r="AEE247" i="1"/>
  <c r="AEC247" i="1" s="1"/>
  <c r="AEE248" i="1"/>
  <c r="AEC248" i="1" s="1"/>
  <c r="AEE249" i="1"/>
  <c r="AEC249" i="1" s="1"/>
  <c r="AEE250" i="1"/>
  <c r="AEC250" i="1" s="1"/>
  <c r="AEE251" i="1"/>
  <c r="AEC251" i="1" s="1"/>
  <c r="AEE252" i="1"/>
  <c r="AEC252" i="1" s="1"/>
  <c r="AEE253" i="1"/>
  <c r="AEC253" i="1" s="1"/>
  <c r="AEE254" i="1"/>
  <c r="AEC254" i="1" s="1"/>
  <c r="AEE255" i="1"/>
  <c r="AEC255" i="1" s="1"/>
  <c r="AEE256" i="1"/>
  <c r="AEC256" i="1" s="1"/>
  <c r="AEE257" i="1"/>
  <c r="AEC257" i="1" s="1"/>
  <c r="AEE258" i="1"/>
  <c r="AEC258" i="1" s="1"/>
  <c r="AEE259" i="1"/>
  <c r="AEC259" i="1" s="1"/>
  <c r="AEE260" i="1"/>
  <c r="AEC260" i="1" s="1"/>
  <c r="AEE261" i="1"/>
  <c r="AEC261" i="1" s="1"/>
  <c r="AEE262" i="1"/>
  <c r="AEC262" i="1" s="1"/>
  <c r="AEE263" i="1"/>
  <c r="AEC263" i="1" s="1"/>
  <c r="AEE264" i="1"/>
  <c r="AEC264" i="1" s="1"/>
  <c r="AEE265" i="1"/>
  <c r="AEC265" i="1" s="1"/>
  <c r="AEE266" i="1"/>
  <c r="AEC266" i="1" s="1"/>
  <c r="AEE267" i="1"/>
  <c r="AEC267" i="1" s="1"/>
  <c r="AEE268" i="1"/>
  <c r="AEC268" i="1" s="1"/>
  <c r="AEE269" i="1"/>
  <c r="AEC269" i="1" s="1"/>
  <c r="AEE270" i="1"/>
  <c r="AEC270" i="1" s="1"/>
  <c r="AEE271" i="1"/>
  <c r="AEC271" i="1" s="1"/>
  <c r="AEE272" i="1"/>
  <c r="AEC272" i="1" s="1"/>
  <c r="AEE273" i="1"/>
  <c r="AEC273" i="1" s="1"/>
  <c r="AEE274" i="1"/>
  <c r="AEC274" i="1" s="1"/>
  <c r="AEE275" i="1"/>
  <c r="AEC275" i="1" s="1"/>
  <c r="AEE276" i="1"/>
  <c r="AEC276" i="1" s="1"/>
  <c r="AEE277" i="1"/>
  <c r="AEC277" i="1" s="1"/>
  <c r="AEO229" i="1"/>
  <c r="AEM229" i="1" s="1"/>
  <c r="AEO230" i="1"/>
  <c r="AEM230" i="1" s="1"/>
  <c r="AEO231" i="1"/>
  <c r="AEM231" i="1" s="1"/>
  <c r="AEO232" i="1"/>
  <c r="AEM232" i="1" s="1"/>
  <c r="AEO233" i="1"/>
  <c r="AEM233" i="1" s="1"/>
  <c r="AEO234" i="1"/>
  <c r="AEM234" i="1" s="1"/>
  <c r="AEO235" i="1"/>
  <c r="AEM235" i="1" s="1"/>
  <c r="AEO236" i="1"/>
  <c r="AEM236" i="1" s="1"/>
  <c r="AEO237" i="1"/>
  <c r="AEM237" i="1" s="1"/>
  <c r="AEO238" i="1"/>
  <c r="AEM238" i="1" s="1"/>
  <c r="AEO239" i="1"/>
  <c r="AEM239" i="1" s="1"/>
  <c r="AEO240" i="1"/>
  <c r="AEM240" i="1" s="1"/>
  <c r="AEO241" i="1"/>
  <c r="AEM241" i="1" s="1"/>
  <c r="AEO242" i="1"/>
  <c r="AEM242" i="1" s="1"/>
  <c r="AEO243" i="1"/>
  <c r="AEM243" i="1" s="1"/>
  <c r="AEO244" i="1"/>
  <c r="AEM244" i="1" s="1"/>
  <c r="AEO245" i="1"/>
  <c r="AEM245" i="1" s="1"/>
  <c r="AEO246" i="1"/>
  <c r="AEM246" i="1" s="1"/>
  <c r="AEO247" i="1"/>
  <c r="AEM247" i="1" s="1"/>
  <c r="AEO248" i="1"/>
  <c r="AEM248" i="1" s="1"/>
  <c r="AEO249" i="1"/>
  <c r="AEO250" i="1"/>
  <c r="AEM250" i="1" s="1"/>
  <c r="AEO251" i="1"/>
  <c r="AEM251" i="1" s="1"/>
  <c r="AEO252" i="1"/>
  <c r="AEM252" i="1" s="1"/>
  <c r="AEO253" i="1"/>
  <c r="AEM253" i="1" s="1"/>
  <c r="AEO254" i="1"/>
  <c r="AEM254" i="1" s="1"/>
  <c r="AEO255" i="1"/>
  <c r="AEM255" i="1" s="1"/>
  <c r="AEO256" i="1"/>
  <c r="AEM256" i="1" s="1"/>
  <c r="AEO257" i="1"/>
  <c r="AEM257" i="1" s="1"/>
  <c r="AEO258" i="1"/>
  <c r="AEM258" i="1" s="1"/>
  <c r="AEO259" i="1"/>
  <c r="AEM259" i="1" s="1"/>
  <c r="AEO260" i="1"/>
  <c r="AEM260" i="1" s="1"/>
  <c r="AEO261" i="1"/>
  <c r="AEM261" i="1" s="1"/>
  <c r="AEO262" i="1"/>
  <c r="AEM262" i="1" s="1"/>
  <c r="AEO263" i="1"/>
  <c r="AEM263" i="1" s="1"/>
  <c r="AEO264" i="1"/>
  <c r="AEM264" i="1" s="1"/>
  <c r="AEO265" i="1"/>
  <c r="AEO266" i="1"/>
  <c r="AEM266" i="1" s="1"/>
  <c r="AEO267" i="1"/>
  <c r="AEM267" i="1" s="1"/>
  <c r="AEO268" i="1"/>
  <c r="AEM268" i="1" s="1"/>
  <c r="AEO269" i="1"/>
  <c r="AEM269" i="1" s="1"/>
  <c r="AEO270" i="1"/>
  <c r="AEM270" i="1" s="1"/>
  <c r="AEO271" i="1"/>
  <c r="AEM271" i="1" s="1"/>
  <c r="AEO272" i="1"/>
  <c r="AEM272" i="1" s="1"/>
  <c r="AEO273" i="1"/>
  <c r="AEM273" i="1" s="1"/>
  <c r="AEO274" i="1"/>
  <c r="AEM274" i="1" s="1"/>
  <c r="AEO275" i="1"/>
  <c r="AEM275" i="1" s="1"/>
  <c r="AEO276" i="1"/>
  <c r="AEM276" i="1" s="1"/>
  <c r="AEO277" i="1"/>
  <c r="AEM277" i="1" s="1"/>
  <c r="AEY229" i="1"/>
  <c r="AEW229" i="1" s="1"/>
  <c r="AEY230" i="1"/>
  <c r="AEW230" i="1" s="1"/>
  <c r="AEY231" i="1"/>
  <c r="AEW231" i="1" s="1"/>
  <c r="AEY232" i="1"/>
  <c r="AEW232" i="1" s="1"/>
  <c r="AEY233" i="1"/>
  <c r="AEW233" i="1" s="1"/>
  <c r="AEY234" i="1"/>
  <c r="AEW234" i="1" s="1"/>
  <c r="AEY235" i="1"/>
  <c r="AEW235" i="1" s="1"/>
  <c r="AEY236" i="1"/>
  <c r="AEW236" i="1" s="1"/>
  <c r="AEY237" i="1"/>
  <c r="AEW237" i="1" s="1"/>
  <c r="AEY238" i="1"/>
  <c r="AEW238" i="1" s="1"/>
  <c r="AEY239" i="1"/>
  <c r="AEW239" i="1" s="1"/>
  <c r="AEY240" i="1"/>
  <c r="AEW240" i="1" s="1"/>
  <c r="AEY241" i="1"/>
  <c r="AEW241" i="1" s="1"/>
  <c r="AEY242" i="1"/>
  <c r="AEW242" i="1" s="1"/>
  <c r="AEY243" i="1"/>
  <c r="AEW243" i="1" s="1"/>
  <c r="AEY244" i="1"/>
  <c r="AEW244" i="1" s="1"/>
  <c r="AEY245" i="1"/>
  <c r="AEW245" i="1" s="1"/>
  <c r="AEY246" i="1"/>
  <c r="AEW246" i="1" s="1"/>
  <c r="AEY247" i="1"/>
  <c r="AEW247" i="1" s="1"/>
  <c r="AEY248" i="1"/>
  <c r="AEW248" i="1" s="1"/>
  <c r="AEY249" i="1"/>
  <c r="AEW249" i="1" s="1"/>
  <c r="AEY250" i="1"/>
  <c r="AEW250" i="1" s="1"/>
  <c r="AEY251" i="1"/>
  <c r="AEW251" i="1" s="1"/>
  <c r="AEY252" i="1"/>
  <c r="AEW252" i="1" s="1"/>
  <c r="AEY253" i="1"/>
  <c r="AEW253" i="1" s="1"/>
  <c r="AEY254" i="1"/>
  <c r="AEW254" i="1" s="1"/>
  <c r="AEY255" i="1"/>
  <c r="AEW255" i="1" s="1"/>
  <c r="AEY256" i="1"/>
  <c r="AEW256" i="1" s="1"/>
  <c r="AEY257" i="1"/>
  <c r="AEW257" i="1" s="1"/>
  <c r="AEY258" i="1"/>
  <c r="AEW258" i="1" s="1"/>
  <c r="AEY259" i="1"/>
  <c r="AEW259" i="1" s="1"/>
  <c r="AEY260" i="1"/>
  <c r="AEW260" i="1" s="1"/>
  <c r="AEY261" i="1"/>
  <c r="AEW261" i="1" s="1"/>
  <c r="AEY262" i="1"/>
  <c r="AEW262" i="1" s="1"/>
  <c r="AEY263" i="1"/>
  <c r="AEW263" i="1" s="1"/>
  <c r="AEY264" i="1"/>
  <c r="AEW264" i="1" s="1"/>
  <c r="AEY265" i="1"/>
  <c r="AEW265" i="1" s="1"/>
  <c r="AEY266" i="1"/>
  <c r="AEW266" i="1" s="1"/>
  <c r="AEY267" i="1"/>
  <c r="AEW267" i="1" s="1"/>
  <c r="AEY268" i="1"/>
  <c r="AEW268" i="1" s="1"/>
  <c r="AEY269" i="1"/>
  <c r="AEW269" i="1" s="1"/>
  <c r="AEY270" i="1"/>
  <c r="AEW270" i="1" s="1"/>
  <c r="AEY271" i="1"/>
  <c r="AEW271" i="1" s="1"/>
  <c r="AEY272" i="1"/>
  <c r="AEW272" i="1" s="1"/>
  <c r="AEY273" i="1"/>
  <c r="AEW273" i="1" s="1"/>
  <c r="AEY274" i="1"/>
  <c r="AEW274" i="1" s="1"/>
  <c r="AEY275" i="1"/>
  <c r="AEW275" i="1" s="1"/>
  <c r="AEY276" i="1"/>
  <c r="AEW276" i="1" s="1"/>
  <c r="AEY277" i="1"/>
  <c r="AEW277" i="1" s="1"/>
  <c r="AFI229" i="1"/>
  <c r="AFG229" i="1" s="1"/>
  <c r="AFI230" i="1"/>
  <c r="AFG230" i="1" s="1"/>
  <c r="AFI231" i="1"/>
  <c r="AFI232" i="1"/>
  <c r="AFI233" i="1"/>
  <c r="AFI234" i="1"/>
  <c r="AFI235" i="1"/>
  <c r="AFG235" i="1" s="1"/>
  <c r="AFI236" i="1"/>
  <c r="AFG236" i="1" s="1"/>
  <c r="AFI237" i="1"/>
  <c r="AFG237" i="1" s="1"/>
  <c r="AFI238" i="1"/>
  <c r="AFG238" i="1" s="1"/>
  <c r="AFI239" i="1"/>
  <c r="AFI240" i="1"/>
  <c r="AFI241" i="1"/>
  <c r="AFG241" i="1" s="1"/>
  <c r="AFI242" i="1"/>
  <c r="AFG242" i="1" s="1"/>
  <c r="AFI243" i="1"/>
  <c r="AFG243" i="1" s="1"/>
  <c r="AFI244" i="1"/>
  <c r="AFG244" i="1" s="1"/>
  <c r="AFI245" i="1"/>
  <c r="AFG245" i="1" s="1"/>
  <c r="AFI246" i="1"/>
  <c r="AFG246" i="1" s="1"/>
  <c r="AFI247" i="1"/>
  <c r="AFI248" i="1"/>
  <c r="AFG248" i="1" s="1"/>
  <c r="AFI249" i="1"/>
  <c r="AFG249" i="1" s="1"/>
  <c r="AFI250" i="1"/>
  <c r="AFG250" i="1" s="1"/>
  <c r="AFI251" i="1"/>
  <c r="AFG251" i="1" s="1"/>
  <c r="AFI252" i="1"/>
  <c r="AFG252" i="1" s="1"/>
  <c r="AFI253" i="1"/>
  <c r="AFG253" i="1" s="1"/>
  <c r="AFI254" i="1"/>
  <c r="AFG254" i="1" s="1"/>
  <c r="AFI255" i="1"/>
  <c r="AFG255" i="1" s="1"/>
  <c r="AFI256" i="1"/>
  <c r="AFG256" i="1" s="1"/>
  <c r="AFI257" i="1"/>
  <c r="AFG257" i="1" s="1"/>
  <c r="AFI258" i="1"/>
  <c r="AFG258" i="1" s="1"/>
  <c r="AFI259" i="1"/>
  <c r="AFG259" i="1" s="1"/>
  <c r="AFI260" i="1"/>
  <c r="AFG260" i="1" s="1"/>
  <c r="AFI261" i="1"/>
  <c r="AFG261" i="1" s="1"/>
  <c r="AFI262" i="1"/>
  <c r="AFG262" i="1" s="1"/>
  <c r="AFI263" i="1"/>
  <c r="AFG263" i="1" s="1"/>
  <c r="AFI264" i="1"/>
  <c r="AFG264" i="1" s="1"/>
  <c r="AFI265" i="1"/>
  <c r="AFG265" i="1" s="1"/>
  <c r="AFI266" i="1"/>
  <c r="AFG266" i="1" s="1"/>
  <c r="AFI267" i="1"/>
  <c r="AFG267" i="1" s="1"/>
  <c r="AFI268" i="1"/>
  <c r="AFG268" i="1" s="1"/>
  <c r="AFI269" i="1"/>
  <c r="AFG269" i="1" s="1"/>
  <c r="AFI270" i="1"/>
  <c r="AFG270" i="1" s="1"/>
  <c r="AFI271" i="1"/>
  <c r="AFG271" i="1" s="1"/>
  <c r="AFI272" i="1"/>
  <c r="AFG272" i="1" s="1"/>
  <c r="AFI273" i="1"/>
  <c r="AFG273" i="1" s="1"/>
  <c r="AFI274" i="1"/>
  <c r="AFG274" i="1" s="1"/>
  <c r="AFI275" i="1"/>
  <c r="AFG275" i="1" s="1"/>
  <c r="AFI276" i="1"/>
  <c r="AFG276" i="1" s="1"/>
  <c r="AFI277" i="1"/>
  <c r="AFG277" i="1" s="1"/>
  <c r="AFI228" i="1"/>
  <c r="AEY228" i="1"/>
  <c r="AEW228" i="1" s="1"/>
  <c r="AEO228" i="1"/>
  <c r="AEM228" i="1" s="1"/>
  <c r="AEE228" i="1"/>
  <c r="ADU228" i="1"/>
  <c r="ADK228" i="1"/>
  <c r="ADA228" i="1"/>
  <c r="ACQ229" i="1"/>
  <c r="ACO229" i="1" s="1"/>
  <c r="ACQ230" i="1"/>
  <c r="ACO230" i="1" s="1"/>
  <c r="ACQ231" i="1"/>
  <c r="ACO231" i="1" s="1"/>
  <c r="ACQ232" i="1"/>
  <c r="ACO232" i="1" s="1"/>
  <c r="ACQ233" i="1"/>
  <c r="ACO233" i="1" s="1"/>
  <c r="ACQ234" i="1"/>
  <c r="ACO234" i="1" s="1"/>
  <c r="ACQ235" i="1"/>
  <c r="ACO235" i="1" s="1"/>
  <c r="ACQ236" i="1"/>
  <c r="ACO236" i="1" s="1"/>
  <c r="ACQ237" i="1"/>
  <c r="ACO237" i="1" s="1"/>
  <c r="ACQ238" i="1"/>
  <c r="ACO238" i="1" s="1"/>
  <c r="ACQ239" i="1"/>
  <c r="ACO239" i="1" s="1"/>
  <c r="ACQ240" i="1"/>
  <c r="ACO240" i="1" s="1"/>
  <c r="ACQ241" i="1"/>
  <c r="ACO241" i="1" s="1"/>
  <c r="ACQ242" i="1"/>
  <c r="ACO242" i="1" s="1"/>
  <c r="ACQ243" i="1"/>
  <c r="ACO243" i="1" s="1"/>
  <c r="ACQ244" i="1"/>
  <c r="ACO244" i="1" s="1"/>
  <c r="ACQ245" i="1"/>
  <c r="ACO245" i="1" s="1"/>
  <c r="ACQ246" i="1"/>
  <c r="ACO246" i="1" s="1"/>
  <c r="ACQ247" i="1"/>
  <c r="ACO247" i="1" s="1"/>
  <c r="ACQ248" i="1"/>
  <c r="ACO248" i="1" s="1"/>
  <c r="ACQ249" i="1"/>
  <c r="ACO249" i="1" s="1"/>
  <c r="ACQ250" i="1"/>
  <c r="ACO250" i="1" s="1"/>
  <c r="ACQ251" i="1"/>
  <c r="ACO251" i="1" s="1"/>
  <c r="ACQ252" i="1"/>
  <c r="ACO252" i="1" s="1"/>
  <c r="ACQ253" i="1"/>
  <c r="ACO253" i="1" s="1"/>
  <c r="ACQ254" i="1"/>
  <c r="ACO254" i="1" s="1"/>
  <c r="ACQ255" i="1"/>
  <c r="ACO255" i="1" s="1"/>
  <c r="ACQ256" i="1"/>
  <c r="ACO256" i="1" s="1"/>
  <c r="ACQ257" i="1"/>
  <c r="ACO257" i="1" s="1"/>
  <c r="ACQ258" i="1"/>
  <c r="ACO258" i="1" s="1"/>
  <c r="ACQ259" i="1"/>
  <c r="ACQ260" i="1"/>
  <c r="ACQ261" i="1"/>
  <c r="ACQ262" i="1"/>
  <c r="ACQ263" i="1"/>
  <c r="ACQ264" i="1"/>
  <c r="ACQ265" i="1"/>
  <c r="ACQ266" i="1"/>
  <c r="ACQ267" i="1"/>
  <c r="ACQ268" i="1"/>
  <c r="ACQ269" i="1"/>
  <c r="ACQ270" i="1"/>
  <c r="ACQ271" i="1"/>
  <c r="ACQ272" i="1"/>
  <c r="ACQ273" i="1"/>
  <c r="ACQ274" i="1"/>
  <c r="ACQ275" i="1"/>
  <c r="ACQ276" i="1"/>
  <c r="ACQ277" i="1"/>
  <c r="ACQ228" i="1"/>
  <c r="AFG231" i="1"/>
  <c r="AFG232" i="1"/>
  <c r="AFG233" i="1"/>
  <c r="AFG234" i="1"/>
  <c r="AFG239" i="1"/>
  <c r="AFG240" i="1"/>
  <c r="AFG247" i="1"/>
  <c r="AEM249" i="1"/>
  <c r="AEM265" i="1"/>
  <c r="ACY229" i="1"/>
  <c r="ACY237" i="1"/>
  <c r="ACY253" i="1"/>
  <c r="ACY254" i="1"/>
  <c r="ACY261" i="1"/>
  <c r="ACY277" i="1"/>
  <c r="AFC137" i="1"/>
  <c r="AFE137" i="1" s="1"/>
  <c r="AFC138" i="1"/>
  <c r="AFE138" i="1" s="1"/>
  <c r="AFC139" i="1"/>
  <c r="AFE139" i="1" s="1"/>
  <c r="AFC140" i="1"/>
  <c r="AFE140" i="1" s="1"/>
  <c r="AFC141" i="1"/>
  <c r="AFE141" i="1" s="1"/>
  <c r="AFC142" i="1"/>
  <c r="AFE142" i="1" s="1"/>
  <c r="AFC143" i="1"/>
  <c r="AFE143" i="1" s="1"/>
  <c r="ADU226" i="1" l="1"/>
  <c r="AEO226" i="1"/>
  <c r="ACY228" i="1"/>
  <c r="ADA226" i="1"/>
  <c r="ADK226" i="1"/>
  <c r="AEY226" i="1"/>
  <c r="ACO228" i="1"/>
  <c r="ACQ226" i="1"/>
  <c r="AFG228" i="1"/>
  <c r="AFI226" i="1"/>
  <c r="AEC239" i="1"/>
  <c r="AEE226" i="1"/>
  <c r="ACY14" i="1"/>
  <c r="ACY17" i="1"/>
  <c r="ACY18" i="1"/>
  <c r="ACY19" i="1"/>
  <c r="ACY20" i="1"/>
  <c r="ACY21" i="1"/>
  <c r="ACY22" i="1"/>
  <c r="ACY23" i="1"/>
  <c r="ACY24" i="1"/>
  <c r="ACY25" i="1"/>
  <c r="ACY26" i="1"/>
  <c r="ACY27" i="1"/>
  <c r="ACY28" i="1"/>
  <c r="ACY29" i="1"/>
  <c r="ACY30" i="1"/>
  <c r="ACY31" i="1"/>
  <c r="ACY32" i="1"/>
  <c r="ACY33" i="1"/>
  <c r="ACY34" i="1"/>
  <c r="ACY35" i="1"/>
  <c r="ACY36" i="1"/>
  <c r="ACY37" i="1"/>
  <c r="ACY38" i="1"/>
  <c r="ACY39" i="1"/>
  <c r="ACY40" i="1"/>
  <c r="ACY41" i="1"/>
  <c r="ACY42" i="1"/>
  <c r="ACY43" i="1"/>
  <c r="ACY44" i="1"/>
  <c r="ACY45" i="1"/>
  <c r="ACY46" i="1"/>
  <c r="ACY47" i="1"/>
  <c r="ACY48" i="1"/>
  <c r="ACY49" i="1"/>
  <c r="ACY50" i="1"/>
  <c r="ACY51" i="1"/>
  <c r="ACY52" i="1"/>
  <c r="ACY53" i="1"/>
  <c r="ACY54" i="1"/>
  <c r="ACY55" i="1"/>
  <c r="ACY56" i="1"/>
  <c r="ACY57" i="1"/>
  <c r="ACY58" i="1"/>
  <c r="ACY59" i="1"/>
  <c r="ACY60" i="1"/>
  <c r="ACY61" i="1"/>
  <c r="ACY62" i="1"/>
  <c r="AGC155" i="1"/>
  <c r="AGA155" i="1" s="1"/>
  <c r="AGC156" i="1"/>
  <c r="AGA156" i="1" s="1"/>
  <c r="AGC157" i="1"/>
  <c r="AGA157" i="1" s="1"/>
  <c r="AGC158" i="1"/>
  <c r="AGA158" i="1" s="1"/>
  <c r="AGC159" i="1"/>
  <c r="AGA159" i="1" s="1"/>
  <c r="AGC160" i="1"/>
  <c r="AGA160" i="1" s="1"/>
  <c r="AGC161" i="1"/>
  <c r="AGA161" i="1" s="1"/>
  <c r="AGC162" i="1"/>
  <c r="AGA162" i="1" s="1"/>
  <c r="AGC163" i="1"/>
  <c r="AGA163" i="1" s="1"/>
  <c r="AGC164" i="1"/>
  <c r="AGA164" i="1" s="1"/>
  <c r="AGC165" i="1"/>
  <c r="AGA165" i="1" s="1"/>
  <c r="AGC166" i="1"/>
  <c r="AGA166" i="1" s="1"/>
  <c r="AGC167" i="1"/>
  <c r="AGA167" i="1" s="1"/>
  <c r="AGC168" i="1"/>
  <c r="AGA168" i="1" s="1"/>
  <c r="AGC169" i="1"/>
  <c r="AGA169" i="1" s="1"/>
  <c r="AGC170" i="1"/>
  <c r="AGA170" i="1" s="1"/>
  <c r="AGC171" i="1"/>
  <c r="AGA171" i="1" s="1"/>
  <c r="AGC172" i="1"/>
  <c r="AGA172" i="1" s="1"/>
  <c r="AGC173" i="1"/>
  <c r="AGA173" i="1" s="1"/>
  <c r="AGC174" i="1"/>
  <c r="AGA174" i="1" s="1"/>
  <c r="AGC175" i="1"/>
  <c r="AGA175" i="1" s="1"/>
  <c r="AGC176" i="1"/>
  <c r="AGA176" i="1" s="1"/>
  <c r="AGC177" i="1"/>
  <c r="AGA177" i="1" s="1"/>
  <c r="AGC178" i="1"/>
  <c r="AGA178" i="1" s="1"/>
  <c r="AGC179" i="1"/>
  <c r="AGA179" i="1" s="1"/>
  <c r="AGC180" i="1"/>
  <c r="AGA180" i="1" s="1"/>
  <c r="AGC181" i="1"/>
  <c r="AGA181" i="1" s="1"/>
  <c r="AGC182" i="1"/>
  <c r="AGA182" i="1" s="1"/>
  <c r="AGC183" i="1"/>
  <c r="AGA183" i="1" s="1"/>
  <c r="AGC184" i="1"/>
  <c r="AGA184" i="1" s="1"/>
  <c r="AGC185" i="1"/>
  <c r="AGA185" i="1" s="1"/>
  <c r="AGC186" i="1"/>
  <c r="AGA186" i="1" s="1"/>
  <c r="AGC187" i="1"/>
  <c r="AGA187" i="1" s="1"/>
  <c r="AGC188" i="1"/>
  <c r="AGA188" i="1" s="1"/>
  <c r="AGC189" i="1"/>
  <c r="AGA189" i="1" s="1"/>
  <c r="AGC190" i="1"/>
  <c r="AGA190" i="1" s="1"/>
  <c r="AGC191" i="1"/>
  <c r="AGA191" i="1" s="1"/>
  <c r="AGC192" i="1"/>
  <c r="AGA192" i="1" s="1"/>
  <c r="AGC193" i="1"/>
  <c r="AGA193" i="1" s="1"/>
  <c r="AGC194" i="1"/>
  <c r="AGA194" i="1" s="1"/>
  <c r="AGC195" i="1"/>
  <c r="AGA195" i="1" s="1"/>
  <c r="AGC196" i="1"/>
  <c r="AGA196" i="1" s="1"/>
  <c r="AGC197" i="1"/>
  <c r="AGA197" i="1" s="1"/>
  <c r="AGC198" i="1"/>
  <c r="AGA198" i="1" s="1"/>
  <c r="AGC199" i="1"/>
  <c r="AGA199" i="1" s="1"/>
  <c r="AGC200" i="1"/>
  <c r="AGA200" i="1" s="1"/>
  <c r="AGC201" i="1"/>
  <c r="AGA201" i="1" s="1"/>
  <c r="AGC202" i="1"/>
  <c r="AGA202" i="1" s="1"/>
  <c r="AGC203" i="1"/>
  <c r="AGA203" i="1" s="1"/>
  <c r="AFS155" i="1"/>
  <c r="AFQ155" i="1" s="1"/>
  <c r="AFS156" i="1"/>
  <c r="AFQ156" i="1" s="1"/>
  <c r="AFS157" i="1"/>
  <c r="AFQ157" i="1" s="1"/>
  <c r="AFS158" i="1"/>
  <c r="AFQ158" i="1" s="1"/>
  <c r="AFS159" i="1"/>
  <c r="AFQ159" i="1" s="1"/>
  <c r="AFS160" i="1"/>
  <c r="AFQ160" i="1" s="1"/>
  <c r="AFS161" i="1"/>
  <c r="AFQ161" i="1" s="1"/>
  <c r="AFS162" i="1"/>
  <c r="AFQ162" i="1" s="1"/>
  <c r="AFS163" i="1"/>
  <c r="AFQ163" i="1" s="1"/>
  <c r="AFS164" i="1"/>
  <c r="AFQ164" i="1" s="1"/>
  <c r="AFS165" i="1"/>
  <c r="AFQ165" i="1" s="1"/>
  <c r="AFS166" i="1"/>
  <c r="AFQ166" i="1" s="1"/>
  <c r="AFS167" i="1"/>
  <c r="AFQ167" i="1" s="1"/>
  <c r="AFS168" i="1"/>
  <c r="AFQ168" i="1" s="1"/>
  <c r="AFS169" i="1"/>
  <c r="AFQ169" i="1" s="1"/>
  <c r="AFS170" i="1"/>
  <c r="AFQ170" i="1" s="1"/>
  <c r="AFS171" i="1"/>
  <c r="AFQ171" i="1" s="1"/>
  <c r="AFS172" i="1"/>
  <c r="AFQ172" i="1" s="1"/>
  <c r="AFS173" i="1"/>
  <c r="AFQ173" i="1" s="1"/>
  <c r="AFS174" i="1"/>
  <c r="AFQ174" i="1" s="1"/>
  <c r="AFS175" i="1"/>
  <c r="AFQ175" i="1" s="1"/>
  <c r="AFS176" i="1"/>
  <c r="AFQ176" i="1" s="1"/>
  <c r="AFS177" i="1"/>
  <c r="AFQ177" i="1" s="1"/>
  <c r="AFS178" i="1"/>
  <c r="AFQ178" i="1" s="1"/>
  <c r="AFS179" i="1"/>
  <c r="AFQ179" i="1" s="1"/>
  <c r="AFS180" i="1"/>
  <c r="AFQ180" i="1" s="1"/>
  <c r="AFS181" i="1"/>
  <c r="AFQ181" i="1" s="1"/>
  <c r="AFS182" i="1"/>
  <c r="AFQ182" i="1" s="1"/>
  <c r="AFS183" i="1"/>
  <c r="AFQ183" i="1" s="1"/>
  <c r="AFS184" i="1"/>
  <c r="AFQ184" i="1" s="1"/>
  <c r="AFS185" i="1"/>
  <c r="AFQ185" i="1" s="1"/>
  <c r="AFS186" i="1"/>
  <c r="AFQ186" i="1" s="1"/>
  <c r="AFS187" i="1"/>
  <c r="AFQ187" i="1" s="1"/>
  <c r="AFS188" i="1"/>
  <c r="AFQ188" i="1" s="1"/>
  <c r="AFS189" i="1"/>
  <c r="AFQ189" i="1" s="1"/>
  <c r="AFS190" i="1"/>
  <c r="AFQ190" i="1" s="1"/>
  <c r="AFS191" i="1"/>
  <c r="AFQ191" i="1" s="1"/>
  <c r="AFS192" i="1"/>
  <c r="AFQ192" i="1" s="1"/>
  <c r="AFS193" i="1"/>
  <c r="AFQ193" i="1" s="1"/>
  <c r="AFS194" i="1"/>
  <c r="AFQ194" i="1" s="1"/>
  <c r="AFS195" i="1"/>
  <c r="AFQ195" i="1" s="1"/>
  <c r="AFS196" i="1"/>
  <c r="AFQ196" i="1" s="1"/>
  <c r="AFS197" i="1"/>
  <c r="AFQ197" i="1" s="1"/>
  <c r="AFS198" i="1"/>
  <c r="AFQ198" i="1" s="1"/>
  <c r="AFS199" i="1"/>
  <c r="AFQ199" i="1" s="1"/>
  <c r="AFS200" i="1"/>
  <c r="AFQ200" i="1" s="1"/>
  <c r="AFS201" i="1"/>
  <c r="AFQ201" i="1" s="1"/>
  <c r="AFS202" i="1"/>
  <c r="AFQ202" i="1" s="1"/>
  <c r="AFS203" i="1"/>
  <c r="AFQ203" i="1" s="1"/>
  <c r="AFI155" i="1"/>
  <c r="AFG155" i="1" s="1"/>
  <c r="AFI156" i="1"/>
  <c r="AFG156" i="1" s="1"/>
  <c r="AFI157" i="1"/>
  <c r="AFG157" i="1" s="1"/>
  <c r="AFI158" i="1"/>
  <c r="AFG158" i="1" s="1"/>
  <c r="AFI159" i="1"/>
  <c r="AFG159" i="1" s="1"/>
  <c r="AFI160" i="1"/>
  <c r="AFG160" i="1" s="1"/>
  <c r="AFI161" i="1"/>
  <c r="AFG161" i="1" s="1"/>
  <c r="AFI162" i="1"/>
  <c r="AFG162" i="1" s="1"/>
  <c r="AFI163" i="1"/>
  <c r="AFG163" i="1" s="1"/>
  <c r="AFI164" i="1"/>
  <c r="AFG164" i="1" s="1"/>
  <c r="AFI165" i="1"/>
  <c r="AFG165" i="1" s="1"/>
  <c r="AFI166" i="1"/>
  <c r="AFG166" i="1" s="1"/>
  <c r="AFI167" i="1"/>
  <c r="AFG167" i="1" s="1"/>
  <c r="AFI168" i="1"/>
  <c r="AFG168" i="1" s="1"/>
  <c r="AFI169" i="1"/>
  <c r="AFG169" i="1" s="1"/>
  <c r="AFI170" i="1"/>
  <c r="AFG170" i="1" s="1"/>
  <c r="AFI171" i="1"/>
  <c r="AFG171" i="1" s="1"/>
  <c r="AFI172" i="1"/>
  <c r="AFG172" i="1" s="1"/>
  <c r="AFI173" i="1"/>
  <c r="AFG173" i="1" s="1"/>
  <c r="AFI174" i="1"/>
  <c r="AFG174" i="1" s="1"/>
  <c r="AFI175" i="1"/>
  <c r="AFG175" i="1" s="1"/>
  <c r="AFI176" i="1"/>
  <c r="AFG176" i="1" s="1"/>
  <c r="AFI177" i="1"/>
  <c r="AFG177" i="1" s="1"/>
  <c r="AFI178" i="1"/>
  <c r="AFG178" i="1" s="1"/>
  <c r="AFI179" i="1"/>
  <c r="AFG179" i="1" s="1"/>
  <c r="AFI180" i="1"/>
  <c r="AFG180" i="1" s="1"/>
  <c r="AFI181" i="1"/>
  <c r="AFG181" i="1" s="1"/>
  <c r="AFI182" i="1"/>
  <c r="AFG182" i="1" s="1"/>
  <c r="AFI183" i="1"/>
  <c r="AFG183" i="1" s="1"/>
  <c r="AFI184" i="1"/>
  <c r="AFG184" i="1" s="1"/>
  <c r="AFI185" i="1"/>
  <c r="AFG185" i="1" s="1"/>
  <c r="AFI186" i="1"/>
  <c r="AFG186" i="1" s="1"/>
  <c r="AFI187" i="1"/>
  <c r="AFG187" i="1" s="1"/>
  <c r="AFI188" i="1"/>
  <c r="AFG188" i="1" s="1"/>
  <c r="AFI189" i="1"/>
  <c r="AFG189" i="1" s="1"/>
  <c r="AFI190" i="1"/>
  <c r="AFG190" i="1" s="1"/>
  <c r="AFI191" i="1"/>
  <c r="AFG191" i="1" s="1"/>
  <c r="AFI192" i="1"/>
  <c r="AFG192" i="1" s="1"/>
  <c r="AFI193" i="1"/>
  <c r="AFG193" i="1" s="1"/>
  <c r="AFI194" i="1"/>
  <c r="AFG194" i="1" s="1"/>
  <c r="AFI195" i="1"/>
  <c r="AFG195" i="1" s="1"/>
  <c r="AFI196" i="1"/>
  <c r="AFG196" i="1" s="1"/>
  <c r="AFI197" i="1"/>
  <c r="AFG197" i="1" s="1"/>
  <c r="AFI198" i="1"/>
  <c r="AFG198" i="1" s="1"/>
  <c r="AFI199" i="1"/>
  <c r="AFG199" i="1" s="1"/>
  <c r="AFI200" i="1"/>
  <c r="AFG200" i="1" s="1"/>
  <c r="AFI201" i="1"/>
  <c r="AFG201" i="1" s="1"/>
  <c r="AFI202" i="1"/>
  <c r="AFG202" i="1" s="1"/>
  <c r="AFI203" i="1"/>
  <c r="AFG203" i="1" s="1"/>
  <c r="AGC154" i="1"/>
  <c r="AGA154" i="1" s="1"/>
  <c r="AEY155" i="1"/>
  <c r="AEW155" i="1" s="1"/>
  <c r="AEY156" i="1"/>
  <c r="AEW156" i="1" s="1"/>
  <c r="AEY157" i="1"/>
  <c r="AEW157" i="1" s="1"/>
  <c r="AEY158" i="1"/>
  <c r="AEW158" i="1" s="1"/>
  <c r="AEY159" i="1"/>
  <c r="AEW159" i="1" s="1"/>
  <c r="AEY160" i="1"/>
  <c r="AEW160" i="1" s="1"/>
  <c r="AEY161" i="1"/>
  <c r="AEW161" i="1" s="1"/>
  <c r="AEY162" i="1"/>
  <c r="AEW162" i="1" s="1"/>
  <c r="AEY163" i="1"/>
  <c r="AEW163" i="1" s="1"/>
  <c r="AEY164" i="1"/>
  <c r="AEW164" i="1" s="1"/>
  <c r="AEY165" i="1"/>
  <c r="AEW165" i="1" s="1"/>
  <c r="AEY166" i="1"/>
  <c r="AEW166" i="1" s="1"/>
  <c r="AEY167" i="1"/>
  <c r="AEW167" i="1" s="1"/>
  <c r="AEY168" i="1"/>
  <c r="AEW168" i="1" s="1"/>
  <c r="AEY169" i="1"/>
  <c r="AEW169" i="1" s="1"/>
  <c r="AEY170" i="1"/>
  <c r="AEW170" i="1" s="1"/>
  <c r="AEY171" i="1"/>
  <c r="AEW171" i="1" s="1"/>
  <c r="AEY172" i="1"/>
  <c r="AEW172" i="1" s="1"/>
  <c r="AEY173" i="1"/>
  <c r="AEW173" i="1" s="1"/>
  <c r="AEY174" i="1"/>
  <c r="AEW174" i="1" s="1"/>
  <c r="AEY175" i="1"/>
  <c r="AEW175" i="1" s="1"/>
  <c r="AEY176" i="1"/>
  <c r="AEW176" i="1" s="1"/>
  <c r="AEY177" i="1"/>
  <c r="AEW177" i="1" s="1"/>
  <c r="AEY178" i="1"/>
  <c r="AEW178" i="1" s="1"/>
  <c r="AEY179" i="1"/>
  <c r="AEW179" i="1" s="1"/>
  <c r="AEY180" i="1"/>
  <c r="AEW180" i="1" s="1"/>
  <c r="AEY181" i="1"/>
  <c r="AEW181" i="1" s="1"/>
  <c r="AEY182" i="1"/>
  <c r="AEW182" i="1" s="1"/>
  <c r="AEY183" i="1"/>
  <c r="AEW183" i="1" s="1"/>
  <c r="AEY184" i="1"/>
  <c r="AEW184" i="1" s="1"/>
  <c r="AEY185" i="1"/>
  <c r="AEW185" i="1" s="1"/>
  <c r="AEY186" i="1"/>
  <c r="AEW186" i="1" s="1"/>
  <c r="AEY187" i="1"/>
  <c r="AEW187" i="1" s="1"/>
  <c r="AEY188" i="1"/>
  <c r="AEW188" i="1" s="1"/>
  <c r="AEY189" i="1"/>
  <c r="AEW189" i="1" s="1"/>
  <c r="AEY190" i="1"/>
  <c r="AEW190" i="1" s="1"/>
  <c r="AEY191" i="1"/>
  <c r="AEW191" i="1" s="1"/>
  <c r="AEY192" i="1"/>
  <c r="AEW192" i="1" s="1"/>
  <c r="AEY193" i="1"/>
  <c r="AEW193" i="1" s="1"/>
  <c r="AEY194" i="1"/>
  <c r="AEW194" i="1" s="1"/>
  <c r="AEY195" i="1"/>
  <c r="AEW195" i="1" s="1"/>
  <c r="AEY196" i="1"/>
  <c r="AEW196" i="1" s="1"/>
  <c r="AEY197" i="1"/>
  <c r="AEW197" i="1" s="1"/>
  <c r="AEY198" i="1"/>
  <c r="AEW198" i="1" s="1"/>
  <c r="AEY199" i="1"/>
  <c r="AEW199" i="1" s="1"/>
  <c r="AEY200" i="1"/>
  <c r="AEW200" i="1" s="1"/>
  <c r="AEY201" i="1"/>
  <c r="AEW201" i="1" s="1"/>
  <c r="AEY202" i="1"/>
  <c r="AEW202" i="1" s="1"/>
  <c r="AEY203" i="1"/>
  <c r="AEW203" i="1" s="1"/>
  <c r="AEO155" i="1"/>
  <c r="AEM155" i="1" s="1"/>
  <c r="AEO156" i="1"/>
  <c r="AEM156" i="1" s="1"/>
  <c r="AEO157" i="1"/>
  <c r="AEM157" i="1" s="1"/>
  <c r="AEO158" i="1"/>
  <c r="AEM158" i="1" s="1"/>
  <c r="AEO159" i="1"/>
  <c r="AEM159" i="1" s="1"/>
  <c r="AEO160" i="1"/>
  <c r="AEM160" i="1" s="1"/>
  <c r="AEO161" i="1"/>
  <c r="AEM161" i="1" s="1"/>
  <c r="AEO162" i="1"/>
  <c r="AEM162" i="1" s="1"/>
  <c r="AEO163" i="1"/>
  <c r="AEM163" i="1" s="1"/>
  <c r="AEO164" i="1"/>
  <c r="AEM164" i="1" s="1"/>
  <c r="AEO165" i="1"/>
  <c r="AEM165" i="1" s="1"/>
  <c r="AEO166" i="1"/>
  <c r="AEM166" i="1" s="1"/>
  <c r="AEO167" i="1"/>
  <c r="AEM167" i="1" s="1"/>
  <c r="AEO168" i="1"/>
  <c r="AEM168" i="1" s="1"/>
  <c r="AEO169" i="1"/>
  <c r="AEM169" i="1" s="1"/>
  <c r="AEO170" i="1"/>
  <c r="AEM170" i="1" s="1"/>
  <c r="AEO171" i="1"/>
  <c r="AEM171" i="1" s="1"/>
  <c r="AEO172" i="1"/>
  <c r="AEM172" i="1" s="1"/>
  <c r="AEO173" i="1"/>
  <c r="AEM173" i="1" s="1"/>
  <c r="AEO174" i="1"/>
  <c r="AEM174" i="1" s="1"/>
  <c r="AEO175" i="1"/>
  <c r="AEM175" i="1" s="1"/>
  <c r="AEO176" i="1"/>
  <c r="AEM176" i="1" s="1"/>
  <c r="AEO177" i="1"/>
  <c r="AEM177" i="1" s="1"/>
  <c r="AEO178" i="1"/>
  <c r="AEM178" i="1" s="1"/>
  <c r="AEO179" i="1"/>
  <c r="AEM179" i="1" s="1"/>
  <c r="AEO180" i="1"/>
  <c r="AEM180" i="1" s="1"/>
  <c r="AEO181" i="1"/>
  <c r="AEM181" i="1" s="1"/>
  <c r="AEO182" i="1"/>
  <c r="AEM182" i="1" s="1"/>
  <c r="AEO183" i="1"/>
  <c r="AEM183" i="1" s="1"/>
  <c r="AEO184" i="1"/>
  <c r="AEM184" i="1" s="1"/>
  <c r="AEO185" i="1"/>
  <c r="AEM185" i="1" s="1"/>
  <c r="AEO186" i="1"/>
  <c r="AEM186" i="1" s="1"/>
  <c r="AEO187" i="1"/>
  <c r="AEM187" i="1" s="1"/>
  <c r="AEO188" i="1"/>
  <c r="AEM188" i="1" s="1"/>
  <c r="AEO189" i="1"/>
  <c r="AEM189" i="1" s="1"/>
  <c r="AEO190" i="1"/>
  <c r="AEM190" i="1" s="1"/>
  <c r="AEO191" i="1"/>
  <c r="AEM191" i="1" s="1"/>
  <c r="AEO192" i="1"/>
  <c r="AEM192" i="1" s="1"/>
  <c r="AEO193" i="1"/>
  <c r="AEM193" i="1" s="1"/>
  <c r="AEO194" i="1"/>
  <c r="AEM194" i="1" s="1"/>
  <c r="AEO195" i="1"/>
  <c r="AEM195" i="1" s="1"/>
  <c r="AEO196" i="1"/>
  <c r="AEM196" i="1" s="1"/>
  <c r="AEO197" i="1"/>
  <c r="AEM197" i="1" s="1"/>
  <c r="AEO198" i="1"/>
  <c r="AEM198" i="1" s="1"/>
  <c r="AEO199" i="1"/>
  <c r="AEM199" i="1" s="1"/>
  <c r="AEO200" i="1"/>
  <c r="AEM200" i="1" s="1"/>
  <c r="AEO201" i="1"/>
  <c r="AEM201" i="1" s="1"/>
  <c r="AEO202" i="1"/>
  <c r="AEM202" i="1" s="1"/>
  <c r="AEO203" i="1"/>
  <c r="AEM203" i="1" s="1"/>
  <c r="AEE155" i="1"/>
  <c r="AEC155" i="1" s="1"/>
  <c r="AEE156" i="1"/>
  <c r="AEC156" i="1" s="1"/>
  <c r="AEE157" i="1"/>
  <c r="AEC157" i="1" s="1"/>
  <c r="AEE158" i="1"/>
  <c r="AEC158" i="1" s="1"/>
  <c r="AEE159" i="1"/>
  <c r="AEC159" i="1" s="1"/>
  <c r="AEE160" i="1"/>
  <c r="AEC160" i="1" s="1"/>
  <c r="AEE161" i="1"/>
  <c r="AEC161" i="1" s="1"/>
  <c r="AEE162" i="1"/>
  <c r="AEC162" i="1" s="1"/>
  <c r="AEE163" i="1"/>
  <c r="AEC163" i="1" s="1"/>
  <c r="AEE164" i="1"/>
  <c r="AEC164" i="1" s="1"/>
  <c r="AEE165" i="1"/>
  <c r="AEC165" i="1" s="1"/>
  <c r="AEE166" i="1"/>
  <c r="AEC166" i="1" s="1"/>
  <c r="AEE167" i="1"/>
  <c r="AEC167" i="1" s="1"/>
  <c r="AEE168" i="1"/>
  <c r="AEC168" i="1" s="1"/>
  <c r="AEE169" i="1"/>
  <c r="AEC169" i="1" s="1"/>
  <c r="AEE170" i="1"/>
  <c r="AEC170" i="1" s="1"/>
  <c r="AEE171" i="1"/>
  <c r="AEC171" i="1" s="1"/>
  <c r="AEE172" i="1"/>
  <c r="AEC172" i="1" s="1"/>
  <c r="AEE173" i="1"/>
  <c r="AEC173" i="1" s="1"/>
  <c r="AEE174" i="1"/>
  <c r="AEC174" i="1" s="1"/>
  <c r="AEE175" i="1"/>
  <c r="AEC175" i="1" s="1"/>
  <c r="AEE176" i="1"/>
  <c r="AEC176" i="1" s="1"/>
  <c r="AEE177" i="1"/>
  <c r="AEC177" i="1" s="1"/>
  <c r="AEE178" i="1"/>
  <c r="AEC178" i="1" s="1"/>
  <c r="AEE179" i="1"/>
  <c r="AEC179" i="1" s="1"/>
  <c r="AEE180" i="1"/>
  <c r="AEC180" i="1" s="1"/>
  <c r="AEE181" i="1"/>
  <c r="AEC181" i="1" s="1"/>
  <c r="AEE182" i="1"/>
  <c r="AEC182" i="1" s="1"/>
  <c r="AEE183" i="1"/>
  <c r="AEC183" i="1" s="1"/>
  <c r="AEE184" i="1"/>
  <c r="AEC184" i="1" s="1"/>
  <c r="AEE185" i="1"/>
  <c r="AEC185" i="1" s="1"/>
  <c r="AEE186" i="1"/>
  <c r="AEC186" i="1" s="1"/>
  <c r="AEE187" i="1"/>
  <c r="AEC187" i="1" s="1"/>
  <c r="AEE188" i="1"/>
  <c r="AEC188" i="1" s="1"/>
  <c r="AEE189" i="1"/>
  <c r="AEC189" i="1" s="1"/>
  <c r="AEE190" i="1"/>
  <c r="AEC190" i="1" s="1"/>
  <c r="AEE191" i="1"/>
  <c r="AEC191" i="1" s="1"/>
  <c r="AEE192" i="1"/>
  <c r="AEC192" i="1" s="1"/>
  <c r="AEE193" i="1"/>
  <c r="AEC193" i="1" s="1"/>
  <c r="AEE194" i="1"/>
  <c r="AEC194" i="1" s="1"/>
  <c r="AEE195" i="1"/>
  <c r="AEC195" i="1" s="1"/>
  <c r="AEE196" i="1"/>
  <c r="AEC196" i="1" s="1"/>
  <c r="AEE197" i="1"/>
  <c r="AEC197" i="1" s="1"/>
  <c r="AEE198" i="1"/>
  <c r="AEC198" i="1" s="1"/>
  <c r="AEE199" i="1"/>
  <c r="AEC199" i="1" s="1"/>
  <c r="AEE200" i="1"/>
  <c r="AEC200" i="1" s="1"/>
  <c r="AEE201" i="1"/>
  <c r="AEC201" i="1" s="1"/>
  <c r="AEE202" i="1"/>
  <c r="AEC202" i="1" s="1"/>
  <c r="AEE203" i="1"/>
  <c r="AEC203" i="1" s="1"/>
  <c r="ADU155" i="1"/>
  <c r="ADS155" i="1" s="1"/>
  <c r="ADU156" i="1"/>
  <c r="ADS156" i="1" s="1"/>
  <c r="ADU157" i="1"/>
  <c r="ADS157" i="1" s="1"/>
  <c r="ADU158" i="1"/>
  <c r="ADS158" i="1" s="1"/>
  <c r="ADU159" i="1"/>
  <c r="ADS159" i="1" s="1"/>
  <c r="ADU160" i="1"/>
  <c r="ADS160" i="1" s="1"/>
  <c r="ADU161" i="1"/>
  <c r="ADS161" i="1" s="1"/>
  <c r="ADU162" i="1"/>
  <c r="ADS162" i="1" s="1"/>
  <c r="ADU163" i="1"/>
  <c r="ADS163" i="1" s="1"/>
  <c r="ADU164" i="1"/>
  <c r="ADS164" i="1" s="1"/>
  <c r="ADU165" i="1"/>
  <c r="ADS165" i="1" s="1"/>
  <c r="ADU166" i="1"/>
  <c r="ADS166" i="1" s="1"/>
  <c r="ADU167" i="1"/>
  <c r="ADS167" i="1" s="1"/>
  <c r="ADU168" i="1"/>
  <c r="ADS168" i="1" s="1"/>
  <c r="ADU169" i="1"/>
  <c r="ADS169" i="1" s="1"/>
  <c r="ADU170" i="1"/>
  <c r="ADS170" i="1" s="1"/>
  <c r="ADU171" i="1"/>
  <c r="ADS171" i="1" s="1"/>
  <c r="ADU172" i="1"/>
  <c r="ADS172" i="1" s="1"/>
  <c r="ADU173" i="1"/>
  <c r="ADS173" i="1" s="1"/>
  <c r="ADU174" i="1"/>
  <c r="ADS174" i="1" s="1"/>
  <c r="ADU175" i="1"/>
  <c r="ADS175" i="1" s="1"/>
  <c r="ADU176" i="1"/>
  <c r="ADS176" i="1" s="1"/>
  <c r="ADU177" i="1"/>
  <c r="ADS177" i="1" s="1"/>
  <c r="ADU178" i="1"/>
  <c r="ADS178" i="1" s="1"/>
  <c r="ADU179" i="1"/>
  <c r="ADS179" i="1" s="1"/>
  <c r="ADU180" i="1"/>
  <c r="ADS180" i="1" s="1"/>
  <c r="ADU181" i="1"/>
  <c r="ADS181" i="1" s="1"/>
  <c r="ADU182" i="1"/>
  <c r="ADS182" i="1" s="1"/>
  <c r="ADU183" i="1"/>
  <c r="ADS183" i="1" s="1"/>
  <c r="ADU184" i="1"/>
  <c r="ADS184" i="1" s="1"/>
  <c r="ADU185" i="1"/>
  <c r="ADS185" i="1" s="1"/>
  <c r="ADU186" i="1"/>
  <c r="ADS186" i="1" s="1"/>
  <c r="ADU187" i="1"/>
  <c r="ADS187" i="1" s="1"/>
  <c r="ADU188" i="1"/>
  <c r="ADS188" i="1" s="1"/>
  <c r="ADU189" i="1"/>
  <c r="ADS189" i="1" s="1"/>
  <c r="ADU190" i="1"/>
  <c r="ADS190" i="1" s="1"/>
  <c r="ADU191" i="1"/>
  <c r="ADS191" i="1" s="1"/>
  <c r="ADU192" i="1"/>
  <c r="ADS192" i="1" s="1"/>
  <c r="ADU193" i="1"/>
  <c r="ADS193" i="1" s="1"/>
  <c r="ADU194" i="1"/>
  <c r="ADS194" i="1" s="1"/>
  <c r="ADU195" i="1"/>
  <c r="ADS195" i="1" s="1"/>
  <c r="ADU196" i="1"/>
  <c r="ADS196" i="1" s="1"/>
  <c r="ADU197" i="1"/>
  <c r="ADS197" i="1" s="1"/>
  <c r="ADU198" i="1"/>
  <c r="ADS198" i="1" s="1"/>
  <c r="ADU199" i="1"/>
  <c r="ADS199" i="1" s="1"/>
  <c r="ADU200" i="1"/>
  <c r="ADS200" i="1" s="1"/>
  <c r="ADU201" i="1"/>
  <c r="ADS201" i="1" s="1"/>
  <c r="ADU202" i="1"/>
  <c r="ADS202" i="1" s="1"/>
  <c r="ADU203" i="1"/>
  <c r="ADS203" i="1" s="1"/>
  <c r="ADK155" i="1"/>
  <c r="ADI155" i="1" s="1"/>
  <c r="ADK156" i="1"/>
  <c r="ADI156" i="1" s="1"/>
  <c r="ADK157" i="1"/>
  <c r="ADI157" i="1" s="1"/>
  <c r="ADK158" i="1"/>
  <c r="ADI158" i="1" s="1"/>
  <c r="ADK159" i="1"/>
  <c r="ADI159" i="1" s="1"/>
  <c r="ADK160" i="1"/>
  <c r="ADI160" i="1" s="1"/>
  <c r="ADK161" i="1"/>
  <c r="ADI161" i="1" s="1"/>
  <c r="ADK162" i="1"/>
  <c r="ADI162" i="1" s="1"/>
  <c r="ADK163" i="1"/>
  <c r="ADI163" i="1" s="1"/>
  <c r="ADK164" i="1"/>
  <c r="ADI164" i="1" s="1"/>
  <c r="ADK165" i="1"/>
  <c r="ADI165" i="1" s="1"/>
  <c r="ADK166" i="1"/>
  <c r="ADI166" i="1" s="1"/>
  <c r="ADK167" i="1"/>
  <c r="ADI167" i="1" s="1"/>
  <c r="ADK168" i="1"/>
  <c r="ADI168" i="1" s="1"/>
  <c r="ADK169" i="1"/>
  <c r="ADI169" i="1" s="1"/>
  <c r="ADK170" i="1"/>
  <c r="ADI170" i="1" s="1"/>
  <c r="ADK171" i="1"/>
  <c r="ADI171" i="1" s="1"/>
  <c r="ADK172" i="1"/>
  <c r="ADI172" i="1" s="1"/>
  <c r="ADK173" i="1"/>
  <c r="ADI173" i="1" s="1"/>
  <c r="ADK174" i="1"/>
  <c r="ADI174" i="1" s="1"/>
  <c r="ADK175" i="1"/>
  <c r="ADI175" i="1" s="1"/>
  <c r="ADK176" i="1"/>
  <c r="ADI176" i="1" s="1"/>
  <c r="ADK177" i="1"/>
  <c r="ADI177" i="1" s="1"/>
  <c r="ADK178" i="1"/>
  <c r="ADI178" i="1" s="1"/>
  <c r="ADK179" i="1"/>
  <c r="ADI179" i="1" s="1"/>
  <c r="ADK180" i="1"/>
  <c r="ADI180" i="1" s="1"/>
  <c r="ADK181" i="1"/>
  <c r="ADI181" i="1" s="1"/>
  <c r="ADK182" i="1"/>
  <c r="ADI182" i="1" s="1"/>
  <c r="ADK183" i="1"/>
  <c r="ADI183" i="1" s="1"/>
  <c r="ADK184" i="1"/>
  <c r="ADI184" i="1" s="1"/>
  <c r="ADK185" i="1"/>
  <c r="ADI185" i="1" s="1"/>
  <c r="ADK186" i="1"/>
  <c r="ADI186" i="1" s="1"/>
  <c r="ADK187" i="1"/>
  <c r="ADI187" i="1" s="1"/>
  <c r="ADK188" i="1"/>
  <c r="ADI188" i="1" s="1"/>
  <c r="ADK189" i="1"/>
  <c r="ADI189" i="1" s="1"/>
  <c r="ADK190" i="1"/>
  <c r="ADI190" i="1" s="1"/>
  <c r="ADK191" i="1"/>
  <c r="ADI191" i="1" s="1"/>
  <c r="ADK192" i="1"/>
  <c r="ADI192" i="1" s="1"/>
  <c r="ADK193" i="1"/>
  <c r="ADI193" i="1" s="1"/>
  <c r="ADK194" i="1"/>
  <c r="ADI194" i="1" s="1"/>
  <c r="ADK195" i="1"/>
  <c r="ADI195" i="1" s="1"/>
  <c r="ADK196" i="1"/>
  <c r="ADI196" i="1" s="1"/>
  <c r="ADK197" i="1"/>
  <c r="ADI197" i="1" s="1"/>
  <c r="ADK198" i="1"/>
  <c r="ADI198" i="1" s="1"/>
  <c r="ADK199" i="1"/>
  <c r="ADI199" i="1" s="1"/>
  <c r="ADK200" i="1"/>
  <c r="ADI200" i="1" s="1"/>
  <c r="ADK201" i="1"/>
  <c r="ADI201" i="1" s="1"/>
  <c r="ADK202" i="1"/>
  <c r="ADI202" i="1" s="1"/>
  <c r="ADK203" i="1"/>
  <c r="ADI203" i="1" s="1"/>
  <c r="ADA155" i="1"/>
  <c r="ACY155" i="1" s="1"/>
  <c r="ADA156" i="1"/>
  <c r="ACY156" i="1" s="1"/>
  <c r="ADA157" i="1"/>
  <c r="ACY157" i="1" s="1"/>
  <c r="ADA158" i="1"/>
  <c r="ACY158" i="1" s="1"/>
  <c r="ADA159" i="1"/>
  <c r="ACY159" i="1" s="1"/>
  <c r="ADA160" i="1"/>
  <c r="ACY160" i="1" s="1"/>
  <c r="ADA161" i="1"/>
  <c r="ACY161" i="1" s="1"/>
  <c r="ADA162" i="1"/>
  <c r="ACY162" i="1" s="1"/>
  <c r="ADA163" i="1"/>
  <c r="ACY163" i="1" s="1"/>
  <c r="ADA164" i="1"/>
  <c r="ACY164" i="1" s="1"/>
  <c r="ADA165" i="1"/>
  <c r="ACY165" i="1" s="1"/>
  <c r="ADA166" i="1"/>
  <c r="ACY166" i="1" s="1"/>
  <c r="ADA167" i="1"/>
  <c r="ACY167" i="1" s="1"/>
  <c r="ADA168" i="1"/>
  <c r="ACY168" i="1" s="1"/>
  <c r="ADA169" i="1"/>
  <c r="ACY169" i="1" s="1"/>
  <c r="ADA170" i="1"/>
  <c r="ACY170" i="1" s="1"/>
  <c r="ADA171" i="1"/>
  <c r="ACY171" i="1" s="1"/>
  <c r="ADA172" i="1"/>
  <c r="ACY172" i="1" s="1"/>
  <c r="ADA173" i="1"/>
  <c r="ACY173" i="1" s="1"/>
  <c r="ADA174" i="1"/>
  <c r="ACY174" i="1" s="1"/>
  <c r="ADA175" i="1"/>
  <c r="ACY175" i="1" s="1"/>
  <c r="ADA176" i="1"/>
  <c r="ACY176" i="1" s="1"/>
  <c r="ADA177" i="1"/>
  <c r="ACY177" i="1" s="1"/>
  <c r="ADA178" i="1"/>
  <c r="ACY178" i="1" s="1"/>
  <c r="ADA179" i="1"/>
  <c r="ACY179" i="1" s="1"/>
  <c r="ADA180" i="1"/>
  <c r="ACY180" i="1" s="1"/>
  <c r="ADA181" i="1"/>
  <c r="ACY181" i="1" s="1"/>
  <c r="ADA182" i="1"/>
  <c r="ACY182" i="1" s="1"/>
  <c r="ADA183" i="1"/>
  <c r="ACY183" i="1" s="1"/>
  <c r="ADA184" i="1"/>
  <c r="ACY184" i="1" s="1"/>
  <c r="ADA185" i="1"/>
  <c r="ACY185" i="1" s="1"/>
  <c r="ADA186" i="1"/>
  <c r="ACY186" i="1" s="1"/>
  <c r="ADA187" i="1"/>
  <c r="ACY187" i="1" s="1"/>
  <c r="ADA188" i="1"/>
  <c r="ACY188" i="1" s="1"/>
  <c r="ADA189" i="1"/>
  <c r="ACY189" i="1" s="1"/>
  <c r="ADA190" i="1"/>
  <c r="ACY190" i="1" s="1"/>
  <c r="ADA191" i="1"/>
  <c r="ACY191" i="1" s="1"/>
  <c r="ADA192" i="1"/>
  <c r="ACY192" i="1" s="1"/>
  <c r="ADA193" i="1"/>
  <c r="ACY193" i="1" s="1"/>
  <c r="ADA194" i="1"/>
  <c r="ACY194" i="1" s="1"/>
  <c r="ADA195" i="1"/>
  <c r="ACY195" i="1" s="1"/>
  <c r="ADA196" i="1"/>
  <c r="ACY196" i="1" s="1"/>
  <c r="ADA197" i="1"/>
  <c r="ACY197" i="1" s="1"/>
  <c r="ADA198" i="1"/>
  <c r="ACY198" i="1" s="1"/>
  <c r="ADA199" i="1"/>
  <c r="ACY199" i="1" s="1"/>
  <c r="ADA200" i="1"/>
  <c r="ACY200" i="1" s="1"/>
  <c r="ADA201" i="1"/>
  <c r="ACY201" i="1" s="1"/>
  <c r="ADA202" i="1"/>
  <c r="ACY202" i="1" s="1"/>
  <c r="ADA203" i="1"/>
  <c r="ACY203" i="1" s="1"/>
  <c r="AFS154" i="1"/>
  <c r="AFQ154" i="1" s="1"/>
  <c r="AFI154" i="1"/>
  <c r="AFG154" i="1" s="1"/>
  <c r="AEY154" i="1"/>
  <c r="AEW154" i="1" s="1"/>
  <c r="AEO154" i="1"/>
  <c r="AEM154" i="1" s="1"/>
  <c r="AEE154" i="1"/>
  <c r="AEC154" i="1" s="1"/>
  <c r="ADU154" i="1"/>
  <c r="ADS154" i="1" s="1"/>
  <c r="ADK154" i="1"/>
  <c r="ADA154" i="1"/>
  <c r="ACY154" i="1" s="1"/>
  <c r="AGO175" i="1"/>
  <c r="ACQ155" i="1"/>
  <c r="ACQ156" i="1"/>
  <c r="ACQ157" i="1"/>
  <c r="ACQ158" i="1"/>
  <c r="ACQ159" i="1"/>
  <c r="ACQ160" i="1"/>
  <c r="ACQ161" i="1"/>
  <c r="ACQ162" i="1"/>
  <c r="ACQ163" i="1"/>
  <c r="ACQ164" i="1"/>
  <c r="ACQ165" i="1"/>
  <c r="ACQ166" i="1"/>
  <c r="ACQ167" i="1"/>
  <c r="ACQ168" i="1"/>
  <c r="ACQ169" i="1"/>
  <c r="ACQ170" i="1"/>
  <c r="ACQ171" i="1"/>
  <c r="ACQ172" i="1"/>
  <c r="ACQ173" i="1"/>
  <c r="ACQ174" i="1"/>
  <c r="ACQ175" i="1"/>
  <c r="ACQ176" i="1"/>
  <c r="ACQ177" i="1"/>
  <c r="ACO177" i="1" s="1"/>
  <c r="ACQ178" i="1"/>
  <c r="ACO178" i="1" s="1"/>
  <c r="ACQ179" i="1"/>
  <c r="ACO179" i="1" s="1"/>
  <c r="ACQ180" i="1"/>
  <c r="ACO180" i="1" s="1"/>
  <c r="ACQ181" i="1"/>
  <c r="ACO181" i="1" s="1"/>
  <c r="ACQ182" i="1"/>
  <c r="ACO182" i="1" s="1"/>
  <c r="ACQ183" i="1"/>
  <c r="ACO183" i="1" s="1"/>
  <c r="ACQ184" i="1"/>
  <c r="ACO184" i="1" s="1"/>
  <c r="ACQ185" i="1"/>
  <c r="ACO185" i="1" s="1"/>
  <c r="ACQ186" i="1"/>
  <c r="ACO186" i="1" s="1"/>
  <c r="ACQ187" i="1"/>
  <c r="ACO187" i="1" s="1"/>
  <c r="ACQ188" i="1"/>
  <c r="ACO188" i="1" s="1"/>
  <c r="ACQ189" i="1"/>
  <c r="ACO189" i="1" s="1"/>
  <c r="ACQ190" i="1"/>
  <c r="ACO190" i="1" s="1"/>
  <c r="ACQ191" i="1"/>
  <c r="ACO191" i="1" s="1"/>
  <c r="ACQ192" i="1"/>
  <c r="ACO192" i="1" s="1"/>
  <c r="ACQ193" i="1"/>
  <c r="ACO193" i="1" s="1"/>
  <c r="ACQ194" i="1"/>
  <c r="ACO194" i="1" s="1"/>
  <c r="ACQ195" i="1"/>
  <c r="ACO195" i="1" s="1"/>
  <c r="ACQ196" i="1"/>
  <c r="ACO196" i="1" s="1"/>
  <c r="ACQ197" i="1"/>
  <c r="ACO197" i="1" s="1"/>
  <c r="ACQ198" i="1"/>
  <c r="ACO198" i="1" s="1"/>
  <c r="ACQ199" i="1"/>
  <c r="ACO199" i="1" s="1"/>
  <c r="ACQ200" i="1"/>
  <c r="ACO200" i="1" s="1"/>
  <c r="ACQ201" i="1"/>
  <c r="ACO201" i="1" s="1"/>
  <c r="ACQ202" i="1"/>
  <c r="ACO202" i="1" s="1"/>
  <c r="ACQ203" i="1"/>
  <c r="ACO203" i="1" s="1"/>
  <c r="ACQ154" i="1"/>
  <c r="AGP257" i="1"/>
  <c r="AEV80" i="1"/>
  <c r="AEV79" i="1"/>
  <c r="AEV78" i="1"/>
  <c r="ADI85" i="1"/>
  <c r="ADS85" i="1" l="1"/>
  <c r="ACY85" i="1"/>
  <c r="ACY16" i="1"/>
  <c r="ACY15" i="1"/>
  <c r="ADI154" i="1"/>
  <c r="ADS14" i="1"/>
  <c r="ADS15" i="1"/>
  <c r="ADS16" i="1"/>
  <c r="ADS17" i="1"/>
  <c r="ADS18" i="1"/>
  <c r="ADS19" i="1"/>
  <c r="ADS20" i="1"/>
  <c r="ADS21" i="1"/>
  <c r="ADS22" i="1"/>
  <c r="ADS23" i="1"/>
  <c r="ADS24" i="1"/>
  <c r="ADS25" i="1"/>
  <c r="ADS26" i="1"/>
  <c r="ADS27" i="1"/>
  <c r="ADS28" i="1"/>
  <c r="ADS29" i="1"/>
  <c r="ADS30" i="1"/>
  <c r="ADS31" i="1"/>
  <c r="ADS32" i="1"/>
  <c r="ADS33" i="1"/>
  <c r="ADS34" i="1"/>
  <c r="ADS35" i="1"/>
  <c r="ADS36" i="1"/>
  <c r="ADS37" i="1"/>
  <c r="ADS38" i="1"/>
  <c r="ADS39" i="1"/>
  <c r="ADS40" i="1"/>
  <c r="ADS41" i="1"/>
  <c r="ADS42" i="1"/>
  <c r="ADS43" i="1"/>
  <c r="ADS44" i="1"/>
  <c r="ADS45" i="1"/>
  <c r="ADS46" i="1"/>
  <c r="ADS47" i="1"/>
  <c r="ADS48" i="1"/>
  <c r="ADS49" i="1"/>
  <c r="ADS50" i="1"/>
  <c r="ADS51" i="1"/>
  <c r="ADS52" i="1"/>
  <c r="ADS53" i="1"/>
  <c r="ADS54" i="1"/>
  <c r="ADS55" i="1"/>
  <c r="ADS56" i="1"/>
  <c r="ADS57" i="1"/>
  <c r="ADS58" i="1"/>
  <c r="ADS59" i="1"/>
  <c r="ADS60" i="1"/>
  <c r="ADS61" i="1"/>
  <c r="ADS62" i="1"/>
  <c r="AEC14" i="1"/>
  <c r="AEC19" i="1"/>
  <c r="AEC20" i="1"/>
  <c r="AEC21" i="1"/>
  <c r="AEC22" i="1"/>
  <c r="AEC23" i="1"/>
  <c r="AEC24" i="1"/>
  <c r="AEC25" i="1"/>
  <c r="AEC26" i="1"/>
  <c r="AEC27" i="1"/>
  <c r="AEC28" i="1"/>
  <c r="AEC29" i="1"/>
  <c r="AEC30" i="1"/>
  <c r="AEC31" i="1"/>
  <c r="AEC32" i="1"/>
  <c r="AEC33" i="1"/>
  <c r="AEC34" i="1"/>
  <c r="AEC35" i="1"/>
  <c r="AEC36" i="1"/>
  <c r="AEC37" i="1"/>
  <c r="AEC38" i="1"/>
  <c r="AEC39" i="1"/>
  <c r="AEC40" i="1"/>
  <c r="AEC41" i="1"/>
  <c r="AEC42" i="1"/>
  <c r="AEC43" i="1"/>
  <c r="AEC44" i="1"/>
  <c r="AEC45" i="1"/>
  <c r="AEC46" i="1"/>
  <c r="AEC47" i="1"/>
  <c r="AEC48" i="1"/>
  <c r="AEC49" i="1"/>
  <c r="AEC50" i="1"/>
  <c r="AEC51" i="1"/>
  <c r="AEC52" i="1"/>
  <c r="AEC53" i="1"/>
  <c r="AEC54" i="1"/>
  <c r="AEC55" i="1"/>
  <c r="AEC56" i="1"/>
  <c r="AEC57" i="1"/>
  <c r="AEC58" i="1"/>
  <c r="AEC59" i="1"/>
  <c r="AEC60" i="1"/>
  <c r="AEC61" i="1"/>
  <c r="AEC62" i="1"/>
  <c r="AEC15" i="1"/>
  <c r="AEC16" i="1"/>
  <c r="AEC17" i="1"/>
  <c r="AEC18" i="1"/>
  <c r="AFC133" i="1" l="1"/>
  <c r="AFE133" i="1" s="1"/>
  <c r="ACO176" i="1"/>
  <c r="ACO175" i="1"/>
  <c r="ACO174" i="1"/>
  <c r="ACO173" i="1"/>
  <c r="ACO172" i="1"/>
  <c r="ACO171" i="1"/>
  <c r="ACO170" i="1"/>
  <c r="ACO169" i="1"/>
  <c r="ACO168" i="1"/>
  <c r="ACO167" i="1"/>
  <c r="ACO166" i="1"/>
  <c r="ACO165" i="1"/>
  <c r="ACO164" i="1"/>
  <c r="ACO163" i="1"/>
  <c r="ACO162" i="1"/>
  <c r="ACO161" i="1"/>
  <c r="ACO160" i="1"/>
  <c r="ACO159" i="1"/>
  <c r="ACO158" i="1"/>
  <c r="ACO157" i="1"/>
  <c r="ACO156" i="1"/>
  <c r="ACO155" i="1"/>
  <c r="AEC228" i="1"/>
  <c r="ADS229" i="1"/>
  <c r="ADS230" i="1"/>
  <c r="ADS231" i="1"/>
  <c r="ADS232" i="1"/>
  <c r="ADS233" i="1"/>
  <c r="ADS234" i="1"/>
  <c r="ADS235" i="1"/>
  <c r="ADS236" i="1"/>
  <c r="ADS237" i="1"/>
  <c r="ADS238" i="1"/>
  <c r="ADS239" i="1"/>
  <c r="ADS240" i="1"/>
  <c r="ADS241" i="1"/>
  <c r="ADS242" i="1"/>
  <c r="ADS243" i="1"/>
  <c r="ADS244" i="1"/>
  <c r="ADS245" i="1"/>
  <c r="ADS246" i="1"/>
  <c r="ADS247" i="1"/>
  <c r="ADS248" i="1"/>
  <c r="ADS249" i="1"/>
  <c r="ADS250" i="1"/>
  <c r="ADS251" i="1"/>
  <c r="ADS252" i="1"/>
  <c r="ADS253" i="1"/>
  <c r="ADS254" i="1"/>
  <c r="ADS255" i="1"/>
  <c r="ADS256" i="1"/>
  <c r="ADS257" i="1"/>
  <c r="ADS258" i="1"/>
  <c r="ADS259" i="1"/>
  <c r="ADS260" i="1"/>
  <c r="ADS261" i="1"/>
  <c r="ADS262" i="1"/>
  <c r="ADS263" i="1"/>
  <c r="ADS264" i="1"/>
  <c r="ADS265" i="1"/>
  <c r="ADS266" i="1"/>
  <c r="ADS267" i="1"/>
  <c r="ADS268" i="1"/>
  <c r="ADS269" i="1"/>
  <c r="ADS270" i="1"/>
  <c r="ADS271" i="1"/>
  <c r="ADS272" i="1"/>
  <c r="ADS273" i="1"/>
  <c r="ADS274" i="1"/>
  <c r="ADS275" i="1"/>
  <c r="ADS276" i="1"/>
  <c r="ADS277" i="1"/>
  <c r="ACV213" i="1"/>
  <c r="ACX213" i="1" s="1"/>
  <c r="ACV214" i="1"/>
  <c r="ACX214" i="1" s="1"/>
  <c r="ACV215" i="1"/>
  <c r="ACX215" i="1" s="1"/>
  <c r="ACV216" i="1"/>
  <c r="ACX216" i="1" s="1"/>
  <c r="ACV217" i="1"/>
  <c r="ACX217" i="1" s="1"/>
  <c r="ACV218" i="1"/>
  <c r="ACX218" i="1" s="1"/>
  <c r="ACV219" i="1"/>
  <c r="ACX219" i="1" s="1"/>
  <c r="ACV212" i="1"/>
  <c r="ACX212" i="1" s="1"/>
  <c r="ACO154" i="1"/>
  <c r="ADS228" i="1"/>
  <c r="AFC135" i="1"/>
  <c r="AFE135" i="1" s="1"/>
  <c r="AFC136" i="1"/>
  <c r="AFE136" i="1" s="1"/>
  <c r="AFC134" i="1"/>
  <c r="AFE134" i="1" s="1"/>
  <c r="ACV77" i="1"/>
  <c r="ACX77" i="1" s="1"/>
  <c r="ACV78" i="1"/>
  <c r="ACX78" i="1" s="1"/>
  <c r="ACV79" i="1"/>
  <c r="ACX79" i="1" s="1"/>
  <c r="ACV76" i="1"/>
  <c r="ACX76" i="1" s="1"/>
  <c r="AFE24" i="1"/>
  <c r="AFG24" i="1" s="1"/>
  <c r="AFE25" i="1"/>
  <c r="AFG25" i="1" s="1"/>
  <c r="AFE26" i="1"/>
  <c r="AFG26" i="1" s="1"/>
  <c r="AFE23" i="1"/>
  <c r="AFG23" i="1" s="1"/>
  <c r="ARX16" i="1" l="1"/>
  <c r="WQ23" i="1"/>
  <c r="ACO85" i="1" l="1"/>
  <c r="WV14" i="1"/>
  <c r="AEC13" i="1"/>
  <c r="AEM13" i="1"/>
  <c r="AEM14" i="1"/>
  <c r="AEM15" i="1"/>
  <c r="AEM16" i="1"/>
  <c r="AEM17" i="1"/>
  <c r="AEM18" i="1"/>
  <c r="AEM19" i="1"/>
  <c r="AEM20" i="1"/>
  <c r="AEM21" i="1"/>
  <c r="AEM22" i="1"/>
  <c r="AEM23" i="1"/>
  <c r="AEM24" i="1"/>
  <c r="AEM25" i="1"/>
  <c r="AEM26" i="1"/>
  <c r="AEM27" i="1"/>
  <c r="AEM28" i="1"/>
  <c r="AEM29" i="1"/>
  <c r="AEM30" i="1"/>
  <c r="AEM31" i="1"/>
  <c r="AEM32" i="1"/>
  <c r="AEM33" i="1"/>
  <c r="AEM34" i="1"/>
  <c r="AEM35" i="1"/>
  <c r="AEM36" i="1"/>
  <c r="ADI23" i="1"/>
  <c r="ADI24" i="1"/>
  <c r="ADI25" i="1"/>
  <c r="ADI26" i="1"/>
  <c r="ADI27" i="1"/>
  <c r="ADI28" i="1"/>
  <c r="ADI29" i="1"/>
  <c r="ADI30" i="1"/>
  <c r="ADI31" i="1"/>
  <c r="ADI32" i="1"/>
  <c r="ADI33" i="1"/>
  <c r="ADI34" i="1"/>
  <c r="ADI35" i="1"/>
  <c r="ADI36" i="1"/>
  <c r="ADI37" i="1"/>
  <c r="ADI38" i="1"/>
  <c r="ADI39" i="1"/>
  <c r="ADI40" i="1"/>
  <c r="ADI41" i="1"/>
  <c r="ADI42" i="1"/>
  <c r="ADI43" i="1"/>
  <c r="ADI44" i="1"/>
  <c r="ADI45" i="1"/>
  <c r="ADI46" i="1"/>
  <c r="ADI47" i="1"/>
  <c r="ADI48" i="1"/>
  <c r="ADI49" i="1"/>
  <c r="ADI50" i="1"/>
  <c r="ADI51" i="1"/>
  <c r="ADI52" i="1"/>
  <c r="ADI53" i="1"/>
  <c r="ADI54" i="1"/>
  <c r="ADI55" i="1"/>
  <c r="ADI56" i="1"/>
  <c r="ADI57" i="1"/>
  <c r="ADI58" i="1"/>
  <c r="ADI59" i="1"/>
  <c r="ADI60" i="1"/>
  <c r="ADI61" i="1"/>
  <c r="ADI62" i="1"/>
  <c r="ADS13" i="1"/>
  <c r="ADI22" i="1"/>
  <c r="ADI13" i="1"/>
  <c r="ADI14" i="1"/>
  <c r="ADI15" i="1"/>
  <c r="ADI16" i="1"/>
  <c r="ADI17" i="1"/>
  <c r="ADI18" i="1"/>
  <c r="ADI19" i="1"/>
  <c r="ADI20" i="1"/>
  <c r="ADI21" i="1"/>
  <c r="ACY13" i="1" l="1"/>
  <c r="GP53" i="1" l="1"/>
  <c r="PN136" i="1"/>
  <c r="PN146" i="1" l="1"/>
  <c r="GH116" i="1"/>
  <c r="PR134" i="1"/>
  <c r="C145" i="6"/>
  <c r="C220" i="6"/>
  <c r="W221" i="6"/>
  <c r="MQ177" i="1"/>
  <c r="AL59" i="1" l="1"/>
  <c r="CD90" i="1"/>
  <c r="CA36" i="1"/>
  <c r="CA25" i="1"/>
  <c r="CB64" i="1"/>
  <c r="CA54" i="1"/>
  <c r="WM41" i="1"/>
  <c r="WM27" i="1"/>
  <c r="CA92" i="1"/>
  <c r="AN90" i="1"/>
  <c r="AT91" i="1" s="1"/>
  <c r="AK16" i="1"/>
  <c r="J43" i="6"/>
  <c r="K43" i="6"/>
  <c r="L43" i="6"/>
  <c r="M43" i="6"/>
  <c r="I43" i="6"/>
  <c r="CA56" i="1"/>
  <c r="CA55" i="1"/>
  <c r="CH53" i="1"/>
  <c r="CA51" i="1"/>
  <c r="CC48" i="1"/>
  <c r="CF48" i="1"/>
  <c r="CA21" i="1"/>
  <c r="AN94" i="1" l="1"/>
  <c r="AL97" i="1"/>
  <c r="AL95" i="1"/>
  <c r="AO95" i="1"/>
  <c r="BH134" i="1"/>
  <c r="AH60" i="6" l="1"/>
  <c r="S17" i="6" l="1"/>
  <c r="ADI229" i="1"/>
  <c r="ADI230" i="1"/>
  <c r="ADI231" i="1"/>
  <c r="ADI232" i="1"/>
  <c r="ADI233" i="1"/>
  <c r="ADI234" i="1"/>
  <c r="ADI235" i="1"/>
  <c r="ADI236" i="1"/>
  <c r="ADI237" i="1"/>
  <c r="ADI238" i="1"/>
  <c r="ADI239" i="1"/>
  <c r="ADI240" i="1"/>
  <c r="ADI241" i="1"/>
  <c r="ADI242" i="1"/>
  <c r="ADI243" i="1"/>
  <c r="ADI244" i="1"/>
  <c r="ADI245" i="1"/>
  <c r="ADI246" i="1"/>
  <c r="ADI247" i="1"/>
  <c r="ADI248" i="1"/>
  <c r="ADI249" i="1"/>
  <c r="ADI250" i="1"/>
  <c r="ADI251" i="1"/>
  <c r="ADI252" i="1"/>
  <c r="ADI253" i="1"/>
  <c r="ADI254" i="1"/>
  <c r="ADI255" i="1"/>
  <c r="ADI256" i="1"/>
  <c r="ADI257" i="1"/>
  <c r="ADI258" i="1"/>
  <c r="ADI259" i="1"/>
  <c r="ADI260" i="1"/>
  <c r="ADI261" i="1"/>
  <c r="ADI262" i="1"/>
  <c r="ADI263" i="1"/>
  <c r="ADI264" i="1"/>
  <c r="ADI265" i="1"/>
  <c r="ADI266" i="1"/>
  <c r="ADI267" i="1"/>
  <c r="ADI268" i="1"/>
  <c r="ADI269" i="1"/>
  <c r="ADI270" i="1"/>
  <c r="ADI271" i="1"/>
  <c r="ADI272" i="1"/>
  <c r="ADI273" i="1"/>
  <c r="ADI274" i="1"/>
  <c r="ADI275" i="1"/>
  <c r="ADI276" i="1"/>
  <c r="ADI277" i="1"/>
  <c r="ADI228" i="1"/>
  <c r="ACO259" i="1"/>
  <c r="ACO260" i="1"/>
  <c r="ACO261" i="1"/>
  <c r="ACO262" i="1"/>
  <c r="ACO263" i="1"/>
  <c r="ACO264" i="1"/>
  <c r="ACO265" i="1"/>
  <c r="ACO266" i="1"/>
  <c r="ACO267" i="1"/>
  <c r="ACO268" i="1"/>
  <c r="ACO269" i="1"/>
  <c r="ACO270" i="1"/>
  <c r="ACO271" i="1"/>
  <c r="ACO272" i="1"/>
  <c r="ACO273" i="1"/>
  <c r="ACO274" i="1"/>
  <c r="ACO275" i="1"/>
  <c r="ACO276" i="1"/>
  <c r="ACO277" i="1"/>
  <c r="CO127" i="1" l="1"/>
  <c r="CO123" i="1"/>
  <c r="BO324" i="6" l="1"/>
  <c r="X189" i="6"/>
  <c r="PQ49" i="1" l="1"/>
  <c r="EC71" i="1"/>
  <c r="EF70" i="1"/>
  <c r="CK111" i="1" l="1"/>
  <c r="CH102" i="1"/>
  <c r="CE102" i="1"/>
  <c r="CC104" i="1"/>
  <c r="CG98" i="1"/>
  <c r="CB107" i="1"/>
  <c r="EB121" i="1"/>
  <c r="AL58" i="1"/>
  <c r="AL57" i="1"/>
  <c r="PO174" i="1" l="1"/>
  <c r="SB26" i="1" l="1"/>
  <c r="WI12" i="1"/>
  <c r="MS171" i="1" l="1"/>
  <c r="WI178" i="1" s="1"/>
  <c r="SB18" i="1"/>
  <c r="WI13" i="1"/>
  <c r="SB14" i="1"/>
  <c r="PQ183" i="1"/>
  <c r="PN190" i="1"/>
  <c r="PR109" i="1"/>
  <c r="PO109" i="1"/>
  <c r="PN104" i="1"/>
  <c r="PP101" i="1"/>
  <c r="MI97" i="1" l="1"/>
  <c r="AGO218" i="1"/>
  <c r="PT71" i="1"/>
  <c r="PP73" i="1"/>
  <c r="PO173" i="1" l="1"/>
  <c r="PZ173" i="1" s="1"/>
  <c r="CD53" i="1"/>
  <c r="CN54" i="1" s="1"/>
  <c r="WI212" i="1" s="1"/>
  <c r="AO56" i="1"/>
  <c r="AV57" i="1" s="1"/>
  <c r="CA49" i="1" l="1"/>
  <c r="WM47" i="1"/>
  <c r="PQ98" i="1"/>
  <c r="PO76" i="1" l="1"/>
  <c r="PQ75" i="1" l="1"/>
  <c r="PT75" i="1"/>
  <c r="QF29" i="1" l="1"/>
  <c r="PT15" i="1"/>
  <c r="PT22" i="1"/>
  <c r="QA15" i="1" s="1"/>
  <c r="QB22" i="1" l="1"/>
  <c r="PR45" i="1"/>
  <c r="PT44" i="1"/>
  <c r="PR80" i="1"/>
  <c r="M67" i="1"/>
  <c r="PR27" i="1"/>
  <c r="PR25" i="1"/>
  <c r="PO19" i="1"/>
  <c r="PT16" i="1"/>
  <c r="PS17" i="1"/>
  <c r="PR26" i="1"/>
  <c r="PO17" i="1"/>
  <c r="PO18" i="1"/>
  <c r="M73" i="1"/>
  <c r="ASF23" i="1" l="1"/>
  <c r="ASE28" i="1"/>
  <c r="H85" i="6"/>
  <c r="ARF24" i="1"/>
  <c r="PR163" i="1"/>
  <c r="PU163" i="1" s="1"/>
  <c r="BE59" i="6"/>
  <c r="S428" i="6"/>
  <c r="BO59" i="6"/>
  <c r="PS144" i="1"/>
  <c r="PV144" i="1" s="1"/>
  <c r="PT41" i="1" l="1"/>
  <c r="PR110" i="1" s="1"/>
  <c r="PN50" i="1" l="1"/>
  <c r="PR46" i="1"/>
  <c r="WK200" i="1"/>
  <c r="WK139" i="1"/>
  <c r="AGO238" i="1"/>
  <c r="WQ175" i="1"/>
  <c r="AGO237" i="1"/>
  <c r="WQ172" i="1"/>
  <c r="WK175" i="1"/>
  <c r="WK172" i="1"/>
  <c r="WK155" i="1"/>
  <c r="AGO199" i="1" l="1"/>
  <c r="AGO198" i="1"/>
  <c r="WK170" i="1"/>
  <c r="WK168" i="1"/>
  <c r="WH152" i="1"/>
  <c r="WN151" i="1"/>
  <c r="WK151" i="1"/>
  <c r="EE61" i="1" l="1"/>
  <c r="EC63" i="1"/>
  <c r="AGO203" i="1"/>
  <c r="AGO300" i="1"/>
  <c r="AGT304" i="1"/>
  <c r="AGT299" i="1"/>
  <c r="AGR168" i="1" l="1"/>
  <c r="BZ72" i="1"/>
  <c r="BZ71" i="1"/>
  <c r="CC35" i="1"/>
  <c r="CC39" i="1"/>
  <c r="CF70" i="1"/>
  <c r="AGO168" i="1"/>
  <c r="AHB170" i="1"/>
  <c r="AGR170" i="1"/>
  <c r="AHE170" i="1"/>
  <c r="AIH37" i="1"/>
  <c r="AIH36" i="1"/>
  <c r="EH66" i="1"/>
  <c r="AGQ277" i="1"/>
  <c r="AGO170" i="1" l="1"/>
  <c r="AGU20" i="1"/>
  <c r="AGN146" i="1"/>
  <c r="HD266" i="12"/>
  <c r="GZ266" i="12"/>
  <c r="HD247" i="12"/>
  <c r="GZ247" i="12"/>
  <c r="HD228" i="12"/>
  <c r="GZ228" i="12"/>
  <c r="HD209" i="12"/>
  <c r="GZ209" i="12"/>
  <c r="HD190" i="12"/>
  <c r="GZ190" i="12"/>
  <c r="HD171" i="12"/>
  <c r="GZ171" i="12"/>
  <c r="HD152" i="12"/>
  <c r="GZ152" i="12"/>
  <c r="HD133" i="12"/>
  <c r="GZ133" i="12"/>
  <c r="HD114" i="12"/>
  <c r="GZ114" i="12"/>
  <c r="HD95" i="12"/>
  <c r="GZ95" i="12"/>
  <c r="HD76" i="12"/>
  <c r="GZ76" i="12"/>
  <c r="HD57" i="12"/>
  <c r="GZ57" i="12"/>
  <c r="HD38" i="12"/>
  <c r="GZ38" i="12"/>
  <c r="QB65" i="12"/>
  <c r="PX65" i="12"/>
  <c r="GE399" i="12"/>
  <c r="GA399" i="12"/>
  <c r="GE380" i="12"/>
  <c r="GA380" i="12"/>
  <c r="GE361" i="12"/>
  <c r="GA361" i="12"/>
  <c r="GE342" i="12"/>
  <c r="GA342" i="12"/>
  <c r="GE323" i="12"/>
  <c r="GA323" i="12"/>
  <c r="GE304" i="12"/>
  <c r="GA304" i="12"/>
  <c r="GE285" i="12"/>
  <c r="GA285" i="12"/>
  <c r="GE266" i="12"/>
  <c r="GA266" i="12"/>
  <c r="GE247" i="12"/>
  <c r="GA247" i="12"/>
  <c r="GE228" i="12"/>
  <c r="GA228" i="12"/>
  <c r="GE209" i="12"/>
  <c r="GA209" i="12"/>
  <c r="GE190" i="12"/>
  <c r="GA190" i="12"/>
  <c r="GE171" i="12"/>
  <c r="GA171" i="12"/>
  <c r="GE152" i="12"/>
  <c r="GA152" i="12"/>
  <c r="GE133" i="12"/>
  <c r="GA133" i="12"/>
  <c r="GE114" i="12"/>
  <c r="GA114" i="12"/>
  <c r="GE95" i="12"/>
  <c r="GA95" i="12"/>
  <c r="GE76" i="12"/>
  <c r="GA76" i="12"/>
  <c r="GE57" i="12"/>
  <c r="GA57" i="12"/>
  <c r="GE38" i="12"/>
  <c r="GA38" i="12"/>
  <c r="PC65" i="12"/>
  <c r="OY65" i="12"/>
  <c r="FF133" i="12"/>
  <c r="FB133" i="12"/>
  <c r="FF114" i="12"/>
  <c r="FB114" i="12"/>
  <c r="FF95" i="12"/>
  <c r="FB95" i="12"/>
  <c r="FF76" i="12"/>
  <c r="FB76" i="12"/>
  <c r="FF57" i="12"/>
  <c r="FB57" i="12"/>
  <c r="FF38" i="12"/>
  <c r="FB38" i="12"/>
  <c r="OD65" i="12"/>
  <c r="NZ65" i="12"/>
  <c r="EG304" i="12"/>
  <c r="EC304" i="12"/>
  <c r="EG285" i="12"/>
  <c r="EC285" i="12"/>
  <c r="EG266" i="12"/>
  <c r="EC266" i="12"/>
  <c r="EG247" i="12"/>
  <c r="EC247" i="12"/>
  <c r="EG228" i="12"/>
  <c r="EC228" i="12"/>
  <c r="EG209" i="12"/>
  <c r="EC209" i="12"/>
  <c r="EG190" i="12"/>
  <c r="EC190" i="12"/>
  <c r="EG171" i="12"/>
  <c r="EC171" i="12"/>
  <c r="EG152" i="12"/>
  <c r="EC152" i="12"/>
  <c r="EG133" i="12"/>
  <c r="EC133" i="12"/>
  <c r="EG114" i="12"/>
  <c r="EC114" i="12"/>
  <c r="EG95" i="12"/>
  <c r="EC95" i="12"/>
  <c r="EG76" i="12"/>
  <c r="EC76" i="12"/>
  <c r="EG57" i="12"/>
  <c r="EC57" i="12"/>
  <c r="EG38" i="12"/>
  <c r="EC38" i="12"/>
  <c r="NE65" i="12"/>
  <c r="NA65" i="12"/>
  <c r="DH209" i="12"/>
  <c r="DD209" i="12"/>
  <c r="DH190" i="12"/>
  <c r="DD190" i="12"/>
  <c r="DH171" i="12"/>
  <c r="DD171" i="12"/>
  <c r="DH152" i="12"/>
  <c r="DD152" i="12"/>
  <c r="DH133" i="12"/>
  <c r="DD133" i="12"/>
  <c r="DH114" i="12"/>
  <c r="DD114" i="12"/>
  <c r="DH95" i="12"/>
  <c r="DD95" i="12"/>
  <c r="DH76" i="12"/>
  <c r="DD76" i="12"/>
  <c r="DH57" i="12"/>
  <c r="DD57" i="12"/>
  <c r="DH38" i="12"/>
  <c r="DD38" i="12"/>
  <c r="MF65" i="12"/>
  <c r="MB65" i="12"/>
  <c r="CI152" i="12"/>
  <c r="CE152" i="12"/>
  <c r="CI133" i="12"/>
  <c r="CE133" i="12"/>
  <c r="CI114" i="12"/>
  <c r="CE114" i="12"/>
  <c r="CI95" i="12"/>
  <c r="CE95" i="12"/>
  <c r="CI76" i="12"/>
  <c r="CE76" i="12"/>
  <c r="CI57" i="12"/>
  <c r="CE57" i="12"/>
  <c r="CI38" i="12"/>
  <c r="CE38" i="12"/>
  <c r="LG65" i="12"/>
  <c r="LC65" i="12"/>
  <c r="BJ171" i="12"/>
  <c r="BF171" i="12"/>
  <c r="BJ152" i="12"/>
  <c r="BF152" i="12"/>
  <c r="BJ133" i="12"/>
  <c r="BF133" i="12"/>
  <c r="BJ114" i="12"/>
  <c r="BF114" i="12"/>
  <c r="BJ95" i="12"/>
  <c r="BF95" i="12"/>
  <c r="BJ76" i="12"/>
  <c r="BF76" i="12"/>
  <c r="BJ57" i="12"/>
  <c r="BF57" i="12"/>
  <c r="AK152" i="12"/>
  <c r="AG152" i="12"/>
  <c r="AK133" i="12"/>
  <c r="AG133" i="12"/>
  <c r="AK114" i="12"/>
  <c r="AG114" i="12"/>
  <c r="AK95" i="12"/>
  <c r="AG95" i="12"/>
  <c r="AIH34" i="1"/>
  <c r="AGP142" i="1"/>
  <c r="AGQ29" i="1"/>
  <c r="AGQ25" i="1"/>
  <c r="AIH43" i="1"/>
  <c r="AIH42" i="1" l="1"/>
  <c r="AIS33" i="1"/>
  <c r="AGQ22" i="1"/>
  <c r="AGO101" i="1" l="1"/>
  <c r="AGN180" i="1"/>
  <c r="AIM39" i="1"/>
  <c r="AIM38" i="1"/>
  <c r="EC64" i="1"/>
  <c r="F133" i="12" l="1"/>
  <c r="B133" i="12"/>
  <c r="F114" i="12"/>
  <c r="B114" i="12"/>
  <c r="F95" i="12"/>
  <c r="B95" i="12"/>
  <c r="F76" i="12"/>
  <c r="B76" i="12"/>
  <c r="F57" i="12"/>
  <c r="B57" i="12"/>
  <c r="F38" i="12"/>
  <c r="B38" i="12"/>
  <c r="AK76" i="12"/>
  <c r="AG76" i="12"/>
  <c r="AK57" i="12"/>
  <c r="AG57" i="12"/>
  <c r="AK38" i="12"/>
  <c r="AK19" i="12"/>
  <c r="BF38" i="12"/>
  <c r="AG38" i="12"/>
  <c r="AG19" i="12"/>
  <c r="BJ38" i="12"/>
  <c r="E12" i="12"/>
  <c r="S12" i="12"/>
  <c r="B15" i="12"/>
  <c r="X15" i="12"/>
  <c r="Z6" i="12"/>
  <c r="X3" i="12"/>
  <c r="Z3" i="12"/>
  <c r="E3" i="12"/>
  <c r="X9" i="12"/>
  <c r="E6" i="12" l="1"/>
  <c r="B24" i="12" l="1"/>
  <c r="F24" i="12"/>
  <c r="Q350" i="6" l="1"/>
  <c r="Q352" i="6"/>
  <c r="Q351" i="6"/>
  <c r="MD236" i="1"/>
  <c r="MD206" i="1" l="1"/>
  <c r="ME98" i="1"/>
  <c r="MD201" i="1"/>
  <c r="MG240" i="1"/>
  <c r="MK151" i="1"/>
  <c r="MH182" i="1"/>
  <c r="MI185" i="1"/>
  <c r="MD243" i="1"/>
  <c r="MD143" i="1"/>
  <c r="MI156" i="1"/>
  <c r="MD216" i="1"/>
  <c r="MD229" i="1"/>
  <c r="MD231" i="1"/>
  <c r="MQ209" i="1"/>
  <c r="BM306" i="6" l="1"/>
  <c r="AA172" i="6"/>
  <c r="MK150" i="1"/>
  <c r="MM108" i="1"/>
  <c r="MG108" i="1"/>
  <c r="ME249" i="1"/>
  <c r="MD93" i="1"/>
  <c r="MD54" i="1"/>
  <c r="NI111" i="1" l="1"/>
  <c r="MJ42" i="1"/>
  <c r="NF171" i="1"/>
  <c r="MD139" i="1"/>
  <c r="OA119" i="1"/>
  <c r="MP119" i="1"/>
  <c r="MP123" i="1" s="1"/>
  <c r="MQ168" i="1"/>
  <c r="MG86" i="1"/>
  <c r="MD86" i="1"/>
  <c r="E431" i="6"/>
  <c r="F429" i="6"/>
  <c r="F430" i="6" s="1"/>
  <c r="MK63" i="1" s="1"/>
  <c r="H431" i="6"/>
  <c r="H432" i="6" s="1"/>
  <c r="MN73" i="1" s="1"/>
  <c r="G431" i="6"/>
  <c r="J431" i="6"/>
  <c r="J432" i="6" s="1"/>
  <c r="MQ73" i="1" s="1"/>
  <c r="MQ75" i="1" s="1"/>
  <c r="I431" i="6"/>
  <c r="F431" i="6"/>
  <c r="F432" i="6" s="1"/>
  <c r="MK73" i="1" s="1"/>
  <c r="E429" i="6"/>
  <c r="J425" i="6"/>
  <c r="J426" i="6" s="1"/>
  <c r="I425" i="6"/>
  <c r="F425" i="6"/>
  <c r="F426" i="6" s="1"/>
  <c r="E425" i="6"/>
  <c r="H425" i="6"/>
  <c r="H426" i="6" s="1"/>
  <c r="G425" i="6"/>
  <c r="J429" i="6"/>
  <c r="J430" i="6" s="1"/>
  <c r="MQ63" i="1" s="1"/>
  <c r="MQ65" i="1" s="1"/>
  <c r="I429" i="6"/>
  <c r="H429" i="6"/>
  <c r="H430" i="6" s="1"/>
  <c r="MN63" i="1" s="1"/>
  <c r="G429" i="6"/>
  <c r="J419" i="6"/>
  <c r="J422" i="6" s="1"/>
  <c r="MQ17" i="1" s="1"/>
  <c r="MS19" i="1" s="1"/>
  <c r="H423" i="6"/>
  <c r="H424" i="6" s="1"/>
  <c r="G423" i="6"/>
  <c r="F423" i="6"/>
  <c r="F424" i="6" s="1"/>
  <c r="E423" i="6"/>
  <c r="H419" i="6"/>
  <c r="H422" i="6" s="1"/>
  <c r="MN17" i="1" s="1"/>
  <c r="F419" i="6"/>
  <c r="F422" i="6" s="1"/>
  <c r="MK17" i="1" s="1"/>
  <c r="J423" i="6"/>
  <c r="J424" i="6" s="1"/>
  <c r="I423" i="6"/>
  <c r="I419" i="6"/>
  <c r="G419" i="6"/>
  <c r="E419" i="6"/>
  <c r="ME81" i="1"/>
  <c r="OA123" i="1" l="1"/>
  <c r="NO123" i="1"/>
  <c r="MG68" i="1"/>
  <c r="MG22" i="1"/>
  <c r="AD12" i="12"/>
  <c r="V66" i="1"/>
  <c r="MU128" i="1"/>
  <c r="ND129" i="1" s="1"/>
  <c r="MD123" i="1"/>
  <c r="MV73" i="1"/>
  <c r="MV17" i="1"/>
  <c r="MV63" i="1"/>
  <c r="MG34" i="1"/>
  <c r="MD35" i="1"/>
  <c r="ME24" i="1"/>
  <c r="WI153" i="1" l="1"/>
  <c r="MG78" i="1"/>
  <c r="AGO169" i="1"/>
  <c r="AIM40" i="1"/>
  <c r="MG152" i="1"/>
  <c r="MM156" i="1"/>
  <c r="CI79" i="1"/>
  <c r="KC98" i="1"/>
  <c r="IT39" i="1"/>
  <c r="JZ31" i="1"/>
  <c r="BZ79" i="1" l="1"/>
  <c r="GK39" i="1"/>
  <c r="WK152" i="1"/>
  <c r="MD241" i="1"/>
  <c r="AGR169" i="1"/>
  <c r="AIH35" i="1"/>
  <c r="MG159" i="1"/>
  <c r="MG153" i="1"/>
  <c r="KC100" i="1"/>
  <c r="MG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I13" i="12" l="1"/>
  <c r="AI12" i="12"/>
  <c r="AI11" i="12"/>
  <c r="M17" i="12"/>
  <c r="E19" i="12"/>
  <c r="W18" i="12"/>
  <c r="E20" i="12"/>
  <c r="E18" i="12"/>
  <c r="H17" i="12"/>
  <c r="GI86" i="1" l="1"/>
  <c r="EB34" i="1"/>
  <c r="EE33" i="1"/>
  <c r="EE29" i="1"/>
  <c r="EB28" i="1"/>
  <c r="GJ90" i="1" l="1"/>
  <c r="GJ91" i="1"/>
  <c r="GJ75" i="1"/>
  <c r="GJ74" i="1"/>
  <c r="IV15" i="1" l="1"/>
  <c r="KC71" i="1"/>
  <c r="GK69" i="1"/>
  <c r="GK70" i="1"/>
  <c r="GH21" i="1"/>
  <c r="GH25" i="1"/>
  <c r="GK72" i="1"/>
  <c r="GH40" i="1"/>
  <c r="GK40" i="1"/>
  <c r="GI79" i="1"/>
  <c r="GH37" i="1"/>
  <c r="GH29" i="1"/>
  <c r="IW29" i="1" l="1"/>
  <c r="KC63" i="1"/>
  <c r="KM68" i="1"/>
  <c r="JZ64" i="1" s="1"/>
  <c r="KA77" i="1"/>
  <c r="KA76" i="1"/>
  <c r="KL76" i="1" l="1"/>
  <c r="KC45" i="1"/>
  <c r="JZ73" i="1" l="1"/>
  <c r="PN105" i="1"/>
  <c r="KC16" i="1"/>
  <c r="JZ53" i="1"/>
  <c r="IT23" i="1"/>
  <c r="Q10" i="11"/>
  <c r="S12" i="11" s="1"/>
  <c r="U6" i="11" l="1"/>
  <c r="W10" i="11"/>
  <c r="AA10" i="11" s="1"/>
  <c r="W9" i="11"/>
  <c r="AA9" i="11" s="1"/>
  <c r="U8" i="11"/>
  <c r="T8" i="11"/>
  <c r="Q14" i="11"/>
  <c r="GH49" i="1"/>
  <c r="PR133" i="1" l="1"/>
  <c r="PV133" i="1" s="1"/>
  <c r="CC103" i="1" l="1"/>
  <c r="CN103" i="1" s="1"/>
  <c r="WQ47" i="1"/>
  <c r="P12" i="12"/>
  <c r="T68" i="1"/>
  <c r="AGQ293" i="1"/>
  <c r="AGO291" i="1"/>
  <c r="AIH33" i="1"/>
  <c r="MD200" i="1"/>
  <c r="AGQ309" i="1"/>
  <c r="AGZ310" i="1" s="1"/>
  <c r="MD92" i="1"/>
  <c r="ME248" i="1"/>
  <c r="KF104" i="1"/>
  <c r="MD53" i="1"/>
  <c r="GH48" i="1"/>
  <c r="GH36" i="1"/>
  <c r="CF106" i="1"/>
  <c r="ATR239" i="1" l="1"/>
  <c r="EB120" i="1"/>
  <c r="AGW310" i="1"/>
  <c r="X6" i="12"/>
  <c r="CC94" i="1" l="1"/>
  <c r="GH115" i="1"/>
  <c r="MD230" i="1"/>
  <c r="MI229" i="1" s="1"/>
  <c r="ME101" i="1"/>
  <c r="IT57" i="1"/>
  <c r="JZ99" i="1"/>
  <c r="BW313" i="6"/>
  <c r="CI333" i="6" s="1"/>
  <c r="BW316" i="6"/>
  <c r="BX368" i="6"/>
  <c r="CI352" i="6" s="1"/>
  <c r="BX371" i="6"/>
  <c r="CI354" i="6" s="1"/>
  <c r="AG21" i="10" l="1"/>
  <c r="AF21" i="10"/>
  <c r="AE21" i="10"/>
  <c r="AD21" i="10"/>
  <c r="AJ20" i="10"/>
  <c r="AG19" i="10"/>
  <c r="AF19" i="10"/>
  <c r="AE19" i="10"/>
  <c r="AD19" i="10"/>
  <c r="AJ17" i="10"/>
  <c r="X21" i="10" l="1"/>
  <c r="X22" i="10" s="1"/>
  <c r="D12" i="6"/>
  <c r="D13" i="6"/>
  <c r="D14" i="6"/>
  <c r="D15" i="6"/>
  <c r="D16" i="6"/>
  <c r="D17" i="6"/>
  <c r="D18" i="6"/>
  <c r="D19" i="6"/>
  <c r="D20" i="6"/>
  <c r="D21" i="6"/>
  <c r="D22" i="6"/>
  <c r="P12" i="6" s="1"/>
  <c r="D23" i="6"/>
  <c r="D24" i="6"/>
  <c r="D25" i="6"/>
  <c r="D26" i="6"/>
  <c r="D27" i="6"/>
  <c r="D28" i="6"/>
  <c r="D29" i="6"/>
  <c r="D30" i="6"/>
  <c r="D31" i="6"/>
  <c r="D32" i="6"/>
  <c r="D33" i="6"/>
  <c r="D34" i="6"/>
  <c r="D11" i="6"/>
  <c r="AD17" i="10" l="1"/>
  <c r="F12" i="6"/>
  <c r="F13" i="6"/>
  <c r="F14" i="6"/>
  <c r="F15" i="6"/>
  <c r="F16" i="6"/>
  <c r="F17" i="6"/>
  <c r="F18" i="6"/>
  <c r="F19" i="6"/>
  <c r="F20" i="6"/>
  <c r="F21" i="6"/>
  <c r="F22" i="6"/>
  <c r="Q12" i="6" s="1"/>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U12" i="6" s="1"/>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S12" i="6" l="1"/>
  <c r="T12" i="6"/>
  <c r="R12" i="6"/>
  <c r="ASI217" i="1"/>
  <c r="ASI107" i="1"/>
  <c r="ASL111" i="1"/>
  <c r="ATR235" i="1"/>
  <c r="BJ363" i="6"/>
  <c r="AQY89" i="1" l="1"/>
  <c r="ME23" i="1"/>
  <c r="AO96" i="1"/>
  <c r="AL96" i="1"/>
  <c r="GM115" i="1" l="1"/>
  <c r="MD234" i="1" s="1"/>
  <c r="MH215" i="1"/>
  <c r="AP20" i="1"/>
  <c r="D85" i="6" l="1"/>
  <c r="AM109" i="1"/>
  <c r="CA40" i="1"/>
  <c r="C251" i="6"/>
  <c r="N428" i="6"/>
  <c r="P432" i="6" s="1"/>
  <c r="ASH18" i="1" s="1"/>
  <c r="ASJ20" i="1" s="1"/>
  <c r="CA37" i="1"/>
  <c r="AK53" i="1"/>
  <c r="CI36" i="1"/>
  <c r="CA42" i="1" s="1"/>
  <c r="BK59" i="6"/>
  <c r="E43" i="6"/>
  <c r="BA59" i="6"/>
  <c r="AF60" i="6"/>
  <c r="S18" i="6"/>
  <c r="S20" i="6" s="1"/>
  <c r="WI14" i="1"/>
  <c r="AS35" i="6"/>
  <c r="PT158" i="1"/>
  <c r="PX139" i="1"/>
  <c r="MG58" i="1"/>
  <c r="MG42" i="1"/>
  <c r="JZ36" i="1"/>
  <c r="IT69" i="1"/>
  <c r="X23" i="10"/>
  <c r="X16" i="10" s="1"/>
  <c r="X17" i="10" s="1"/>
  <c r="AE11" i="10"/>
  <c r="J45" i="6" l="1"/>
  <c r="BC35" i="1" s="1"/>
  <c r="J46" i="6"/>
  <c r="BG35" i="1" s="1"/>
  <c r="J44" i="6"/>
  <c r="AY35" i="1" s="1"/>
  <c r="MH136" i="1"/>
  <c r="ME102" i="1"/>
  <c r="AX28" i="1"/>
  <c r="BA30" i="1" s="1"/>
  <c r="C144" i="6" s="1"/>
  <c r="AH23" i="10"/>
  <c r="AG23" i="10"/>
  <c r="AF23" i="10"/>
  <c r="AE23" i="10"/>
  <c r="AI23" i="10"/>
  <c r="AD23" i="10"/>
  <c r="AY38" i="1" l="1"/>
  <c r="AK50" i="1" s="1"/>
  <c r="AL175" i="6"/>
  <c r="C250" i="6"/>
  <c r="Q6" i="6"/>
  <c r="AX23" i="1" s="1"/>
  <c r="AX25" i="1" l="1"/>
  <c r="AD25" i="10"/>
  <c r="BI59" i="6" l="1"/>
  <c r="AK49" i="1"/>
  <c r="AP49" i="1" s="1"/>
  <c r="V39" i="6"/>
  <c r="JZ34" i="1"/>
  <c r="GH28" i="1"/>
  <c r="GM28" i="1" s="1"/>
  <c r="IU100" i="1" s="1"/>
  <c r="AY59" i="6"/>
  <c r="JZ20" i="1"/>
  <c r="CK16" i="6"/>
  <c r="PT48" i="1"/>
  <c r="PQ154" i="1"/>
  <c r="PW155" i="1" s="1"/>
  <c r="PZ160" i="1" s="1"/>
  <c r="PU139" i="1"/>
  <c r="EB49" i="1"/>
  <c r="AD24" i="10"/>
  <c r="ASI187" i="1"/>
  <c r="PS145" i="1" l="1"/>
  <c r="EE66" i="1"/>
  <c r="IT67" i="1"/>
  <c r="ASN130" i="1"/>
  <c r="PN147" i="1" l="1"/>
  <c r="PZ146" i="1" s="1"/>
  <c r="PN135" i="1"/>
  <c r="CA41" i="1"/>
  <c r="BZ95" i="1"/>
  <c r="CA50" i="1"/>
  <c r="CL49" i="1"/>
  <c r="CB63" i="1" s="1"/>
  <c r="CA24" i="1"/>
  <c r="CE24" i="1" s="1"/>
  <c r="AK54" i="1"/>
  <c r="AP53" i="1" s="1"/>
  <c r="AO97" i="1"/>
  <c r="AJ175" i="6"/>
  <c r="CA20" i="1"/>
  <c r="CE20" i="1" s="1"/>
  <c r="CL40" i="1"/>
  <c r="WN168" i="1" s="1"/>
  <c r="EH61" i="1"/>
  <c r="ME43" i="1"/>
  <c r="EB50" i="1"/>
  <c r="JZ21" i="1"/>
  <c r="GH20" i="1"/>
  <c r="GM20" i="1" s="1"/>
  <c r="PW135" i="1"/>
  <c r="ATR243" i="1" l="1"/>
  <c r="ASI213" i="1" s="1"/>
  <c r="ASN126" i="1" s="1"/>
  <c r="AW95" i="1"/>
  <c r="PO78" i="1"/>
  <c r="PS165" i="1"/>
  <c r="PO185" i="1" s="1"/>
  <c r="MK136" i="1"/>
  <c r="AK101" i="1"/>
  <c r="CC12" i="1"/>
  <c r="AQ52" i="6"/>
  <c r="MG194" i="1"/>
  <c r="AGN181" i="1"/>
  <c r="AGZ223" i="1"/>
  <c r="AIM36" i="1"/>
  <c r="MI186" i="1"/>
  <c r="BI306" i="6" s="1"/>
  <c r="EB29" i="1"/>
  <c r="MD142" i="1"/>
  <c r="IU99" i="1"/>
  <c r="IT24" i="1"/>
  <c r="JZ72" i="1"/>
  <c r="GH24" i="1"/>
  <c r="GN72" i="1"/>
  <c r="IT58" i="1"/>
  <c r="CO45" i="1"/>
  <c r="KL72" i="1" s="1"/>
  <c r="PN81" i="1" s="1"/>
  <c r="GM24" i="1"/>
  <c r="CI63" i="1"/>
  <c r="CH67" i="1" s="1"/>
  <c r="AU100" i="1" l="1"/>
  <c r="AK100" i="1"/>
  <c r="BZ96" i="1"/>
  <c r="WN170" i="1"/>
  <c r="PO201" i="1"/>
  <c r="PS72" i="1"/>
  <c r="PT108" i="1"/>
  <c r="PQ71" i="1"/>
  <c r="PN106" i="1"/>
  <c r="PQ48" i="1"/>
  <c r="PQ44" i="1"/>
  <c r="MD235" i="1"/>
  <c r="WH151" i="1"/>
  <c r="AGQ197" i="1"/>
  <c r="AGU167" i="1"/>
  <c r="EE118" i="1"/>
  <c r="CC70" i="1"/>
  <c r="CL71" i="1" s="1"/>
  <c r="CA91" i="1" s="1"/>
  <c r="AGN182" i="1"/>
  <c r="MG195" i="1"/>
  <c r="AIM37" i="1"/>
  <c r="AGZ227" i="1"/>
  <c r="MD144" i="1"/>
  <c r="IT25" i="1"/>
  <c r="MD207" i="1"/>
  <c r="MH181" i="1"/>
  <c r="BO325" i="6" s="1"/>
  <c r="MI187" i="1"/>
  <c r="BI307" i="6" s="1"/>
  <c r="MD217" i="1"/>
  <c r="MG157" i="1"/>
  <c r="MG158" i="1"/>
  <c r="KC64" i="1"/>
  <c r="MD218" i="1"/>
  <c r="MG151" i="1"/>
  <c r="MS151" i="1" s="1"/>
  <c r="NF172" i="1"/>
  <c r="GK68" i="1"/>
  <c r="JZ55" i="1"/>
  <c r="ME100" i="1"/>
  <c r="MD137" i="1"/>
  <c r="EE27" i="1"/>
  <c r="IW28" i="1"/>
  <c r="KC15" i="1"/>
  <c r="IX22" i="1"/>
  <c r="KC44" i="1"/>
  <c r="EB30" i="1"/>
  <c r="KC52" i="1"/>
  <c r="IT29" i="1"/>
  <c r="EE32" i="1"/>
  <c r="MD31" i="1"/>
  <c r="MD69" i="1"/>
  <c r="JZ54" i="1"/>
  <c r="GH70" i="1"/>
  <c r="AGZ180" i="1"/>
  <c r="WO155" i="1" l="1"/>
  <c r="AGO176" i="1"/>
  <c r="MN216" i="1"/>
  <c r="WI184" i="1" s="1"/>
  <c r="AGO239" i="1"/>
  <c r="AGZ237" i="1" s="1"/>
  <c r="MR157" i="1"/>
  <c r="MK162" i="1" s="1"/>
  <c r="MI141" i="1" l="1"/>
  <c r="MP142" i="1" s="1"/>
  <c r="AGO250" i="1"/>
  <c r="AGO117" i="1"/>
  <c r="WM189" i="1"/>
  <c r="WW126" i="1"/>
  <c r="AGO245" i="1"/>
  <c r="ME99" i="1"/>
  <c r="MD242" i="1"/>
  <c r="MH207" i="1"/>
  <c r="ME28" i="1"/>
  <c r="MD87" i="1"/>
  <c r="GH41" i="1"/>
  <c r="GT40" i="1" s="1"/>
  <c r="GK35" i="1" s="1"/>
  <c r="GQ36" i="1" s="1"/>
  <c r="KC99" i="1"/>
  <c r="CL91" i="1"/>
  <c r="CE75" i="1"/>
  <c r="CN99" i="1" s="1"/>
  <c r="CB108" i="1" l="1"/>
  <c r="CN107" i="1" s="1"/>
  <c r="CB112" i="1"/>
  <c r="AEY78" i="1"/>
  <c r="GI107" i="1"/>
  <c r="GI108" i="1"/>
  <c r="AGZ244" i="1"/>
  <c r="AGS250" i="1" s="1"/>
  <c r="AGO220" i="1"/>
  <c r="WI182" i="1"/>
  <c r="EB33" i="1"/>
  <c r="EK33" i="1" s="1"/>
  <c r="EB51" i="1" s="1"/>
  <c r="EK49" i="1" s="1"/>
  <c r="CF94" i="1"/>
  <c r="CL95" i="1" s="1"/>
  <c r="WM186" i="1"/>
  <c r="AGZ212" i="1"/>
  <c r="GI103" i="1"/>
  <c r="S350" i="6"/>
  <c r="MI99" i="1"/>
  <c r="JZ16" i="1"/>
  <c r="JZ45" i="1"/>
  <c r="GM111" i="1"/>
  <c r="GM48" i="1"/>
  <c r="EF92" i="1" l="1"/>
  <c r="EC67" i="1"/>
  <c r="WK102" i="1"/>
  <c r="AEV77" i="1"/>
  <c r="EC73" i="1"/>
  <c r="PO46" i="1"/>
  <c r="LP24" i="1"/>
  <c r="ME44" i="1"/>
  <c r="MP43" i="1" s="1"/>
  <c r="MD36" i="1" s="1"/>
  <c r="MP35" i="1" s="1"/>
  <c r="EE28" i="1"/>
  <c r="EN28" i="1" s="1"/>
  <c r="PN82" i="1"/>
  <c r="PZ81" i="1" s="1"/>
  <c r="PO77" i="1" s="1"/>
  <c r="PZ76" i="1" s="1"/>
  <c r="PP72" i="1" s="1"/>
  <c r="PZ72" i="1" s="1"/>
  <c r="PP120" i="1" s="1"/>
  <c r="Q349" i="6"/>
  <c r="AGO79" i="1"/>
  <c r="GI80" i="1"/>
  <c r="GI104" i="1"/>
  <c r="MD70" i="1"/>
  <c r="MP69" i="1" s="1"/>
  <c r="JZ65" i="1"/>
  <c r="GH69" i="1"/>
  <c r="GT69" i="1" s="1"/>
  <c r="KC53" i="1"/>
  <c r="IX23" i="1"/>
  <c r="KI64" i="1"/>
  <c r="PO110" i="1" l="1"/>
  <c r="GT73" i="1"/>
  <c r="IT85" i="1"/>
  <c r="KF92" i="1"/>
  <c r="JZ87" i="1"/>
  <c r="KC19" i="1"/>
  <c r="KL20" i="1" s="1"/>
  <c r="PN49" i="1" s="1"/>
  <c r="PZ49" i="1" s="1"/>
  <c r="IV14" i="1"/>
  <c r="JF14" i="1" s="1"/>
  <c r="KC54" i="1"/>
  <c r="KL53" i="1" s="1"/>
  <c r="GJ73" i="1"/>
  <c r="BW315" i="6"/>
  <c r="WK105" i="1" l="1"/>
  <c r="AGN86" i="1"/>
  <c r="MD138" i="1"/>
  <c r="MQ137" i="1" s="1"/>
  <c r="AA302" i="6"/>
  <c r="PQ103" i="1"/>
  <c r="PW104" i="1" s="1"/>
  <c r="PP100" i="1" s="1"/>
  <c r="JQ42" i="1"/>
  <c r="MP31" i="1"/>
  <c r="MM27" i="1" s="1"/>
  <c r="PO45" i="1"/>
  <c r="PZ45" i="1" s="1"/>
  <c r="PO27" i="1"/>
  <c r="PS18" i="1"/>
  <c r="EC62" i="1"/>
  <c r="MD59" i="1"/>
  <c r="AIH41" i="1"/>
  <c r="JZ88" i="1"/>
  <c r="IT86" i="1"/>
  <c r="JZ35" i="1"/>
  <c r="KI34" i="1" s="1"/>
  <c r="IW27" i="1"/>
  <c r="EC68" i="1"/>
  <c r="EN67" i="1" s="1"/>
  <c r="JZ17" i="1"/>
  <c r="KL16" i="1" s="1"/>
  <c r="IX24" i="1"/>
  <c r="JD23" i="1" s="1"/>
  <c r="BX366" i="6"/>
  <c r="CI351" i="6" s="1"/>
  <c r="ASI103" i="1"/>
  <c r="EC106" i="1" l="1"/>
  <c r="EC102" i="1"/>
  <c r="EC80" i="1"/>
  <c r="EN80" i="1" s="1"/>
  <c r="EC94" i="1"/>
  <c r="EN62" i="1"/>
  <c r="AGQ63" i="1"/>
  <c r="AEV81" i="1"/>
  <c r="WI187" i="1"/>
  <c r="AGO219" i="1"/>
  <c r="MI98" i="1"/>
  <c r="MP98" i="1" s="1"/>
  <c r="AGQ57" i="1"/>
  <c r="GL88" i="1"/>
  <c r="IU33" i="1"/>
  <c r="PO66" i="1"/>
  <c r="JQ90" i="1"/>
  <c r="O300" i="6"/>
  <c r="AC302" i="6"/>
  <c r="JR19" i="1"/>
  <c r="PO20" i="1"/>
  <c r="PO26" i="1"/>
  <c r="PR28" i="1"/>
  <c r="PO28" i="1"/>
  <c r="PS19" i="1"/>
  <c r="PQ16" i="1"/>
  <c r="Q353" i="6"/>
  <c r="AIM33" i="1"/>
  <c r="GI84" i="1"/>
  <c r="MD32" i="1"/>
  <c r="JZ30" i="1"/>
  <c r="KI30" i="1"/>
  <c r="KC87" i="1" s="1"/>
  <c r="GI98" i="1"/>
  <c r="GI78" i="1"/>
  <c r="BW311" i="6"/>
  <c r="ASM199" i="1"/>
  <c r="ASM195" i="1"/>
  <c r="EC105" i="1" l="1"/>
  <c r="EC101" i="1"/>
  <c r="AR11" i="12"/>
  <c r="GQ78" i="1"/>
  <c r="EC76" i="1"/>
  <c r="EK76" i="1" s="1"/>
  <c r="EG109" i="1"/>
  <c r="EE87" i="1" s="1"/>
  <c r="EC93" i="1"/>
  <c r="EL93" i="1" s="1"/>
  <c r="EH87" i="1" s="1"/>
  <c r="BW312" i="6"/>
  <c r="CI337" i="6" s="1"/>
  <c r="EC88" i="1"/>
  <c r="PO65" i="1"/>
  <c r="PZ65" i="1" s="1"/>
  <c r="EC72" i="1"/>
  <c r="EL71" i="1" s="1"/>
  <c r="EC89" i="1" s="1"/>
  <c r="PZ17" i="1"/>
  <c r="QB26" i="1"/>
  <c r="AIS35" i="1"/>
  <c r="AGO204" i="1"/>
  <c r="AGZ203" i="1" s="1"/>
  <c r="ME27" i="1"/>
  <c r="BX367" i="6"/>
  <c r="CI350" i="6" s="1"/>
  <c r="IU32" i="1"/>
  <c r="JC32" i="1" s="1"/>
  <c r="IT28" i="1" s="1"/>
  <c r="JF28" i="1" s="1"/>
  <c r="EL101" i="1" l="1"/>
  <c r="EL105" i="1"/>
  <c r="CI336" i="6"/>
  <c r="CI334" i="6"/>
  <c r="CI335" i="6"/>
  <c r="CI332" i="6"/>
  <c r="GP88" i="1"/>
  <c r="WO101" i="1"/>
  <c r="SG13" i="1"/>
  <c r="SG25" i="1"/>
  <c r="PZ31" i="1"/>
  <c r="AGO200" i="1"/>
  <c r="WW172" i="1"/>
  <c r="WI186" i="1"/>
  <c r="AGQ67" i="1"/>
  <c r="AGQ58" i="1"/>
  <c r="AIM34" i="1"/>
  <c r="ME221" i="1"/>
  <c r="MH24" i="1"/>
  <c r="MP23" i="1" s="1"/>
  <c r="WM43" i="1" s="1"/>
  <c r="GI99" i="1"/>
  <c r="GI85" i="1"/>
  <c r="GQ84" i="1" s="1"/>
  <c r="GI100" i="1" s="1"/>
  <c r="KA50" i="1"/>
  <c r="BW314" i="6"/>
  <c r="BJ369" i="6" l="1"/>
  <c r="ATM17" i="1"/>
  <c r="WV13" i="1"/>
  <c r="GV89" i="1"/>
  <c r="SB28" i="1"/>
  <c r="PO126" i="1"/>
  <c r="WP14" i="1"/>
  <c r="SE34" i="1"/>
  <c r="VS9" i="1"/>
  <c r="SB23" i="1"/>
  <c r="WK197" i="1"/>
  <c r="PQ188" i="1"/>
  <c r="AGZ198" i="1"/>
  <c r="AGZ192" i="1" s="1"/>
  <c r="WM187" i="1"/>
  <c r="WK131" i="1"/>
  <c r="AGP280" i="1"/>
  <c r="WK134" i="1"/>
  <c r="AGO138" i="1"/>
  <c r="WK137" i="1"/>
  <c r="AIH40" i="1"/>
  <c r="AGP143" i="1"/>
  <c r="MG52" i="1"/>
  <c r="MP53" i="1" s="1"/>
  <c r="AGP132" i="1"/>
  <c r="AGR217" i="1"/>
  <c r="AIS42" i="1"/>
  <c r="SE42" i="1"/>
  <c r="MG199" i="1"/>
  <c r="BX369" i="6"/>
  <c r="CI353" i="6" s="1"/>
  <c r="MM200" i="1"/>
  <c r="AGZ218" i="1" l="1"/>
  <c r="AGP270" i="1" s="1"/>
  <c r="ME222" i="1"/>
  <c r="AGQ59" i="1"/>
  <c r="ASI99" i="1"/>
  <c r="GJ89" i="1"/>
  <c r="AGP326" i="1" l="1"/>
  <c r="AGP321" i="1"/>
  <c r="AGP274" i="1"/>
  <c r="MM221" i="1"/>
  <c r="KA49" i="1"/>
  <c r="KL49" i="1" s="1"/>
  <c r="GI123" i="1"/>
  <c r="AGQ21" i="1"/>
  <c r="IU101" i="1"/>
  <c r="JC99" i="1" s="1"/>
  <c r="IW71" i="1" s="1"/>
  <c r="JC72" i="1" s="1"/>
  <c r="ASI15" i="1"/>
  <c r="AHB21" i="1"/>
  <c r="BX370" i="6"/>
  <c r="IX56" i="1"/>
  <c r="GM123" i="1"/>
  <c r="MH234" i="1" s="1"/>
  <c r="GT98" i="1"/>
  <c r="AEV76" i="1" s="1"/>
  <c r="JD57" i="1"/>
  <c r="JZ46" i="1" s="1"/>
  <c r="KL45" i="1" s="1"/>
  <c r="S348" i="6" l="1"/>
  <c r="AF348" i="6" s="1"/>
  <c r="AEY76" i="1"/>
  <c r="AHO45" i="1"/>
  <c r="JQ95" i="1"/>
  <c r="O299" i="6"/>
  <c r="IT38" i="1"/>
  <c r="JC38" i="1" s="1"/>
  <c r="KC86" i="1" s="1"/>
  <c r="PQ108" i="1"/>
  <c r="PZ109" i="1" s="1"/>
  <c r="PP99" i="1" s="1"/>
  <c r="PW99" i="1" s="1"/>
  <c r="WK80" i="1"/>
  <c r="WK98" i="1"/>
  <c r="AGO78" i="1"/>
  <c r="WK101" i="1"/>
  <c r="AGO51" i="1"/>
  <c r="AGQ30" i="1"/>
  <c r="AHB29" i="1" s="1"/>
  <c r="AHB33" i="1" s="1"/>
  <c r="AIM35" i="1"/>
  <c r="AGQ26" i="1"/>
  <c r="AHB25" i="1"/>
  <c r="BJ375" i="6"/>
  <c r="Q348" i="6"/>
  <c r="GL102" i="1"/>
  <c r="ATW125" i="1"/>
  <c r="GM131" i="1"/>
  <c r="IT68" i="1"/>
  <c r="JC67" i="1" s="1"/>
  <c r="IY76" i="1" s="1"/>
  <c r="GR103" i="1"/>
  <c r="GM119" i="1" s="1"/>
  <c r="GQ107" i="1" s="1"/>
  <c r="IT61" i="1" l="1"/>
  <c r="IY61" i="1" s="1"/>
  <c r="KC88" i="1" s="1"/>
  <c r="KL87" i="1" s="1"/>
  <c r="KL99" i="1" s="1"/>
  <c r="AGZ109" i="1"/>
  <c r="AGZ100" i="1"/>
  <c r="AGS108" i="1" s="1"/>
  <c r="MQ212" i="1"/>
  <c r="WK126" i="1" s="1"/>
  <c r="AI348" i="6"/>
  <c r="ACM11" i="1"/>
  <c r="ACQ11" i="1" s="1"/>
  <c r="XP80" i="1"/>
  <c r="XX80" i="1"/>
  <c r="YF80" i="1"/>
  <c r="YN80" i="1"/>
  <c r="YV80" i="1"/>
  <c r="ZD80" i="1"/>
  <c r="ZL80" i="1"/>
  <c r="ZT80" i="1"/>
  <c r="AAB80" i="1"/>
  <c r="AAJ80" i="1"/>
  <c r="AAR80" i="1"/>
  <c r="XQ80" i="1"/>
  <c r="XY80" i="1"/>
  <c r="YG80" i="1"/>
  <c r="YO80" i="1"/>
  <c r="YW80" i="1"/>
  <c r="ZE80" i="1"/>
  <c r="ZM80" i="1"/>
  <c r="ZU80" i="1"/>
  <c r="AAC80" i="1"/>
  <c r="AAK80" i="1"/>
  <c r="XS80" i="1"/>
  <c r="YQ80" i="1"/>
  <c r="ZG80" i="1"/>
  <c r="ZW80" i="1"/>
  <c r="AAM80" i="1"/>
  <c r="XL80" i="1"/>
  <c r="YJ80" i="1"/>
  <c r="YZ80" i="1"/>
  <c r="ZP80" i="1"/>
  <c r="AAF80" i="1"/>
  <c r="AAN80" i="1"/>
  <c r="XM80" i="1"/>
  <c r="XU80" i="1"/>
  <c r="YC80" i="1"/>
  <c r="YK80" i="1"/>
  <c r="ZA80" i="1"/>
  <c r="ZI80" i="1"/>
  <c r="ZQ80" i="1"/>
  <c r="AAG80" i="1"/>
  <c r="XV80" i="1"/>
  <c r="YT80" i="1"/>
  <c r="ZR80" i="1"/>
  <c r="AAH80" i="1"/>
  <c r="XO80" i="1"/>
  <c r="YE80" i="1"/>
  <c r="ZC80" i="1"/>
  <c r="ZK80" i="1"/>
  <c r="AAI80" i="1"/>
  <c r="XH80" i="1"/>
  <c r="AAS80" i="1"/>
  <c r="XR80" i="1"/>
  <c r="XZ80" i="1"/>
  <c r="YP80" i="1"/>
  <c r="YX80" i="1"/>
  <c r="ZF80" i="1"/>
  <c r="ZN80" i="1"/>
  <c r="ZV80" i="1"/>
  <c r="AAD80" i="1"/>
  <c r="AAL80" i="1"/>
  <c r="XG80" i="1"/>
  <c r="XJ80" i="1"/>
  <c r="XK80" i="1"/>
  <c r="YA80" i="1"/>
  <c r="YI80" i="1"/>
  <c r="YY80" i="1"/>
  <c r="ZO80" i="1"/>
  <c r="AAE80" i="1"/>
  <c r="XT80" i="1"/>
  <c r="YR80" i="1"/>
  <c r="ZH80" i="1"/>
  <c r="ZX80" i="1"/>
  <c r="AAO80" i="1"/>
  <c r="XN80" i="1"/>
  <c r="YL80" i="1"/>
  <c r="ZJ80" i="1"/>
  <c r="ZZ80" i="1"/>
  <c r="XW80" i="1"/>
  <c r="YU80" i="1"/>
  <c r="AAA80" i="1"/>
  <c r="XI80" i="1"/>
  <c r="YH80" i="1"/>
  <c r="YB80" i="1"/>
  <c r="YS80" i="1"/>
  <c r="ZY80" i="1"/>
  <c r="YD80" i="1"/>
  <c r="ZB80" i="1"/>
  <c r="AAP80" i="1"/>
  <c r="YM80" i="1"/>
  <c r="ZS80" i="1"/>
  <c r="AAQ80" i="1"/>
  <c r="PW120" i="1"/>
  <c r="PP121" i="1"/>
  <c r="IT84" i="1"/>
  <c r="JF84" i="1"/>
  <c r="ME79" i="1"/>
  <c r="MH233" i="1"/>
  <c r="GM127" i="1"/>
  <c r="MH235" i="1" s="1"/>
  <c r="ME80" i="1"/>
  <c r="WI189" i="1" l="1"/>
  <c r="WK121" i="1"/>
  <c r="AGO100" i="1"/>
  <c r="AGO115" i="1"/>
  <c r="WI180" i="1"/>
  <c r="AAQ117" i="1"/>
  <c r="AAQ115" i="1"/>
  <c r="AAQ111" i="1"/>
  <c r="AAQ113" i="1"/>
  <c r="AAQ118" i="1"/>
  <c r="AAQ110" i="1"/>
  <c r="AAQ116" i="1"/>
  <c r="AAQ114" i="1"/>
  <c r="AAQ112" i="1"/>
  <c r="AAQ109" i="1"/>
  <c r="YL117" i="1"/>
  <c r="YL115" i="1"/>
  <c r="YL111" i="1"/>
  <c r="YL113" i="1"/>
  <c r="YL110" i="1"/>
  <c r="YL114" i="1"/>
  <c r="YL116" i="1"/>
  <c r="YL118" i="1"/>
  <c r="YL112" i="1"/>
  <c r="YL109" i="1"/>
  <c r="AAD117" i="1"/>
  <c r="AAD113" i="1"/>
  <c r="AAD109" i="1"/>
  <c r="AAD116" i="1"/>
  <c r="AAD111" i="1"/>
  <c r="AAD118" i="1"/>
  <c r="AAD110" i="1"/>
  <c r="AAD115" i="1"/>
  <c r="AAD112" i="1"/>
  <c r="AAD114" i="1"/>
  <c r="ZR117" i="1"/>
  <c r="ZR115" i="1"/>
  <c r="ZR111" i="1"/>
  <c r="ZR113" i="1"/>
  <c r="ZR109" i="1"/>
  <c r="ZR110" i="1"/>
  <c r="ZR112" i="1"/>
  <c r="ZR114" i="1"/>
  <c r="ZR118" i="1"/>
  <c r="ZR116" i="1"/>
  <c r="ZU117" i="1"/>
  <c r="ZU116" i="1"/>
  <c r="ZU112" i="1"/>
  <c r="ZU111" i="1"/>
  <c r="ZU118" i="1"/>
  <c r="ZU113" i="1"/>
  <c r="ZU110" i="1"/>
  <c r="ZU109" i="1"/>
  <c r="ZU115" i="1"/>
  <c r="ZU114" i="1"/>
  <c r="XU117" i="1"/>
  <c r="XU114" i="1"/>
  <c r="XU110" i="1"/>
  <c r="XU115" i="1"/>
  <c r="XU109" i="1"/>
  <c r="XU113" i="1"/>
  <c r="XU111" i="1"/>
  <c r="XU118" i="1"/>
  <c r="XU116" i="1"/>
  <c r="XU112" i="1"/>
  <c r="XH117" i="1"/>
  <c r="XH116" i="1"/>
  <c r="XH112" i="1"/>
  <c r="XH118" i="1"/>
  <c r="XH115" i="1"/>
  <c r="XH111" i="1"/>
  <c r="XH109" i="1"/>
  <c r="XH113" i="1"/>
  <c r="XH110" i="1"/>
  <c r="XH114" i="1"/>
  <c r="AAJ117" i="1"/>
  <c r="AAJ116" i="1"/>
  <c r="AAJ112" i="1"/>
  <c r="AAJ118" i="1"/>
  <c r="AAJ115" i="1"/>
  <c r="AAJ110" i="1"/>
  <c r="AAJ109" i="1"/>
  <c r="AAJ111" i="1"/>
  <c r="AAJ114" i="1"/>
  <c r="AAJ113" i="1"/>
  <c r="YM117" i="1"/>
  <c r="YM115" i="1"/>
  <c r="YM111" i="1"/>
  <c r="YM113" i="1"/>
  <c r="YM116" i="1"/>
  <c r="YM112" i="1"/>
  <c r="YM110" i="1"/>
  <c r="YM118" i="1"/>
  <c r="YM114" i="1"/>
  <c r="YM109" i="1"/>
  <c r="AAO117" i="1"/>
  <c r="AAO114" i="1"/>
  <c r="AAO110" i="1"/>
  <c r="AAO111" i="1"/>
  <c r="AAO113" i="1"/>
  <c r="AAO118" i="1"/>
  <c r="AAO112" i="1"/>
  <c r="AAO109" i="1"/>
  <c r="AAO116" i="1"/>
  <c r="AAO115" i="1"/>
  <c r="YI117" i="1"/>
  <c r="YI113" i="1"/>
  <c r="YI109" i="1"/>
  <c r="YI115" i="1"/>
  <c r="YI118" i="1"/>
  <c r="YI112" i="1"/>
  <c r="YI110" i="1"/>
  <c r="YI114" i="1"/>
  <c r="YI111" i="1"/>
  <c r="YI116" i="1"/>
  <c r="AAI117" i="1"/>
  <c r="AAI115" i="1"/>
  <c r="AAI111" i="1"/>
  <c r="AAI116" i="1"/>
  <c r="AAI114" i="1"/>
  <c r="AAI112" i="1"/>
  <c r="AAI113" i="1"/>
  <c r="AAI109" i="1"/>
  <c r="AAI118" i="1"/>
  <c r="AAI110" i="1"/>
  <c r="XM117" i="1"/>
  <c r="XM114" i="1"/>
  <c r="XM110" i="1"/>
  <c r="XM112" i="1"/>
  <c r="XM115" i="1"/>
  <c r="XM113" i="1"/>
  <c r="XM116" i="1"/>
  <c r="XM109" i="1"/>
  <c r="XM111" i="1"/>
  <c r="XM118" i="1"/>
  <c r="ZE117" i="1"/>
  <c r="ZE116" i="1"/>
  <c r="ZE112" i="1"/>
  <c r="ZE110" i="1"/>
  <c r="ZE114" i="1"/>
  <c r="ZE118" i="1"/>
  <c r="ZE111" i="1"/>
  <c r="ZE115" i="1"/>
  <c r="ZE109" i="1"/>
  <c r="ZE113" i="1"/>
  <c r="XP117" i="1"/>
  <c r="XP116" i="1"/>
  <c r="XP112" i="1"/>
  <c r="XP118" i="1"/>
  <c r="XP115" i="1"/>
  <c r="XP113" i="1"/>
  <c r="XP110" i="1"/>
  <c r="XP114" i="1"/>
  <c r="XP111" i="1"/>
  <c r="XP109" i="1"/>
  <c r="ZX117" i="1"/>
  <c r="ZX114" i="1"/>
  <c r="ZX110" i="1"/>
  <c r="ZX112" i="1"/>
  <c r="ZX116" i="1"/>
  <c r="ZX118" i="1"/>
  <c r="ZX115" i="1"/>
  <c r="ZX113" i="1"/>
  <c r="ZX111" i="1"/>
  <c r="ZX109" i="1"/>
  <c r="ZK117" i="1"/>
  <c r="ZK115" i="1"/>
  <c r="ZK111" i="1"/>
  <c r="ZK110" i="1"/>
  <c r="ZK118" i="1"/>
  <c r="ZK109" i="1"/>
  <c r="ZK113" i="1"/>
  <c r="ZK116" i="1"/>
  <c r="ZK114" i="1"/>
  <c r="ZK112" i="1"/>
  <c r="ZT117" i="1"/>
  <c r="ZT116" i="1"/>
  <c r="ZT112" i="1"/>
  <c r="ZT118" i="1"/>
  <c r="ZT115" i="1"/>
  <c r="ZT111" i="1"/>
  <c r="ZT109" i="1"/>
  <c r="ZT113" i="1"/>
  <c r="ZT110" i="1"/>
  <c r="ZT114" i="1"/>
  <c r="ZQ117" i="1"/>
  <c r="ZQ114" i="1"/>
  <c r="ZQ110" i="1"/>
  <c r="ZQ115" i="1"/>
  <c r="ZQ112" i="1"/>
  <c r="ZQ116" i="1"/>
  <c r="ZQ109" i="1"/>
  <c r="ZQ118" i="1"/>
  <c r="ZQ113" i="1"/>
  <c r="ZQ111" i="1"/>
  <c r="ZY117" i="1"/>
  <c r="ZY114" i="1"/>
  <c r="ZY110" i="1"/>
  <c r="ZY112" i="1"/>
  <c r="ZY115" i="1"/>
  <c r="ZY116" i="1"/>
  <c r="ZY113" i="1"/>
  <c r="ZY118" i="1"/>
  <c r="ZY111" i="1"/>
  <c r="ZY109" i="1"/>
  <c r="YB117" i="1"/>
  <c r="YB114" i="1"/>
  <c r="YB110" i="1"/>
  <c r="YB113" i="1"/>
  <c r="YB111" i="1"/>
  <c r="YB118" i="1"/>
  <c r="YB116" i="1"/>
  <c r="YB112" i="1"/>
  <c r="YB115" i="1"/>
  <c r="YB109" i="1"/>
  <c r="ZO117" i="1"/>
  <c r="ZO113" i="1"/>
  <c r="ZO116" i="1"/>
  <c r="ZO115" i="1"/>
  <c r="ZO118" i="1"/>
  <c r="ZO109" i="1"/>
  <c r="ZO112" i="1"/>
  <c r="ZO110" i="1"/>
  <c r="ZO114" i="1"/>
  <c r="ZO111" i="1"/>
  <c r="AAS117" i="1"/>
  <c r="AAS116" i="1"/>
  <c r="AAS112" i="1"/>
  <c r="AAS109" i="1"/>
  <c r="AAS113" i="1"/>
  <c r="AAS114" i="1"/>
  <c r="AAS111" i="1"/>
  <c r="AAS118" i="1"/>
  <c r="AAS110" i="1"/>
  <c r="AAS115" i="1"/>
  <c r="YC117" i="1"/>
  <c r="YC114" i="1"/>
  <c r="YC110" i="1"/>
  <c r="YC118" i="1"/>
  <c r="YC113" i="1"/>
  <c r="YC111" i="1"/>
  <c r="YC116" i="1"/>
  <c r="YC115" i="1"/>
  <c r="YC112" i="1"/>
  <c r="YC109" i="1"/>
  <c r="XL117" i="1"/>
  <c r="XL114" i="1"/>
  <c r="XL110" i="1"/>
  <c r="XL112" i="1"/>
  <c r="XL111" i="1"/>
  <c r="XL118" i="1"/>
  <c r="XL116" i="1"/>
  <c r="XL109" i="1"/>
  <c r="XL115" i="1"/>
  <c r="XL113" i="1"/>
  <c r="AAR117" i="1"/>
  <c r="AAR116" i="1"/>
  <c r="AAR112" i="1"/>
  <c r="AAR118" i="1"/>
  <c r="AAR115" i="1"/>
  <c r="AAR114" i="1"/>
  <c r="AAR111" i="1"/>
  <c r="AAR113" i="1"/>
  <c r="AAR110" i="1"/>
  <c r="AAR109" i="1"/>
  <c r="YF117" i="1"/>
  <c r="YF116" i="1"/>
  <c r="YF112" i="1"/>
  <c r="YF118" i="1"/>
  <c r="YF115" i="1"/>
  <c r="YF114" i="1"/>
  <c r="YF111" i="1"/>
  <c r="YF113" i="1"/>
  <c r="YF109" i="1"/>
  <c r="YF110" i="1"/>
  <c r="ZS117" i="1"/>
  <c r="ZS115" i="1"/>
  <c r="ZS111" i="1"/>
  <c r="ZS118" i="1"/>
  <c r="ZS110" i="1"/>
  <c r="ZS113" i="1"/>
  <c r="ZS109" i="1"/>
  <c r="ZS114" i="1"/>
  <c r="ZS112" i="1"/>
  <c r="ZS116" i="1"/>
  <c r="YH117" i="1"/>
  <c r="YH113" i="1"/>
  <c r="YH109" i="1"/>
  <c r="YH116" i="1"/>
  <c r="YH112" i="1"/>
  <c r="YH110" i="1"/>
  <c r="YH114" i="1"/>
  <c r="YH111" i="1"/>
  <c r="YH115" i="1"/>
  <c r="YH118" i="1"/>
  <c r="XN117" i="1"/>
  <c r="XN115" i="1"/>
  <c r="XN111" i="1"/>
  <c r="XN114" i="1"/>
  <c r="XN110" i="1"/>
  <c r="XN116" i="1"/>
  <c r="XN112" i="1"/>
  <c r="XN109" i="1"/>
  <c r="XN113" i="1"/>
  <c r="XN118" i="1"/>
  <c r="YY117" i="1"/>
  <c r="YY113" i="1"/>
  <c r="YY109" i="1"/>
  <c r="YY116" i="1"/>
  <c r="YY111" i="1"/>
  <c r="YY115" i="1"/>
  <c r="YY112" i="1"/>
  <c r="YY110" i="1"/>
  <c r="YY114" i="1"/>
  <c r="YY118" i="1"/>
  <c r="ZV117" i="1"/>
  <c r="ZV113" i="1"/>
  <c r="ZV109" i="1"/>
  <c r="ZV116" i="1"/>
  <c r="ZV115" i="1"/>
  <c r="ZV114" i="1"/>
  <c r="ZV111" i="1"/>
  <c r="ZV118" i="1"/>
  <c r="ZV112" i="1"/>
  <c r="ZV110" i="1"/>
  <c r="YT117" i="1"/>
  <c r="YT115" i="1"/>
  <c r="YT111" i="1"/>
  <c r="YT110" i="1"/>
  <c r="YT118" i="1"/>
  <c r="YT114" i="1"/>
  <c r="YT112" i="1"/>
  <c r="YT109" i="1"/>
  <c r="YT116" i="1"/>
  <c r="YT113" i="1"/>
  <c r="AAM117" i="1"/>
  <c r="AAM113" i="1"/>
  <c r="AAM109" i="1"/>
  <c r="AAM118" i="1"/>
  <c r="AAM110" i="1"/>
  <c r="AAM116" i="1"/>
  <c r="AAM115" i="1"/>
  <c r="AAM112" i="1"/>
  <c r="AAM114" i="1"/>
  <c r="AAM111" i="1"/>
  <c r="ZM117" i="1"/>
  <c r="ZM116" i="1"/>
  <c r="ZM112" i="1"/>
  <c r="ZM114" i="1"/>
  <c r="ZM118" i="1"/>
  <c r="ZM111" i="1"/>
  <c r="ZM113" i="1"/>
  <c r="ZM115" i="1"/>
  <c r="ZM109" i="1"/>
  <c r="ZM110" i="1"/>
  <c r="XX117" i="1"/>
  <c r="XX116" i="1"/>
  <c r="XX112" i="1"/>
  <c r="XX118" i="1"/>
  <c r="XX115" i="1"/>
  <c r="XX110" i="1"/>
  <c r="XX114" i="1"/>
  <c r="XX111" i="1"/>
  <c r="XX109" i="1"/>
  <c r="XX113" i="1"/>
  <c r="XI117" i="1"/>
  <c r="XI116" i="1"/>
  <c r="XI112" i="1"/>
  <c r="XI114" i="1"/>
  <c r="XI113" i="1"/>
  <c r="XI110" i="1"/>
  <c r="XI111" i="1"/>
  <c r="XI109" i="1"/>
  <c r="XI118" i="1"/>
  <c r="XI115" i="1"/>
  <c r="ZN117" i="1"/>
  <c r="ZN113" i="1"/>
  <c r="ZN109" i="1"/>
  <c r="ZN116" i="1"/>
  <c r="ZN112" i="1"/>
  <c r="ZN110" i="1"/>
  <c r="ZN111" i="1"/>
  <c r="ZN114" i="1"/>
  <c r="ZN115" i="1"/>
  <c r="ZN118" i="1"/>
  <c r="XV117" i="1"/>
  <c r="XV115" i="1"/>
  <c r="XV111" i="1"/>
  <c r="XV116" i="1"/>
  <c r="XV114" i="1"/>
  <c r="XV112" i="1"/>
  <c r="XV109" i="1"/>
  <c r="XV118" i="1"/>
  <c r="XV113" i="1"/>
  <c r="XV110" i="1"/>
  <c r="ZW117" i="1"/>
  <c r="ZW113" i="1"/>
  <c r="ZW116" i="1"/>
  <c r="ZW111" i="1"/>
  <c r="ZW115" i="1"/>
  <c r="ZW114" i="1"/>
  <c r="ZW109" i="1"/>
  <c r="ZW118" i="1"/>
  <c r="ZW110" i="1"/>
  <c r="ZW112" i="1"/>
  <c r="AAB117" i="1"/>
  <c r="AAB116" i="1"/>
  <c r="AAB112" i="1"/>
  <c r="AAB118" i="1"/>
  <c r="AAB115" i="1"/>
  <c r="AAB113" i="1"/>
  <c r="AAB109" i="1"/>
  <c r="AAB110" i="1"/>
  <c r="AAB114" i="1"/>
  <c r="AAB111" i="1"/>
  <c r="AAP117" i="1"/>
  <c r="AAP115" i="1"/>
  <c r="AAP111" i="1"/>
  <c r="AAP118" i="1"/>
  <c r="AAP113" i="1"/>
  <c r="AAP109" i="1"/>
  <c r="AAP110" i="1"/>
  <c r="AAP116" i="1"/>
  <c r="AAP112" i="1"/>
  <c r="AAP114" i="1"/>
  <c r="AAA117" i="1"/>
  <c r="AAA115" i="1"/>
  <c r="AAA111" i="1"/>
  <c r="AAA109" i="1"/>
  <c r="AAA110" i="1"/>
  <c r="AAA112" i="1"/>
  <c r="AAA116" i="1"/>
  <c r="AAA114" i="1"/>
  <c r="AAA113" i="1"/>
  <c r="AAA118" i="1"/>
  <c r="YA117" i="1"/>
  <c r="YA113" i="1"/>
  <c r="YA109" i="1"/>
  <c r="YA110" i="1"/>
  <c r="YA114" i="1"/>
  <c r="YA118" i="1"/>
  <c r="YA116" i="1"/>
  <c r="YA115" i="1"/>
  <c r="YA112" i="1"/>
  <c r="YA111" i="1"/>
  <c r="ZF117" i="1"/>
  <c r="ZF113" i="1"/>
  <c r="ZF109" i="1"/>
  <c r="ZF116" i="1"/>
  <c r="ZF114" i="1"/>
  <c r="ZF112" i="1"/>
  <c r="ZF110" i="1"/>
  <c r="ZF118" i="1"/>
  <c r="ZF115" i="1"/>
  <c r="ZF111" i="1"/>
  <c r="AAG117" i="1"/>
  <c r="AAG114" i="1"/>
  <c r="AAG110" i="1"/>
  <c r="AAG115" i="1"/>
  <c r="AAG113" i="1"/>
  <c r="AAG109" i="1"/>
  <c r="AAG111" i="1"/>
  <c r="AAG118" i="1"/>
  <c r="AAG112" i="1"/>
  <c r="AAG116" i="1"/>
  <c r="AAN117" i="1"/>
  <c r="AAN114" i="1"/>
  <c r="AAN110" i="1"/>
  <c r="AAN113" i="1"/>
  <c r="AAN111" i="1"/>
  <c r="AAN116" i="1"/>
  <c r="AAN118" i="1"/>
  <c r="AAN109" i="1"/>
  <c r="AAN115" i="1"/>
  <c r="AAN112" i="1"/>
  <c r="ZG117" i="1"/>
  <c r="ZG113" i="1"/>
  <c r="ZG112" i="1"/>
  <c r="ZG114" i="1"/>
  <c r="ZG116" i="1"/>
  <c r="ZG110" i="1"/>
  <c r="ZG118" i="1"/>
  <c r="ZG109" i="1"/>
  <c r="ZG115" i="1"/>
  <c r="ZG111" i="1"/>
  <c r="YW117" i="1"/>
  <c r="YW116" i="1"/>
  <c r="YW112" i="1"/>
  <c r="YW115" i="1"/>
  <c r="YW113" i="1"/>
  <c r="YW110" i="1"/>
  <c r="YW118" i="1"/>
  <c r="YW114" i="1"/>
  <c r="YW111" i="1"/>
  <c r="YW109" i="1"/>
  <c r="ZB117" i="1"/>
  <c r="ZB115" i="1"/>
  <c r="ZB111" i="1"/>
  <c r="ZB114" i="1"/>
  <c r="ZB112" i="1"/>
  <c r="ZB118" i="1"/>
  <c r="ZB109" i="1"/>
  <c r="ZB116" i="1"/>
  <c r="ZB113" i="1"/>
  <c r="ZB110" i="1"/>
  <c r="YU117" i="1"/>
  <c r="YU115" i="1"/>
  <c r="YU111" i="1"/>
  <c r="YU116" i="1"/>
  <c r="YU110" i="1"/>
  <c r="YU118" i="1"/>
  <c r="YU114" i="1"/>
  <c r="YU112" i="1"/>
  <c r="YU109" i="1"/>
  <c r="YU113" i="1"/>
  <c r="ZH117" i="1"/>
  <c r="ZH114" i="1"/>
  <c r="ZH110" i="1"/>
  <c r="ZH115" i="1"/>
  <c r="ZH113" i="1"/>
  <c r="ZH111" i="1"/>
  <c r="ZH112" i="1"/>
  <c r="ZH118" i="1"/>
  <c r="ZH116" i="1"/>
  <c r="ZH109" i="1"/>
  <c r="XK117" i="1"/>
  <c r="XK113" i="1"/>
  <c r="XK109" i="1"/>
  <c r="XK116" i="1"/>
  <c r="XK118" i="1"/>
  <c r="XK115" i="1"/>
  <c r="XK111" i="1"/>
  <c r="XK114" i="1"/>
  <c r="XK112" i="1"/>
  <c r="XK110" i="1"/>
  <c r="YX117" i="1"/>
  <c r="YX113" i="1"/>
  <c r="YX109" i="1"/>
  <c r="YX116" i="1"/>
  <c r="YX111" i="1"/>
  <c r="YX115" i="1"/>
  <c r="YX112" i="1"/>
  <c r="YX110" i="1"/>
  <c r="YX118" i="1"/>
  <c r="YX114" i="1"/>
  <c r="ZC117" i="1"/>
  <c r="ZC115" i="1"/>
  <c r="ZC111" i="1"/>
  <c r="ZC118" i="1"/>
  <c r="ZC109" i="1"/>
  <c r="ZC113" i="1"/>
  <c r="ZC114" i="1"/>
  <c r="ZC112" i="1"/>
  <c r="ZC116" i="1"/>
  <c r="ZC110" i="1"/>
  <c r="AAF117" i="1"/>
  <c r="AAF114" i="1"/>
  <c r="AAF110" i="1"/>
  <c r="AAF111" i="1"/>
  <c r="AAF118" i="1"/>
  <c r="AAF116" i="1"/>
  <c r="AAF113" i="1"/>
  <c r="AAF109" i="1"/>
  <c r="AAF115" i="1"/>
  <c r="AAF112" i="1"/>
  <c r="YQ117" i="1"/>
  <c r="YQ113" i="1"/>
  <c r="YQ109" i="1"/>
  <c r="YQ111" i="1"/>
  <c r="YQ114" i="1"/>
  <c r="YQ116" i="1"/>
  <c r="YQ115" i="1"/>
  <c r="YQ112" i="1"/>
  <c r="YQ110" i="1"/>
  <c r="YQ118" i="1"/>
  <c r="YO117" i="1"/>
  <c r="YO116" i="1"/>
  <c r="YO112" i="1"/>
  <c r="YO111" i="1"/>
  <c r="YO115" i="1"/>
  <c r="YO109" i="1"/>
  <c r="YO118" i="1"/>
  <c r="YO113" i="1"/>
  <c r="YO110" i="1"/>
  <c r="YO114" i="1"/>
  <c r="ZL117" i="1"/>
  <c r="ZL116" i="1"/>
  <c r="ZL112" i="1"/>
  <c r="ZL118" i="1"/>
  <c r="ZL115" i="1"/>
  <c r="ZL114" i="1"/>
  <c r="ZL109" i="1"/>
  <c r="ZL113" i="1"/>
  <c r="ZL111" i="1"/>
  <c r="ZL110" i="1"/>
  <c r="YD117" i="1"/>
  <c r="YD115" i="1"/>
  <c r="YD111" i="1"/>
  <c r="YD109" i="1"/>
  <c r="YD118" i="1"/>
  <c r="YD113" i="1"/>
  <c r="YD110" i="1"/>
  <c r="YD116" i="1"/>
  <c r="YD114" i="1"/>
  <c r="YD112" i="1"/>
  <c r="XW117" i="1"/>
  <c r="XW115" i="1"/>
  <c r="XW111" i="1"/>
  <c r="XW109" i="1"/>
  <c r="XW116" i="1"/>
  <c r="XW114" i="1"/>
  <c r="XW112" i="1"/>
  <c r="XW113" i="1"/>
  <c r="XW118" i="1"/>
  <c r="XW110" i="1"/>
  <c r="YR117" i="1"/>
  <c r="YR114" i="1"/>
  <c r="YR110" i="1"/>
  <c r="YR112" i="1"/>
  <c r="YR118" i="1"/>
  <c r="YR109" i="1"/>
  <c r="YR116" i="1"/>
  <c r="YR115" i="1"/>
  <c r="YR113" i="1"/>
  <c r="YR111" i="1"/>
  <c r="XJ117" i="1"/>
  <c r="XJ113" i="1"/>
  <c r="XJ109" i="1"/>
  <c r="XJ116" i="1"/>
  <c r="XJ115" i="1"/>
  <c r="XJ114" i="1"/>
  <c r="XJ111" i="1"/>
  <c r="XJ118" i="1"/>
  <c r="XJ112" i="1"/>
  <c r="XJ110" i="1"/>
  <c r="YP117" i="1"/>
  <c r="YP113" i="1"/>
  <c r="YP109" i="1"/>
  <c r="YP116" i="1"/>
  <c r="YP114" i="1"/>
  <c r="YP111" i="1"/>
  <c r="YP115" i="1"/>
  <c r="YP110" i="1"/>
  <c r="YP112" i="1"/>
  <c r="YP118" i="1"/>
  <c r="YE117" i="1"/>
  <c r="YE115" i="1"/>
  <c r="YE111" i="1"/>
  <c r="YE116" i="1"/>
  <c r="YE109" i="1"/>
  <c r="YE110" i="1"/>
  <c r="YE113" i="1"/>
  <c r="YE118" i="1"/>
  <c r="YE114" i="1"/>
  <c r="YE112" i="1"/>
  <c r="ZI117" i="1"/>
  <c r="ZI114" i="1"/>
  <c r="ZI110" i="1"/>
  <c r="ZI116" i="1"/>
  <c r="ZI109" i="1"/>
  <c r="ZI112" i="1"/>
  <c r="ZI115" i="1"/>
  <c r="ZI113" i="1"/>
  <c r="ZI111" i="1"/>
  <c r="ZI118" i="1"/>
  <c r="ZP117" i="1"/>
  <c r="ZP114" i="1"/>
  <c r="ZP110" i="1"/>
  <c r="ZP115" i="1"/>
  <c r="ZP112" i="1"/>
  <c r="ZP118" i="1"/>
  <c r="ZP116" i="1"/>
  <c r="ZP113" i="1"/>
  <c r="ZP111" i="1"/>
  <c r="ZP109" i="1"/>
  <c r="XS117" i="1"/>
  <c r="XS113" i="1"/>
  <c r="XS109" i="1"/>
  <c r="XS115" i="1"/>
  <c r="XS111" i="1"/>
  <c r="XS116" i="1"/>
  <c r="XS110" i="1"/>
  <c r="XS118" i="1"/>
  <c r="XS112" i="1"/>
  <c r="XS114" i="1"/>
  <c r="YG117" i="1"/>
  <c r="YG116" i="1"/>
  <c r="YG112" i="1"/>
  <c r="YG111" i="1"/>
  <c r="YG114" i="1"/>
  <c r="YG109" i="1"/>
  <c r="YG113" i="1"/>
  <c r="YG115" i="1"/>
  <c r="YG110" i="1"/>
  <c r="YG118" i="1"/>
  <c r="ZD117" i="1"/>
  <c r="ZD116" i="1"/>
  <c r="ZD112" i="1"/>
  <c r="ZD118" i="1"/>
  <c r="ZD115" i="1"/>
  <c r="ZD110" i="1"/>
  <c r="ZD109" i="1"/>
  <c r="ZD114" i="1"/>
  <c r="ZD111" i="1"/>
  <c r="ZD113" i="1"/>
  <c r="ZZ117" i="1"/>
  <c r="ZZ115" i="1"/>
  <c r="ZZ111" i="1"/>
  <c r="ZZ110" i="1"/>
  <c r="ZZ112" i="1"/>
  <c r="ZZ114" i="1"/>
  <c r="ZZ116" i="1"/>
  <c r="ZZ113" i="1"/>
  <c r="ZZ118" i="1"/>
  <c r="ZZ109" i="1"/>
  <c r="XT117" i="1"/>
  <c r="XT114" i="1"/>
  <c r="XT110" i="1"/>
  <c r="XT109" i="1"/>
  <c r="XT111" i="1"/>
  <c r="XT113" i="1"/>
  <c r="XT118" i="1"/>
  <c r="XT116" i="1"/>
  <c r="XT115" i="1"/>
  <c r="XT112" i="1"/>
  <c r="XG115" i="1"/>
  <c r="XG110" i="1"/>
  <c r="XG112" i="1"/>
  <c r="XG111" i="1"/>
  <c r="XG116" i="1"/>
  <c r="XG113" i="1"/>
  <c r="XG114" i="1"/>
  <c r="XG109" i="1"/>
  <c r="XZ117" i="1"/>
  <c r="XZ113" i="1"/>
  <c r="XZ109" i="1"/>
  <c r="XZ116" i="1"/>
  <c r="XZ118" i="1"/>
  <c r="XZ112" i="1"/>
  <c r="XZ110" i="1"/>
  <c r="XZ115" i="1"/>
  <c r="XZ114" i="1"/>
  <c r="XZ111" i="1"/>
  <c r="XO117" i="1"/>
  <c r="XO115" i="1"/>
  <c r="XO111" i="1"/>
  <c r="XO114" i="1"/>
  <c r="XO116" i="1"/>
  <c r="XO110" i="1"/>
  <c r="XO112" i="1"/>
  <c r="XO109" i="1"/>
  <c r="XO118" i="1"/>
  <c r="XO113" i="1"/>
  <c r="ZA117" i="1"/>
  <c r="ZA114" i="1"/>
  <c r="ZA110" i="1"/>
  <c r="ZA118" i="1"/>
  <c r="ZA109" i="1"/>
  <c r="ZA113" i="1"/>
  <c r="ZA111" i="1"/>
  <c r="ZA115" i="1"/>
  <c r="ZA116" i="1"/>
  <c r="ZA112" i="1"/>
  <c r="YZ117" i="1"/>
  <c r="YZ114" i="1"/>
  <c r="YZ110" i="1"/>
  <c r="YZ109" i="1"/>
  <c r="YZ111" i="1"/>
  <c r="YZ115" i="1"/>
  <c r="YZ116" i="1"/>
  <c r="YZ113" i="1"/>
  <c r="YZ118" i="1"/>
  <c r="YZ112" i="1"/>
  <c r="AAK117" i="1"/>
  <c r="AAK116" i="1"/>
  <c r="AAK112" i="1"/>
  <c r="AAK110" i="1"/>
  <c r="AAK109" i="1"/>
  <c r="AAK115" i="1"/>
  <c r="AAK114" i="1"/>
  <c r="AAK111" i="1"/>
  <c r="AAK113" i="1"/>
  <c r="AAK118" i="1"/>
  <c r="XY117" i="1"/>
  <c r="XY116" i="1"/>
  <c r="XY112" i="1"/>
  <c r="XY110" i="1"/>
  <c r="XY109" i="1"/>
  <c r="XY115" i="1"/>
  <c r="XY114" i="1"/>
  <c r="XY111" i="1"/>
  <c r="XY118" i="1"/>
  <c r="XY113" i="1"/>
  <c r="YV117" i="1"/>
  <c r="YV116" i="1"/>
  <c r="YV112" i="1"/>
  <c r="YV118" i="1"/>
  <c r="YV115" i="1"/>
  <c r="YV113" i="1"/>
  <c r="YV110" i="1"/>
  <c r="YV114" i="1"/>
  <c r="YV111" i="1"/>
  <c r="YV109" i="1"/>
  <c r="YS117" i="1"/>
  <c r="YS114" i="1"/>
  <c r="YS110" i="1"/>
  <c r="YS112" i="1"/>
  <c r="YS118" i="1"/>
  <c r="YS111" i="1"/>
  <c r="YS109" i="1"/>
  <c r="YS113" i="1"/>
  <c r="YS116" i="1"/>
  <c r="YS115" i="1"/>
  <c r="ZJ117" i="1"/>
  <c r="ZJ115" i="1"/>
  <c r="ZJ111" i="1"/>
  <c r="ZJ118" i="1"/>
  <c r="ZJ113" i="1"/>
  <c r="ZJ116" i="1"/>
  <c r="ZJ109" i="1"/>
  <c r="ZJ110" i="1"/>
  <c r="ZJ114" i="1"/>
  <c r="ZJ112" i="1"/>
  <c r="AAE117" i="1"/>
  <c r="AAE113" i="1"/>
  <c r="AAE118" i="1"/>
  <c r="AAE116" i="1"/>
  <c r="AAE111" i="1"/>
  <c r="AAE110" i="1"/>
  <c r="AAE109" i="1"/>
  <c r="AAE112" i="1"/>
  <c r="AAE115" i="1"/>
  <c r="AAE114" i="1"/>
  <c r="AAL117" i="1"/>
  <c r="AAL113" i="1"/>
  <c r="AAL109" i="1"/>
  <c r="AAL116" i="1"/>
  <c r="AAL118" i="1"/>
  <c r="AAL114" i="1"/>
  <c r="AAL115" i="1"/>
  <c r="AAL112" i="1"/>
  <c r="AAL110" i="1"/>
  <c r="AAL111" i="1"/>
  <c r="XR117" i="1"/>
  <c r="XR113" i="1"/>
  <c r="XR109" i="1"/>
  <c r="XR116" i="1"/>
  <c r="XR111" i="1"/>
  <c r="XR118" i="1"/>
  <c r="XR112" i="1"/>
  <c r="XR115" i="1"/>
  <c r="XR110" i="1"/>
  <c r="XR114" i="1"/>
  <c r="AAH117" i="1"/>
  <c r="AAH115" i="1"/>
  <c r="AAH111" i="1"/>
  <c r="AAH116" i="1"/>
  <c r="AAH114" i="1"/>
  <c r="AAH112" i="1"/>
  <c r="AAH118" i="1"/>
  <c r="AAH113" i="1"/>
  <c r="AAH110" i="1"/>
  <c r="AAH109" i="1"/>
  <c r="YK117" i="1"/>
  <c r="YK114" i="1"/>
  <c r="YK110" i="1"/>
  <c r="YK115" i="1"/>
  <c r="YK112" i="1"/>
  <c r="YK116" i="1"/>
  <c r="YK118" i="1"/>
  <c r="YK109" i="1"/>
  <c r="YK111" i="1"/>
  <c r="YK113" i="1"/>
  <c r="YJ117" i="1"/>
  <c r="YJ114" i="1"/>
  <c r="YJ110" i="1"/>
  <c r="YJ116" i="1"/>
  <c r="YJ109" i="1"/>
  <c r="YJ115" i="1"/>
  <c r="YJ118" i="1"/>
  <c r="YJ112" i="1"/>
  <c r="YJ111" i="1"/>
  <c r="YJ113" i="1"/>
  <c r="AAC117" i="1"/>
  <c r="AAC116" i="1"/>
  <c r="AAC112" i="1"/>
  <c r="AAC118" i="1"/>
  <c r="AAC114" i="1"/>
  <c r="AAC113" i="1"/>
  <c r="AAC109" i="1"/>
  <c r="AAC110" i="1"/>
  <c r="AAC115" i="1"/>
  <c r="AAC111" i="1"/>
  <c r="XQ117" i="1"/>
  <c r="XQ116" i="1"/>
  <c r="XQ112" i="1"/>
  <c r="XQ118" i="1"/>
  <c r="XQ113" i="1"/>
  <c r="XQ110" i="1"/>
  <c r="XQ115" i="1"/>
  <c r="XQ114" i="1"/>
  <c r="XQ111" i="1"/>
  <c r="XQ109" i="1"/>
  <c r="YN117" i="1"/>
  <c r="YN116" i="1"/>
  <c r="YN112" i="1"/>
  <c r="YN118" i="1"/>
  <c r="YN115" i="1"/>
  <c r="YN111" i="1"/>
  <c r="YN109" i="1"/>
  <c r="YN110" i="1"/>
  <c r="YN113" i="1"/>
  <c r="YN114" i="1"/>
  <c r="XG117" i="1"/>
  <c r="XG118" i="1"/>
  <c r="YB94" i="1"/>
  <c r="YB95" i="1"/>
  <c r="AAQ94" i="1"/>
  <c r="AAQ95" i="1"/>
  <c r="YL94" i="1"/>
  <c r="YL95" i="1"/>
  <c r="AAD94" i="1"/>
  <c r="AAD95" i="1"/>
  <c r="ZR94" i="1"/>
  <c r="ZR95" i="1"/>
  <c r="YC94" i="1"/>
  <c r="YC95" i="1"/>
  <c r="XL94" i="1"/>
  <c r="XL95" i="1"/>
  <c r="ZU94" i="1"/>
  <c r="ZU95" i="1"/>
  <c r="YF94" i="1"/>
  <c r="YF95" i="1"/>
  <c r="YH94" i="1"/>
  <c r="YH95" i="1"/>
  <c r="YY94" i="1"/>
  <c r="YY95" i="1"/>
  <c r="XH94" i="1"/>
  <c r="XH95" i="1"/>
  <c r="YT94" i="1"/>
  <c r="YT95" i="1"/>
  <c r="AAM94" i="1"/>
  <c r="AAM95" i="1"/>
  <c r="AAJ94" i="1"/>
  <c r="AAJ95" i="1"/>
  <c r="YM94" i="1"/>
  <c r="YM95" i="1"/>
  <c r="AAO94" i="1"/>
  <c r="AAO95" i="1"/>
  <c r="ZN94" i="1"/>
  <c r="ZN95" i="1"/>
  <c r="XM94" i="1"/>
  <c r="XM95" i="1"/>
  <c r="ZE94" i="1"/>
  <c r="ZE95" i="1"/>
  <c r="AAB94" i="1"/>
  <c r="AAB95" i="1"/>
  <c r="AAP94" i="1"/>
  <c r="AAP95" i="1"/>
  <c r="ZF94" i="1"/>
  <c r="ZF95" i="1"/>
  <c r="ZC94" i="1"/>
  <c r="ZC95" i="1"/>
  <c r="ZO94" i="1"/>
  <c r="ZO95" i="1"/>
  <c r="AAS94" i="1"/>
  <c r="AAS95" i="1"/>
  <c r="AAR94" i="1"/>
  <c r="AAR95" i="1"/>
  <c r="ZS94" i="1"/>
  <c r="ZS95" i="1"/>
  <c r="XN94" i="1"/>
  <c r="XN95" i="1"/>
  <c r="ZV94" i="1"/>
  <c r="ZV95" i="1"/>
  <c r="XU94" i="1"/>
  <c r="XU95" i="1"/>
  <c r="ZM94" i="1"/>
  <c r="ZM95" i="1"/>
  <c r="XX94" i="1"/>
  <c r="XX95" i="1"/>
  <c r="XI94" i="1"/>
  <c r="XI95" i="1"/>
  <c r="YI94" i="1"/>
  <c r="YI95" i="1"/>
  <c r="AAI94" i="1"/>
  <c r="AAI95" i="1"/>
  <c r="XV94" i="1"/>
  <c r="XV95" i="1"/>
  <c r="ZW94" i="1"/>
  <c r="ZW95" i="1"/>
  <c r="XP94" i="1"/>
  <c r="XP95" i="1"/>
  <c r="AAA94" i="1"/>
  <c r="AAA95" i="1"/>
  <c r="ZX94" i="1"/>
  <c r="ZX95" i="1"/>
  <c r="YA94" i="1"/>
  <c r="YA95" i="1"/>
  <c r="ZK94" i="1"/>
  <c r="ZK95" i="1"/>
  <c r="AAG94" i="1"/>
  <c r="AAG95" i="1"/>
  <c r="AAN94" i="1"/>
  <c r="AAN95" i="1"/>
  <c r="ZG94" i="1"/>
  <c r="ZG95" i="1"/>
  <c r="YW94" i="1"/>
  <c r="YW95" i="1"/>
  <c r="ZT94" i="1"/>
  <c r="ZT95" i="1"/>
  <c r="ZB94" i="1"/>
  <c r="ZB95" i="1"/>
  <c r="YU94" i="1"/>
  <c r="YU95" i="1"/>
  <c r="ZH94" i="1"/>
  <c r="ZH95" i="1"/>
  <c r="XK94" i="1"/>
  <c r="XK95" i="1"/>
  <c r="YX94" i="1"/>
  <c r="YX95" i="1"/>
  <c r="ZQ94" i="1"/>
  <c r="ZQ95" i="1"/>
  <c r="AAF94" i="1"/>
  <c r="AAF95" i="1"/>
  <c r="YQ94" i="1"/>
  <c r="YQ95" i="1"/>
  <c r="YO94" i="1"/>
  <c r="YO95" i="1"/>
  <c r="ZL94" i="1"/>
  <c r="ZL95" i="1"/>
  <c r="YD94" i="1"/>
  <c r="YD95" i="1"/>
  <c r="XW94" i="1"/>
  <c r="XW95" i="1"/>
  <c r="YR94" i="1"/>
  <c r="YR95" i="1"/>
  <c r="XJ94" i="1"/>
  <c r="XJ95" i="1"/>
  <c r="YP94" i="1"/>
  <c r="YP95" i="1"/>
  <c r="YE94" i="1"/>
  <c r="YE95" i="1"/>
  <c r="ZI94" i="1"/>
  <c r="ZI95" i="1"/>
  <c r="ZP94" i="1"/>
  <c r="ZP95" i="1"/>
  <c r="XS94" i="1"/>
  <c r="XS95" i="1"/>
  <c r="YG94" i="1"/>
  <c r="YG95" i="1"/>
  <c r="ZD94" i="1"/>
  <c r="ZD95" i="1"/>
  <c r="ZY94" i="1"/>
  <c r="ZY95" i="1"/>
  <c r="ZZ94" i="1"/>
  <c r="ZZ95" i="1"/>
  <c r="XT94" i="1"/>
  <c r="XT95" i="1"/>
  <c r="XG94" i="1"/>
  <c r="AEO83" i="1"/>
  <c r="XG95" i="1"/>
  <c r="XZ94" i="1"/>
  <c r="XZ95" i="1"/>
  <c r="XO94" i="1"/>
  <c r="XO95" i="1"/>
  <c r="ZA94" i="1"/>
  <c r="ZA95" i="1"/>
  <c r="YZ94" i="1"/>
  <c r="YZ95" i="1"/>
  <c r="AAK94" i="1"/>
  <c r="AAK95" i="1"/>
  <c r="XY94" i="1"/>
  <c r="XY95" i="1"/>
  <c r="YV94" i="1"/>
  <c r="YV95" i="1"/>
  <c r="YS94" i="1"/>
  <c r="YS95" i="1"/>
  <c r="ZJ94" i="1"/>
  <c r="ZJ95" i="1"/>
  <c r="AAE94" i="1"/>
  <c r="AAE95" i="1"/>
  <c r="AAL94" i="1"/>
  <c r="AAL95" i="1"/>
  <c r="XR94" i="1"/>
  <c r="XR95" i="1"/>
  <c r="AAH94" i="1"/>
  <c r="AAH95" i="1"/>
  <c r="YK94" i="1"/>
  <c r="YK95" i="1"/>
  <c r="YJ94" i="1"/>
  <c r="YJ95" i="1"/>
  <c r="AAC94" i="1"/>
  <c r="AAC95" i="1"/>
  <c r="XQ94" i="1"/>
  <c r="XQ95" i="1"/>
  <c r="YN94" i="1"/>
  <c r="YN95" i="1"/>
  <c r="YL87" i="1"/>
  <c r="YL90" i="1"/>
  <c r="YL92" i="1"/>
  <c r="YL93" i="1"/>
  <c r="YL91" i="1"/>
  <c r="AAD87" i="1"/>
  <c r="AAD91" i="1"/>
  <c r="AAD93" i="1"/>
  <c r="AAD90" i="1"/>
  <c r="AAD92" i="1"/>
  <c r="YC87" i="1"/>
  <c r="YC90" i="1"/>
  <c r="YC92" i="1"/>
  <c r="YC93" i="1"/>
  <c r="YC91" i="1"/>
  <c r="AAR87" i="1"/>
  <c r="AAR93" i="1"/>
  <c r="AAR91" i="1"/>
  <c r="AAR92" i="1"/>
  <c r="AAR90" i="1"/>
  <c r="XH87" i="1"/>
  <c r="XH93" i="1"/>
  <c r="XH92" i="1"/>
  <c r="XH91" i="1"/>
  <c r="XH90" i="1"/>
  <c r="AAJ87" i="1"/>
  <c r="AAJ93" i="1"/>
  <c r="AAJ90" i="1"/>
  <c r="AAJ92" i="1"/>
  <c r="AAJ91" i="1"/>
  <c r="YM87" i="1"/>
  <c r="YM93" i="1"/>
  <c r="YM90" i="1"/>
  <c r="YM92" i="1"/>
  <c r="YM91" i="1"/>
  <c r="XV87" i="1"/>
  <c r="XV90" i="1"/>
  <c r="XV92" i="1"/>
  <c r="XV93" i="1"/>
  <c r="XV91" i="1"/>
  <c r="AAN87" i="1"/>
  <c r="AAN92" i="1"/>
  <c r="AAN91" i="1"/>
  <c r="AAN90" i="1"/>
  <c r="AAN93" i="1"/>
  <c r="AAQ87" i="1"/>
  <c r="AAQ93" i="1"/>
  <c r="AAQ90" i="1"/>
  <c r="AAQ91" i="1"/>
  <c r="AAQ92" i="1"/>
  <c r="YB87" i="1"/>
  <c r="YB92" i="1"/>
  <c r="YB91" i="1"/>
  <c r="YB90" i="1"/>
  <c r="YB93" i="1"/>
  <c r="ZO87" i="1"/>
  <c r="ZO91" i="1"/>
  <c r="ZO92" i="1"/>
  <c r="ZO93" i="1"/>
  <c r="ZO90" i="1"/>
  <c r="AAS87" i="1"/>
  <c r="AAS91" i="1"/>
  <c r="AAS93" i="1"/>
  <c r="AAS90" i="1"/>
  <c r="AAS92" i="1"/>
  <c r="ZR87" i="1"/>
  <c r="ZR92" i="1"/>
  <c r="ZR90" i="1"/>
  <c r="ZR93" i="1"/>
  <c r="ZR91" i="1"/>
  <c r="XL87" i="1"/>
  <c r="XL92" i="1"/>
  <c r="XL91" i="1"/>
  <c r="XL93" i="1"/>
  <c r="XL90" i="1"/>
  <c r="ZU87" i="1"/>
  <c r="ZU91" i="1"/>
  <c r="ZU93" i="1"/>
  <c r="ZU90" i="1"/>
  <c r="ZU92" i="1"/>
  <c r="YF87" i="1"/>
  <c r="YF93" i="1"/>
  <c r="YF91" i="1"/>
  <c r="YF92" i="1"/>
  <c r="YF90" i="1"/>
  <c r="ZS87" i="1"/>
  <c r="ZS93" i="1"/>
  <c r="ZS90" i="1"/>
  <c r="ZS92" i="1"/>
  <c r="ZS91" i="1"/>
  <c r="YH87" i="1"/>
  <c r="YH93" i="1"/>
  <c r="YH91" i="1"/>
  <c r="YH90" i="1"/>
  <c r="YH92" i="1"/>
  <c r="XN87" i="1"/>
  <c r="XN92" i="1"/>
  <c r="XN90" i="1"/>
  <c r="XN91" i="1"/>
  <c r="XN93" i="1"/>
  <c r="YY87" i="1"/>
  <c r="YY91" i="1"/>
  <c r="YY90" i="1"/>
  <c r="YY92" i="1"/>
  <c r="YY93" i="1"/>
  <c r="ZV87" i="1"/>
  <c r="ZV91" i="1"/>
  <c r="ZV90" i="1"/>
  <c r="ZV92" i="1"/>
  <c r="ZV93" i="1"/>
  <c r="YT87" i="1"/>
  <c r="YT92" i="1"/>
  <c r="YT90" i="1"/>
  <c r="YT93" i="1"/>
  <c r="YT91" i="1"/>
  <c r="XU87" i="1"/>
  <c r="XU90" i="1"/>
  <c r="XU92" i="1"/>
  <c r="XU93" i="1"/>
  <c r="XU91" i="1"/>
  <c r="AAM87" i="1"/>
  <c r="AAM91" i="1"/>
  <c r="AAM93" i="1"/>
  <c r="AAM92" i="1"/>
  <c r="AAM90" i="1"/>
  <c r="ZM87" i="1"/>
  <c r="ZM91" i="1"/>
  <c r="ZM93" i="1"/>
  <c r="ZM92" i="1"/>
  <c r="ZM90" i="1"/>
  <c r="XX87" i="1"/>
  <c r="XX93" i="1"/>
  <c r="XX90" i="1"/>
  <c r="XX91" i="1"/>
  <c r="XX92" i="1"/>
  <c r="XI87" i="1"/>
  <c r="XI91" i="1"/>
  <c r="XI93" i="1"/>
  <c r="XI90" i="1"/>
  <c r="XI92" i="1"/>
  <c r="AAO87" i="1"/>
  <c r="AAO90" i="1"/>
  <c r="AAO92" i="1"/>
  <c r="AAO93" i="1"/>
  <c r="AAO91" i="1"/>
  <c r="YI87" i="1"/>
  <c r="YI91" i="1"/>
  <c r="YI90" i="1"/>
  <c r="YI92" i="1"/>
  <c r="YI93" i="1"/>
  <c r="ZN87" i="1"/>
  <c r="ZN91" i="1"/>
  <c r="ZN93" i="1"/>
  <c r="ZN92" i="1"/>
  <c r="ZN90" i="1"/>
  <c r="AAI87" i="1"/>
  <c r="AAI93" i="1"/>
  <c r="AAI90" i="1"/>
  <c r="AAI91" i="1"/>
  <c r="AAI92" i="1"/>
  <c r="XM87" i="1"/>
  <c r="XM90" i="1"/>
  <c r="XM92" i="1"/>
  <c r="XM91" i="1"/>
  <c r="XM93" i="1"/>
  <c r="ZW87" i="1"/>
  <c r="ZW91" i="1"/>
  <c r="ZW92" i="1"/>
  <c r="ZW90" i="1"/>
  <c r="ZW93" i="1"/>
  <c r="ZE87" i="1"/>
  <c r="ZE91" i="1"/>
  <c r="ZE93" i="1"/>
  <c r="ZE90" i="1"/>
  <c r="ZE92" i="1"/>
  <c r="AAB87" i="1"/>
  <c r="AAB93" i="1"/>
  <c r="AAB92" i="1"/>
  <c r="AAB91" i="1"/>
  <c r="AAB90" i="1"/>
  <c r="XP87" i="1"/>
  <c r="XP93" i="1"/>
  <c r="XP91" i="1"/>
  <c r="XP92" i="1"/>
  <c r="XP90" i="1"/>
  <c r="AAP87" i="1"/>
  <c r="AAP90" i="1"/>
  <c r="AAP92" i="1"/>
  <c r="AAP91" i="1"/>
  <c r="AAP93" i="1"/>
  <c r="AAA87" i="1"/>
  <c r="AAA93" i="1"/>
  <c r="AAA90" i="1"/>
  <c r="AAA91" i="1"/>
  <c r="AAA92" i="1"/>
  <c r="ZX87" i="1"/>
  <c r="ZX92" i="1"/>
  <c r="ZX91" i="1"/>
  <c r="ZX90" i="1"/>
  <c r="ZX93" i="1"/>
  <c r="YA87" i="1"/>
  <c r="YA91" i="1"/>
  <c r="YA92" i="1"/>
  <c r="YA93" i="1"/>
  <c r="YA90" i="1"/>
  <c r="ZF87" i="1"/>
  <c r="ZF91" i="1"/>
  <c r="ZF93" i="1"/>
  <c r="ZF90" i="1"/>
  <c r="ZF92" i="1"/>
  <c r="ZK87" i="1"/>
  <c r="ZK93" i="1"/>
  <c r="ZK90" i="1"/>
  <c r="ZK92" i="1"/>
  <c r="ZK91" i="1"/>
  <c r="AAG87" i="1"/>
  <c r="AAG90" i="1"/>
  <c r="AAG92" i="1"/>
  <c r="AAG93" i="1"/>
  <c r="AAG91" i="1"/>
  <c r="ZG87" i="1"/>
  <c r="ZG91" i="1"/>
  <c r="ZG90" i="1"/>
  <c r="ZG93" i="1"/>
  <c r="ZG92" i="1"/>
  <c r="YW87" i="1"/>
  <c r="YW91" i="1"/>
  <c r="YW93" i="1"/>
  <c r="YW90" i="1"/>
  <c r="YW92" i="1"/>
  <c r="ZT87" i="1"/>
  <c r="ZT93" i="1"/>
  <c r="ZT91" i="1"/>
  <c r="ZT90" i="1"/>
  <c r="ZT92" i="1"/>
  <c r="ZB87" i="1"/>
  <c r="ZB90" i="1"/>
  <c r="ZB92" i="1"/>
  <c r="ZB93" i="1"/>
  <c r="ZB91" i="1"/>
  <c r="YU87" i="1"/>
  <c r="YU93" i="1"/>
  <c r="YU90" i="1"/>
  <c r="YU92" i="1"/>
  <c r="YU91" i="1"/>
  <c r="ZH87" i="1"/>
  <c r="ZH92" i="1"/>
  <c r="ZH93" i="1"/>
  <c r="ZH90" i="1"/>
  <c r="ZH91" i="1"/>
  <c r="XK87" i="1"/>
  <c r="XK91" i="1"/>
  <c r="XK92" i="1"/>
  <c r="XK93" i="1"/>
  <c r="XK90" i="1"/>
  <c r="YX87" i="1"/>
  <c r="YX91" i="1"/>
  <c r="YX92" i="1"/>
  <c r="YX90" i="1"/>
  <c r="YX93" i="1"/>
  <c r="ZC87" i="1"/>
  <c r="ZC93" i="1"/>
  <c r="ZC90" i="1"/>
  <c r="ZC92" i="1"/>
  <c r="ZC91" i="1"/>
  <c r="ZQ87" i="1"/>
  <c r="ZQ90" i="1"/>
  <c r="ZQ92" i="1"/>
  <c r="ZQ93" i="1"/>
  <c r="ZQ91" i="1"/>
  <c r="AAF87" i="1"/>
  <c r="AAF92" i="1"/>
  <c r="AAF90" i="1"/>
  <c r="AAF93" i="1"/>
  <c r="AAF91" i="1"/>
  <c r="YQ87" i="1"/>
  <c r="YQ91" i="1"/>
  <c r="YQ93" i="1"/>
  <c r="YQ92" i="1"/>
  <c r="YQ90" i="1"/>
  <c r="YO87" i="1"/>
  <c r="YO91" i="1"/>
  <c r="YO93" i="1"/>
  <c r="YO92" i="1"/>
  <c r="YO90" i="1"/>
  <c r="ZL87" i="1"/>
  <c r="ZL93" i="1"/>
  <c r="ZL92" i="1"/>
  <c r="ZL91" i="1"/>
  <c r="ZL90" i="1"/>
  <c r="YD87" i="1"/>
  <c r="YD90" i="1"/>
  <c r="YD92" i="1"/>
  <c r="YD93" i="1"/>
  <c r="YD91" i="1"/>
  <c r="XW87" i="1"/>
  <c r="XW93" i="1"/>
  <c r="XW90" i="1"/>
  <c r="XW91" i="1"/>
  <c r="XW92" i="1"/>
  <c r="YR87" i="1"/>
  <c r="YR92" i="1"/>
  <c r="YR91" i="1"/>
  <c r="YR93" i="1"/>
  <c r="YR90" i="1"/>
  <c r="XJ87" i="1"/>
  <c r="XJ93" i="1"/>
  <c r="XJ91" i="1"/>
  <c r="XJ92" i="1"/>
  <c r="XJ90" i="1"/>
  <c r="YP87" i="1"/>
  <c r="YP91" i="1"/>
  <c r="YP92" i="1"/>
  <c r="YP93" i="1"/>
  <c r="YP90" i="1"/>
  <c r="YE87" i="1"/>
  <c r="YE93" i="1"/>
  <c r="YE90" i="1"/>
  <c r="YE92" i="1"/>
  <c r="YE91" i="1"/>
  <c r="ZI87" i="1"/>
  <c r="ZI90" i="1"/>
  <c r="ZI92" i="1"/>
  <c r="ZI93" i="1"/>
  <c r="ZI91" i="1"/>
  <c r="ZP87" i="1"/>
  <c r="ZP92" i="1"/>
  <c r="ZP93" i="1"/>
  <c r="ZP91" i="1"/>
  <c r="ZP90" i="1"/>
  <c r="XS87" i="1"/>
  <c r="XS91" i="1"/>
  <c r="XS93" i="1"/>
  <c r="XS92" i="1"/>
  <c r="XS90" i="1"/>
  <c r="YG87" i="1"/>
  <c r="YG91" i="1"/>
  <c r="YG93" i="1"/>
  <c r="YG90" i="1"/>
  <c r="YG92" i="1"/>
  <c r="ZD87" i="1"/>
  <c r="ZD93" i="1"/>
  <c r="ZD91" i="1"/>
  <c r="ZD90" i="1"/>
  <c r="ZD92" i="1"/>
  <c r="ZY87" i="1"/>
  <c r="ZY90" i="1"/>
  <c r="ZY92" i="1"/>
  <c r="ZY93" i="1"/>
  <c r="ZY91" i="1"/>
  <c r="ZZ87" i="1"/>
  <c r="ZZ90" i="1"/>
  <c r="ZZ92" i="1"/>
  <c r="ZZ91" i="1"/>
  <c r="ZZ93" i="1"/>
  <c r="XT87" i="1"/>
  <c r="XT92" i="1"/>
  <c r="XT90" i="1"/>
  <c r="XT91" i="1"/>
  <c r="XT93" i="1"/>
  <c r="XG87" i="1"/>
  <c r="XG91" i="1"/>
  <c r="XG93" i="1"/>
  <c r="XG92" i="1"/>
  <c r="XG90" i="1"/>
  <c r="XZ87" i="1"/>
  <c r="XZ91" i="1"/>
  <c r="XZ93" i="1"/>
  <c r="XZ92" i="1"/>
  <c r="XZ90" i="1"/>
  <c r="XO87" i="1"/>
  <c r="XO93" i="1"/>
  <c r="XO90" i="1"/>
  <c r="XO91" i="1"/>
  <c r="XO92" i="1"/>
  <c r="ZA87" i="1"/>
  <c r="ZA90" i="1"/>
  <c r="ZA92" i="1"/>
  <c r="ZA91" i="1"/>
  <c r="ZA93" i="1"/>
  <c r="YZ87" i="1"/>
  <c r="YZ92" i="1"/>
  <c r="YZ93" i="1"/>
  <c r="YZ91" i="1"/>
  <c r="YZ90" i="1"/>
  <c r="AAK87" i="1"/>
  <c r="AAK91" i="1"/>
  <c r="AAK93" i="1"/>
  <c r="AAK92" i="1"/>
  <c r="AAK90" i="1"/>
  <c r="XY87" i="1"/>
  <c r="XY91" i="1"/>
  <c r="XY93" i="1"/>
  <c r="XY92" i="1"/>
  <c r="XY90" i="1"/>
  <c r="YV87" i="1"/>
  <c r="YV93" i="1"/>
  <c r="YV91" i="1"/>
  <c r="YV90" i="1"/>
  <c r="YV92" i="1"/>
  <c r="YS87" i="1"/>
  <c r="YS90" i="1"/>
  <c r="YS92" i="1"/>
  <c r="YS93" i="1"/>
  <c r="YS91" i="1"/>
  <c r="ZJ87" i="1"/>
  <c r="ZJ90" i="1"/>
  <c r="ZJ92" i="1"/>
  <c r="ZJ91" i="1"/>
  <c r="ZJ93" i="1"/>
  <c r="AAE87" i="1"/>
  <c r="AAE91" i="1"/>
  <c r="AAE93" i="1"/>
  <c r="AAE92" i="1"/>
  <c r="AAE90" i="1"/>
  <c r="AAL87" i="1"/>
  <c r="AAL91" i="1"/>
  <c r="AAL90" i="1"/>
  <c r="AAL93" i="1"/>
  <c r="AAL92" i="1"/>
  <c r="XR87" i="1"/>
  <c r="XR91" i="1"/>
  <c r="XR93" i="1"/>
  <c r="XR90" i="1"/>
  <c r="XR96" i="1" s="1"/>
  <c r="XR92" i="1"/>
  <c r="AAH87" i="1"/>
  <c r="AAH90" i="1"/>
  <c r="AAH92" i="1"/>
  <c r="AAH93" i="1"/>
  <c r="AAH91" i="1"/>
  <c r="YK87" i="1"/>
  <c r="YK90" i="1"/>
  <c r="YK92" i="1"/>
  <c r="YK91" i="1"/>
  <c r="YK93" i="1"/>
  <c r="YJ87" i="1"/>
  <c r="YJ92" i="1"/>
  <c r="YJ91" i="1"/>
  <c r="YJ90" i="1"/>
  <c r="YJ93" i="1"/>
  <c r="AAC87" i="1"/>
  <c r="AAC91" i="1"/>
  <c r="AAC93" i="1"/>
  <c r="AAC92" i="1"/>
  <c r="AAC90" i="1"/>
  <c r="XQ87" i="1"/>
  <c r="XQ91" i="1"/>
  <c r="XQ93" i="1"/>
  <c r="XQ92" i="1"/>
  <c r="XQ90" i="1"/>
  <c r="YN87" i="1"/>
  <c r="YN93" i="1"/>
  <c r="YN91" i="1"/>
  <c r="YN90" i="1"/>
  <c r="YN92" i="1"/>
  <c r="AAQ84" i="1"/>
  <c r="AAQ86" i="1"/>
  <c r="AAQ85" i="1"/>
  <c r="AAS84" i="1"/>
  <c r="AAS86" i="1"/>
  <c r="AAS85" i="1"/>
  <c r="ZU84" i="1"/>
  <c r="ZU86" i="1"/>
  <c r="ZU85" i="1"/>
  <c r="ZV84" i="1"/>
  <c r="ZV86" i="1"/>
  <c r="ZV85" i="1"/>
  <c r="AAM84" i="1"/>
  <c r="AAM85" i="1"/>
  <c r="AAM86" i="1"/>
  <c r="AAB84" i="1"/>
  <c r="AAB86" i="1"/>
  <c r="AAB85" i="1"/>
  <c r="YB84" i="1"/>
  <c r="YB85" i="1"/>
  <c r="YB86" i="1"/>
  <c r="YL84" i="1"/>
  <c r="YL85" i="1"/>
  <c r="YL86" i="1"/>
  <c r="ZO84" i="1"/>
  <c r="ZO85" i="1"/>
  <c r="ZO86" i="1"/>
  <c r="AAD84" i="1"/>
  <c r="AAD86" i="1"/>
  <c r="AAD85" i="1"/>
  <c r="ZR84" i="1"/>
  <c r="ZR85" i="1"/>
  <c r="ZR86" i="1"/>
  <c r="YC84" i="1"/>
  <c r="YC85" i="1"/>
  <c r="YC86" i="1"/>
  <c r="XL84" i="1"/>
  <c r="XL85" i="1"/>
  <c r="XL86" i="1"/>
  <c r="AAR84" i="1"/>
  <c r="AAR86" i="1"/>
  <c r="AAR85" i="1"/>
  <c r="YF84" i="1"/>
  <c r="YF86" i="1"/>
  <c r="YF85" i="1"/>
  <c r="ZS84" i="1"/>
  <c r="ZS86" i="1"/>
  <c r="ZS85" i="1"/>
  <c r="YH84" i="1"/>
  <c r="YH86" i="1"/>
  <c r="YH85" i="1"/>
  <c r="XN84" i="1"/>
  <c r="XN85" i="1"/>
  <c r="XN86" i="1"/>
  <c r="YY84" i="1"/>
  <c r="YY85" i="1"/>
  <c r="YY86" i="1"/>
  <c r="XH84" i="1"/>
  <c r="XH86" i="1"/>
  <c r="XH85" i="1"/>
  <c r="YT84" i="1"/>
  <c r="YT85" i="1"/>
  <c r="YT86" i="1"/>
  <c r="XU84" i="1"/>
  <c r="XU85" i="1"/>
  <c r="XU86" i="1"/>
  <c r="ZM84" i="1"/>
  <c r="ZM86" i="1"/>
  <c r="ZM85" i="1"/>
  <c r="AAJ84" i="1"/>
  <c r="AAJ86" i="1"/>
  <c r="AAJ85" i="1"/>
  <c r="XX84" i="1"/>
  <c r="XX86" i="1"/>
  <c r="XX85" i="1"/>
  <c r="YM84" i="1"/>
  <c r="YM86" i="1"/>
  <c r="YM85" i="1"/>
  <c r="XI84" i="1"/>
  <c r="XI86" i="1"/>
  <c r="XI85" i="1"/>
  <c r="AAO84" i="1"/>
  <c r="AAO85" i="1"/>
  <c r="AAO86" i="1"/>
  <c r="YI84" i="1"/>
  <c r="YI85" i="1"/>
  <c r="YI86" i="1"/>
  <c r="ZN84" i="1"/>
  <c r="ZN86" i="1"/>
  <c r="ZN85" i="1"/>
  <c r="AAI84" i="1"/>
  <c r="AAI86" i="1"/>
  <c r="AAI85" i="1"/>
  <c r="XV84" i="1"/>
  <c r="XV85" i="1"/>
  <c r="XV86" i="1"/>
  <c r="XM84" i="1"/>
  <c r="XM85" i="1"/>
  <c r="XM86" i="1"/>
  <c r="ZW84" i="1"/>
  <c r="ZW85" i="1"/>
  <c r="ZW86" i="1"/>
  <c r="ZE84" i="1"/>
  <c r="ZE86" i="1"/>
  <c r="ZE85" i="1"/>
  <c r="XP84" i="1"/>
  <c r="XP86" i="1"/>
  <c r="XP85" i="1"/>
  <c r="AAP84" i="1"/>
  <c r="AAP85" i="1"/>
  <c r="AAP86" i="1"/>
  <c r="AAA84" i="1"/>
  <c r="AAA86" i="1"/>
  <c r="AAA85" i="1"/>
  <c r="ZX84" i="1"/>
  <c r="ZX85" i="1"/>
  <c r="ZX86" i="1"/>
  <c r="YA84" i="1"/>
  <c r="YA85" i="1"/>
  <c r="YA86" i="1"/>
  <c r="ZF84" i="1"/>
  <c r="ZF86" i="1"/>
  <c r="ZF85" i="1"/>
  <c r="ZK84" i="1"/>
  <c r="ZK86" i="1"/>
  <c r="ZK85" i="1"/>
  <c r="AAG84" i="1"/>
  <c r="AAG85" i="1"/>
  <c r="AAG86" i="1"/>
  <c r="AAN84" i="1"/>
  <c r="AAN85" i="1"/>
  <c r="AAN86" i="1"/>
  <c r="ZG84" i="1"/>
  <c r="ZG85" i="1"/>
  <c r="ZG86" i="1"/>
  <c r="YW84" i="1"/>
  <c r="YW86" i="1"/>
  <c r="YW85" i="1"/>
  <c r="ZT84" i="1"/>
  <c r="ZT86" i="1"/>
  <c r="ZT85" i="1"/>
  <c r="ZB84" i="1"/>
  <c r="ZB85" i="1"/>
  <c r="ZB86" i="1"/>
  <c r="YU84" i="1"/>
  <c r="YU86" i="1"/>
  <c r="YU85" i="1"/>
  <c r="ZH84" i="1"/>
  <c r="ZH85" i="1"/>
  <c r="ZH86" i="1"/>
  <c r="XK84" i="1"/>
  <c r="XK85" i="1"/>
  <c r="XK86" i="1"/>
  <c r="YX84" i="1"/>
  <c r="YX86" i="1"/>
  <c r="YX85" i="1"/>
  <c r="ZC84" i="1"/>
  <c r="ZC86" i="1"/>
  <c r="ZC85" i="1"/>
  <c r="ZQ84" i="1"/>
  <c r="ZQ85" i="1"/>
  <c r="ZQ86" i="1"/>
  <c r="AAF84" i="1"/>
  <c r="AAF85" i="1"/>
  <c r="AAF86" i="1"/>
  <c r="YQ84" i="1"/>
  <c r="YQ85" i="1"/>
  <c r="YQ86" i="1"/>
  <c r="YO84" i="1"/>
  <c r="YO86" i="1"/>
  <c r="YO85" i="1"/>
  <c r="ZL84" i="1"/>
  <c r="ZL86" i="1"/>
  <c r="ZL85" i="1"/>
  <c r="YD84" i="1"/>
  <c r="YD85" i="1"/>
  <c r="YD86" i="1"/>
  <c r="XW84" i="1"/>
  <c r="XW86" i="1"/>
  <c r="XW85" i="1"/>
  <c r="YR84" i="1"/>
  <c r="YR85" i="1"/>
  <c r="YR86" i="1"/>
  <c r="XJ84" i="1"/>
  <c r="XJ86" i="1"/>
  <c r="XJ85" i="1"/>
  <c r="YP84" i="1"/>
  <c r="YP86" i="1"/>
  <c r="YP85" i="1"/>
  <c r="YE84" i="1"/>
  <c r="YE86" i="1"/>
  <c r="YE85" i="1"/>
  <c r="ZI84" i="1"/>
  <c r="ZI85" i="1"/>
  <c r="ZI86" i="1"/>
  <c r="ZP84" i="1"/>
  <c r="ZP85" i="1"/>
  <c r="ZP86" i="1"/>
  <c r="XS84" i="1"/>
  <c r="XS85" i="1"/>
  <c r="XS86" i="1"/>
  <c r="YG84" i="1"/>
  <c r="YG86" i="1"/>
  <c r="YG85" i="1"/>
  <c r="ZD84" i="1"/>
  <c r="ZD86" i="1"/>
  <c r="ZD85" i="1"/>
  <c r="ZY84" i="1"/>
  <c r="ZY85" i="1"/>
  <c r="ZY86" i="1"/>
  <c r="ZZ84" i="1"/>
  <c r="ZZ85" i="1"/>
  <c r="ZZ86" i="1"/>
  <c r="XT84" i="1"/>
  <c r="XT85" i="1"/>
  <c r="XT86" i="1"/>
  <c r="XG84" i="1"/>
  <c r="XG86" i="1"/>
  <c r="XG85" i="1"/>
  <c r="XZ84" i="1"/>
  <c r="XZ86" i="1"/>
  <c r="XZ85" i="1"/>
  <c r="XO84" i="1"/>
  <c r="XO86" i="1"/>
  <c r="XO85" i="1"/>
  <c r="ZA84" i="1"/>
  <c r="ZA85" i="1"/>
  <c r="ZA86" i="1"/>
  <c r="YZ84" i="1"/>
  <c r="YZ85" i="1"/>
  <c r="YZ86" i="1"/>
  <c r="AAK84" i="1"/>
  <c r="AAK86" i="1"/>
  <c r="AAK85" i="1"/>
  <c r="XY84" i="1"/>
  <c r="XY86" i="1"/>
  <c r="XY85" i="1"/>
  <c r="YV84" i="1"/>
  <c r="YV86" i="1"/>
  <c r="YV85" i="1"/>
  <c r="YS84" i="1"/>
  <c r="YS85" i="1"/>
  <c r="YS86" i="1"/>
  <c r="ZJ84" i="1"/>
  <c r="ZJ85" i="1"/>
  <c r="ZJ86" i="1"/>
  <c r="AAE84" i="1"/>
  <c r="AAE85" i="1"/>
  <c r="AAE86" i="1"/>
  <c r="AAL84" i="1"/>
  <c r="AAL86" i="1"/>
  <c r="AAL85" i="1"/>
  <c r="XR84" i="1"/>
  <c r="XR86" i="1"/>
  <c r="XR85" i="1"/>
  <c r="AAH84" i="1"/>
  <c r="AAH85" i="1"/>
  <c r="AAH86" i="1"/>
  <c r="YK84" i="1"/>
  <c r="YK85" i="1"/>
  <c r="YK86" i="1"/>
  <c r="YJ84" i="1"/>
  <c r="YJ85" i="1"/>
  <c r="YJ86" i="1"/>
  <c r="AAC84" i="1"/>
  <c r="AAC86" i="1"/>
  <c r="AAC85" i="1"/>
  <c r="XQ84" i="1"/>
  <c r="XQ86" i="1"/>
  <c r="XQ85" i="1"/>
  <c r="YN84" i="1"/>
  <c r="YN86" i="1"/>
  <c r="YN85" i="1"/>
  <c r="YC83" i="1"/>
  <c r="YC82" i="1"/>
  <c r="AAQ83" i="1"/>
  <c r="AAQ82" i="1"/>
  <c r="YL83" i="1"/>
  <c r="YL82" i="1"/>
  <c r="AAS83" i="1"/>
  <c r="AAS82" i="1"/>
  <c r="ZU83" i="1"/>
  <c r="ZU82" i="1"/>
  <c r="ZS83" i="1"/>
  <c r="ZS82" i="1"/>
  <c r="ZV83" i="1"/>
  <c r="ZV82" i="1"/>
  <c r="XU83" i="1"/>
  <c r="XU82" i="1"/>
  <c r="AAJ83" i="1"/>
  <c r="AAJ82" i="1"/>
  <c r="AAO83" i="1"/>
  <c r="AAO82" i="1"/>
  <c r="XV83" i="1"/>
  <c r="XV82" i="1"/>
  <c r="AAB83" i="1"/>
  <c r="AAB82" i="1"/>
  <c r="AAA83" i="1"/>
  <c r="AAA82" i="1"/>
  <c r="ZK83" i="1"/>
  <c r="ZK82" i="1"/>
  <c r="ZT83" i="1"/>
  <c r="ZT82" i="1"/>
  <c r="YU83" i="1"/>
  <c r="YU82" i="1"/>
  <c r="YD83" i="1"/>
  <c r="YD82" i="1"/>
  <c r="YB83" i="1"/>
  <c r="YB82" i="1"/>
  <c r="ZO83" i="1"/>
  <c r="ZO82" i="1"/>
  <c r="AAD83" i="1"/>
  <c r="AAD82" i="1"/>
  <c r="ZR83" i="1"/>
  <c r="ZR82" i="1"/>
  <c r="XL83" i="1"/>
  <c r="XL82" i="1"/>
  <c r="AAR83" i="1"/>
  <c r="AAR82" i="1"/>
  <c r="YF83" i="1"/>
  <c r="YF82" i="1"/>
  <c r="YH83" i="1"/>
  <c r="YH82" i="1"/>
  <c r="XN83" i="1"/>
  <c r="XN82" i="1"/>
  <c r="YY83" i="1"/>
  <c r="YY82" i="1"/>
  <c r="XH83" i="1"/>
  <c r="XH82" i="1"/>
  <c r="YT83" i="1"/>
  <c r="YT82" i="1"/>
  <c r="AAM83" i="1"/>
  <c r="AAM82" i="1"/>
  <c r="ZM83" i="1"/>
  <c r="ZM82" i="1"/>
  <c r="XX83" i="1"/>
  <c r="XX82" i="1"/>
  <c r="YM83" i="1"/>
  <c r="YM82" i="1"/>
  <c r="XI83" i="1"/>
  <c r="XI82" i="1"/>
  <c r="YI83" i="1"/>
  <c r="YI82" i="1"/>
  <c r="ZN83" i="1"/>
  <c r="ZN82" i="1"/>
  <c r="AAI83" i="1"/>
  <c r="AAI82" i="1"/>
  <c r="XM83" i="1"/>
  <c r="XM82" i="1"/>
  <c r="ZW83" i="1"/>
  <c r="ZW82" i="1"/>
  <c r="ZE83" i="1"/>
  <c r="ZE82" i="1"/>
  <c r="XP83" i="1"/>
  <c r="XP82" i="1"/>
  <c r="AAP83" i="1"/>
  <c r="AAP82" i="1"/>
  <c r="ZX83" i="1"/>
  <c r="ZX82" i="1"/>
  <c r="YA83" i="1"/>
  <c r="YA82" i="1"/>
  <c r="ZF83" i="1"/>
  <c r="ZF82" i="1"/>
  <c r="AAG83" i="1"/>
  <c r="AAG82" i="1"/>
  <c r="AAN83" i="1"/>
  <c r="AAN82" i="1"/>
  <c r="ZG83" i="1"/>
  <c r="ZG82" i="1"/>
  <c r="YW83" i="1"/>
  <c r="YW82" i="1"/>
  <c r="ZB83" i="1"/>
  <c r="ZB82" i="1"/>
  <c r="ZH83" i="1"/>
  <c r="ZH82" i="1"/>
  <c r="XK83" i="1"/>
  <c r="XK82" i="1"/>
  <c r="YX83" i="1"/>
  <c r="YX82" i="1"/>
  <c r="ZC83" i="1"/>
  <c r="ZC82" i="1"/>
  <c r="ZQ83" i="1"/>
  <c r="ZQ82" i="1"/>
  <c r="AAF83" i="1"/>
  <c r="AAF82" i="1"/>
  <c r="YQ83" i="1"/>
  <c r="YQ82" i="1"/>
  <c r="YO83" i="1"/>
  <c r="YO82" i="1"/>
  <c r="ZL83" i="1"/>
  <c r="ZL82" i="1"/>
  <c r="XW83" i="1"/>
  <c r="XW82" i="1"/>
  <c r="YR83" i="1"/>
  <c r="YR82" i="1"/>
  <c r="XJ83" i="1"/>
  <c r="XJ82" i="1"/>
  <c r="YP83" i="1"/>
  <c r="YP82" i="1"/>
  <c r="YE83" i="1"/>
  <c r="YE82" i="1"/>
  <c r="ZI83" i="1"/>
  <c r="ZI82" i="1"/>
  <c r="ZP83" i="1"/>
  <c r="ZP82" i="1"/>
  <c r="XS83" i="1"/>
  <c r="XS82" i="1"/>
  <c r="XS88" i="1" s="1"/>
  <c r="YG83" i="1"/>
  <c r="YG82" i="1"/>
  <c r="ZD83" i="1"/>
  <c r="ZD82" i="1"/>
  <c r="ZY83" i="1"/>
  <c r="ZY82" i="1"/>
  <c r="ZZ83" i="1"/>
  <c r="ZZ82" i="1"/>
  <c r="XT83" i="1"/>
  <c r="XT82" i="1"/>
  <c r="XT88" i="1" s="1"/>
  <c r="XG83" i="1"/>
  <c r="XG82" i="1"/>
  <c r="XZ83" i="1"/>
  <c r="XZ82" i="1"/>
  <c r="XO83" i="1"/>
  <c r="XO82" i="1"/>
  <c r="XO88" i="1" s="1"/>
  <c r="ZA83" i="1"/>
  <c r="ZA82" i="1"/>
  <c r="YZ83" i="1"/>
  <c r="YZ82" i="1"/>
  <c r="AAK83" i="1"/>
  <c r="AAK82" i="1"/>
  <c r="XY83" i="1"/>
  <c r="XY82" i="1"/>
  <c r="YV83" i="1"/>
  <c r="YV82" i="1"/>
  <c r="YS83" i="1"/>
  <c r="YS82" i="1"/>
  <c r="ZJ83" i="1"/>
  <c r="ZJ82" i="1"/>
  <c r="AAE83" i="1"/>
  <c r="AAE82" i="1"/>
  <c r="AAL83" i="1"/>
  <c r="AAL82" i="1"/>
  <c r="XR83" i="1"/>
  <c r="XR82" i="1"/>
  <c r="AAH83" i="1"/>
  <c r="AAH82" i="1"/>
  <c r="YK83" i="1"/>
  <c r="YK82" i="1"/>
  <c r="YJ83" i="1"/>
  <c r="YJ82" i="1"/>
  <c r="AAC83" i="1"/>
  <c r="AAC82" i="1"/>
  <c r="XQ83" i="1"/>
  <c r="XQ82" i="1"/>
  <c r="YN83" i="1"/>
  <c r="YN82" i="1"/>
  <c r="AEA83" i="1"/>
  <c r="AEE83" i="1" s="1"/>
  <c r="AEK83" i="1"/>
  <c r="AFO152" i="1"/>
  <c r="AFS152" i="1" s="1"/>
  <c r="AFY152" i="1"/>
  <c r="AGC152" i="1" s="1"/>
  <c r="AEU152" i="1"/>
  <c r="AEY152" i="1" s="1"/>
  <c r="AFE152" i="1"/>
  <c r="AFI152" i="1" s="1"/>
  <c r="AEK152" i="1"/>
  <c r="AEO152" i="1" s="1"/>
  <c r="ACM152" i="1"/>
  <c r="ACQ152" i="1" s="1"/>
  <c r="ACW152" i="1"/>
  <c r="ADA152" i="1" s="1"/>
  <c r="AEA152" i="1"/>
  <c r="AEE152" i="1" s="1"/>
  <c r="ADQ152" i="1"/>
  <c r="ADU152" i="1" s="1"/>
  <c r="ADG152" i="1"/>
  <c r="ADK152" i="1" s="1"/>
  <c r="AGZ233" i="1"/>
  <c r="AGS251" i="1" s="1"/>
  <c r="AGO109" i="1"/>
  <c r="MH205" i="1"/>
  <c r="AGO251" i="1"/>
  <c r="ADQ11" i="1"/>
  <c r="ADU11" i="1" s="1"/>
  <c r="AGS114" i="1"/>
  <c r="ADG11" i="1"/>
  <c r="ADK11" i="1" s="1"/>
  <c r="AEA11" i="1"/>
  <c r="AEE11" i="1" s="1"/>
  <c r="AHR48" i="1"/>
  <c r="ACW83" i="1"/>
  <c r="ADA83" i="1" s="1"/>
  <c r="ACM83" i="1"/>
  <c r="ACQ83" i="1" s="1"/>
  <c r="ADQ83" i="1"/>
  <c r="ADU83" i="1" s="1"/>
  <c r="ACW11" i="1"/>
  <c r="ADA11" i="1" s="1"/>
  <c r="ADG83" i="1"/>
  <c r="ADK83" i="1" s="1"/>
  <c r="AHP42" i="1"/>
  <c r="AEK11" i="1"/>
  <c r="AEO11" i="1" s="1"/>
  <c r="WO35" i="1"/>
  <c r="PO127" i="1"/>
  <c r="PZ126" i="1" s="1"/>
  <c r="ARX15" i="1" s="1"/>
  <c r="ATM18" i="1"/>
  <c r="JZ100" i="1"/>
  <c r="MP234" i="1"/>
  <c r="WQ121" i="1" s="1"/>
  <c r="MP79" i="1"/>
  <c r="MD60" i="1" s="1"/>
  <c r="MP59" i="1" s="1"/>
  <c r="KC92" i="1"/>
  <c r="KL93" i="1" s="1"/>
  <c r="AGT125" i="1" s="1"/>
  <c r="XP96" i="1" l="1"/>
  <c r="XP101" i="1" s="1"/>
  <c r="XO96" i="1"/>
  <c r="XO101" i="1" s="1"/>
  <c r="XQ88" i="1"/>
  <c r="XQ98" i="1" s="1"/>
  <c r="AHA41" i="1"/>
  <c r="XR88" i="1"/>
  <c r="XR98" i="1" s="1"/>
  <c r="XP88" i="1"/>
  <c r="XP98" i="1" s="1"/>
  <c r="XQ96" i="1"/>
  <c r="XQ101" i="1" s="1"/>
  <c r="XN96" i="1"/>
  <c r="XN101" i="1" s="1"/>
  <c r="XS96" i="1"/>
  <c r="XS101" i="1" s="1"/>
  <c r="XT96" i="1"/>
  <c r="XT101" i="1" s="1"/>
  <c r="XN88" i="1"/>
  <c r="XN98" i="1" s="1"/>
  <c r="XM88" i="1"/>
  <c r="XM98" i="1" s="1"/>
  <c r="XM96" i="1"/>
  <c r="XM101" i="1" s="1"/>
  <c r="YE88" i="1"/>
  <c r="YE98" i="1" s="1"/>
  <c r="XW88" i="1"/>
  <c r="XW98" i="1" s="1"/>
  <c r="YA88" i="1"/>
  <c r="YA98" i="1" s="1"/>
  <c r="ZE88" i="1"/>
  <c r="ZE98" i="1" s="1"/>
  <c r="XX88" i="1"/>
  <c r="XX98" i="1" s="1"/>
  <c r="YF88" i="1"/>
  <c r="YF98" i="1" s="1"/>
  <c r="XU88" i="1"/>
  <c r="XU98" i="1" s="1"/>
  <c r="YV88" i="1"/>
  <c r="YV98" i="1" s="1"/>
  <c r="ZG88" i="1"/>
  <c r="ZG98" i="1" s="1"/>
  <c r="YQ96" i="1"/>
  <c r="YQ101" i="1" s="1"/>
  <c r="YJ88" i="1"/>
  <c r="YJ98" i="1" s="1"/>
  <c r="YN88" i="1"/>
  <c r="YN98" i="1" s="1"/>
  <c r="XY88" i="1"/>
  <c r="XY98" i="1" s="1"/>
  <c r="XV88" i="1"/>
  <c r="XV98" i="1" s="1"/>
  <c r="YL88" i="1"/>
  <c r="YL98" i="1" s="1"/>
  <c r="YB96" i="1"/>
  <c r="YB101" i="1" s="1"/>
  <c r="YX119" i="1"/>
  <c r="YX121" i="1" s="1"/>
  <c r="YZ96" i="1"/>
  <c r="YZ101" i="1" s="1"/>
  <c r="YR96" i="1"/>
  <c r="YR101" i="1" s="1"/>
  <c r="ZH96" i="1"/>
  <c r="ZH101" i="1" s="1"/>
  <c r="ZF96" i="1"/>
  <c r="ZF101" i="1" s="1"/>
  <c r="AAA96" i="1"/>
  <c r="AAA101" i="1" s="1"/>
  <c r="ZW96" i="1"/>
  <c r="ZW101" i="1" s="1"/>
  <c r="YT96" i="1"/>
  <c r="YT101" i="1" s="1"/>
  <c r="YM96" i="1"/>
  <c r="YM101" i="1" s="1"/>
  <c r="XH96" i="1"/>
  <c r="XH101" i="1" s="1"/>
  <c r="AAD96" i="1"/>
  <c r="AAD101" i="1" s="1"/>
  <c r="YV119" i="1"/>
  <c r="YV121" i="1" s="1"/>
  <c r="YG119" i="1"/>
  <c r="YG121" i="1" s="1"/>
  <c r="AAF119" i="1"/>
  <c r="AAF121" i="1" s="1"/>
  <c r="ZG119" i="1"/>
  <c r="ZG121" i="1" s="1"/>
  <c r="ZK119" i="1"/>
  <c r="ZK121" i="1" s="1"/>
  <c r="XP119" i="1"/>
  <c r="AAI119" i="1"/>
  <c r="AAI121" i="1" s="1"/>
  <c r="ZW119" i="1"/>
  <c r="ZW121" i="1" s="1"/>
  <c r="YJ96" i="1"/>
  <c r="YJ101" i="1" s="1"/>
  <c r="AAE96" i="1"/>
  <c r="AAE101" i="1" s="1"/>
  <c r="XW119" i="1"/>
  <c r="XW121" i="1" s="1"/>
  <c r="XK119" i="1"/>
  <c r="XK121" i="1" s="1"/>
  <c r="YI88" i="1"/>
  <c r="YI98" i="1" s="1"/>
  <c r="YU96" i="1"/>
  <c r="YU101" i="1" s="1"/>
  <c r="ZZ119" i="1"/>
  <c r="ZZ121" i="1" s="1"/>
  <c r="YA119" i="1"/>
  <c r="YA121" i="1" s="1"/>
  <c r="ZP119" i="1"/>
  <c r="ZP121" i="1" s="1"/>
  <c r="AAH96" i="1"/>
  <c r="AAH101" i="1" s="1"/>
  <c r="XY96" i="1"/>
  <c r="XY101" i="1" s="1"/>
  <c r="ZY96" i="1"/>
  <c r="ZY101" i="1" s="1"/>
  <c r="YG96" i="1"/>
  <c r="YG101" i="1" s="1"/>
  <c r="YP96" i="1"/>
  <c r="YP101" i="1" s="1"/>
  <c r="ZQ96" i="1"/>
  <c r="ZQ101" i="1" s="1"/>
  <c r="YX96" i="1"/>
  <c r="YX101" i="1" s="1"/>
  <c r="AAC88" i="1"/>
  <c r="AAC98" i="1" s="1"/>
  <c r="YS88" i="1"/>
  <c r="YS98" i="1" s="1"/>
  <c r="YZ88" i="1"/>
  <c r="YZ98" i="1" s="1"/>
  <c r="XG88" i="1"/>
  <c r="XG98" i="1" s="1"/>
  <c r="ZD88" i="1"/>
  <c r="ZD98" i="1" s="1"/>
  <c r="ZI88" i="1"/>
  <c r="ZI98" i="1" s="1"/>
  <c r="YR88" i="1"/>
  <c r="YR98" i="1" s="1"/>
  <c r="YQ88" i="1"/>
  <c r="YQ98" i="1" s="1"/>
  <c r="YW88" i="1"/>
  <c r="YW98" i="1" s="1"/>
  <c r="ZF88" i="1"/>
  <c r="ZF98" i="1" s="1"/>
  <c r="YT88" i="1"/>
  <c r="YT98" i="1" s="1"/>
  <c r="YH88" i="1"/>
  <c r="YH98" i="1" s="1"/>
  <c r="ZR88" i="1"/>
  <c r="ZR98" i="1" s="1"/>
  <c r="YD88" i="1"/>
  <c r="YD98" i="1" s="1"/>
  <c r="AAA88" i="1"/>
  <c r="AAA98" i="1" s="1"/>
  <c r="AAJ88" i="1"/>
  <c r="AAJ98" i="1" s="1"/>
  <c r="ZU88" i="1"/>
  <c r="ZU98" i="1" s="1"/>
  <c r="YC88" i="1"/>
  <c r="YC98" i="1" s="1"/>
  <c r="AAG96" i="1"/>
  <c r="AAG101" i="1" s="1"/>
  <c r="YX88" i="1"/>
  <c r="YX98" i="1" s="1"/>
  <c r="ZA96" i="1"/>
  <c r="ZA101" i="1" s="1"/>
  <c r="AAB88" i="1"/>
  <c r="AAB98" i="1" s="1"/>
  <c r="ZS96" i="1"/>
  <c r="ZS101" i="1" s="1"/>
  <c r="YS119" i="1"/>
  <c r="YS121" i="1" s="1"/>
  <c r="AAK119" i="1"/>
  <c r="AAK121" i="1" s="1"/>
  <c r="YU119" i="1"/>
  <c r="YU121" i="1" s="1"/>
  <c r="ZN119" i="1"/>
  <c r="ZN121" i="1" s="1"/>
  <c r="ZM119" i="1"/>
  <c r="ZM121" i="1" s="1"/>
  <c r="AAM119" i="1"/>
  <c r="AAM121" i="1" s="1"/>
  <c r="ZS119" i="1"/>
  <c r="ZS121" i="1" s="1"/>
  <c r="YF119" i="1"/>
  <c r="YF121" i="1" s="1"/>
  <c r="AAJ119" i="1"/>
  <c r="AAJ121" i="1" s="1"/>
  <c r="XH88" i="1"/>
  <c r="XH98" i="1" s="1"/>
  <c r="XK96" i="1"/>
  <c r="XK101" i="1" s="1"/>
  <c r="ZG96" i="1"/>
  <c r="ZG101" i="1" s="1"/>
  <c r="AAN119" i="1"/>
  <c r="AAN121" i="1" s="1"/>
  <c r="AAR119" i="1"/>
  <c r="AAR121" i="1" s="1"/>
  <c r="YL119" i="1"/>
  <c r="YL121" i="1" s="1"/>
  <c r="AAI88" i="1"/>
  <c r="AAI98" i="1" s="1"/>
  <c r="AAF96" i="1"/>
  <c r="AAF101" i="1" s="1"/>
  <c r="AAL88" i="1"/>
  <c r="AAL98" i="1" s="1"/>
  <c r="AAF88" i="1"/>
  <c r="AAF98" i="1" s="1"/>
  <c r="ZN88" i="1"/>
  <c r="ZN98" i="1" s="1"/>
  <c r="YU88" i="1"/>
  <c r="YU98" i="1" s="1"/>
  <c r="YK96" i="1"/>
  <c r="YK101" i="1" s="1"/>
  <c r="ZZ96" i="1"/>
  <c r="ZZ101" i="1" s="1"/>
  <c r="AAQ96" i="1"/>
  <c r="AAQ101" i="1" s="1"/>
  <c r="YV96" i="1"/>
  <c r="YV101" i="1" s="1"/>
  <c r="ZX96" i="1"/>
  <c r="ZX101" i="1" s="1"/>
  <c r="AAE88" i="1"/>
  <c r="AAE98" i="1" s="1"/>
  <c r="YP88" i="1"/>
  <c r="YP98" i="1" s="1"/>
  <c r="ZH88" i="1"/>
  <c r="ZH98" i="1" s="1"/>
  <c r="ZW88" i="1"/>
  <c r="ZW98" i="1" s="1"/>
  <c r="YY88" i="1"/>
  <c r="YY98" i="1" s="1"/>
  <c r="ZT88" i="1"/>
  <c r="ZT98" i="1" s="1"/>
  <c r="ZV88" i="1"/>
  <c r="ZV98" i="1" s="1"/>
  <c r="YE96" i="1"/>
  <c r="YE101" i="1" s="1"/>
  <c r="XJ96" i="1"/>
  <c r="XJ101" i="1" s="1"/>
  <c r="ZE96" i="1"/>
  <c r="ZE101" i="1" s="1"/>
  <c r="AAI96" i="1"/>
  <c r="AAI101" i="1" s="1"/>
  <c r="AAO96" i="1"/>
  <c r="AAO101" i="1" s="1"/>
  <c r="YH96" i="1"/>
  <c r="YH101" i="1" s="1"/>
  <c r="XZ119" i="1"/>
  <c r="XZ121" i="1" s="1"/>
  <c r="ZL119" i="1"/>
  <c r="ZL121" i="1" s="1"/>
  <c r="YQ119" i="1"/>
  <c r="YQ121" i="1" s="1"/>
  <c r="ZF119" i="1"/>
  <c r="ZF121" i="1" s="1"/>
  <c r="XV119" i="1"/>
  <c r="XV121" i="1" s="1"/>
  <c r="YH119" i="1"/>
  <c r="YH121" i="1" s="1"/>
  <c r="ZQ119" i="1"/>
  <c r="ZQ121" i="1" s="1"/>
  <c r="ZE119" i="1"/>
  <c r="ZE121" i="1" s="1"/>
  <c r="XH119" i="1"/>
  <c r="XH121" i="1" s="1"/>
  <c r="ZR119" i="1"/>
  <c r="ZR121" i="1" s="1"/>
  <c r="YM88" i="1"/>
  <c r="YM98" i="1" s="1"/>
  <c r="YG88" i="1"/>
  <c r="YG98" i="1" s="1"/>
  <c r="XK88" i="1"/>
  <c r="XK98" i="1" s="1"/>
  <c r="AAD88" i="1"/>
  <c r="AAD98" i="1" s="1"/>
  <c r="ZD96" i="1"/>
  <c r="ZD101" i="1" s="1"/>
  <c r="AAC119" i="1"/>
  <c r="AAC121" i="1" s="1"/>
  <c r="ZC96" i="1"/>
  <c r="ZC101" i="1" s="1"/>
  <c r="YY96" i="1"/>
  <c r="YY101" i="1" s="1"/>
  <c r="ZU96" i="1"/>
  <c r="ZU101" i="1" s="1"/>
  <c r="YK88" i="1"/>
  <c r="YK98" i="1" s="1"/>
  <c r="ZZ88" i="1"/>
  <c r="ZZ98" i="1" s="1"/>
  <c r="ZL88" i="1"/>
  <c r="ZL98" i="1" s="1"/>
  <c r="ZQ88" i="1"/>
  <c r="ZQ98" i="1" s="1"/>
  <c r="AAN88" i="1"/>
  <c r="AAN98" i="1" s="1"/>
  <c r="ZX88" i="1"/>
  <c r="ZX98" i="1" s="1"/>
  <c r="ZM88" i="1"/>
  <c r="ZM98" i="1" s="1"/>
  <c r="AAR88" i="1"/>
  <c r="AAR98" i="1" s="1"/>
  <c r="ZO88" i="1"/>
  <c r="ZO98" i="1" s="1"/>
  <c r="YN96" i="1"/>
  <c r="YN101" i="1" s="1"/>
  <c r="AAK96" i="1"/>
  <c r="AAK101" i="1" s="1"/>
  <c r="AAC96" i="1"/>
  <c r="AAC101" i="1" s="1"/>
  <c r="XG96" i="1"/>
  <c r="XG101" i="1" s="1"/>
  <c r="YO96" i="1"/>
  <c r="YO101" i="1" s="1"/>
  <c r="ZB96" i="1"/>
  <c r="ZB101" i="1" s="1"/>
  <c r="YW96" i="1"/>
  <c r="YW101" i="1" s="1"/>
  <c r="ZK96" i="1"/>
  <c r="ZK101" i="1" s="1"/>
  <c r="YA96" i="1"/>
  <c r="YA101" i="1" s="1"/>
  <c r="XX96" i="1"/>
  <c r="XX101" i="1" s="1"/>
  <c r="AAM96" i="1"/>
  <c r="AAM101" i="1" s="1"/>
  <c r="XU96" i="1"/>
  <c r="XU101" i="1" s="1"/>
  <c r="YF96" i="1"/>
  <c r="YF101" i="1" s="1"/>
  <c r="XV96" i="1"/>
  <c r="XV101" i="1" s="1"/>
  <c r="XQ119" i="1"/>
  <c r="XQ121" i="1" s="1"/>
  <c r="YK119" i="1"/>
  <c r="YK121" i="1" s="1"/>
  <c r="AAH119" i="1"/>
  <c r="AAH121" i="1" s="1"/>
  <c r="YZ119" i="1"/>
  <c r="YZ121" i="1" s="1"/>
  <c r="XO119" i="1"/>
  <c r="XO121" i="1" s="1"/>
  <c r="XT119" i="1"/>
  <c r="XT121" i="1" s="1"/>
  <c r="YD119" i="1"/>
  <c r="YD121" i="1" s="1"/>
  <c r="YW119" i="1"/>
  <c r="YW121" i="1" s="1"/>
  <c r="XN119" i="1"/>
  <c r="XN121" i="1" s="1"/>
  <c r="YB119" i="1"/>
  <c r="YB121" i="1" s="1"/>
  <c r="AAO119" i="1"/>
  <c r="AAO121" i="1" s="1"/>
  <c r="YM119" i="1"/>
  <c r="YM121" i="1" s="1"/>
  <c r="AAQ119" i="1"/>
  <c r="AAQ121" i="1" s="1"/>
  <c r="ZA88" i="1"/>
  <c r="ZA98" i="1" s="1"/>
  <c r="AAS88" i="1"/>
  <c r="AAS98" i="1" s="1"/>
  <c r="AAS96" i="1"/>
  <c r="AAS101" i="1" s="1"/>
  <c r="YE119" i="1"/>
  <c r="YE121" i="1" s="1"/>
  <c r="ZJ96" i="1"/>
  <c r="ZJ101" i="1" s="1"/>
  <c r="AAH88" i="1"/>
  <c r="AAH98" i="1" s="1"/>
  <c r="ZJ88" i="1"/>
  <c r="ZJ98" i="1" s="1"/>
  <c r="AAK88" i="1"/>
  <c r="AAK98" i="1" s="1"/>
  <c r="XZ88" i="1"/>
  <c r="XZ98" i="1" s="1"/>
  <c r="ZY88" i="1"/>
  <c r="ZY98" i="1" s="1"/>
  <c r="ZP88" i="1"/>
  <c r="ZP98" i="1" s="1"/>
  <c r="XJ88" i="1"/>
  <c r="XJ98" i="1" s="1"/>
  <c r="YO88" i="1"/>
  <c r="YO98" i="1" s="1"/>
  <c r="ZC88" i="1"/>
  <c r="ZC98" i="1" s="1"/>
  <c r="ZB88" i="1"/>
  <c r="ZB98" i="1" s="1"/>
  <c r="AAG88" i="1"/>
  <c r="AAG98" i="1" s="1"/>
  <c r="AAP88" i="1"/>
  <c r="AAP98" i="1" s="1"/>
  <c r="XI88" i="1"/>
  <c r="XI98" i="1" s="1"/>
  <c r="AAM88" i="1"/>
  <c r="AAM98" i="1" s="1"/>
  <c r="XL88" i="1"/>
  <c r="XL98" i="1" s="1"/>
  <c r="YB88" i="1"/>
  <c r="YB98" i="1" s="1"/>
  <c r="ZK88" i="1"/>
  <c r="ZK98" i="1" s="1"/>
  <c r="AAO88" i="1"/>
  <c r="AAO98" i="1" s="1"/>
  <c r="ZS88" i="1"/>
  <c r="ZS98" i="1" s="1"/>
  <c r="AAQ88" i="1"/>
  <c r="AAQ98" i="1" s="1"/>
  <c r="YD96" i="1"/>
  <c r="YD101" i="1" s="1"/>
  <c r="AAB96" i="1"/>
  <c r="AAB101" i="1" s="1"/>
  <c r="YI96" i="1"/>
  <c r="YI101" i="1" s="1"/>
  <c r="ZV96" i="1"/>
  <c r="ZV101" i="1" s="1"/>
  <c r="ZR96" i="1"/>
  <c r="ZR101" i="1" s="1"/>
  <c r="ZO96" i="1"/>
  <c r="ZO101" i="1" s="1"/>
  <c r="AAN96" i="1"/>
  <c r="AAN101" i="1" s="1"/>
  <c r="AAJ96" i="1"/>
  <c r="AAJ101" i="1" s="1"/>
  <c r="AAR96" i="1"/>
  <c r="AAR101" i="1" s="1"/>
  <c r="YC96" i="1"/>
  <c r="YC101" i="1" s="1"/>
  <c r="YN119" i="1"/>
  <c r="YN121" i="1" s="1"/>
  <c r="YJ119" i="1"/>
  <c r="YJ121" i="1" s="1"/>
  <c r="XR119" i="1"/>
  <c r="XR121" i="1" s="1"/>
  <c r="AAE119" i="1"/>
  <c r="AAE121" i="1" s="1"/>
  <c r="ZA119" i="1"/>
  <c r="ZA121" i="1" s="1"/>
  <c r="ZD119" i="1"/>
  <c r="ZD121" i="1" s="1"/>
  <c r="XS119" i="1"/>
  <c r="XS121" i="1" s="1"/>
  <c r="YP119" i="1"/>
  <c r="YP121" i="1" s="1"/>
  <c r="ZC119" i="1"/>
  <c r="ZC121" i="1" s="1"/>
  <c r="ZB119" i="1"/>
  <c r="ZB121" i="1" s="1"/>
  <c r="ZV119" i="1"/>
  <c r="ZV121" i="1" s="1"/>
  <c r="ZT119" i="1"/>
  <c r="ZT121" i="1" s="1"/>
  <c r="AAP96" i="1"/>
  <c r="AAP101" i="1" s="1"/>
  <c r="ZN96" i="1"/>
  <c r="ZN101" i="1" s="1"/>
  <c r="XI96" i="1"/>
  <c r="XI101" i="1" s="1"/>
  <c r="XL96" i="1"/>
  <c r="XL101" i="1" s="1"/>
  <c r="YR119" i="1"/>
  <c r="YR121" i="1" s="1"/>
  <c r="YO119" i="1"/>
  <c r="YO121" i="1" s="1"/>
  <c r="ZH119" i="1"/>
  <c r="ZH121" i="1" s="1"/>
  <c r="AAG119" i="1"/>
  <c r="AAG121" i="1" s="1"/>
  <c r="AAA119" i="1"/>
  <c r="AAA121" i="1" s="1"/>
  <c r="AAP119" i="1"/>
  <c r="AAP121" i="1" s="1"/>
  <c r="XI119" i="1"/>
  <c r="XI121" i="1" s="1"/>
  <c r="YT119" i="1"/>
  <c r="YT121" i="1" s="1"/>
  <c r="XL119" i="1"/>
  <c r="XL121" i="1" s="1"/>
  <c r="YC119" i="1"/>
  <c r="YC121" i="1" s="1"/>
  <c r="AAS119" i="1"/>
  <c r="AAS121" i="1" s="1"/>
  <c r="ZO119" i="1"/>
  <c r="ZO121" i="1" s="1"/>
  <c r="ZY119" i="1"/>
  <c r="ZY121" i="1" s="1"/>
  <c r="ZX119" i="1"/>
  <c r="ZX121" i="1" s="1"/>
  <c r="XM119" i="1"/>
  <c r="XM121" i="1" s="1"/>
  <c r="ZU119" i="1"/>
  <c r="ZU121" i="1" s="1"/>
  <c r="AAL96" i="1"/>
  <c r="AAL101" i="1" s="1"/>
  <c r="YS96" i="1"/>
  <c r="YS101" i="1" s="1"/>
  <c r="XZ96" i="1"/>
  <c r="XZ101" i="1" s="1"/>
  <c r="ZP96" i="1"/>
  <c r="ZP101" i="1" s="1"/>
  <c r="ZI96" i="1"/>
  <c r="ZI101" i="1" s="1"/>
  <c r="XW96" i="1"/>
  <c r="XW101" i="1" s="1"/>
  <c r="ZL96" i="1"/>
  <c r="ZL101" i="1" s="1"/>
  <c r="ZT96" i="1"/>
  <c r="ZT101" i="1" s="1"/>
  <c r="ZM96" i="1"/>
  <c r="ZM101" i="1" s="1"/>
  <c r="YL96" i="1"/>
  <c r="YL101" i="1" s="1"/>
  <c r="AAL119" i="1"/>
  <c r="AAL121" i="1" s="1"/>
  <c r="ZJ119" i="1"/>
  <c r="ZJ121" i="1" s="1"/>
  <c r="XY119" i="1"/>
  <c r="XY121" i="1" s="1"/>
  <c r="ZI119" i="1"/>
  <c r="ZI121" i="1" s="1"/>
  <c r="XJ119" i="1"/>
  <c r="XJ121" i="1" s="1"/>
  <c r="AAB119" i="1"/>
  <c r="AAB121" i="1" s="1"/>
  <c r="XX119" i="1"/>
  <c r="XX121" i="1" s="1"/>
  <c r="YY119" i="1"/>
  <c r="YY121" i="1" s="1"/>
  <c r="YI119" i="1"/>
  <c r="YI121" i="1" s="1"/>
  <c r="XU119" i="1"/>
  <c r="XU121" i="1" s="1"/>
  <c r="AAD119" i="1"/>
  <c r="AAD121" i="1" s="1"/>
  <c r="XP121" i="1"/>
  <c r="XG119" i="1"/>
  <c r="XG121" i="1" s="1"/>
  <c r="XR101" i="1"/>
  <c r="AHA45" i="1"/>
  <c r="AGQ68" i="1" s="1"/>
  <c r="AGY67" i="1" s="1"/>
  <c r="XO98" i="1"/>
  <c r="XS98" i="1"/>
  <c r="XT98" i="1"/>
  <c r="PO200" i="1"/>
  <c r="PZ200" i="1" s="1"/>
  <c r="PO184" i="1"/>
  <c r="SB27" i="1"/>
  <c r="SN26" i="1" s="1"/>
  <c r="WK104" i="1"/>
  <c r="VS7" i="1"/>
  <c r="WP12" i="1"/>
  <c r="SB19" i="1"/>
  <c r="SN18" i="1" s="1"/>
  <c r="SB22" i="1" s="1"/>
  <c r="PN189" i="1"/>
  <c r="PZ189" i="1" s="1"/>
  <c r="PO186" i="1" s="1"/>
  <c r="PO180" i="1"/>
  <c r="SB15" i="1"/>
  <c r="SN14" i="1" s="1"/>
  <c r="AIH38" i="1" s="1"/>
  <c r="AGO252" i="1"/>
  <c r="WQ126" i="1"/>
  <c r="AGO116" i="1"/>
  <c r="AGZ115" i="1" s="1"/>
  <c r="WI190" i="1"/>
  <c r="AGN88" i="1"/>
  <c r="MG87" i="1"/>
  <c r="MH206" i="1"/>
  <c r="MP206" i="1" s="1"/>
  <c r="MG241" i="1" s="1"/>
  <c r="MM241" i="1" s="1"/>
  <c r="KC104" i="1"/>
  <c r="KL105" i="1"/>
  <c r="XM104" i="1" l="1"/>
  <c r="AAJ104" i="1"/>
  <c r="YB104" i="1"/>
  <c r="YF104" i="1"/>
  <c r="XJ104" i="1"/>
  <c r="YT104" i="1"/>
  <c r="XY104" i="1"/>
  <c r="ZN104" i="1"/>
  <c r="YN104" i="1"/>
  <c r="ZL104" i="1"/>
  <c r="YU104" i="1"/>
  <c r="ZO104" i="1"/>
  <c r="XV104" i="1"/>
  <c r="AAO104" i="1"/>
  <c r="ZS104" i="1"/>
  <c r="AAE104" i="1"/>
  <c r="ZM104" i="1"/>
  <c r="ZZ104" i="1"/>
  <c r="YV104" i="1"/>
  <c r="AAQ104" i="1"/>
  <c r="XX104" i="1"/>
  <c r="ZA104" i="1"/>
  <c r="XK104" i="1"/>
  <c r="XO126" i="1"/>
  <c r="AAA126" i="1"/>
  <c r="ZE126" i="1"/>
  <c r="ZF126" i="1"/>
  <c r="YY126" i="1"/>
  <c r="ZA126" i="1"/>
  <c r="ZZ126" i="1"/>
  <c r="ZL126" i="1"/>
  <c r="AAD126" i="1"/>
  <c r="YJ126" i="1"/>
  <c r="YC126" i="1"/>
  <c r="ZR126" i="1"/>
  <c r="XW126" i="1"/>
  <c r="AAI126" i="1"/>
  <c r="ZM126" i="1"/>
  <c r="ZN126" i="1"/>
  <c r="ZG126" i="1"/>
  <c r="ZI126" i="1"/>
  <c r="AAH126" i="1"/>
  <c r="ZT126" i="1"/>
  <c r="XS126" i="1"/>
  <c r="YR126" i="1"/>
  <c r="YK126" i="1"/>
  <c r="AAP126" i="1"/>
  <c r="YE126" i="1"/>
  <c r="AAQ126" i="1"/>
  <c r="ZU126" i="1"/>
  <c r="ZV126" i="1"/>
  <c r="ZW126" i="1"/>
  <c r="ZQ126" i="1"/>
  <c r="XP126" i="1"/>
  <c r="AAB126" i="1"/>
  <c r="YQ126" i="1"/>
  <c r="YZ126" i="1"/>
  <c r="YS126" i="1"/>
  <c r="YM126" i="1"/>
  <c r="XQ126" i="1"/>
  <c r="AAK126" i="1"/>
  <c r="AAL126" i="1"/>
  <c r="AAE126" i="1"/>
  <c r="ZY126" i="1"/>
  <c r="XX126" i="1"/>
  <c r="AAJ126" i="1"/>
  <c r="ZO126" i="1"/>
  <c r="ZH126" i="1"/>
  <c r="AAO126" i="1"/>
  <c r="YU126" i="1"/>
  <c r="XY126" i="1"/>
  <c r="AAS126" i="1"/>
  <c r="XH126" i="1"/>
  <c r="XI126" i="1"/>
  <c r="AAG126" i="1"/>
  <c r="YF126" i="1"/>
  <c r="AAM126" i="1"/>
  <c r="ZP126" i="1"/>
  <c r="XN126" i="1"/>
  <c r="ZC126" i="1"/>
  <c r="YG126" i="1"/>
  <c r="XK126" i="1"/>
  <c r="AAF126" i="1"/>
  <c r="YT126" i="1"/>
  <c r="YN126" i="1"/>
  <c r="XL126" i="1"/>
  <c r="ZX126" i="1"/>
  <c r="XV126" i="1"/>
  <c r="ZK126" i="1"/>
  <c r="YO126" i="1"/>
  <c r="YH126" i="1"/>
  <c r="YA126" i="1"/>
  <c r="AAN126" i="1"/>
  <c r="ZB126" i="1"/>
  <c r="YV126" i="1"/>
  <c r="XT126" i="1"/>
  <c r="XM126" i="1"/>
  <c r="YD126" i="1"/>
  <c r="YW126" i="1"/>
  <c r="YP126" i="1"/>
  <c r="XJ126" i="1"/>
  <c r="ZJ126" i="1"/>
  <c r="YX126" i="1"/>
  <c r="YB126" i="1"/>
  <c r="XU126" i="1"/>
  <c r="YL126" i="1"/>
  <c r="AAR126" i="1"/>
  <c r="XZ126" i="1"/>
  <c r="AAC126" i="1"/>
  <c r="XR126" i="1"/>
  <c r="ZS126" i="1"/>
  <c r="YI126" i="1"/>
  <c r="ZD126" i="1"/>
  <c r="XG126" i="1"/>
  <c r="AAF104" i="1"/>
  <c r="ZT104" i="1"/>
  <c r="AAP104" i="1"/>
  <c r="AAH104" i="1"/>
  <c r="AAN104" i="1"/>
  <c r="XI104" i="1"/>
  <c r="YH104" i="1"/>
  <c r="ZJ104" i="1"/>
  <c r="AAM104" i="1"/>
  <c r="YZ104" i="1"/>
  <c r="ZD104" i="1"/>
  <c r="ZU104" i="1"/>
  <c r="YX104" i="1"/>
  <c r="XU104" i="1"/>
  <c r="YJ104" i="1"/>
  <c r="XS104" i="1"/>
  <c r="ZP104" i="1"/>
  <c r="ZV104" i="1"/>
  <c r="ZE104" i="1"/>
  <c r="YY104" i="1"/>
  <c r="XW104" i="1"/>
  <c r="ZW104" i="1"/>
  <c r="XH104" i="1"/>
  <c r="AAL104" i="1"/>
  <c r="YP104" i="1"/>
  <c r="XG104" i="1"/>
  <c r="YI104" i="1"/>
  <c r="YW104" i="1"/>
  <c r="YE104" i="1"/>
  <c r="ZX104" i="1"/>
  <c r="XZ104" i="1"/>
  <c r="XO104" i="1"/>
  <c r="AAG104" i="1"/>
  <c r="ZH104" i="1"/>
  <c r="YM104" i="1"/>
  <c r="ZI104" i="1"/>
  <c r="AAI104" i="1"/>
  <c r="YA104" i="1"/>
  <c r="XL104" i="1"/>
  <c r="ZQ104" i="1"/>
  <c r="YK104" i="1"/>
  <c r="ZK104" i="1"/>
  <c r="YO104" i="1"/>
  <c r="ZF104" i="1"/>
  <c r="AAS104" i="1"/>
  <c r="YG104" i="1"/>
  <c r="YC104" i="1"/>
  <c r="AAB104" i="1"/>
  <c r="ZB104" i="1"/>
  <c r="XT104" i="1"/>
  <c r="ZG104" i="1"/>
  <c r="YS104" i="1"/>
  <c r="YQ104" i="1"/>
  <c r="AAA104" i="1"/>
  <c r="XR104" i="1"/>
  <c r="XP104" i="1"/>
  <c r="ZR104" i="1"/>
  <c r="AAD104" i="1"/>
  <c r="YL104" i="1"/>
  <c r="ZY104" i="1"/>
  <c r="AAR104" i="1"/>
  <c r="YD104" i="1"/>
  <c r="AAC104" i="1"/>
  <c r="AAK104" i="1"/>
  <c r="ZC104" i="1"/>
  <c r="XQ104" i="1"/>
  <c r="XN104" i="1"/>
  <c r="YR104" i="1"/>
  <c r="AIW18" i="1"/>
  <c r="AGO52" i="1"/>
  <c r="AGZ51" i="1" s="1"/>
  <c r="AGS56" i="1" s="1"/>
  <c r="AHB57" i="1" s="1"/>
  <c r="AGQ62" i="1" s="1"/>
  <c r="AHB62" i="1" s="1"/>
  <c r="AHB72" i="1" s="1"/>
  <c r="AGQ77" i="1" s="1"/>
  <c r="AGZ78" i="1" s="1"/>
  <c r="AIR10" i="1"/>
  <c r="WV12" i="1"/>
  <c r="WN49" i="1"/>
  <c r="WM33" i="1"/>
  <c r="VY52" i="1"/>
  <c r="PW184" i="1"/>
  <c r="PO181" i="1" s="1"/>
  <c r="PW180" i="1" s="1"/>
  <c r="MP86" i="1"/>
  <c r="WA25" i="1" s="1"/>
  <c r="WP13" i="1"/>
  <c r="AGQ125" i="1"/>
  <c r="WK129" i="1"/>
  <c r="WM190" i="1"/>
  <c r="AGO123" i="1"/>
  <c r="AIM41" i="1"/>
  <c r="AGQ331" i="1"/>
  <c r="AGO122" i="1"/>
  <c r="SC43" i="1"/>
  <c r="AGS249" i="1"/>
  <c r="SN22" i="1"/>
  <c r="AGZ122" i="1"/>
  <c r="AGS136" i="1" s="1"/>
  <c r="AGZ250" i="1"/>
  <c r="AGP323" i="1" s="1"/>
  <c r="ME250" i="1"/>
  <c r="ML248" i="1" s="1"/>
  <c r="XM129" i="1" l="1"/>
  <c r="XU129" i="1"/>
  <c r="YC129" i="1"/>
  <c r="YK129" i="1"/>
  <c r="YS129" i="1"/>
  <c r="ZA129" i="1"/>
  <c r="ZI129" i="1"/>
  <c r="ZQ129" i="1"/>
  <c r="ZY129" i="1"/>
  <c r="AAG129" i="1"/>
  <c r="AAO129" i="1"/>
  <c r="XN129" i="1"/>
  <c r="XV129" i="1"/>
  <c r="YD129" i="1"/>
  <c r="YL129" i="1"/>
  <c r="YT129" i="1"/>
  <c r="ZB129" i="1"/>
  <c r="ZJ129" i="1"/>
  <c r="ZR129" i="1"/>
  <c r="ZZ129" i="1"/>
  <c r="AAH129" i="1"/>
  <c r="AAP129" i="1"/>
  <c r="XO129" i="1"/>
  <c r="XW129" i="1"/>
  <c r="YE129" i="1"/>
  <c r="YM129" i="1"/>
  <c r="YU129" i="1"/>
  <c r="ZC129" i="1"/>
  <c r="ZK129" i="1"/>
  <c r="ZS129" i="1"/>
  <c r="AAA129" i="1"/>
  <c r="AAI129" i="1"/>
  <c r="AAQ129" i="1"/>
  <c r="XH129" i="1"/>
  <c r="XP129" i="1"/>
  <c r="XX129" i="1"/>
  <c r="YF129" i="1"/>
  <c r="YN129" i="1"/>
  <c r="YV129" i="1"/>
  <c r="ZD129" i="1"/>
  <c r="ZL129" i="1"/>
  <c r="ZT129" i="1"/>
  <c r="AAJ129" i="1"/>
  <c r="AAR129" i="1"/>
  <c r="XI129" i="1"/>
  <c r="XQ129" i="1"/>
  <c r="XY129" i="1"/>
  <c r="YG129" i="1"/>
  <c r="YO129" i="1"/>
  <c r="YW129" i="1"/>
  <c r="ZE129" i="1"/>
  <c r="ZM129" i="1"/>
  <c r="ZU129" i="1"/>
  <c r="AAC129" i="1"/>
  <c r="AAK129" i="1"/>
  <c r="AAS129" i="1"/>
  <c r="XJ129" i="1"/>
  <c r="XR129" i="1"/>
  <c r="YH129" i="1"/>
  <c r="YP129" i="1"/>
  <c r="YX129" i="1"/>
  <c r="ZF129" i="1"/>
  <c r="ZV129" i="1"/>
  <c r="AAL129" i="1"/>
  <c r="XK129" i="1"/>
  <c r="XS129" i="1"/>
  <c r="YA129" i="1"/>
  <c r="YQ129" i="1"/>
  <c r="YY129" i="1"/>
  <c r="ZO129" i="1"/>
  <c r="AAE129" i="1"/>
  <c r="XL129" i="1"/>
  <c r="YB129" i="1"/>
  <c r="YR129" i="1"/>
  <c r="ZH129" i="1"/>
  <c r="ZX129" i="1"/>
  <c r="AAN129" i="1"/>
  <c r="AAB129" i="1"/>
  <c r="XZ129" i="1"/>
  <c r="ZN129" i="1"/>
  <c r="AAD129" i="1"/>
  <c r="XG129" i="1"/>
  <c r="YI129" i="1"/>
  <c r="ZG129" i="1"/>
  <c r="ZW129" i="1"/>
  <c r="AAM129" i="1"/>
  <c r="XT129" i="1"/>
  <c r="YJ129" i="1"/>
  <c r="YZ129" i="1"/>
  <c r="ZP129" i="1"/>
  <c r="AAF129" i="1"/>
  <c r="AGZ126" i="1"/>
  <c r="AGP275" i="1"/>
  <c r="AGP328" i="1"/>
  <c r="AGQ304" i="1"/>
  <c r="AGN87" i="1"/>
  <c r="AGQ299" i="1"/>
  <c r="WN50" i="1"/>
  <c r="WU23" i="1"/>
  <c r="PO195" i="1"/>
  <c r="WM39" i="1"/>
  <c r="WV16" i="1"/>
  <c r="MH91" i="1"/>
  <c r="MP92" i="1" s="1"/>
  <c r="WU21" i="1"/>
  <c r="AGO93" i="1"/>
  <c r="WP15" i="1"/>
  <c r="AGQ332" i="1"/>
  <c r="WK107" i="1"/>
  <c r="XT107" i="1" s="1"/>
  <c r="WM45" i="1"/>
  <c r="SB31" i="1"/>
  <c r="SN31" i="1" s="1"/>
  <c r="WA24" i="1" s="1"/>
  <c r="SN43" i="1"/>
  <c r="WV15" i="1" s="1"/>
  <c r="SB35" i="1"/>
  <c r="SN35" i="1" s="1"/>
  <c r="SC44" i="1"/>
  <c r="PW195" i="1"/>
  <c r="PO196" i="1"/>
  <c r="WP16" i="1" l="1"/>
  <c r="AGP269" i="1"/>
  <c r="AGZ269" i="1" s="1"/>
  <c r="AGP327" i="1" s="1"/>
  <c r="AGZ326" i="1" s="1"/>
  <c r="WJ192" i="1"/>
  <c r="XO107" i="1"/>
  <c r="ZQ107" i="1"/>
  <c r="YW107" i="1"/>
  <c r="ZF107" i="1"/>
  <c r="YL107" i="1"/>
  <c r="YP107" i="1"/>
  <c r="WK142" i="1"/>
  <c r="XZ107" i="1"/>
  <c r="YI107" i="1"/>
  <c r="XL107" i="1"/>
  <c r="YO107" i="1"/>
  <c r="AGP263" i="1"/>
  <c r="WK132" i="1"/>
  <c r="XM131" i="1" s="1"/>
  <c r="YR107" i="1"/>
  <c r="ZI107" i="1"/>
  <c r="WK203" i="1"/>
  <c r="XG107" i="1"/>
  <c r="YS107" i="1"/>
  <c r="ZA107" i="1"/>
  <c r="YU107" i="1"/>
  <c r="XM107" i="1"/>
  <c r="AAP107" i="1"/>
  <c r="ZM107" i="1"/>
  <c r="XV107" i="1"/>
  <c r="AAN107" i="1"/>
  <c r="ZZ107" i="1"/>
  <c r="ZS107" i="1"/>
  <c r="ZJ107" i="1"/>
  <c r="ZN107" i="1"/>
  <c r="YZ107" i="1"/>
  <c r="ZT107" i="1"/>
  <c r="AAH107" i="1"/>
  <c r="AAE107" i="1"/>
  <c r="XY107" i="1"/>
  <c r="YB107" i="1"/>
  <c r="YH107" i="1"/>
  <c r="ZL107" i="1"/>
  <c r="YV107" i="1"/>
  <c r="YT107" i="1"/>
  <c r="AAO107" i="1"/>
  <c r="YF107" i="1"/>
  <c r="AAQ107" i="1"/>
  <c r="XK107" i="1"/>
  <c r="AAM107" i="1"/>
  <c r="YN107" i="1"/>
  <c r="XX107" i="1"/>
  <c r="AAF107" i="1"/>
  <c r="AAJ107" i="1"/>
  <c r="ZO107" i="1"/>
  <c r="XI107" i="1"/>
  <c r="XJ107" i="1"/>
  <c r="YC107" i="1"/>
  <c r="AAB107" i="1"/>
  <c r="AAC107" i="1"/>
  <c r="YK107" i="1"/>
  <c r="YD107" i="1"/>
  <c r="YX107" i="1"/>
  <c r="XR107" i="1"/>
  <c r="XP107" i="1"/>
  <c r="ZD107" i="1"/>
  <c r="XW107" i="1"/>
  <c r="ZY107" i="1"/>
  <c r="ZX107" i="1"/>
  <c r="YE107" i="1"/>
  <c r="AAD107" i="1"/>
  <c r="XN107" i="1"/>
  <c r="ZE107" i="1"/>
  <c r="AAS107" i="1"/>
  <c r="ZV107" i="1"/>
  <c r="YG107" i="1"/>
  <c r="AAI107" i="1"/>
  <c r="XQ107" i="1"/>
  <c r="ZP107" i="1"/>
  <c r="YM107" i="1"/>
  <c r="AAK107" i="1"/>
  <c r="ZH107" i="1"/>
  <c r="AAA107" i="1"/>
  <c r="YQ107" i="1"/>
  <c r="AGS150" i="1"/>
  <c r="YJ107" i="1"/>
  <c r="XS107" i="1"/>
  <c r="AAG107" i="1"/>
  <c r="ZG107" i="1"/>
  <c r="ZW107" i="1"/>
  <c r="ZK107" i="1"/>
  <c r="ZC107" i="1"/>
  <c r="XU107" i="1"/>
  <c r="XH107" i="1"/>
  <c r="AAL107" i="1"/>
  <c r="ZB107" i="1"/>
  <c r="YY107" i="1"/>
  <c r="YA107" i="1"/>
  <c r="AAR107" i="1"/>
  <c r="ZU107" i="1"/>
  <c r="ZR107" i="1"/>
  <c r="AGP133" i="1"/>
  <c r="AGZ132" i="1" s="1"/>
  <c r="AGZ86" i="1"/>
  <c r="AGO94" i="1" s="1"/>
  <c r="WI16" i="1"/>
  <c r="SC46" i="1"/>
  <c r="WM23" i="1"/>
  <c r="WM21" i="1"/>
  <c r="WQ21" i="1"/>
  <c r="AGS273" i="1" l="1"/>
  <c r="AGZ274" i="1" s="1"/>
  <c r="AGP259" i="1" s="1"/>
  <c r="AGP278" i="1"/>
  <c r="AGZ321" i="1"/>
  <c r="AGP262" i="1"/>
  <c r="AGP322" i="1"/>
  <c r="AGO153" i="1"/>
  <c r="WQ137" i="1"/>
  <c r="WQ142" i="1"/>
  <c r="AGZ137" i="1"/>
  <c r="AGN148" i="1" s="1"/>
  <c r="AGP141" i="1"/>
  <c r="AGO137" i="1"/>
  <c r="WK135" i="1"/>
  <c r="XK134" i="1" s="1"/>
  <c r="AGZ93" i="1"/>
  <c r="AGS140" i="1" s="1"/>
  <c r="YN23" i="1"/>
  <c r="YV23" i="1"/>
  <c r="ZD23" i="1"/>
  <c r="ZL23" i="1"/>
  <c r="ZT23" i="1"/>
  <c r="AAB23" i="1"/>
  <c r="AAJ23" i="1"/>
  <c r="AAR23" i="1"/>
  <c r="XN23" i="1"/>
  <c r="XV23" i="1"/>
  <c r="YD23" i="1"/>
  <c r="ZE23" i="1"/>
  <c r="AAC23" i="1"/>
  <c r="XO23" i="1"/>
  <c r="YE23" i="1"/>
  <c r="YP23" i="1"/>
  <c r="ZF23" i="1"/>
  <c r="ZV23" i="1"/>
  <c r="AAL23" i="1"/>
  <c r="XX23" i="1"/>
  <c r="YO23" i="1"/>
  <c r="YW23" i="1"/>
  <c r="ZM23" i="1"/>
  <c r="ZU23" i="1"/>
  <c r="AAK23" i="1"/>
  <c r="AAS23" i="1"/>
  <c r="XW23" i="1"/>
  <c r="YX23" i="1"/>
  <c r="ZN23" i="1"/>
  <c r="AAD23" i="1"/>
  <c r="XP23" i="1"/>
  <c r="YF23" i="1"/>
  <c r="XH23" i="1"/>
  <c r="YQ23" i="1"/>
  <c r="ZB23" i="1"/>
  <c r="ZP23" i="1"/>
  <c r="AAA23" i="1"/>
  <c r="AAO23" i="1"/>
  <c r="XQ23" i="1"/>
  <c r="YB23" i="1"/>
  <c r="YR23" i="1"/>
  <c r="ZC23" i="1"/>
  <c r="ZQ23" i="1"/>
  <c r="AAE23" i="1"/>
  <c r="AAP23" i="1"/>
  <c r="XR23" i="1"/>
  <c r="YC23" i="1"/>
  <c r="ZG23" i="1"/>
  <c r="AAF23" i="1"/>
  <c r="AAQ23" i="1"/>
  <c r="YG23" i="1"/>
  <c r="ZS23" i="1"/>
  <c r="XI23" i="1"/>
  <c r="YU23" i="1"/>
  <c r="ZW23" i="1"/>
  <c r="XJ23" i="1"/>
  <c r="YI23" i="1"/>
  <c r="ZX23" i="1"/>
  <c r="YS23" i="1"/>
  <c r="ZR23" i="1"/>
  <c r="XS23" i="1"/>
  <c r="YT23" i="1"/>
  <c r="ZH23" i="1"/>
  <c r="AAG23" i="1"/>
  <c r="XT23" i="1"/>
  <c r="YH23" i="1"/>
  <c r="ZI23" i="1"/>
  <c r="XU23" i="1"/>
  <c r="YK23" i="1"/>
  <c r="YY23" i="1"/>
  <c r="AAI23" i="1"/>
  <c r="XK23" i="1"/>
  <c r="YJ23" i="1"/>
  <c r="AAH23" i="1"/>
  <c r="ZJ23" i="1"/>
  <c r="XY23" i="1"/>
  <c r="YZ23" i="1"/>
  <c r="XL23" i="1"/>
  <c r="ZA23" i="1"/>
  <c r="XM23" i="1"/>
  <c r="ZK23" i="1"/>
  <c r="XZ23" i="1"/>
  <c r="ZO23" i="1"/>
  <c r="YA23" i="1"/>
  <c r="ZY23" i="1"/>
  <c r="XG23" i="1"/>
  <c r="ZZ23" i="1"/>
  <c r="YL23" i="1"/>
  <c r="YM23" i="1"/>
  <c r="AAN23" i="1"/>
  <c r="AAM23" i="1"/>
  <c r="XN21" i="1"/>
  <c r="XV21" i="1"/>
  <c r="YD21" i="1"/>
  <c r="YL21" i="1"/>
  <c r="YT21" i="1"/>
  <c r="ZB21" i="1"/>
  <c r="ZJ21" i="1"/>
  <c r="ZR21" i="1"/>
  <c r="ZZ21" i="1"/>
  <c r="AAH21" i="1"/>
  <c r="AAP21" i="1"/>
  <c r="XO21" i="1"/>
  <c r="XW21" i="1"/>
  <c r="YE21" i="1"/>
  <c r="YM21" i="1"/>
  <c r="YU21" i="1"/>
  <c r="ZC21" i="1"/>
  <c r="ZK21" i="1"/>
  <c r="ZS21" i="1"/>
  <c r="AAA21" i="1"/>
  <c r="AAI21" i="1"/>
  <c r="AAQ21" i="1"/>
  <c r="XH21" i="1"/>
  <c r="XP21" i="1"/>
  <c r="XX21" i="1"/>
  <c r="YF21" i="1"/>
  <c r="YN21" i="1"/>
  <c r="YV21" i="1"/>
  <c r="ZD21" i="1"/>
  <c r="ZL21" i="1"/>
  <c r="ZT21" i="1"/>
  <c r="AAB21" i="1"/>
  <c r="AAJ21" i="1"/>
  <c r="AAR21" i="1"/>
  <c r="XI21" i="1"/>
  <c r="XQ21" i="1"/>
  <c r="XY21" i="1"/>
  <c r="YG21" i="1"/>
  <c r="YO21" i="1"/>
  <c r="YW21" i="1"/>
  <c r="ZE21" i="1"/>
  <c r="ZM21" i="1"/>
  <c r="ZU21" i="1"/>
  <c r="AAC21" i="1"/>
  <c r="AAK21" i="1"/>
  <c r="AAS21" i="1"/>
  <c r="XU21" i="1"/>
  <c r="YK21" i="1"/>
  <c r="ZA21" i="1"/>
  <c r="ZQ21" i="1"/>
  <c r="AAG21" i="1"/>
  <c r="XJ21" i="1"/>
  <c r="XZ21" i="1"/>
  <c r="YP21" i="1"/>
  <c r="ZF21" i="1"/>
  <c r="ZV21" i="1"/>
  <c r="AAL21" i="1"/>
  <c r="XK21" i="1"/>
  <c r="YA21" i="1"/>
  <c r="YQ21" i="1"/>
  <c r="ZG21" i="1"/>
  <c r="ZW21" i="1"/>
  <c r="AAM21" i="1"/>
  <c r="XL21" i="1"/>
  <c r="YB21" i="1"/>
  <c r="YR21" i="1"/>
  <c r="ZH21" i="1"/>
  <c r="ZX21" i="1"/>
  <c r="AAN21" i="1"/>
  <c r="XM21" i="1"/>
  <c r="YC21" i="1"/>
  <c r="YS21" i="1"/>
  <c r="ZI21" i="1"/>
  <c r="ZY21" i="1"/>
  <c r="AAO21" i="1"/>
  <c r="XR21" i="1"/>
  <c r="YH21" i="1"/>
  <c r="YX21" i="1"/>
  <c r="ZN21" i="1"/>
  <c r="AAD21" i="1"/>
  <c r="XS21" i="1"/>
  <c r="YI21" i="1"/>
  <c r="YY21" i="1"/>
  <c r="ZO21" i="1"/>
  <c r="AAE21" i="1"/>
  <c r="XT21" i="1"/>
  <c r="YJ21" i="1"/>
  <c r="YZ21" i="1"/>
  <c r="ZP21" i="1"/>
  <c r="AAF21" i="1"/>
  <c r="XG21" i="1"/>
  <c r="AGP265" i="1" l="1"/>
  <c r="AGO152" i="1"/>
  <c r="XI134" i="1"/>
  <c r="XH134" i="1"/>
  <c r="XL134" i="1"/>
  <c r="XJ134" i="1"/>
  <c r="AGZ141" i="1"/>
  <c r="AGO151" i="1" s="1"/>
  <c r="ZX134" i="1"/>
  <c r="YS134" i="1"/>
  <c r="XS134" i="1"/>
  <c r="XV134" i="1"/>
  <c r="AAS134" i="1"/>
  <c r="AAJ134" i="1"/>
  <c r="AAA134" i="1"/>
  <c r="ZR134" i="1"/>
  <c r="ZS134" i="1"/>
  <c r="YN134" i="1"/>
  <c r="XT134" i="1"/>
  <c r="AAF134" i="1"/>
  <c r="ZA134" i="1"/>
  <c r="YE134" i="1"/>
  <c r="YF134" i="1"/>
  <c r="XW134" i="1"/>
  <c r="XN134" i="1"/>
  <c r="AAK134" i="1"/>
  <c r="AAB134" i="1"/>
  <c r="AAC134" i="1"/>
  <c r="YX134" i="1"/>
  <c r="YB134" i="1"/>
  <c r="AAN134" i="1"/>
  <c r="ZI134" i="1"/>
  <c r="YO134" i="1"/>
  <c r="YP134" i="1"/>
  <c r="YG134" i="1"/>
  <c r="XX134" i="1"/>
  <c r="XO134" i="1"/>
  <c r="AAL134" i="1"/>
  <c r="AAM134" i="1"/>
  <c r="ZJ134" i="1"/>
  <c r="YJ134" i="1"/>
  <c r="ZQ134" i="1"/>
  <c r="YY134" i="1"/>
  <c r="ZB134" i="1"/>
  <c r="YQ134" i="1"/>
  <c r="YH134" i="1"/>
  <c r="XY134" i="1"/>
  <c r="XP134" i="1"/>
  <c r="XQ134" i="1"/>
  <c r="ZT134" i="1"/>
  <c r="YR134" i="1"/>
  <c r="XM134" i="1"/>
  <c r="ZY134" i="1"/>
  <c r="ZK134" i="1"/>
  <c r="ZL134" i="1"/>
  <c r="ZC134" i="1"/>
  <c r="YT134" i="1"/>
  <c r="YI134" i="1"/>
  <c r="XZ134" i="1"/>
  <c r="YA134" i="1"/>
  <c r="AAD134" i="1"/>
  <c r="YZ134" i="1"/>
  <c r="XU134" i="1"/>
  <c r="AAG134" i="1"/>
  <c r="ZU134" i="1"/>
  <c r="ZV134" i="1"/>
  <c r="ZM134" i="1"/>
  <c r="ZD134" i="1"/>
  <c r="YU134" i="1"/>
  <c r="YL134" i="1"/>
  <c r="YM134" i="1"/>
  <c r="AAP134" i="1"/>
  <c r="ZH134" i="1"/>
  <c r="YC134" i="1"/>
  <c r="AAO134" i="1"/>
  <c r="AAE134" i="1"/>
  <c r="ZW134" i="1"/>
  <c r="ZN134" i="1"/>
  <c r="ZE134" i="1"/>
  <c r="YV134" i="1"/>
  <c r="YW134" i="1"/>
  <c r="XR134" i="1"/>
  <c r="ZP134" i="1"/>
  <c r="YK134" i="1"/>
  <c r="XG134" i="1"/>
  <c r="AAR134" i="1"/>
  <c r="ZZ134" i="1"/>
  <c r="ZF134" i="1"/>
  <c r="ZG134" i="1"/>
  <c r="AAH134" i="1"/>
  <c r="AAQ134" i="1"/>
  <c r="AAI134" i="1"/>
  <c r="ZO134" i="1"/>
  <c r="YD134" i="1"/>
  <c r="ZN137" i="1"/>
  <c r="XW137" i="1"/>
  <c r="YL137" i="1"/>
  <c r="ZA137" i="1"/>
  <c r="YP137" i="1"/>
  <c r="YH137" i="1"/>
  <c r="YT137" i="1"/>
  <c r="YY137" i="1"/>
  <c r="AAF137" i="1"/>
  <c r="YW137" i="1"/>
  <c r="AAD137" i="1"/>
  <c r="ZB137" i="1"/>
  <c r="YG137" i="1"/>
  <c r="ZQ137" i="1"/>
  <c r="ZI137" i="1"/>
  <c r="AAN137" i="1"/>
  <c r="AAR137" i="1"/>
  <c r="ZE137" i="1"/>
  <c r="AAE137" i="1"/>
  <c r="ZU137" i="1"/>
  <c r="YA137" i="1"/>
  <c r="YB137" i="1"/>
  <c r="ZY137" i="1"/>
  <c r="XT137" i="1"/>
  <c r="XH137" i="1"/>
  <c r="YJ137" i="1"/>
  <c r="YC137" i="1"/>
  <c r="AAK137" i="1"/>
  <c r="YO137" i="1"/>
  <c r="XY137" i="1"/>
  <c r="AAO137" i="1"/>
  <c r="ZX137" i="1"/>
  <c r="AAG137" i="1"/>
  <c r="YN137" i="1"/>
  <c r="AAP137" i="1"/>
  <c r="ZW137" i="1"/>
  <c r="XR137" i="1"/>
  <c r="YE137" i="1"/>
  <c r="ZT137" i="1"/>
  <c r="XZ137" i="1"/>
  <c r="AAM137" i="1"/>
  <c r="YX137" i="1"/>
  <c r="XX137" i="1"/>
  <c r="AAJ137" i="1"/>
  <c r="YV137" i="1"/>
  <c r="YF137" i="1"/>
  <c r="XP137" i="1"/>
  <c r="XK137" i="1"/>
  <c r="XK139" i="1" s="1"/>
  <c r="XM137" i="1"/>
  <c r="ZV137" i="1"/>
  <c r="AAB137" i="1"/>
  <c r="XI137" i="1"/>
  <c r="ZC137" i="1"/>
  <c r="YU137" i="1"/>
  <c r="ZO137" i="1"/>
  <c r="AAH137" i="1"/>
  <c r="YM137" i="1"/>
  <c r="XJ137" i="1"/>
  <c r="XL137" i="1"/>
  <c r="ZF137" i="1"/>
  <c r="ZZ137" i="1"/>
  <c r="ZR137" i="1"/>
  <c r="AAC137" i="1"/>
  <c r="YS137" i="1"/>
  <c r="XG137" i="1"/>
  <c r="ZJ137" i="1"/>
  <c r="AAS137" i="1"/>
  <c r="XV137" i="1"/>
  <c r="YK137" i="1"/>
  <c r="YR137" i="1"/>
  <c r="AAA137" i="1"/>
  <c r="YI137" i="1"/>
  <c r="ZM137" i="1"/>
  <c r="AAQ137" i="1"/>
  <c r="AAI137" i="1"/>
  <c r="YQ137" i="1"/>
  <c r="ZH137" i="1"/>
  <c r="AAL137" i="1"/>
  <c r="XN137" i="1"/>
  <c r="ZK137" i="1"/>
  <c r="XQ137" i="1"/>
  <c r="ZS137" i="1"/>
  <c r="ZL137" i="1"/>
  <c r="ZD137" i="1"/>
  <c r="ZG137" i="1"/>
  <c r="ZP137" i="1"/>
  <c r="YD137" i="1"/>
  <c r="XU137" i="1"/>
  <c r="XO137" i="1"/>
  <c r="YZ137" i="1"/>
  <c r="XS137" i="1"/>
  <c r="AJB209" i="1"/>
  <c r="AGP279" i="1"/>
  <c r="AGZ278" i="1" s="1"/>
  <c r="AGP258" i="1" s="1"/>
  <c r="AGZ257" i="1" s="1"/>
  <c r="AGR261" i="1" s="1"/>
  <c r="YT25" i="1"/>
  <c r="YT27" i="1" s="1"/>
  <c r="YT39" i="1" s="1"/>
  <c r="YT45" i="1" s="1"/>
  <c r="AAN25" i="1"/>
  <c r="AAN27" i="1" s="1"/>
  <c r="AAN39" i="1" s="1"/>
  <c r="AAN45" i="1" s="1"/>
  <c r="AAK25" i="1"/>
  <c r="AAK27" i="1" s="1"/>
  <c r="AAK39" i="1" s="1"/>
  <c r="AAK45" i="1" s="1"/>
  <c r="AAI25" i="1"/>
  <c r="AAI27" i="1" s="1"/>
  <c r="AAI39" i="1" s="1"/>
  <c r="AAI45" i="1" s="1"/>
  <c r="AAE25" i="1"/>
  <c r="AAE27" i="1" s="1"/>
  <c r="AAE39" i="1" s="1"/>
  <c r="AAE45" i="1" s="1"/>
  <c r="ZG25" i="1"/>
  <c r="ZG27" i="1" s="1"/>
  <c r="ZG39" i="1" s="1"/>
  <c r="ZG45" i="1" s="1"/>
  <c r="XY25" i="1"/>
  <c r="XY27" i="1" s="1"/>
  <c r="XY39" i="1" s="1"/>
  <c r="XY45" i="1" s="1"/>
  <c r="XW25" i="1"/>
  <c r="XW27" i="1" s="1"/>
  <c r="XW39" i="1" s="1"/>
  <c r="XW45" i="1" s="1"/>
  <c r="YQ25" i="1"/>
  <c r="YQ27" i="1" s="1"/>
  <c r="YQ39" i="1" s="1"/>
  <c r="YQ45" i="1" s="1"/>
  <c r="AAC25" i="1"/>
  <c r="AAC27" i="1" s="1"/>
  <c r="AAC39" i="1" s="1"/>
  <c r="AAC45" i="1" s="1"/>
  <c r="XO25" i="1"/>
  <c r="XO27" i="1" s="1"/>
  <c r="XO39" i="1" s="1"/>
  <c r="XO45" i="1" s="1"/>
  <c r="ZU25" i="1"/>
  <c r="ZU27" i="1" s="1"/>
  <c r="ZU39" i="1" s="1"/>
  <c r="ZU45" i="1" s="1"/>
  <c r="YD25" i="1"/>
  <c r="YD27" i="1" s="1"/>
  <c r="YD39" i="1" s="1"/>
  <c r="YD45" i="1" s="1"/>
  <c r="AAF25" i="1"/>
  <c r="AAF27" i="1" s="1"/>
  <c r="AAF39" i="1" s="1"/>
  <c r="AAF45" i="1" s="1"/>
  <c r="YB25" i="1"/>
  <c r="YB27" i="1" s="1"/>
  <c r="YB39" i="1" s="1"/>
  <c r="YB45" i="1" s="1"/>
  <c r="AAL25" i="1"/>
  <c r="AAL27" i="1" s="1"/>
  <c r="AAL39" i="1" s="1"/>
  <c r="AAL45" i="1" s="1"/>
  <c r="ZA25" i="1"/>
  <c r="ZA27" i="1" s="1"/>
  <c r="ZA39" i="1" s="1"/>
  <c r="ZA45" i="1" s="1"/>
  <c r="ZE25" i="1"/>
  <c r="ZE27" i="1" s="1"/>
  <c r="ZE39" i="1" s="1"/>
  <c r="ZE45" i="1" s="1"/>
  <c r="AAJ25" i="1"/>
  <c r="AAJ27" i="1" s="1"/>
  <c r="AAJ39" i="1" s="1"/>
  <c r="AAJ45" i="1" s="1"/>
  <c r="XX25" i="1"/>
  <c r="XX27" i="1" s="1"/>
  <c r="XX39" i="1" s="1"/>
  <c r="XX45" i="1" s="1"/>
  <c r="ZC25" i="1"/>
  <c r="ZC27" i="1" s="1"/>
  <c r="ZC39" i="1" s="1"/>
  <c r="ZC45" i="1" s="1"/>
  <c r="ZZ25" i="1"/>
  <c r="ZZ27" i="1" s="1"/>
  <c r="ZZ39" i="1" s="1"/>
  <c r="ZZ45" i="1" s="1"/>
  <c r="ZD25" i="1"/>
  <c r="ZD27" i="1" s="1"/>
  <c r="ZD39" i="1" s="1"/>
  <c r="ZD45" i="1" s="1"/>
  <c r="ZO25" i="1"/>
  <c r="ZO27" i="1" s="1"/>
  <c r="ZO39" i="1" s="1"/>
  <c r="ZO45" i="1" s="1"/>
  <c r="YV25" i="1"/>
  <c r="YV27" i="1" s="1"/>
  <c r="YV39" i="1" s="1"/>
  <c r="YV45" i="1" s="1"/>
  <c r="AAO25" i="1"/>
  <c r="AAO27" i="1" s="1"/>
  <c r="AAO39" i="1" s="1"/>
  <c r="AAO45" i="1" s="1"/>
  <c r="YA25" i="1"/>
  <c r="YA27" i="1" s="1"/>
  <c r="YA39" i="1" s="1"/>
  <c r="YA45" i="1" s="1"/>
  <c r="XI25" i="1"/>
  <c r="XI27" i="1" s="1"/>
  <c r="XI39" i="1" s="1"/>
  <c r="XI45" i="1" s="1"/>
  <c r="YI25" i="1"/>
  <c r="YI27" i="1" s="1"/>
  <c r="YI39" i="1" s="1"/>
  <c r="YI45" i="1" s="1"/>
  <c r="YR25" i="1"/>
  <c r="YR27" i="1" s="1"/>
  <c r="YR39" i="1" s="1"/>
  <c r="YR45" i="1" s="1"/>
  <c r="ZM25" i="1"/>
  <c r="ZM27" i="1" s="1"/>
  <c r="ZM39" i="1" s="1"/>
  <c r="ZM45" i="1" s="1"/>
  <c r="YF25" i="1"/>
  <c r="YF27" i="1" s="1"/>
  <c r="YF39" i="1" s="1"/>
  <c r="YF45" i="1" s="1"/>
  <c r="XV25" i="1"/>
  <c r="XV27" i="1" s="1"/>
  <c r="ZP25" i="1"/>
  <c r="ZP27" i="1" s="1"/>
  <c r="ZP39" i="1" s="1"/>
  <c r="ZP45" i="1" s="1"/>
  <c r="ZI25" i="1"/>
  <c r="ZI27" i="1" s="1"/>
  <c r="ZI39" i="1" s="1"/>
  <c r="ZI45" i="1" s="1"/>
  <c r="YZ25" i="1"/>
  <c r="YZ27" i="1" s="1"/>
  <c r="YZ39" i="1" s="1"/>
  <c r="YZ45" i="1" s="1"/>
  <c r="AAD25" i="1"/>
  <c r="AAD27" i="1" s="1"/>
  <c r="AAD39" i="1" s="1"/>
  <c r="AAD45" i="1" s="1"/>
  <c r="YS25" i="1"/>
  <c r="YS27" i="1" s="1"/>
  <c r="YS39" i="1" s="1"/>
  <c r="YS45" i="1" s="1"/>
  <c r="XL25" i="1"/>
  <c r="XL27" i="1" s="1"/>
  <c r="XL39" i="1" s="1"/>
  <c r="XL45" i="1" s="1"/>
  <c r="ZV25" i="1"/>
  <c r="ZV27" i="1" s="1"/>
  <c r="ZV39" i="1" s="1"/>
  <c r="ZV45" i="1" s="1"/>
  <c r="YK25" i="1"/>
  <c r="YK27" i="1" s="1"/>
  <c r="YK39" i="1" s="1"/>
  <c r="YK45" i="1" s="1"/>
  <c r="YW25" i="1"/>
  <c r="YW27" i="1" s="1"/>
  <c r="YW39" i="1" s="1"/>
  <c r="YW45" i="1" s="1"/>
  <c r="AAB25" i="1"/>
  <c r="AAB27" i="1" s="1"/>
  <c r="AAB39" i="1" s="1"/>
  <c r="AAB45" i="1" s="1"/>
  <c r="XP25" i="1"/>
  <c r="XP27" i="1" s="1"/>
  <c r="XP39" i="1" s="1"/>
  <c r="XP45" i="1" s="1"/>
  <c r="YU25" i="1"/>
  <c r="YU27" i="1" s="1"/>
  <c r="YU39" i="1" s="1"/>
  <c r="YU45" i="1" s="1"/>
  <c r="ZR25" i="1"/>
  <c r="ZR27" i="1" s="1"/>
  <c r="ZR39" i="1" s="1"/>
  <c r="ZR45" i="1" s="1"/>
  <c r="YH25" i="1"/>
  <c r="YH27" i="1" s="1"/>
  <c r="YH39" i="1" s="1"/>
  <c r="YH45" i="1" s="1"/>
  <c r="XR25" i="1"/>
  <c r="XR27" i="1" s="1"/>
  <c r="XR39" i="1" s="1"/>
  <c r="XR45" i="1" s="1"/>
  <c r="XJ25" i="1"/>
  <c r="XJ27" i="1" s="1"/>
  <c r="XJ39" i="1" s="1"/>
  <c r="XJ45" i="1" s="1"/>
  <c r="XQ25" i="1"/>
  <c r="XQ27" i="1" s="1"/>
  <c r="XQ39" i="1" s="1"/>
  <c r="XQ45" i="1" s="1"/>
  <c r="YL25" i="1"/>
  <c r="YL27" i="1" s="1"/>
  <c r="YL39" i="1" s="1"/>
  <c r="YL45" i="1" s="1"/>
  <c r="YY25" i="1"/>
  <c r="YY27" i="1" s="1"/>
  <c r="YY39" i="1" s="1"/>
  <c r="YY45" i="1" s="1"/>
  <c r="AAG25" i="1"/>
  <c r="AAG27" i="1" s="1"/>
  <c r="AAG39" i="1" s="1"/>
  <c r="AAG45" i="1" s="1"/>
  <c r="YN25" i="1"/>
  <c r="YN27" i="1" s="1"/>
  <c r="YN39" i="1" s="1"/>
  <c r="YN45" i="1" s="1"/>
  <c r="AAP25" i="1"/>
  <c r="AAP27" i="1" s="1"/>
  <c r="AAP39" i="1" s="1"/>
  <c r="AAP45" i="1" s="1"/>
  <c r="ZY25" i="1"/>
  <c r="ZY27" i="1" s="1"/>
  <c r="ZY39" i="1" s="1"/>
  <c r="ZY45" i="1" s="1"/>
  <c r="XK25" i="1"/>
  <c r="XK27" i="1" s="1"/>
  <c r="AAR25" i="1"/>
  <c r="AAR27" i="1" s="1"/>
  <c r="AAR39" i="1" s="1"/>
  <c r="AAR45" i="1" s="1"/>
  <c r="ZK25" i="1"/>
  <c r="ZK27" i="1" s="1"/>
  <c r="ZK39" i="1" s="1"/>
  <c r="ZK45" i="1" s="1"/>
  <c r="AAH25" i="1"/>
  <c r="AAH27" i="1" s="1"/>
  <c r="AAH39" i="1" s="1"/>
  <c r="AAH45" i="1" s="1"/>
  <c r="XS25" i="1"/>
  <c r="XS27" i="1" s="1"/>
  <c r="XS39" i="1" s="1"/>
  <c r="XS45" i="1" s="1"/>
  <c r="YJ25" i="1"/>
  <c r="YJ27" i="1" s="1"/>
  <c r="YJ39" i="1" s="1"/>
  <c r="YJ45" i="1" s="1"/>
  <c r="ZN25" i="1"/>
  <c r="ZN27" i="1" s="1"/>
  <c r="ZN39" i="1" s="1"/>
  <c r="ZN45" i="1" s="1"/>
  <c r="YC25" i="1"/>
  <c r="YC27" i="1" s="1"/>
  <c r="YC39" i="1" s="1"/>
  <c r="YC45" i="1" s="1"/>
  <c r="AAM25" i="1"/>
  <c r="AAM27" i="1" s="1"/>
  <c r="AAM39" i="1" s="1"/>
  <c r="AAM45" i="1" s="1"/>
  <c r="ZF25" i="1"/>
  <c r="ZF27" i="1" s="1"/>
  <c r="ZF39" i="1" s="1"/>
  <c r="ZF45" i="1" s="1"/>
  <c r="XU25" i="1"/>
  <c r="XU27" i="1" s="1"/>
  <c r="XU39" i="1" s="1"/>
  <c r="XU45" i="1" s="1"/>
  <c r="YO25" i="1"/>
  <c r="YO27" i="1" s="1"/>
  <c r="YO39" i="1" s="1"/>
  <c r="YO45" i="1" s="1"/>
  <c r="ZT25" i="1"/>
  <c r="ZT27" i="1" s="1"/>
  <c r="ZT39" i="1" s="1"/>
  <c r="ZT45" i="1" s="1"/>
  <c r="XH25" i="1"/>
  <c r="XH27" i="1" s="1"/>
  <c r="XH39" i="1" s="1"/>
  <c r="XH45" i="1" s="1"/>
  <c r="YM25" i="1"/>
  <c r="YM27" i="1" s="1"/>
  <c r="YM39" i="1" s="1"/>
  <c r="YM45" i="1" s="1"/>
  <c r="ZJ25" i="1"/>
  <c r="ZJ27" i="1" s="1"/>
  <c r="ZJ39" i="1" s="1"/>
  <c r="ZJ45" i="1" s="1"/>
  <c r="XZ25" i="1"/>
  <c r="XZ27" i="1" s="1"/>
  <c r="XZ39" i="1" s="1"/>
  <c r="XZ45" i="1" s="1"/>
  <c r="ZX25" i="1"/>
  <c r="ZX27" i="1" s="1"/>
  <c r="ZX39" i="1" s="1"/>
  <c r="ZX45" i="1" s="1"/>
  <c r="AAA25" i="1"/>
  <c r="AAA27" i="1" s="1"/>
  <c r="AAA39" i="1" s="1"/>
  <c r="AAA45" i="1" s="1"/>
  <c r="ZH25" i="1"/>
  <c r="ZH27" i="1" s="1"/>
  <c r="ZH39" i="1" s="1"/>
  <c r="ZH45" i="1" s="1"/>
  <c r="ZS25" i="1"/>
  <c r="ZS27" i="1" s="1"/>
  <c r="ZS39" i="1" s="1"/>
  <c r="ZS45" i="1" s="1"/>
  <c r="ZQ25" i="1"/>
  <c r="ZQ27" i="1" s="1"/>
  <c r="ZQ39" i="1" s="1"/>
  <c r="ZQ45" i="1" s="1"/>
  <c r="XN25" i="1"/>
  <c r="XN27" i="1" s="1"/>
  <c r="XN39" i="1" s="1"/>
  <c r="XN45" i="1" s="1"/>
  <c r="XT25" i="1"/>
  <c r="XT27" i="1" s="1"/>
  <c r="XT39" i="1" s="1"/>
  <c r="XT45" i="1" s="1"/>
  <c r="YX25" i="1"/>
  <c r="YX27" i="1" s="1"/>
  <c r="YX39" i="1" s="1"/>
  <c r="YX45" i="1" s="1"/>
  <c r="XM25" i="1"/>
  <c r="XM27" i="1" s="1"/>
  <c r="ZW25" i="1"/>
  <c r="ZW27" i="1" s="1"/>
  <c r="ZW39" i="1" s="1"/>
  <c r="ZW45" i="1" s="1"/>
  <c r="YP25" i="1"/>
  <c r="YP27" i="1" s="1"/>
  <c r="YP39" i="1" s="1"/>
  <c r="YP45" i="1" s="1"/>
  <c r="AAS25" i="1"/>
  <c r="AAS27" i="1" s="1"/>
  <c r="YG25" i="1"/>
  <c r="YG27" i="1" s="1"/>
  <c r="YG39" i="1" s="1"/>
  <c r="YG45" i="1" s="1"/>
  <c r="ZL25" i="1"/>
  <c r="ZL27" i="1" s="1"/>
  <c r="ZL39" i="1" s="1"/>
  <c r="ZL45" i="1" s="1"/>
  <c r="AAQ25" i="1"/>
  <c r="AAQ27" i="1" s="1"/>
  <c r="AAQ39" i="1" s="1"/>
  <c r="AAQ45" i="1" s="1"/>
  <c r="YE25" i="1"/>
  <c r="YE27" i="1" s="1"/>
  <c r="YE39" i="1" s="1"/>
  <c r="YE45" i="1" s="1"/>
  <c r="ZB25" i="1"/>
  <c r="ZB27" i="1" s="1"/>
  <c r="ZB39" i="1" s="1"/>
  <c r="ZB45" i="1" s="1"/>
  <c r="XG25" i="1"/>
  <c r="XG27" i="1" s="1"/>
  <c r="XJ139" i="1" l="1"/>
  <c r="XJ142" i="1" s="1"/>
  <c r="YW139" i="1"/>
  <c r="YW151" i="1" s="1"/>
  <c r="YW155" i="1" s="1"/>
  <c r="XQ139" i="1"/>
  <c r="XQ142" i="1" s="1"/>
  <c r="AAG139" i="1"/>
  <c r="AAG151" i="1" s="1"/>
  <c r="AAG155" i="1" s="1"/>
  <c r="XP139" i="1"/>
  <c r="XP142" i="1" s="1"/>
  <c r="XY139" i="1"/>
  <c r="XY151" i="1" s="1"/>
  <c r="XY155" i="1" s="1"/>
  <c r="YT139" i="1"/>
  <c r="YT142" i="1" s="1"/>
  <c r="YD139" i="1"/>
  <c r="YD151" i="1" s="1"/>
  <c r="YD155" i="1" s="1"/>
  <c r="YH139" i="1"/>
  <c r="YH142" i="1" s="1"/>
  <c r="XK142" i="1"/>
  <c r="XK151" i="1"/>
  <c r="XK155" i="1" s="1"/>
  <c r="AGN147" i="1"/>
  <c r="AGZ146" i="1" s="1"/>
  <c r="AGZ151" i="1" s="1"/>
  <c r="AAS139" i="1"/>
  <c r="XX139" i="1"/>
  <c r="AAC139" i="1"/>
  <c r="AAF139" i="1"/>
  <c r="AAH139" i="1"/>
  <c r="YC139" i="1"/>
  <c r="ZV139" i="1"/>
  <c r="YI139" i="1"/>
  <c r="ZT139" i="1"/>
  <c r="ZQ139" i="1"/>
  <c r="XT139" i="1"/>
  <c r="XV39" i="1"/>
  <c r="XV45" i="1" s="1"/>
  <c r="WI209" i="1"/>
  <c r="AAQ139" i="1"/>
  <c r="ZP139" i="1"/>
  <c r="AAO139" i="1"/>
  <c r="ZM139" i="1"/>
  <c r="XZ139" i="1"/>
  <c r="YR139" i="1"/>
  <c r="YY139" i="1"/>
  <c r="XO139" i="1"/>
  <c r="YX139" i="1"/>
  <c r="YE139" i="1"/>
  <c r="AAJ139" i="1"/>
  <c r="AAS39" i="1"/>
  <c r="AAS45" i="1" s="1"/>
  <c r="YU139" i="1"/>
  <c r="AAL139" i="1"/>
  <c r="ZR139" i="1"/>
  <c r="XU139" i="1"/>
  <c r="ZI139" i="1"/>
  <c r="XN139" i="1"/>
  <c r="ZA139" i="1"/>
  <c r="YP139" i="1"/>
  <c r="YG139" i="1"/>
  <c r="YV139" i="1"/>
  <c r="YJ139" i="1"/>
  <c r="XV139" i="1"/>
  <c r="ZZ139" i="1"/>
  <c r="YO139" i="1"/>
  <c r="ZK139" i="1"/>
  <c r="ZS139" i="1"/>
  <c r="XR139" i="1"/>
  <c r="ZG139" i="1"/>
  <c r="ZU139" i="1"/>
  <c r="AAB139" i="1"/>
  <c r="AAP139" i="1"/>
  <c r="ZC139" i="1"/>
  <c r="AAK139" i="1"/>
  <c r="YM139" i="1"/>
  <c r="YN139" i="1"/>
  <c r="XG139" i="1"/>
  <c r="XG151" i="1" s="1"/>
  <c r="ZW139" i="1"/>
  <c r="AAN139" i="1"/>
  <c r="ZX139" i="1"/>
  <c r="ZH139" i="1"/>
  <c r="ZF139" i="1"/>
  <c r="ZE139" i="1"/>
  <c r="ZL139" i="1"/>
  <c r="ZJ139" i="1"/>
  <c r="XH139" i="1"/>
  <c r="XS139" i="1"/>
  <c r="AAR139" i="1"/>
  <c r="ZN139" i="1"/>
  <c r="YL139" i="1"/>
  <c r="YZ139" i="1"/>
  <c r="AAM139" i="1"/>
  <c r="YS139" i="1"/>
  <c r="ZO139" i="1"/>
  <c r="AAD139" i="1"/>
  <c r="ZY139" i="1"/>
  <c r="YQ139" i="1"/>
  <c r="XW139" i="1"/>
  <c r="AAI139" i="1"/>
  <c r="YK139" i="1"/>
  <c r="AAE139" i="1"/>
  <c r="ZD139" i="1"/>
  <c r="YA139" i="1"/>
  <c r="XM139" i="1"/>
  <c r="ZB139" i="1"/>
  <c r="XI139" i="1"/>
  <c r="YB139" i="1"/>
  <c r="YF139" i="1"/>
  <c r="AAA139" i="1"/>
  <c r="XL139" i="1"/>
  <c r="AGZ305" i="1"/>
  <c r="AGR313" i="1" s="1"/>
  <c r="AHA314" i="1" s="1"/>
  <c r="AGP264" i="1"/>
  <c r="AGZ262" i="1" s="1"/>
  <c r="AGO283" i="1" s="1"/>
  <c r="YT31" i="1"/>
  <c r="YT35" i="1" s="1"/>
  <c r="AAI29" i="1"/>
  <c r="AAI33" i="1" s="1"/>
  <c r="AAP29" i="1"/>
  <c r="AAP33" i="1" s="1"/>
  <c r="ZD29" i="1"/>
  <c r="ZD33" i="1" s="1"/>
  <c r="XW29" i="1"/>
  <c r="XW33" i="1" s="1"/>
  <c r="ZX29" i="1"/>
  <c r="ZX33" i="1" s="1"/>
  <c r="XU29" i="1"/>
  <c r="XU33" i="1" s="1"/>
  <c r="XY31" i="1"/>
  <c r="XY35" i="1" s="1"/>
  <c r="AAF31" i="1"/>
  <c r="AAF35" i="1" s="1"/>
  <c r="YT29" i="1"/>
  <c r="YT33" i="1" s="1"/>
  <c r="ZL29" i="1"/>
  <c r="ZL33" i="1" s="1"/>
  <c r="XP29" i="1"/>
  <c r="XP33" i="1" s="1"/>
  <c r="ZS29" i="1"/>
  <c r="ZS33" i="1" s="1"/>
  <c r="ZY29" i="1"/>
  <c r="ZY33" i="1" s="1"/>
  <c r="ZZ29" i="1"/>
  <c r="ZZ33" i="1" s="1"/>
  <c r="AAQ29" i="1"/>
  <c r="AAQ33" i="1" s="1"/>
  <c r="XM29" i="1"/>
  <c r="XM33" i="1" s="1"/>
  <c r="XJ29" i="1"/>
  <c r="XJ33" i="1" s="1"/>
  <c r="ZK29" i="1"/>
  <c r="ZK33" i="1" s="1"/>
  <c r="XR29" i="1"/>
  <c r="XR33" i="1" s="1"/>
  <c r="ZC29" i="1"/>
  <c r="ZC33" i="1" s="1"/>
  <c r="AAF29" i="1"/>
  <c r="AAF33" i="1" s="1"/>
  <c r="XM39" i="1"/>
  <c r="XM45" i="1" s="1"/>
  <c r="XK39" i="1"/>
  <c r="XK45" i="1" s="1"/>
  <c r="ZY31" i="1"/>
  <c r="ZY35" i="1" s="1"/>
  <c r="AAQ31" i="1"/>
  <c r="AAQ35" i="1" s="1"/>
  <c r="AAR29" i="1"/>
  <c r="AAR33" i="1" s="1"/>
  <c r="YJ29" i="1"/>
  <c r="YJ33" i="1" s="1"/>
  <c r="AAG29" i="1"/>
  <c r="AAG33" i="1" s="1"/>
  <c r="XM31" i="1"/>
  <c r="XM35" i="1" s="1"/>
  <c r="ZB29" i="1"/>
  <c r="ZB33" i="1" s="1"/>
  <c r="YS29" i="1"/>
  <c r="YS33" i="1" s="1"/>
  <c r="YF29" i="1"/>
  <c r="YF33" i="1" s="1"/>
  <c r="YV29" i="1"/>
  <c r="YV33" i="1" s="1"/>
  <c r="XX31" i="1"/>
  <c r="XX35" i="1" s="1"/>
  <c r="XH29" i="1"/>
  <c r="XH33" i="1" s="1"/>
  <c r="YZ29" i="1"/>
  <c r="YZ33" i="1" s="1"/>
  <c r="XX29" i="1"/>
  <c r="XX33" i="1" s="1"/>
  <c r="YA31" i="1"/>
  <c r="YA35" i="1" s="1"/>
  <c r="XT31" i="1"/>
  <c r="XT35" i="1" s="1"/>
  <c r="YD31" i="1"/>
  <c r="YD35" i="1" s="1"/>
  <c r="ZX31" i="1"/>
  <c r="ZX35" i="1" s="1"/>
  <c r="AAL31" i="1"/>
  <c r="AAL35" i="1" s="1"/>
  <c r="ZK31" i="1"/>
  <c r="ZK35" i="1" s="1"/>
  <c r="AAA29" i="1"/>
  <c r="AAA33" i="1" s="1"/>
  <c r="XW31" i="1"/>
  <c r="XW35" i="1" s="1"/>
  <c r="ZI29" i="1"/>
  <c r="ZI33" i="1" s="1"/>
  <c r="AAD31" i="1"/>
  <c r="AAD35" i="1" s="1"/>
  <c r="ZB31" i="1"/>
  <c r="ZB35" i="1" s="1"/>
  <c r="YW31" i="1"/>
  <c r="YW35" i="1" s="1"/>
  <c r="YO31" i="1"/>
  <c r="YO35" i="1" s="1"/>
  <c r="ZU31" i="1"/>
  <c r="ZU35" i="1" s="1"/>
  <c r="XS31" i="1"/>
  <c r="XS35" i="1" s="1"/>
  <c r="AAP31" i="1"/>
  <c r="AAP35" i="1" s="1"/>
  <c r="AAH31" i="1"/>
  <c r="AAH35" i="1" s="1"/>
  <c r="AAC31" i="1"/>
  <c r="AAC35" i="1" s="1"/>
  <c r="AAA31" i="1"/>
  <c r="AAA35" i="1" s="1"/>
  <c r="AGO302" i="1"/>
  <c r="XV31" i="1"/>
  <c r="XV35" i="1" s="1"/>
  <c r="YJ31" i="1"/>
  <c r="YJ35" i="1" s="1"/>
  <c r="ZW31" i="1"/>
  <c r="ZW35" i="1" s="1"/>
  <c r="ZC31" i="1"/>
  <c r="ZC35" i="1" s="1"/>
  <c r="ZT29" i="1"/>
  <c r="ZT33" i="1" s="1"/>
  <c r="AAH29" i="1"/>
  <c r="AAH33" i="1" s="1"/>
  <c r="YL29" i="1"/>
  <c r="YL33" i="1" s="1"/>
  <c r="AAB29" i="1"/>
  <c r="AAB33" i="1" s="1"/>
  <c r="XV29" i="1"/>
  <c r="XV33" i="1" s="1"/>
  <c r="ZP31" i="1"/>
  <c r="ZP35" i="1" s="1"/>
  <c r="YF31" i="1"/>
  <c r="YF35" i="1" s="1"/>
  <c r="YC29" i="1"/>
  <c r="YC33" i="1" s="1"/>
  <c r="ZU29" i="1"/>
  <c r="ZU33" i="1" s="1"/>
  <c r="YN31" i="1"/>
  <c r="YN35" i="1" s="1"/>
  <c r="YY29" i="1"/>
  <c r="YY33" i="1" s="1"/>
  <c r="YS31" i="1"/>
  <c r="YS35" i="1" s="1"/>
  <c r="ZT31" i="1"/>
  <c r="ZT35" i="1" s="1"/>
  <c r="XN31" i="1"/>
  <c r="XN35" i="1" s="1"/>
  <c r="YB31" i="1"/>
  <c r="YB35" i="1" s="1"/>
  <c r="ZA31" i="1"/>
  <c r="ZA35" i="1" s="1"/>
  <c r="AAG31" i="1"/>
  <c r="AAG35" i="1" s="1"/>
  <c r="AAM31" i="1"/>
  <c r="AAM35" i="1" s="1"/>
  <c r="ZL31" i="1"/>
  <c r="ZL35" i="1" s="1"/>
  <c r="YQ31" i="1"/>
  <c r="YQ35" i="1" s="1"/>
  <c r="YQ29" i="1"/>
  <c r="YQ33" i="1" s="1"/>
  <c r="XP31" i="1"/>
  <c r="XP35" i="1" s="1"/>
  <c r="YO29" i="1"/>
  <c r="YO33" i="1" s="1"/>
  <c r="YC31" i="1"/>
  <c r="YC35" i="1" s="1"/>
  <c r="ZI31" i="1"/>
  <c r="ZI35" i="1" s="1"/>
  <c r="AAD29" i="1"/>
  <c r="AAD33" i="1" s="1"/>
  <c r="YY31" i="1"/>
  <c r="YY35" i="1" s="1"/>
  <c r="YB29" i="1"/>
  <c r="YB33" i="1" s="1"/>
  <c r="YI31" i="1"/>
  <c r="YI35" i="1" s="1"/>
  <c r="ZD31" i="1"/>
  <c r="ZD35" i="1" s="1"/>
  <c r="ZR29" i="1"/>
  <c r="ZR33" i="1" s="1"/>
  <c r="ZQ29" i="1"/>
  <c r="ZQ33" i="1" s="1"/>
  <c r="AAJ31" i="1"/>
  <c r="AAJ35" i="1" s="1"/>
  <c r="YX29" i="1"/>
  <c r="YX33" i="1" s="1"/>
  <c r="ZV29" i="1"/>
  <c r="ZV33" i="1" s="1"/>
  <c r="XI31" i="1"/>
  <c r="XI35" i="1" s="1"/>
  <c r="ZG31" i="1"/>
  <c r="ZG35" i="1" s="1"/>
  <c r="XT29" i="1"/>
  <c r="XT33" i="1" s="1"/>
  <c r="ZH31" i="1"/>
  <c r="ZH35" i="1" s="1"/>
  <c r="ZO31" i="1"/>
  <c r="ZO35" i="1" s="1"/>
  <c r="ZO29" i="1"/>
  <c r="ZO33" i="1" s="1"/>
  <c r="YE29" i="1"/>
  <c r="YE33" i="1" s="1"/>
  <c r="XQ29" i="1"/>
  <c r="XQ33" i="1" s="1"/>
  <c r="ZE31" i="1"/>
  <c r="ZE35" i="1" s="1"/>
  <c r="YM29" i="1"/>
  <c r="YM33" i="1" s="1"/>
  <c r="ZJ31" i="1"/>
  <c r="ZJ35" i="1" s="1"/>
  <c r="YU31" i="1"/>
  <c r="YU35" i="1" s="1"/>
  <c r="YH31" i="1"/>
  <c r="YH35" i="1" s="1"/>
  <c r="YX31" i="1"/>
  <c r="YX35" i="1" s="1"/>
  <c r="AAK29" i="1"/>
  <c r="AAK33" i="1" s="1"/>
  <c r="YN29" i="1"/>
  <c r="YN33" i="1" s="1"/>
  <c r="XQ31" i="1"/>
  <c r="XQ35" i="1" s="1"/>
  <c r="XN29" i="1"/>
  <c r="XN33" i="1" s="1"/>
  <c r="XZ31" i="1"/>
  <c r="XZ35" i="1" s="1"/>
  <c r="YI29" i="1"/>
  <c r="YI33" i="1" s="1"/>
  <c r="XK31" i="1"/>
  <c r="XK35" i="1" s="1"/>
  <c r="AAN29" i="1"/>
  <c r="AAN33" i="1" s="1"/>
  <c r="ZN29" i="1"/>
  <c r="ZN33" i="1" s="1"/>
  <c r="XI29" i="1"/>
  <c r="XI33" i="1" s="1"/>
  <c r="YV31" i="1"/>
  <c r="YV35" i="1" s="1"/>
  <c r="YZ31" i="1"/>
  <c r="YZ35" i="1" s="1"/>
  <c r="AAE29" i="1"/>
  <c r="AAE33" i="1" s="1"/>
  <c r="XL31" i="1"/>
  <c r="XL35" i="1" s="1"/>
  <c r="AAI31" i="1"/>
  <c r="AAI35" i="1" s="1"/>
  <c r="XL29" i="1"/>
  <c r="XL33" i="1" s="1"/>
  <c r="YP31" i="1"/>
  <c r="YP35" i="1" s="1"/>
  <c r="ZA29" i="1"/>
  <c r="ZA33" i="1" s="1"/>
  <c r="XO29" i="1"/>
  <c r="XO33" i="1" s="1"/>
  <c r="AAS31" i="1"/>
  <c r="AAS35" i="1" s="1"/>
  <c r="AAM29" i="1"/>
  <c r="AAM33" i="1" s="1"/>
  <c r="ZQ31" i="1"/>
  <c r="ZQ35" i="1" s="1"/>
  <c r="YW29" i="1"/>
  <c r="YW33" i="1" s="1"/>
  <c r="XO31" i="1"/>
  <c r="XO35" i="1" s="1"/>
  <c r="ZS31" i="1"/>
  <c r="ZS35" i="1" s="1"/>
  <c r="AAL29" i="1"/>
  <c r="AAL33" i="1" s="1"/>
  <c r="YD29" i="1"/>
  <c r="YD33" i="1" s="1"/>
  <c r="AAC29" i="1"/>
  <c r="AAC33" i="1" s="1"/>
  <c r="XJ31" i="1"/>
  <c r="XJ35" i="1" s="1"/>
  <c r="AAS29" i="1"/>
  <c r="AAS33" i="1" s="1"/>
  <c r="ZM31" i="1"/>
  <c r="ZM35" i="1" s="1"/>
  <c r="ZM29" i="1"/>
  <c r="ZM33" i="1" s="1"/>
  <c r="ZN31" i="1"/>
  <c r="ZN35" i="1" s="1"/>
  <c r="ZG29" i="1"/>
  <c r="ZG33" i="1" s="1"/>
  <c r="XZ29" i="1"/>
  <c r="XZ33" i="1" s="1"/>
  <c r="ZE29" i="1"/>
  <c r="ZE33" i="1" s="1"/>
  <c r="YP29" i="1"/>
  <c r="YP33" i="1" s="1"/>
  <c r="XK29" i="1"/>
  <c r="XK33" i="1" s="1"/>
  <c r="YR29" i="1"/>
  <c r="YR33" i="1" s="1"/>
  <c r="ZF31" i="1"/>
  <c r="ZF35" i="1" s="1"/>
  <c r="ZF29" i="1"/>
  <c r="ZF33" i="1" s="1"/>
  <c r="YA29" i="1"/>
  <c r="YA33" i="1" s="1"/>
  <c r="AAK31" i="1"/>
  <c r="AAK35" i="1" s="1"/>
  <c r="YM31" i="1"/>
  <c r="YM35" i="1" s="1"/>
  <c r="ZW29" i="1"/>
  <c r="ZW33" i="1" s="1"/>
  <c r="ZV31" i="1"/>
  <c r="ZV35" i="1" s="1"/>
  <c r="XU31" i="1"/>
  <c r="XU35" i="1" s="1"/>
  <c r="ZZ31" i="1"/>
  <c r="ZZ35" i="1" s="1"/>
  <c r="AAE31" i="1"/>
  <c r="AAE35" i="1" s="1"/>
  <c r="XH31" i="1"/>
  <c r="XH35" i="1" s="1"/>
  <c r="AAN31" i="1"/>
  <c r="AAN35" i="1" s="1"/>
  <c r="AAB31" i="1"/>
  <c r="AAB35" i="1" s="1"/>
  <c r="AAO29" i="1"/>
  <c r="AAO33" i="1" s="1"/>
  <c r="YR31" i="1"/>
  <c r="YR35" i="1" s="1"/>
  <c r="YG29" i="1"/>
  <c r="YG33" i="1" s="1"/>
  <c r="YK31" i="1"/>
  <c r="YK35" i="1" s="1"/>
  <c r="ZH29" i="1"/>
  <c r="ZH33" i="1" s="1"/>
  <c r="AAR31" i="1"/>
  <c r="AAR35" i="1" s="1"/>
  <c r="ZJ29" i="1"/>
  <c r="ZJ33" i="1" s="1"/>
  <c r="XS29" i="1"/>
  <c r="XS33" i="1" s="1"/>
  <c r="AAO31" i="1"/>
  <c r="AAO35" i="1" s="1"/>
  <c r="YH29" i="1"/>
  <c r="YH33" i="1" s="1"/>
  <c r="YG31" i="1"/>
  <c r="YG35" i="1" s="1"/>
  <c r="YU29" i="1"/>
  <c r="YU33" i="1" s="1"/>
  <c r="YK29" i="1"/>
  <c r="YK33" i="1" s="1"/>
  <c r="ZP29" i="1"/>
  <c r="ZP33" i="1" s="1"/>
  <c r="XR31" i="1"/>
  <c r="XR35" i="1" s="1"/>
  <c r="YE31" i="1"/>
  <c r="YE35" i="1" s="1"/>
  <c r="ZR31" i="1"/>
  <c r="ZR35" i="1" s="1"/>
  <c r="AAJ29" i="1"/>
  <c r="AAJ33" i="1" s="1"/>
  <c r="XY29" i="1"/>
  <c r="XY33" i="1" s="1"/>
  <c r="YL31" i="1"/>
  <c r="YL35" i="1" s="1"/>
  <c r="XG29" i="1"/>
  <c r="XG33" i="1" s="1"/>
  <c r="XG39" i="1"/>
  <c r="XG45" i="1" s="1"/>
  <c r="XG31" i="1"/>
  <c r="XG35" i="1" s="1"/>
  <c r="XQ151" i="1" l="1"/>
  <c r="XQ155" i="1" s="1"/>
  <c r="XY142" i="1"/>
  <c r="XJ151" i="1"/>
  <c r="XJ155" i="1" s="1"/>
  <c r="YT151" i="1"/>
  <c r="YT155" i="1" s="1"/>
  <c r="YT160" i="1" s="1"/>
  <c r="AAG142" i="1"/>
  <c r="YH151" i="1"/>
  <c r="YH155" i="1" s="1"/>
  <c r="YH161" i="1" s="1"/>
  <c r="YD142" i="1"/>
  <c r="YW142" i="1"/>
  <c r="XP151" i="1"/>
  <c r="XP155" i="1" s="1"/>
  <c r="XG41" i="1"/>
  <c r="WS49" i="1" s="1"/>
  <c r="YR142" i="1"/>
  <c r="YR151" i="1"/>
  <c r="AAA142" i="1"/>
  <c r="AAA151" i="1"/>
  <c r="ZJ142" i="1"/>
  <c r="ZJ151" i="1"/>
  <c r="AAL142" i="1"/>
  <c r="AAL151" i="1"/>
  <c r="XT142" i="1"/>
  <c r="XT151" i="1"/>
  <c r="YF142" i="1"/>
  <c r="YF151" i="1"/>
  <c r="YN142" i="1"/>
  <c r="YN151" i="1"/>
  <c r="YU142" i="1"/>
  <c r="YU151" i="1"/>
  <c r="AAI142" i="1"/>
  <c r="AAI151" i="1"/>
  <c r="ZT142" i="1"/>
  <c r="ZT151" i="1"/>
  <c r="ZT155" i="1" s="1"/>
  <c r="ZT162" i="1" s="1"/>
  <c r="XI142" i="1"/>
  <c r="XI151" i="1"/>
  <c r="AAK142" i="1"/>
  <c r="AAK151" i="1"/>
  <c r="AAJ142" i="1"/>
  <c r="AAJ151" i="1"/>
  <c r="AAJ155" i="1" s="1"/>
  <c r="AAJ160" i="1" s="1"/>
  <c r="YI142" i="1"/>
  <c r="YI151" i="1"/>
  <c r="YI155" i="1" s="1"/>
  <c r="YI161" i="1" s="1"/>
  <c r="ZH142" i="1"/>
  <c r="ZH151" i="1"/>
  <c r="AAE142" i="1"/>
  <c r="AAE151" i="1"/>
  <c r="ZG142" i="1"/>
  <c r="ZG151" i="1"/>
  <c r="ZL142" i="1"/>
  <c r="ZL151" i="1"/>
  <c r="XZ142" i="1"/>
  <c r="XZ151" i="1"/>
  <c r="YB142" i="1"/>
  <c r="YB151" i="1"/>
  <c r="ZS142" i="1"/>
  <c r="ZS151" i="1"/>
  <c r="YL142" i="1"/>
  <c r="YL151" i="1"/>
  <c r="ZB142" i="1"/>
  <c r="ZB151" i="1"/>
  <c r="XM142" i="1"/>
  <c r="XM151" i="1"/>
  <c r="ZX142" i="1"/>
  <c r="ZX151" i="1"/>
  <c r="AAP142" i="1"/>
  <c r="AAP151" i="1"/>
  <c r="ZZ142" i="1"/>
  <c r="ZZ151" i="1"/>
  <c r="YX142" i="1"/>
  <c r="YX151" i="1"/>
  <c r="YC142" i="1"/>
  <c r="YC151" i="1"/>
  <c r="YS142" i="1"/>
  <c r="YS151" i="1"/>
  <c r="YV142" i="1"/>
  <c r="YV151" i="1"/>
  <c r="AAC142" i="1"/>
  <c r="AAC151" i="1"/>
  <c r="YK142" i="1"/>
  <c r="YK151" i="1"/>
  <c r="XR142" i="1"/>
  <c r="XR151" i="1"/>
  <c r="ZQ142" i="1"/>
  <c r="ZQ151" i="1"/>
  <c r="ZE142" i="1"/>
  <c r="ZE151" i="1"/>
  <c r="ZF142" i="1"/>
  <c r="ZF151" i="1"/>
  <c r="ZA142" i="1"/>
  <c r="ZA151" i="1"/>
  <c r="ZN142" i="1"/>
  <c r="ZN151" i="1"/>
  <c r="YO142" i="1"/>
  <c r="YO151" i="1"/>
  <c r="YE142" i="1"/>
  <c r="YE151" i="1"/>
  <c r="ZV142" i="1"/>
  <c r="ZV151" i="1"/>
  <c r="AAR142" i="1"/>
  <c r="AAR151" i="1"/>
  <c r="ZI142" i="1"/>
  <c r="ZI151" i="1"/>
  <c r="YA142" i="1"/>
  <c r="YA151" i="1"/>
  <c r="AAD142" i="1"/>
  <c r="AAD151" i="1"/>
  <c r="XS142" i="1"/>
  <c r="XS151" i="1"/>
  <c r="AAN142" i="1"/>
  <c r="AAN151" i="1"/>
  <c r="AAB142" i="1"/>
  <c r="AAB151" i="1"/>
  <c r="XV142" i="1"/>
  <c r="XV151" i="1"/>
  <c r="XU142" i="1"/>
  <c r="XU151" i="1"/>
  <c r="XO142" i="1"/>
  <c r="XO151" i="1"/>
  <c r="AAH142" i="1"/>
  <c r="AAH151" i="1"/>
  <c r="AAM142" i="1"/>
  <c r="AAM151" i="1"/>
  <c r="YG142" i="1"/>
  <c r="YG151" i="1"/>
  <c r="XX142" i="1"/>
  <c r="XX151" i="1"/>
  <c r="XX155" i="1" s="1"/>
  <c r="XX161" i="1" s="1"/>
  <c r="YZ142" i="1"/>
  <c r="YZ151" i="1"/>
  <c r="YM142" i="1"/>
  <c r="YM151" i="1"/>
  <c r="YP142" i="1"/>
  <c r="YP151" i="1"/>
  <c r="ZM142" i="1"/>
  <c r="ZM151" i="1"/>
  <c r="ZM155" i="1" s="1"/>
  <c r="ZM161" i="1" s="1"/>
  <c r="AAS142" i="1"/>
  <c r="AAS151" i="1"/>
  <c r="AAS155" i="1" s="1"/>
  <c r="AAS165" i="1" s="1"/>
  <c r="XW142" i="1"/>
  <c r="XW151" i="1"/>
  <c r="ZK142" i="1"/>
  <c r="ZK151" i="1"/>
  <c r="AAO142" i="1"/>
  <c r="AAO151" i="1"/>
  <c r="AAO155" i="1" s="1"/>
  <c r="AAO164" i="1" s="1"/>
  <c r="YQ142" i="1"/>
  <c r="YQ151" i="1"/>
  <c r="ZC142" i="1"/>
  <c r="ZC151" i="1"/>
  <c r="XN142" i="1"/>
  <c r="XN151" i="1"/>
  <c r="ZP142" i="1"/>
  <c r="ZP151" i="1"/>
  <c r="ZY142" i="1"/>
  <c r="ZY151" i="1"/>
  <c r="AAQ142" i="1"/>
  <c r="AAQ151" i="1"/>
  <c r="XL142" i="1"/>
  <c r="XL151" i="1"/>
  <c r="ZD142" i="1"/>
  <c r="ZD151" i="1"/>
  <c r="ZO142" i="1"/>
  <c r="ZO151" i="1"/>
  <c r="XH142" i="1"/>
  <c r="XH151" i="1"/>
  <c r="ZW142" i="1"/>
  <c r="ZW151" i="1"/>
  <c r="ZU142" i="1"/>
  <c r="ZU151" i="1"/>
  <c r="YJ142" i="1"/>
  <c r="YJ151" i="1"/>
  <c r="ZR142" i="1"/>
  <c r="ZR151" i="1"/>
  <c r="YY142" i="1"/>
  <c r="YY151" i="1"/>
  <c r="AAF142" i="1"/>
  <c r="AAF151" i="1"/>
  <c r="XG142" i="1"/>
  <c r="XG155" i="1" s="1"/>
  <c r="XG161" i="1" s="1"/>
  <c r="AAG165" i="1"/>
  <c r="AAG161" i="1"/>
  <c r="AAG164" i="1"/>
  <c r="AAG160" i="1"/>
  <c r="AAG162" i="1"/>
  <c r="AAG163" i="1"/>
  <c r="AAG159" i="1"/>
  <c r="XK161" i="1"/>
  <c r="XK162" i="1"/>
  <c r="XK163" i="1"/>
  <c r="XK165" i="1"/>
  <c r="XK159" i="1"/>
  <c r="XK160" i="1"/>
  <c r="XK164" i="1"/>
  <c r="YW161" i="1"/>
  <c r="YW165" i="1"/>
  <c r="YW162" i="1"/>
  <c r="YW163" i="1"/>
  <c r="YW164" i="1"/>
  <c r="YW160" i="1"/>
  <c r="YW159" i="1"/>
  <c r="XJ161" i="1"/>
  <c r="XJ162" i="1"/>
  <c r="XJ163" i="1"/>
  <c r="XJ160" i="1"/>
  <c r="XJ164" i="1"/>
  <c r="XJ159" i="1"/>
  <c r="XJ165" i="1"/>
  <c r="XY161" i="1"/>
  <c r="XY162" i="1"/>
  <c r="XY164" i="1"/>
  <c r="XY160" i="1"/>
  <c r="XY163" i="1"/>
  <c r="XY165" i="1"/>
  <c r="XY159" i="1"/>
  <c r="XP161" i="1"/>
  <c r="XP162" i="1"/>
  <c r="XP165" i="1"/>
  <c r="XP159" i="1"/>
  <c r="XP160" i="1"/>
  <c r="XP163" i="1"/>
  <c r="XP164" i="1"/>
  <c r="XQ161" i="1"/>
  <c r="XQ162" i="1"/>
  <c r="XQ164" i="1"/>
  <c r="XQ159" i="1"/>
  <c r="XQ165" i="1"/>
  <c r="XQ163" i="1"/>
  <c r="XQ160" i="1"/>
  <c r="YD161" i="1"/>
  <c r="YD162" i="1"/>
  <c r="YD160" i="1"/>
  <c r="YD163" i="1"/>
  <c r="YD164" i="1"/>
  <c r="YD165" i="1"/>
  <c r="YD159" i="1"/>
  <c r="WH154" i="1"/>
  <c r="YW158" i="1"/>
  <c r="AAG158" i="1"/>
  <c r="XJ158" i="1"/>
  <c r="XY158" i="1"/>
  <c r="XG158" i="1"/>
  <c r="XK158" i="1"/>
  <c r="XP158" i="1"/>
  <c r="YD158" i="1"/>
  <c r="XQ158" i="1"/>
  <c r="AGO290" i="1"/>
  <c r="AGZ290" i="1" s="1"/>
  <c r="AGZ294" i="1"/>
  <c r="AGS282" i="1"/>
  <c r="AGZ283" i="1" s="1"/>
  <c r="AGR167" i="1"/>
  <c r="AHA168" i="1" s="1"/>
  <c r="AGZ175" i="1" s="1"/>
  <c r="XN41" i="1"/>
  <c r="ZC41" i="1"/>
  <c r="YU41" i="1"/>
  <c r="ZK41" i="1"/>
  <c r="YE41" i="1"/>
  <c r="XM41" i="1"/>
  <c r="AAA41" i="1"/>
  <c r="YM41" i="1"/>
  <c r="ZS41" i="1"/>
  <c r="AAQ41" i="1"/>
  <c r="XW41" i="1"/>
  <c r="XO41" i="1"/>
  <c r="AAI41" i="1"/>
  <c r="AAA37" i="1"/>
  <c r="AAA57" i="1" s="1"/>
  <c r="ZS37" i="1"/>
  <c r="ZS57" i="1" s="1"/>
  <c r="XO37" i="1"/>
  <c r="XO57" i="1" s="1"/>
  <c r="ZC37" i="1"/>
  <c r="ZC57" i="1" s="1"/>
  <c r="XW37" i="1"/>
  <c r="XW57" i="1" s="1"/>
  <c r="YJ41" i="1"/>
  <c r="YJ37" i="1"/>
  <c r="YJ57" i="1" s="1"/>
  <c r="ZP41" i="1"/>
  <c r="ZP37" i="1"/>
  <c r="ZP57" i="1" s="1"/>
  <c r="ZB41" i="1"/>
  <c r="ZB37" i="1"/>
  <c r="ZB57" i="1" s="1"/>
  <c r="AAL37" i="1"/>
  <c r="AAL57" i="1" s="1"/>
  <c r="AAL41" i="1"/>
  <c r="YQ41" i="1"/>
  <c r="YQ37" i="1"/>
  <c r="YQ57" i="1" s="1"/>
  <c r="AAO37" i="1"/>
  <c r="AAO57" i="1" s="1"/>
  <c r="AAO41" i="1"/>
  <c r="YI41" i="1"/>
  <c r="YI37" i="1"/>
  <c r="YI57" i="1" s="1"/>
  <c r="AAR37" i="1"/>
  <c r="AAR57" i="1" s="1"/>
  <c r="AAR41" i="1"/>
  <c r="XR41" i="1"/>
  <c r="XR37" i="1"/>
  <c r="XR57" i="1" s="1"/>
  <c r="AAD37" i="1"/>
  <c r="AAD57" i="1" s="1"/>
  <c r="AAD41" i="1"/>
  <c r="ZW41" i="1"/>
  <c r="ZW37" i="1"/>
  <c r="ZW57" i="1" s="1"/>
  <c r="YW37" i="1"/>
  <c r="YW57" i="1" s="1"/>
  <c r="YW41" i="1"/>
  <c r="ZZ41" i="1"/>
  <c r="ZZ37" i="1"/>
  <c r="ZZ57" i="1" s="1"/>
  <c r="ZU41" i="1"/>
  <c r="ZU37" i="1"/>
  <c r="ZU57" i="1" s="1"/>
  <c r="ZT37" i="1"/>
  <c r="ZT57" i="1" s="1"/>
  <c r="ZT41" i="1"/>
  <c r="YS41" i="1"/>
  <c r="YS37" i="1"/>
  <c r="YS57" i="1" s="1"/>
  <c r="YK41" i="1"/>
  <c r="YK37" i="1"/>
  <c r="YK57" i="1" s="1"/>
  <c r="XT37" i="1"/>
  <c r="XT57" i="1" s="1"/>
  <c r="XT41" i="1"/>
  <c r="XY37" i="1"/>
  <c r="XY57" i="1" s="1"/>
  <c r="XY41" i="1"/>
  <c r="YM37" i="1"/>
  <c r="YM57" i="1" s="1"/>
  <c r="ZL41" i="1"/>
  <c r="ZL37" i="1"/>
  <c r="ZL57" i="1" s="1"/>
  <c r="XJ41" i="1"/>
  <c r="XJ37" i="1"/>
  <c r="XJ57" i="1" s="1"/>
  <c r="YC37" i="1"/>
  <c r="YC57" i="1" s="1"/>
  <c r="YC41" i="1"/>
  <c r="XX41" i="1"/>
  <c r="XX37" i="1"/>
  <c r="XX57" i="1" s="1"/>
  <c r="YA41" i="1"/>
  <c r="YA37" i="1"/>
  <c r="YA57" i="1" s="1"/>
  <c r="AAE41" i="1"/>
  <c r="AAE37" i="1"/>
  <c r="AAE57" i="1" s="1"/>
  <c r="YN37" i="1"/>
  <c r="YN57" i="1" s="1"/>
  <c r="YN41" i="1"/>
  <c r="XU37" i="1"/>
  <c r="XU57" i="1" s="1"/>
  <c r="XU41" i="1"/>
  <c r="YT41" i="1"/>
  <c r="YT37" i="1"/>
  <c r="YT57" i="1" s="1"/>
  <c r="ZF37" i="1"/>
  <c r="ZF57" i="1" s="1"/>
  <c r="ZF41" i="1"/>
  <c r="YB41" i="1"/>
  <c r="YB37" i="1"/>
  <c r="YB57" i="1" s="1"/>
  <c r="AAK37" i="1"/>
  <c r="AAK57" i="1" s="1"/>
  <c r="AAK41" i="1"/>
  <c r="YV37" i="1"/>
  <c r="YV57" i="1" s="1"/>
  <c r="YV41" i="1"/>
  <c r="XI37" i="1"/>
  <c r="XI57" i="1" s="1"/>
  <c r="XI41" i="1"/>
  <c r="AAF37" i="1"/>
  <c r="AAF57" i="1" s="1"/>
  <c r="AAF41" i="1"/>
  <c r="AAH37" i="1"/>
  <c r="AAH57" i="1" s="1"/>
  <c r="AAH41" i="1"/>
  <c r="YF37" i="1"/>
  <c r="YF57" i="1" s="1"/>
  <c r="YF41" i="1"/>
  <c r="AAJ41" i="1"/>
  <c r="AAJ37" i="1"/>
  <c r="AAJ57" i="1" s="1"/>
  <c r="ZX41" i="1"/>
  <c r="ZX37" i="1"/>
  <c r="ZX57" i="1" s="1"/>
  <c r="AAS41" i="1"/>
  <c r="AAS37" i="1"/>
  <c r="AAS57" i="1" s="1"/>
  <c r="XP37" i="1"/>
  <c r="XP57" i="1" s="1"/>
  <c r="XP41" i="1"/>
  <c r="ZI41" i="1"/>
  <c r="ZI37" i="1"/>
  <c r="ZI57" i="1" s="1"/>
  <c r="YH37" i="1"/>
  <c r="YH57" i="1" s="1"/>
  <c r="YH41" i="1"/>
  <c r="YP37" i="1"/>
  <c r="YP57" i="1" s="1"/>
  <c r="YP41" i="1"/>
  <c r="XL37" i="1"/>
  <c r="XL57" i="1" s="1"/>
  <c r="XL41" i="1"/>
  <c r="ZQ41" i="1"/>
  <c r="ZQ37" i="1"/>
  <c r="ZQ57" i="1" s="1"/>
  <c r="ZD41" i="1"/>
  <c r="ZD37" i="1"/>
  <c r="ZD57" i="1" s="1"/>
  <c r="YG41" i="1"/>
  <c r="YG37" i="1"/>
  <c r="YG57" i="1" s="1"/>
  <c r="ZE37" i="1"/>
  <c r="ZE57" i="1" s="1"/>
  <c r="ZE41" i="1"/>
  <c r="AAC41" i="1"/>
  <c r="AAC37" i="1"/>
  <c r="AAC57" i="1" s="1"/>
  <c r="AAG37" i="1"/>
  <c r="AAG57" i="1" s="1"/>
  <c r="AAG41" i="1"/>
  <c r="AAI37" i="1"/>
  <c r="AAI57" i="1" s="1"/>
  <c r="AAN41" i="1"/>
  <c r="AAN37" i="1"/>
  <c r="AAN57" i="1" s="1"/>
  <c r="ZV41" i="1"/>
  <c r="ZV37" i="1"/>
  <c r="ZV57" i="1" s="1"/>
  <c r="ZR41" i="1"/>
  <c r="ZR37" i="1"/>
  <c r="ZR57" i="1" s="1"/>
  <c r="YO37" i="1"/>
  <c r="YO57" i="1" s="1"/>
  <c r="YO41" i="1"/>
  <c r="YZ41" i="1"/>
  <c r="YZ37" i="1"/>
  <c r="YZ57" i="1" s="1"/>
  <c r="XM37" i="1"/>
  <c r="XM57" i="1" s="1"/>
  <c r="XS41" i="1"/>
  <c r="XS37" i="1"/>
  <c r="XS57" i="1" s="1"/>
  <c r="ZG41" i="1"/>
  <c r="ZG37" i="1"/>
  <c r="ZG57" i="1" s="1"/>
  <c r="XV41" i="1"/>
  <c r="XV37" i="1"/>
  <c r="XV57" i="1" s="1"/>
  <c r="ZJ41" i="1"/>
  <c r="ZJ37" i="1"/>
  <c r="ZJ57" i="1" s="1"/>
  <c r="ZY41" i="1"/>
  <c r="ZY37" i="1"/>
  <c r="ZY57" i="1" s="1"/>
  <c r="AAB41" i="1"/>
  <c r="AAB37" i="1"/>
  <c r="AAB57" i="1" s="1"/>
  <c r="ZM41" i="1"/>
  <c r="ZM37" i="1"/>
  <c r="ZM57" i="1" s="1"/>
  <c r="YX37" i="1"/>
  <c r="YX57" i="1" s="1"/>
  <c r="YX41" i="1"/>
  <c r="YY41" i="1"/>
  <c r="YY37" i="1"/>
  <c r="YY57" i="1" s="1"/>
  <c r="YL37" i="1"/>
  <c r="YL57" i="1" s="1"/>
  <c r="YL41" i="1"/>
  <c r="AAQ37" i="1"/>
  <c r="AAQ57" i="1" s="1"/>
  <c r="ZH41" i="1"/>
  <c r="ZH37" i="1"/>
  <c r="ZH57" i="1" s="1"/>
  <c r="YR41" i="1"/>
  <c r="YR37" i="1"/>
  <c r="YR57" i="1" s="1"/>
  <c r="ZA41" i="1"/>
  <c r="ZA37" i="1"/>
  <c r="ZA57" i="1" s="1"/>
  <c r="XQ37" i="1"/>
  <c r="XQ57" i="1" s="1"/>
  <c r="XQ41" i="1"/>
  <c r="XK41" i="1"/>
  <c r="XK37" i="1"/>
  <c r="XK57" i="1" s="1"/>
  <c r="ZN37" i="1"/>
  <c r="ZN57" i="1" s="1"/>
  <c r="ZN41" i="1"/>
  <c r="YE37" i="1"/>
  <c r="YE57" i="1" s="1"/>
  <c r="XZ37" i="1"/>
  <c r="XZ57" i="1" s="1"/>
  <c r="XZ41" i="1"/>
  <c r="YD37" i="1"/>
  <c r="YD57" i="1" s="1"/>
  <c r="YD41" i="1"/>
  <c r="AAM41" i="1"/>
  <c r="AAM37" i="1"/>
  <c r="AAM57" i="1" s="1"/>
  <c r="YU37" i="1"/>
  <c r="YU57" i="1" s="1"/>
  <c r="ZO41" i="1"/>
  <c r="ZO37" i="1"/>
  <c r="ZO57" i="1" s="1"/>
  <c r="AAP41" i="1"/>
  <c r="AAP37" i="1"/>
  <c r="AAP57" i="1" s="1"/>
  <c r="XN37" i="1"/>
  <c r="XN57" i="1" s="1"/>
  <c r="ZK37" i="1"/>
  <c r="ZK57" i="1" s="1"/>
  <c r="XH37" i="1"/>
  <c r="XH57" i="1" s="1"/>
  <c r="XH41" i="1"/>
  <c r="AGX314" i="1"/>
  <c r="XG37" i="1"/>
  <c r="XG47" i="1" s="1"/>
  <c r="AGO301" i="1"/>
  <c r="AGZ300" i="1" s="1"/>
  <c r="YT165" i="1" l="1"/>
  <c r="YH160" i="1"/>
  <c r="YH159" i="1"/>
  <c r="YH165" i="1"/>
  <c r="YH164" i="1"/>
  <c r="YH158" i="1"/>
  <c r="YH163" i="1"/>
  <c r="YH162" i="1"/>
  <c r="AAJ161" i="1"/>
  <c r="XG160" i="1"/>
  <c r="YT164" i="1"/>
  <c r="YT161" i="1"/>
  <c r="YT158" i="1"/>
  <c r="YT163" i="1"/>
  <c r="YT162" i="1"/>
  <c r="AAJ159" i="1"/>
  <c r="YT159" i="1"/>
  <c r="XG162" i="1"/>
  <c r="XG159" i="1"/>
  <c r="AAS160" i="1"/>
  <c r="AAS158" i="1"/>
  <c r="AAJ158" i="1"/>
  <c r="AAJ162" i="1"/>
  <c r="AAS161" i="1"/>
  <c r="AAJ164" i="1"/>
  <c r="AAJ165" i="1"/>
  <c r="AAJ163" i="1"/>
  <c r="XG57" i="1"/>
  <c r="ZT165" i="1"/>
  <c r="ZT164" i="1"/>
  <c r="YI162" i="1"/>
  <c r="XG164" i="1"/>
  <c r="ZT160" i="1"/>
  <c r="XG165" i="1"/>
  <c r="XG163" i="1"/>
  <c r="ZT158" i="1"/>
  <c r="AAS159" i="1"/>
  <c r="YI158" i="1"/>
  <c r="AAS162" i="1"/>
  <c r="AAS164" i="1"/>
  <c r="AAS163" i="1"/>
  <c r="ZT163" i="1"/>
  <c r="ZT161" i="1"/>
  <c r="ZT159" i="1"/>
  <c r="YI163" i="1"/>
  <c r="YI165" i="1"/>
  <c r="YI160" i="1"/>
  <c r="YI164" i="1"/>
  <c r="YI159" i="1"/>
  <c r="XX158" i="1"/>
  <c r="AAO158" i="1"/>
  <c r="ZM163" i="1"/>
  <c r="AAO160" i="1"/>
  <c r="XX163" i="1"/>
  <c r="ZM162" i="1"/>
  <c r="AAO159" i="1"/>
  <c r="ZM160" i="1"/>
  <c r="AAO161" i="1"/>
  <c r="ZM164" i="1"/>
  <c r="AAO163" i="1"/>
  <c r="ZM158" i="1"/>
  <c r="XX160" i="1"/>
  <c r="ZM165" i="1"/>
  <c r="AAO165" i="1"/>
  <c r="XX164" i="1"/>
  <c r="XX165" i="1"/>
  <c r="XX159" i="1"/>
  <c r="ZM159" i="1"/>
  <c r="XX162" i="1"/>
  <c r="AAO162" i="1"/>
  <c r="AAF155" i="1"/>
  <c r="ZU155" i="1"/>
  <c r="ZD155" i="1"/>
  <c r="ZP155" i="1"/>
  <c r="XO155" i="1"/>
  <c r="XO158" i="1" s="1"/>
  <c r="AAN155" i="1"/>
  <c r="ZI155" i="1"/>
  <c r="YO155" i="1"/>
  <c r="ZE155" i="1"/>
  <c r="AAC155" i="1"/>
  <c r="YX155" i="1"/>
  <c r="XM155" i="1"/>
  <c r="YB155" i="1"/>
  <c r="AAE155" i="1"/>
  <c r="AAK155" i="1"/>
  <c r="YU155" i="1"/>
  <c r="AAL155" i="1"/>
  <c r="YY155" i="1"/>
  <c r="ZW155" i="1"/>
  <c r="XL155" i="1"/>
  <c r="XN155" i="1"/>
  <c r="ZK155" i="1"/>
  <c r="YP155" i="1"/>
  <c r="YG155" i="1"/>
  <c r="XU155" i="1"/>
  <c r="XS155" i="1"/>
  <c r="AAR155" i="1"/>
  <c r="ZN155" i="1"/>
  <c r="ZQ155" i="1"/>
  <c r="YV155" i="1"/>
  <c r="ZZ155" i="1"/>
  <c r="ZB155" i="1"/>
  <c r="XZ155" i="1"/>
  <c r="ZH155" i="1"/>
  <c r="XI155" i="1"/>
  <c r="YN155" i="1"/>
  <c r="ZJ155" i="1"/>
  <c r="ZR155" i="1"/>
  <c r="XH155" i="1"/>
  <c r="AAQ155" i="1"/>
  <c r="ZC155" i="1"/>
  <c r="XW155" i="1"/>
  <c r="YM155" i="1"/>
  <c r="AAM155" i="1"/>
  <c r="XV155" i="1"/>
  <c r="AAD155" i="1"/>
  <c r="ZV155" i="1"/>
  <c r="ZA155" i="1"/>
  <c r="XR155" i="1"/>
  <c r="XR158" i="1" s="1"/>
  <c r="YS155" i="1"/>
  <c r="AAP155" i="1"/>
  <c r="YL155" i="1"/>
  <c r="ZL155" i="1"/>
  <c r="YF155" i="1"/>
  <c r="AAA155" i="1"/>
  <c r="YJ155" i="1"/>
  <c r="ZO155" i="1"/>
  <c r="ZY155" i="1"/>
  <c r="YQ155" i="1"/>
  <c r="YZ155" i="1"/>
  <c r="AAH155" i="1"/>
  <c r="AAB155" i="1"/>
  <c r="YA155" i="1"/>
  <c r="YE155" i="1"/>
  <c r="ZF155" i="1"/>
  <c r="YK155" i="1"/>
  <c r="YC155" i="1"/>
  <c r="ZX155" i="1"/>
  <c r="ZS155" i="1"/>
  <c r="ZG155" i="1"/>
  <c r="AAI155" i="1"/>
  <c r="XT155" i="1"/>
  <c r="YR155" i="1"/>
  <c r="AAS47" i="1"/>
  <c r="AAS43" i="1"/>
  <c r="XQ47" i="1"/>
  <c r="XQ43" i="1"/>
  <c r="ZG47" i="1"/>
  <c r="ZG43" i="1"/>
  <c r="ZD47" i="1"/>
  <c r="ZD43" i="1"/>
  <c r="ZX47" i="1"/>
  <c r="ZX43" i="1"/>
  <c r="XY47" i="1"/>
  <c r="XY43" i="1"/>
  <c r="ZT47" i="1"/>
  <c r="ZT43" i="1"/>
  <c r="ZS43" i="1"/>
  <c r="ZS47" i="1"/>
  <c r="YY47" i="1"/>
  <c r="YY43" i="1"/>
  <c r="AAM47" i="1"/>
  <c r="AAM43" i="1"/>
  <c r="XN43" i="1"/>
  <c r="XN47" i="1"/>
  <c r="YM43" i="1"/>
  <c r="YM47" i="1"/>
  <c r="AAL47" i="1"/>
  <c r="AAL43" i="1"/>
  <c r="XS47" i="1"/>
  <c r="XS43" i="1"/>
  <c r="XH47" i="1"/>
  <c r="XH43" i="1"/>
  <c r="ZN47" i="1"/>
  <c r="ZN43" i="1"/>
  <c r="ZJ43" i="1"/>
  <c r="ZJ47" i="1"/>
  <c r="XM47" i="1"/>
  <c r="XM43" i="1"/>
  <c r="YT43" i="1"/>
  <c r="YT47" i="1"/>
  <c r="YA43" i="1"/>
  <c r="YA47" i="1"/>
  <c r="ZL47" i="1"/>
  <c r="ZL43" i="1"/>
  <c r="ZK43" i="1"/>
  <c r="ZK47" i="1"/>
  <c r="XK47" i="1"/>
  <c r="XK43" i="1"/>
  <c r="ZH47" i="1"/>
  <c r="ZH43" i="1"/>
  <c r="YX47" i="1"/>
  <c r="YX43" i="1"/>
  <c r="YZ47" i="1"/>
  <c r="YZ43" i="1"/>
  <c r="AAN43" i="1"/>
  <c r="AAN47" i="1"/>
  <c r="ZE47" i="1"/>
  <c r="ZE43" i="1"/>
  <c r="XL47" i="1"/>
  <c r="XL43" i="1"/>
  <c r="XP47" i="1"/>
  <c r="XP43" i="1"/>
  <c r="YF47" i="1"/>
  <c r="YF43" i="1"/>
  <c r="YV47" i="1"/>
  <c r="YV43" i="1"/>
  <c r="YS47" i="1"/>
  <c r="YS43" i="1"/>
  <c r="XW43" i="1"/>
  <c r="XW47" i="1"/>
  <c r="XV43" i="1"/>
  <c r="XV47" i="1"/>
  <c r="YG47" i="1"/>
  <c r="YG43" i="1"/>
  <c r="XX47" i="1"/>
  <c r="XX43" i="1"/>
  <c r="YW47" i="1"/>
  <c r="YW43" i="1"/>
  <c r="AAR47" i="1"/>
  <c r="AAR43" i="1"/>
  <c r="ZC43" i="1"/>
  <c r="ZC47" i="1"/>
  <c r="AAP43" i="1"/>
  <c r="AAP47" i="1"/>
  <c r="YD43" i="1"/>
  <c r="YD47" i="1"/>
  <c r="AAQ43" i="1"/>
  <c r="AAQ47" i="1"/>
  <c r="AAI43" i="1"/>
  <c r="AAI47" i="1"/>
  <c r="YP47" i="1"/>
  <c r="YP43" i="1"/>
  <c r="AAH43" i="1"/>
  <c r="AAH47" i="1"/>
  <c r="AAK47" i="1"/>
  <c r="AAK43" i="1"/>
  <c r="XU43" i="1"/>
  <c r="XU47" i="1"/>
  <c r="ZW47" i="1"/>
  <c r="ZW43" i="1"/>
  <c r="YI47" i="1"/>
  <c r="YI43" i="1"/>
  <c r="ZB43" i="1"/>
  <c r="ZB47" i="1"/>
  <c r="XO43" i="1"/>
  <c r="XO47" i="1"/>
  <c r="ZM47" i="1"/>
  <c r="ZM43" i="1"/>
  <c r="AAB47" i="1"/>
  <c r="AAB43" i="1"/>
  <c r="YO47" i="1"/>
  <c r="YO43" i="1"/>
  <c r="YB43" i="1"/>
  <c r="YB47" i="1"/>
  <c r="ZO43" i="1"/>
  <c r="ZO47" i="1"/>
  <c r="XZ47" i="1"/>
  <c r="XZ43" i="1"/>
  <c r="ZA43" i="1"/>
  <c r="ZA47" i="1"/>
  <c r="YL43" i="1"/>
  <c r="YL47" i="1"/>
  <c r="ZR43" i="1"/>
  <c r="ZR47" i="1"/>
  <c r="AAG43" i="1"/>
  <c r="AAG47" i="1"/>
  <c r="YH47" i="1"/>
  <c r="YH43" i="1"/>
  <c r="AAF47" i="1"/>
  <c r="AAF43" i="1"/>
  <c r="YN47" i="1"/>
  <c r="YN43" i="1"/>
  <c r="YC47" i="1"/>
  <c r="YC43" i="1"/>
  <c r="ZU47" i="1"/>
  <c r="ZU43" i="1"/>
  <c r="ZP47" i="1"/>
  <c r="ZP43" i="1"/>
  <c r="AAA43" i="1"/>
  <c r="AAA47" i="1"/>
  <c r="YE43" i="1"/>
  <c r="YE47" i="1"/>
  <c r="ZY43" i="1"/>
  <c r="ZY47" i="1"/>
  <c r="AAC47" i="1"/>
  <c r="AAC43" i="1"/>
  <c r="ZQ47" i="1"/>
  <c r="ZQ43" i="1"/>
  <c r="ZI43" i="1"/>
  <c r="ZI47" i="1"/>
  <c r="AAJ47" i="1"/>
  <c r="AAJ43" i="1"/>
  <c r="AAE47" i="1"/>
  <c r="AAE43" i="1"/>
  <c r="XJ47" i="1"/>
  <c r="XJ43" i="1"/>
  <c r="XT47" i="1"/>
  <c r="XT43" i="1"/>
  <c r="AAD47" i="1"/>
  <c r="AAD43" i="1"/>
  <c r="AAO47" i="1"/>
  <c r="AAO43" i="1"/>
  <c r="YU43" i="1"/>
  <c r="YU47" i="1"/>
  <c r="YR47" i="1"/>
  <c r="YR43" i="1"/>
  <c r="ZV47" i="1"/>
  <c r="ZV43" i="1"/>
  <c r="XI47" i="1"/>
  <c r="XI43" i="1"/>
  <c r="ZF47" i="1"/>
  <c r="ZF43" i="1"/>
  <c r="YK47" i="1"/>
  <c r="YK43" i="1"/>
  <c r="ZZ43" i="1"/>
  <c r="ZZ47" i="1"/>
  <c r="XR47" i="1"/>
  <c r="XR43" i="1"/>
  <c r="YQ47" i="1"/>
  <c r="YQ43" i="1"/>
  <c r="YJ47" i="1"/>
  <c r="YJ43" i="1"/>
  <c r="XG43" i="1"/>
  <c r="XG166" i="1"/>
  <c r="XG182" i="1" s="1"/>
  <c r="XK166" i="1"/>
  <c r="XK170" i="1" s="1"/>
  <c r="XK175" i="1" s="1"/>
  <c r="XK180" i="1" s="1"/>
  <c r="XJ166" i="1"/>
  <c r="XJ184" i="1" s="1"/>
  <c r="YH166" i="1"/>
  <c r="YD166" i="1"/>
  <c r="XY166" i="1"/>
  <c r="AAG166" i="1"/>
  <c r="XP166" i="1"/>
  <c r="YW166" i="1"/>
  <c r="XQ166" i="1"/>
  <c r="AGO177" i="1"/>
  <c r="ABU166" i="1"/>
  <c r="AFD226" i="1"/>
  <c r="ADF226" i="1"/>
  <c r="AET226" i="1"/>
  <c r="ACV226" i="1"/>
  <c r="AEJ226" i="1"/>
  <c r="ACL226" i="1"/>
  <c r="ADP226" i="1"/>
  <c r="ADZ226" i="1"/>
  <c r="YT166" i="1" l="1"/>
  <c r="YT168" i="1" s="1"/>
  <c r="YT172" i="1" s="1"/>
  <c r="YT178" i="1" s="1"/>
  <c r="AAS166" i="1"/>
  <c r="AAS184" i="1" s="1"/>
  <c r="YI166" i="1"/>
  <c r="AAJ166" i="1"/>
  <c r="AAJ184" i="1" s="1"/>
  <c r="ZT166" i="1"/>
  <c r="ZT168" i="1" s="1"/>
  <c r="ZT172" i="1" s="1"/>
  <c r="ZT178" i="1" s="1"/>
  <c r="XX166" i="1"/>
  <c r="XX182" i="1" s="1"/>
  <c r="AAO166" i="1"/>
  <c r="AAO168" i="1" s="1"/>
  <c r="AAO172" i="1" s="1"/>
  <c r="AAO178" i="1" s="1"/>
  <c r="ZM166" i="1"/>
  <c r="ZM168" i="1" s="1"/>
  <c r="ZM172" i="1" s="1"/>
  <c r="ZM178" i="1" s="1"/>
  <c r="YC164" i="1"/>
  <c r="YC159" i="1"/>
  <c r="YC160" i="1"/>
  <c r="YC163" i="1"/>
  <c r="YC161" i="1"/>
  <c r="YC162" i="1"/>
  <c r="YC158" i="1"/>
  <c r="YC165" i="1"/>
  <c r="YQ165" i="1"/>
  <c r="YQ161" i="1"/>
  <c r="YQ163" i="1"/>
  <c r="YQ162" i="1"/>
  <c r="YQ164" i="1"/>
  <c r="YQ159" i="1"/>
  <c r="YQ158" i="1"/>
  <c r="YQ160" i="1"/>
  <c r="AAP159" i="1"/>
  <c r="AAP165" i="1"/>
  <c r="AAP163" i="1"/>
  <c r="AAP161" i="1"/>
  <c r="AAP160" i="1"/>
  <c r="AAP162" i="1"/>
  <c r="AAP158" i="1"/>
  <c r="AAP164" i="1"/>
  <c r="YM160" i="1"/>
  <c r="YM162" i="1"/>
  <c r="YM159" i="1"/>
  <c r="YM165" i="1"/>
  <c r="YM164" i="1"/>
  <c r="YM163" i="1"/>
  <c r="YM161" i="1"/>
  <c r="YM158" i="1"/>
  <c r="XI164" i="1"/>
  <c r="XI163" i="1"/>
  <c r="XI161" i="1"/>
  <c r="XI159" i="1"/>
  <c r="XI165" i="1"/>
  <c r="XI162" i="1"/>
  <c r="XI160" i="1"/>
  <c r="XI158" i="1"/>
  <c r="AAR165" i="1"/>
  <c r="AAR159" i="1"/>
  <c r="AAR161" i="1"/>
  <c r="AAR160" i="1"/>
  <c r="AAR164" i="1"/>
  <c r="AAR162" i="1"/>
  <c r="AAR163" i="1"/>
  <c r="AAR158" i="1"/>
  <c r="ZW164" i="1"/>
  <c r="ZW160" i="1"/>
  <c r="ZW163" i="1"/>
  <c r="ZW161" i="1"/>
  <c r="ZW165" i="1"/>
  <c r="ZW159" i="1"/>
  <c r="ZW162" i="1"/>
  <c r="ZW158" i="1"/>
  <c r="YX163" i="1"/>
  <c r="YX159" i="1"/>
  <c r="YX158" i="1"/>
  <c r="YX161" i="1"/>
  <c r="YX164" i="1"/>
  <c r="YX165" i="1"/>
  <c r="YX162" i="1"/>
  <c r="YX160" i="1"/>
  <c r="ZD160" i="1"/>
  <c r="ZD161" i="1"/>
  <c r="ZD165" i="1"/>
  <c r="ZD164" i="1"/>
  <c r="ZD162" i="1"/>
  <c r="ZD163" i="1"/>
  <c r="ZD159" i="1"/>
  <c r="ZD158" i="1"/>
  <c r="YL164" i="1"/>
  <c r="YL163" i="1"/>
  <c r="YL159" i="1"/>
  <c r="YL165" i="1"/>
  <c r="YL161" i="1"/>
  <c r="YL162" i="1"/>
  <c r="YL158" i="1"/>
  <c r="YL160" i="1"/>
  <c r="YN163" i="1"/>
  <c r="YN159" i="1"/>
  <c r="YN160" i="1"/>
  <c r="YN161" i="1"/>
  <c r="YN165" i="1"/>
  <c r="YN164" i="1"/>
  <c r="YN158" i="1"/>
  <c r="YN162" i="1"/>
  <c r="XM165" i="1"/>
  <c r="XM161" i="1"/>
  <c r="XM159" i="1"/>
  <c r="XM160" i="1"/>
  <c r="XM163" i="1"/>
  <c r="XM164" i="1"/>
  <c r="XM158" i="1"/>
  <c r="XM162" i="1"/>
  <c r="ZS165" i="1"/>
  <c r="ZS164" i="1"/>
  <c r="ZS160" i="1"/>
  <c r="ZS162" i="1"/>
  <c r="ZS161" i="1"/>
  <c r="ZS163" i="1"/>
  <c r="ZS159" i="1"/>
  <c r="ZS158" i="1"/>
  <c r="AAH165" i="1"/>
  <c r="AAH162" i="1"/>
  <c r="AAH160" i="1"/>
  <c r="AAH161" i="1"/>
  <c r="AAH159" i="1"/>
  <c r="AAH164" i="1"/>
  <c r="AAH163" i="1"/>
  <c r="AAH158" i="1"/>
  <c r="ZL159" i="1"/>
  <c r="ZL165" i="1"/>
  <c r="ZL163" i="1"/>
  <c r="ZL164" i="1"/>
  <c r="ZL161" i="1"/>
  <c r="ZL162" i="1"/>
  <c r="ZL158" i="1"/>
  <c r="ZL160" i="1"/>
  <c r="XV165" i="1"/>
  <c r="XV162" i="1"/>
  <c r="XV164" i="1"/>
  <c r="XV163" i="1"/>
  <c r="XV161" i="1"/>
  <c r="XV160" i="1"/>
  <c r="XV158" i="1"/>
  <c r="XV159" i="1"/>
  <c r="ZJ159" i="1"/>
  <c r="ZJ165" i="1"/>
  <c r="ZJ160" i="1"/>
  <c r="ZJ161" i="1"/>
  <c r="ZJ164" i="1"/>
  <c r="ZJ162" i="1"/>
  <c r="ZJ163" i="1"/>
  <c r="ZJ158" i="1"/>
  <c r="ZQ159" i="1"/>
  <c r="ZQ162" i="1"/>
  <c r="ZQ163" i="1"/>
  <c r="ZQ165" i="1"/>
  <c r="ZQ164" i="1"/>
  <c r="ZQ160" i="1"/>
  <c r="ZQ161" i="1"/>
  <c r="ZQ158" i="1"/>
  <c r="XN162" i="1"/>
  <c r="XN161" i="1"/>
  <c r="XN160" i="1"/>
  <c r="XN164" i="1"/>
  <c r="XN165" i="1"/>
  <c r="XN159" i="1"/>
  <c r="XN158" i="1"/>
  <c r="XN163" i="1"/>
  <c r="YB160" i="1"/>
  <c r="YB165" i="1"/>
  <c r="YB163" i="1"/>
  <c r="YB159" i="1"/>
  <c r="YB164" i="1"/>
  <c r="YB161" i="1"/>
  <c r="YB162" i="1"/>
  <c r="YB158" i="1"/>
  <c r="XO163" i="1"/>
  <c r="XO164" i="1"/>
  <c r="XO165" i="1"/>
  <c r="XO159" i="1"/>
  <c r="XO160" i="1"/>
  <c r="XO161" i="1"/>
  <c r="XO162" i="1"/>
  <c r="ZX161" i="1"/>
  <c r="ZX165" i="1"/>
  <c r="ZX160" i="1"/>
  <c r="ZX164" i="1"/>
  <c r="ZX162" i="1"/>
  <c r="ZX159" i="1"/>
  <c r="ZX163" i="1"/>
  <c r="ZX158" i="1"/>
  <c r="YZ163" i="1"/>
  <c r="YZ160" i="1"/>
  <c r="YZ164" i="1"/>
  <c r="YZ165" i="1"/>
  <c r="YZ161" i="1"/>
  <c r="YZ159" i="1"/>
  <c r="YZ162" i="1"/>
  <c r="YZ158" i="1"/>
  <c r="AAM165" i="1"/>
  <c r="AAM162" i="1"/>
  <c r="AAM163" i="1"/>
  <c r="AAM160" i="1"/>
  <c r="AAM161" i="1"/>
  <c r="AAM159" i="1"/>
  <c r="AAM164" i="1"/>
  <c r="AAM158" i="1"/>
  <c r="ZN165" i="1"/>
  <c r="ZN159" i="1"/>
  <c r="ZN161" i="1"/>
  <c r="ZN162" i="1"/>
  <c r="ZN163" i="1"/>
  <c r="ZN160" i="1"/>
  <c r="ZN164" i="1"/>
  <c r="ZN158" i="1"/>
  <c r="XL163" i="1"/>
  <c r="XL165" i="1"/>
  <c r="XL161" i="1"/>
  <c r="XL162" i="1"/>
  <c r="XL159" i="1"/>
  <c r="XL164" i="1"/>
  <c r="XL160" i="1"/>
  <c r="XL158" i="1"/>
  <c r="ZP163" i="1"/>
  <c r="ZP161" i="1"/>
  <c r="ZP162" i="1"/>
  <c r="ZP164" i="1"/>
  <c r="ZP165" i="1"/>
  <c r="ZP160" i="1"/>
  <c r="ZP158" i="1"/>
  <c r="ZP159" i="1"/>
  <c r="ZY159" i="1"/>
  <c r="ZY163" i="1"/>
  <c r="ZY164" i="1"/>
  <c r="ZY162" i="1"/>
  <c r="ZY161" i="1"/>
  <c r="ZY160" i="1"/>
  <c r="ZY165" i="1"/>
  <c r="ZY158" i="1"/>
  <c r="ZH160" i="1"/>
  <c r="ZH165" i="1"/>
  <c r="ZH161" i="1"/>
  <c r="ZH162" i="1"/>
  <c r="ZH159" i="1"/>
  <c r="ZH164" i="1"/>
  <c r="ZH163" i="1"/>
  <c r="ZH158" i="1"/>
  <c r="AAC163" i="1"/>
  <c r="AAC160" i="1"/>
  <c r="AAC159" i="1"/>
  <c r="AAC162" i="1"/>
  <c r="AAC164" i="1"/>
  <c r="AAC161" i="1"/>
  <c r="AAC165" i="1"/>
  <c r="AAC158" i="1"/>
  <c r="YR160" i="1"/>
  <c r="YR163" i="1"/>
  <c r="YR161" i="1"/>
  <c r="YR164" i="1"/>
  <c r="YR159" i="1"/>
  <c r="YR165" i="1"/>
  <c r="YR158" i="1"/>
  <c r="YR162" i="1"/>
  <c r="ZF161" i="1"/>
  <c r="ZF163" i="1"/>
  <c r="ZF164" i="1"/>
  <c r="ZF165" i="1"/>
  <c r="ZF159" i="1"/>
  <c r="ZF162" i="1"/>
  <c r="ZF160" i="1"/>
  <c r="ZF158" i="1"/>
  <c r="ZO164" i="1"/>
  <c r="ZO159" i="1"/>
  <c r="ZO165" i="1"/>
  <c r="ZO163" i="1"/>
  <c r="ZO160" i="1"/>
  <c r="ZO162" i="1"/>
  <c r="ZO158" i="1"/>
  <c r="ZO161" i="1"/>
  <c r="XR165" i="1"/>
  <c r="XR160" i="1"/>
  <c r="XR159" i="1"/>
  <c r="XR162" i="1"/>
  <c r="XR161" i="1"/>
  <c r="XR163" i="1"/>
  <c r="XR164" i="1"/>
  <c r="ZC165" i="1"/>
  <c r="ZC161" i="1"/>
  <c r="ZC158" i="1"/>
  <c r="ZC162" i="1"/>
  <c r="ZC163" i="1"/>
  <c r="ZC160" i="1"/>
  <c r="ZC159" i="1"/>
  <c r="ZC164" i="1"/>
  <c r="XZ160" i="1"/>
  <c r="XZ159" i="1"/>
  <c r="XZ163" i="1"/>
  <c r="XZ164" i="1"/>
  <c r="XZ165" i="1"/>
  <c r="XZ158" i="1"/>
  <c r="XZ162" i="1"/>
  <c r="XZ161" i="1"/>
  <c r="XU159" i="1"/>
  <c r="XU160" i="1"/>
  <c r="XU162" i="1"/>
  <c r="XU161" i="1"/>
  <c r="XU158" i="1"/>
  <c r="XU164" i="1"/>
  <c r="XU163" i="1"/>
  <c r="XU165" i="1"/>
  <c r="AAL160" i="1"/>
  <c r="AAL162" i="1"/>
  <c r="AAL163" i="1"/>
  <c r="AAL159" i="1"/>
  <c r="AAL158" i="1"/>
  <c r="AAL164" i="1"/>
  <c r="AAL161" i="1"/>
  <c r="AAL165" i="1"/>
  <c r="ZE159" i="1"/>
  <c r="ZE164" i="1"/>
  <c r="ZE165" i="1"/>
  <c r="ZE162" i="1"/>
  <c r="ZE163" i="1"/>
  <c r="ZE160" i="1"/>
  <c r="ZE161" i="1"/>
  <c r="ZE158" i="1"/>
  <c r="AAF161" i="1"/>
  <c r="AAF164" i="1"/>
  <c r="AAF159" i="1"/>
  <c r="AAF162" i="1"/>
  <c r="AAF163" i="1"/>
  <c r="AAF160" i="1"/>
  <c r="AAF158" i="1"/>
  <c r="AAF165" i="1"/>
  <c r="AAI160" i="1"/>
  <c r="AAI159" i="1"/>
  <c r="AAI161" i="1"/>
  <c r="AAI165" i="1"/>
  <c r="AAI163" i="1"/>
  <c r="AAI162" i="1"/>
  <c r="AAI164" i="1"/>
  <c r="AAI158" i="1"/>
  <c r="YA160" i="1"/>
  <c r="YA161" i="1"/>
  <c r="YA162" i="1"/>
  <c r="YA163" i="1"/>
  <c r="YA159" i="1"/>
  <c r="YA164" i="1"/>
  <c r="YA165" i="1"/>
  <c r="YA158" i="1"/>
  <c r="AAA164" i="1"/>
  <c r="AAA165" i="1"/>
  <c r="AAA161" i="1"/>
  <c r="AAA163" i="1"/>
  <c r="AAA162" i="1"/>
  <c r="AAA160" i="1"/>
  <c r="AAA159" i="1"/>
  <c r="AAA158" i="1"/>
  <c r="ZV163" i="1"/>
  <c r="ZV159" i="1"/>
  <c r="ZV165" i="1"/>
  <c r="ZV160" i="1"/>
  <c r="ZV158" i="1"/>
  <c r="ZV162" i="1"/>
  <c r="ZV164" i="1"/>
  <c r="ZV161" i="1"/>
  <c r="XH160" i="1"/>
  <c r="XH164" i="1"/>
  <c r="XH165" i="1"/>
  <c r="XH161" i="1"/>
  <c r="XH162" i="1"/>
  <c r="XH163" i="1"/>
  <c r="XH159" i="1"/>
  <c r="XH158" i="1"/>
  <c r="ZZ162" i="1"/>
  <c r="ZZ165" i="1"/>
  <c r="ZZ158" i="1"/>
  <c r="ZZ159" i="1"/>
  <c r="ZZ163" i="1"/>
  <c r="ZZ161" i="1"/>
  <c r="ZZ164" i="1"/>
  <c r="ZZ160" i="1"/>
  <c r="YP165" i="1"/>
  <c r="YP163" i="1"/>
  <c r="YP159" i="1"/>
  <c r="YP161" i="1"/>
  <c r="YP164" i="1"/>
  <c r="YP162" i="1"/>
  <c r="YP160" i="1"/>
  <c r="YP158" i="1"/>
  <c r="AAK159" i="1"/>
  <c r="AAK160" i="1"/>
  <c r="AAK163" i="1"/>
  <c r="AAK162" i="1"/>
  <c r="AAK165" i="1"/>
  <c r="AAK161" i="1"/>
  <c r="AAK164" i="1"/>
  <c r="AAK158" i="1"/>
  <c r="ZI163" i="1"/>
  <c r="ZI161" i="1"/>
  <c r="ZI158" i="1"/>
  <c r="ZI162" i="1"/>
  <c r="ZI164" i="1"/>
  <c r="ZI160" i="1"/>
  <c r="ZI159" i="1"/>
  <c r="ZI165" i="1"/>
  <c r="ZG163" i="1"/>
  <c r="ZG159" i="1"/>
  <c r="ZG160" i="1"/>
  <c r="ZG164" i="1"/>
  <c r="ZG161" i="1"/>
  <c r="ZG162" i="1"/>
  <c r="ZG165" i="1"/>
  <c r="ZG158" i="1"/>
  <c r="AAB159" i="1"/>
  <c r="AAB160" i="1"/>
  <c r="AAB164" i="1"/>
  <c r="AAB161" i="1"/>
  <c r="AAB163" i="1"/>
  <c r="AAB162" i="1"/>
  <c r="AAB158" i="1"/>
  <c r="AAB165" i="1"/>
  <c r="YF165" i="1"/>
  <c r="YF162" i="1"/>
  <c r="YF161" i="1"/>
  <c r="YF163" i="1"/>
  <c r="YF159" i="1"/>
  <c r="YF164" i="1"/>
  <c r="YF158" i="1"/>
  <c r="YF160" i="1"/>
  <c r="AAD164" i="1"/>
  <c r="AAD160" i="1"/>
  <c r="AAD165" i="1"/>
  <c r="AAD161" i="1"/>
  <c r="AAD159" i="1"/>
  <c r="AAD163" i="1"/>
  <c r="AAD162" i="1"/>
  <c r="AAD158" i="1"/>
  <c r="ZR162" i="1"/>
  <c r="ZR161" i="1"/>
  <c r="ZR159" i="1"/>
  <c r="ZR160" i="1"/>
  <c r="ZR164" i="1"/>
  <c r="ZR163" i="1"/>
  <c r="ZR165" i="1"/>
  <c r="ZR158" i="1"/>
  <c r="YV159" i="1"/>
  <c r="YV162" i="1"/>
  <c r="YV161" i="1"/>
  <c r="YV160" i="1"/>
  <c r="YV163" i="1"/>
  <c r="YV164" i="1"/>
  <c r="YV165" i="1"/>
  <c r="YV158" i="1"/>
  <c r="ZK160" i="1"/>
  <c r="ZK161" i="1"/>
  <c r="ZK164" i="1"/>
  <c r="ZK162" i="1"/>
  <c r="ZK165" i="1"/>
  <c r="ZK159" i="1"/>
  <c r="ZK163" i="1"/>
  <c r="ZK158" i="1"/>
  <c r="AAE159" i="1"/>
  <c r="AAE164" i="1"/>
  <c r="AAE165" i="1"/>
  <c r="AAE160" i="1"/>
  <c r="AAE162" i="1"/>
  <c r="AAE161" i="1"/>
  <c r="AAE158" i="1"/>
  <c r="AAE163" i="1"/>
  <c r="AAN161" i="1"/>
  <c r="AAN164" i="1"/>
  <c r="AAN160" i="1"/>
  <c r="AAN162" i="1"/>
  <c r="AAN165" i="1"/>
  <c r="AAN163" i="1"/>
  <c r="AAN159" i="1"/>
  <c r="AAN158" i="1"/>
  <c r="YK159" i="1"/>
  <c r="YK164" i="1"/>
  <c r="YK160" i="1"/>
  <c r="YK165" i="1"/>
  <c r="YK163" i="1"/>
  <c r="YK161" i="1"/>
  <c r="YK158" i="1"/>
  <c r="YK162" i="1"/>
  <c r="YS165" i="1"/>
  <c r="YS164" i="1"/>
  <c r="YS163" i="1"/>
  <c r="YS159" i="1"/>
  <c r="YS162" i="1"/>
  <c r="YS161" i="1"/>
  <c r="YS158" i="1"/>
  <c r="YS160" i="1"/>
  <c r="XW160" i="1"/>
  <c r="XW163" i="1"/>
  <c r="XW161" i="1"/>
  <c r="XW165" i="1"/>
  <c r="XW159" i="1"/>
  <c r="XW164" i="1"/>
  <c r="XW162" i="1"/>
  <c r="XW158" i="1"/>
  <c r="XS163" i="1"/>
  <c r="XS160" i="1"/>
  <c r="XS162" i="1"/>
  <c r="XS159" i="1"/>
  <c r="XS161" i="1"/>
  <c r="XS164" i="1"/>
  <c r="XS158" i="1"/>
  <c r="XS165" i="1"/>
  <c r="YY159" i="1"/>
  <c r="YY160" i="1"/>
  <c r="YY161" i="1"/>
  <c r="YY162" i="1"/>
  <c r="YY163" i="1"/>
  <c r="YY164" i="1"/>
  <c r="YY158" i="1"/>
  <c r="YY165" i="1"/>
  <c r="ZU164" i="1"/>
  <c r="ZU160" i="1"/>
  <c r="ZU163" i="1"/>
  <c r="ZU162" i="1"/>
  <c r="ZU161" i="1"/>
  <c r="ZU159" i="1"/>
  <c r="ZU165" i="1"/>
  <c r="ZU158" i="1"/>
  <c r="XT161" i="1"/>
  <c r="XT164" i="1"/>
  <c r="XT160" i="1"/>
  <c r="XT159" i="1"/>
  <c r="XT165" i="1"/>
  <c r="XT163" i="1"/>
  <c r="XT158" i="1"/>
  <c r="XT162" i="1"/>
  <c r="YE162" i="1"/>
  <c r="YE164" i="1"/>
  <c r="YE159" i="1"/>
  <c r="YE165" i="1"/>
  <c r="YE160" i="1"/>
  <c r="YE163" i="1"/>
  <c r="YE161" i="1"/>
  <c r="YE158" i="1"/>
  <c r="YJ164" i="1"/>
  <c r="YJ160" i="1"/>
  <c r="YJ163" i="1"/>
  <c r="YJ165" i="1"/>
  <c r="YJ162" i="1"/>
  <c r="YJ159" i="1"/>
  <c r="YJ158" i="1"/>
  <c r="YJ161" i="1"/>
  <c r="ZA162" i="1"/>
  <c r="ZA164" i="1"/>
  <c r="ZA160" i="1"/>
  <c r="ZA161" i="1"/>
  <c r="ZA163" i="1"/>
  <c r="ZA159" i="1"/>
  <c r="ZA165" i="1"/>
  <c r="ZA158" i="1"/>
  <c r="AAQ160" i="1"/>
  <c r="AAQ163" i="1"/>
  <c r="AAQ161" i="1"/>
  <c r="AAQ165" i="1"/>
  <c r="AAQ162" i="1"/>
  <c r="AAQ159" i="1"/>
  <c r="AAQ158" i="1"/>
  <c r="AAQ164" i="1"/>
  <c r="ZB162" i="1"/>
  <c r="ZB159" i="1"/>
  <c r="ZB165" i="1"/>
  <c r="ZB160" i="1"/>
  <c r="ZB161" i="1"/>
  <c r="ZB164" i="1"/>
  <c r="ZB158" i="1"/>
  <c r="ZB163" i="1"/>
  <c r="YG165" i="1"/>
  <c r="YG162" i="1"/>
  <c r="YG161" i="1"/>
  <c r="YG159" i="1"/>
  <c r="YG160" i="1"/>
  <c r="YG164" i="1"/>
  <c r="YG158" i="1"/>
  <c r="YG163" i="1"/>
  <c r="YU163" i="1"/>
  <c r="YU165" i="1"/>
  <c r="YU162" i="1"/>
  <c r="YU160" i="1"/>
  <c r="YU158" i="1"/>
  <c r="YU159" i="1"/>
  <c r="YU161" i="1"/>
  <c r="YU164" i="1"/>
  <c r="YO161" i="1"/>
  <c r="YO162" i="1"/>
  <c r="YO160" i="1"/>
  <c r="YO164" i="1"/>
  <c r="YO165" i="1"/>
  <c r="YO158" i="1"/>
  <c r="YO159" i="1"/>
  <c r="YO163" i="1"/>
  <c r="XG168" i="1"/>
  <c r="XG172" i="1" s="1"/>
  <c r="XG178" i="1" s="1"/>
  <c r="XG186" i="1" s="1"/>
  <c r="XG184" i="1"/>
  <c r="XG170" i="1"/>
  <c r="XG175" i="1" s="1"/>
  <c r="XG180" i="1" s="1"/>
  <c r="XJ182" i="1"/>
  <c r="XK182" i="1"/>
  <c r="XK184" i="1"/>
  <c r="XK189" i="1" s="1"/>
  <c r="XJ170" i="1"/>
  <c r="XJ175" i="1" s="1"/>
  <c r="XJ180" i="1" s="1"/>
  <c r="XJ189" i="1" s="1"/>
  <c r="XJ168" i="1"/>
  <c r="XJ172" i="1" s="1"/>
  <c r="XJ178" i="1" s="1"/>
  <c r="XK168" i="1"/>
  <c r="XK172" i="1" s="1"/>
  <c r="XK178" i="1" s="1"/>
  <c r="AAJ170" i="1"/>
  <c r="AAJ175" i="1" s="1"/>
  <c r="AAJ180" i="1" s="1"/>
  <c r="YH168" i="1"/>
  <c r="YH172" i="1" s="1"/>
  <c r="YH178" i="1" s="1"/>
  <c r="YH184" i="1"/>
  <c r="YH182" i="1"/>
  <c r="AAG184" i="1"/>
  <c r="AAG182" i="1"/>
  <c r="XX168" i="1"/>
  <c r="XX172" i="1" s="1"/>
  <c r="XX178" i="1" s="1"/>
  <c r="XX184" i="1"/>
  <c r="XP184" i="1"/>
  <c r="XP182" i="1"/>
  <c r="AAS182" i="1"/>
  <c r="XQ184" i="1"/>
  <c r="XQ182" i="1"/>
  <c r="YW184" i="1"/>
  <c r="YW182" i="1"/>
  <c r="XY168" i="1"/>
  <c r="XY172" i="1" s="1"/>
  <c r="XY178" i="1" s="1"/>
  <c r="XY184" i="1"/>
  <c r="XY182" i="1"/>
  <c r="YD168" i="1"/>
  <c r="YD172" i="1" s="1"/>
  <c r="YD178" i="1" s="1"/>
  <c r="YD184" i="1"/>
  <c r="YD182" i="1"/>
  <c r="YT170" i="1"/>
  <c r="YT175" i="1" s="1"/>
  <c r="YT180" i="1" s="1"/>
  <c r="YI184" i="1"/>
  <c r="YI182" i="1"/>
  <c r="ZT184" i="1"/>
  <c r="XY170" i="1"/>
  <c r="XY175" i="1" s="1"/>
  <c r="XY180" i="1" s="1"/>
  <c r="YH170" i="1"/>
  <c r="YH175" i="1" s="1"/>
  <c r="YH180" i="1" s="1"/>
  <c r="YD170" i="1"/>
  <c r="YD175" i="1" s="1"/>
  <c r="YD180" i="1" s="1"/>
  <c r="XQ168" i="1"/>
  <c r="XQ172" i="1" s="1"/>
  <c r="XQ178" i="1" s="1"/>
  <c r="XQ170" i="1"/>
  <c r="XQ175" i="1" s="1"/>
  <c r="XQ180" i="1" s="1"/>
  <c r="YI168" i="1"/>
  <c r="YI172" i="1" s="1"/>
  <c r="YI178" i="1" s="1"/>
  <c r="YI170" i="1"/>
  <c r="YI175" i="1" s="1"/>
  <c r="YI180" i="1" s="1"/>
  <c r="YW168" i="1"/>
  <c r="YW172" i="1" s="1"/>
  <c r="YW178" i="1" s="1"/>
  <c r="YW170" i="1"/>
  <c r="YW175" i="1" s="1"/>
  <c r="YW180" i="1" s="1"/>
  <c r="AAG168" i="1"/>
  <c r="AAG172" i="1" s="1"/>
  <c r="AAG178" i="1" s="1"/>
  <c r="AAG170" i="1"/>
  <c r="AAG175" i="1" s="1"/>
  <c r="AAG180" i="1" s="1"/>
  <c r="AAS168" i="1"/>
  <c r="AAS172" i="1" s="1"/>
  <c r="AAS178" i="1" s="1"/>
  <c r="XP168" i="1"/>
  <c r="XP172" i="1" s="1"/>
  <c r="XP178" i="1" s="1"/>
  <c r="XP170" i="1"/>
  <c r="XP175" i="1" s="1"/>
  <c r="XP180" i="1" s="1"/>
  <c r="XX170" i="1" l="1"/>
  <c r="XX175" i="1" s="1"/>
  <c r="XX180" i="1" s="1"/>
  <c r="ZT170" i="1"/>
  <c r="ZT175" i="1" s="1"/>
  <c r="ZT180" i="1" s="1"/>
  <c r="ZT182" i="1"/>
  <c r="AAS170" i="1"/>
  <c r="AAS175" i="1" s="1"/>
  <c r="AAS180" i="1" s="1"/>
  <c r="AAS189" i="1" s="1"/>
  <c r="AAO182" i="1"/>
  <c r="AAO186" i="1" s="1"/>
  <c r="AAO192" i="1" s="1"/>
  <c r="AAO197" i="1" s="1"/>
  <c r="AAO184" i="1"/>
  <c r="AAO170" i="1"/>
  <c r="AAO175" i="1" s="1"/>
  <c r="AAO180" i="1" s="1"/>
  <c r="ZM184" i="1"/>
  <c r="AAJ182" i="1"/>
  <c r="ZM170" i="1"/>
  <c r="ZM175" i="1" s="1"/>
  <c r="ZM180" i="1" s="1"/>
  <c r="AAJ168" i="1"/>
  <c r="AAJ172" i="1" s="1"/>
  <c r="AAJ178" i="1" s="1"/>
  <c r="ZM182" i="1"/>
  <c r="ZM186" i="1" s="1"/>
  <c r="YT182" i="1"/>
  <c r="YT186" i="1" s="1"/>
  <c r="YT184" i="1"/>
  <c r="YT189" i="1" s="1"/>
  <c r="XO166" i="1"/>
  <c r="XO168" i="1" s="1"/>
  <c r="XO172" i="1" s="1"/>
  <c r="XO178" i="1" s="1"/>
  <c r="XR166" i="1"/>
  <c r="XR182" i="1" s="1"/>
  <c r="XI166" i="1"/>
  <c r="XI184" i="1" s="1"/>
  <c r="XL166" i="1"/>
  <c r="XL184" i="1" s="1"/>
  <c r="XN166" i="1"/>
  <c r="XN182" i="1" s="1"/>
  <c r="XM166" i="1"/>
  <c r="XM182" i="1" s="1"/>
  <c r="XH166" i="1"/>
  <c r="XH182" i="1" s="1"/>
  <c r="XV166" i="1"/>
  <c r="XV170" i="1" s="1"/>
  <c r="XV175" i="1" s="1"/>
  <c r="XV180" i="1" s="1"/>
  <c r="ZL166" i="1"/>
  <c r="ZL182" i="1" s="1"/>
  <c r="YN166" i="1"/>
  <c r="YN168" i="1" s="1"/>
  <c r="YN172" i="1" s="1"/>
  <c r="YN178" i="1" s="1"/>
  <c r="YC166" i="1"/>
  <c r="YC184" i="1" s="1"/>
  <c r="AAP166" i="1"/>
  <c r="AAP168" i="1" s="1"/>
  <c r="AAP172" i="1" s="1"/>
  <c r="AAP178" i="1" s="1"/>
  <c r="AAA166" i="1"/>
  <c r="AAA170" i="1" s="1"/>
  <c r="AAA175" i="1" s="1"/>
  <c r="AAA180" i="1" s="1"/>
  <c r="YA166" i="1"/>
  <c r="YA182" i="1" s="1"/>
  <c r="ZO166" i="1"/>
  <c r="ZO182" i="1" s="1"/>
  <c r="YR166" i="1"/>
  <c r="YR168" i="1" s="1"/>
  <c r="YR172" i="1" s="1"/>
  <c r="YR178" i="1" s="1"/>
  <c r="XZ166" i="1"/>
  <c r="XZ182" i="1" s="1"/>
  <c r="ZU166" i="1"/>
  <c r="ZU182" i="1" s="1"/>
  <c r="AAN166" i="1"/>
  <c r="AAN170" i="1" s="1"/>
  <c r="AAN175" i="1" s="1"/>
  <c r="AAN180" i="1" s="1"/>
  <c r="AAD166" i="1"/>
  <c r="AAD184" i="1" s="1"/>
  <c r="ZG166" i="1"/>
  <c r="ZG184" i="1" s="1"/>
  <c r="YP166" i="1"/>
  <c r="YP182" i="1" s="1"/>
  <c r="XW166" i="1"/>
  <c r="XW184" i="1" s="1"/>
  <c r="ZR166" i="1"/>
  <c r="ZR168" i="1" s="1"/>
  <c r="ZR172" i="1" s="1"/>
  <c r="ZR178" i="1" s="1"/>
  <c r="YF166" i="1"/>
  <c r="YF168" i="1" s="1"/>
  <c r="YF172" i="1" s="1"/>
  <c r="YF178" i="1" s="1"/>
  <c r="AAF166" i="1"/>
  <c r="AAF184" i="1" s="1"/>
  <c r="YJ166" i="1"/>
  <c r="YJ170" i="1" s="1"/>
  <c r="YJ175" i="1" s="1"/>
  <c r="YJ180" i="1" s="1"/>
  <c r="YG166" i="1"/>
  <c r="YG170" i="1" s="1"/>
  <c r="YG175" i="1" s="1"/>
  <c r="YG180" i="1" s="1"/>
  <c r="XT166" i="1"/>
  <c r="XT182" i="1" s="1"/>
  <c r="XS166" i="1"/>
  <c r="XS168" i="1" s="1"/>
  <c r="XS172" i="1" s="1"/>
  <c r="XS178" i="1" s="1"/>
  <c r="ZA166" i="1"/>
  <c r="ZA170" i="1" s="1"/>
  <c r="ZA175" i="1" s="1"/>
  <c r="ZA180" i="1" s="1"/>
  <c r="YE166" i="1"/>
  <c r="YE170" i="1" s="1"/>
  <c r="YE175" i="1" s="1"/>
  <c r="YE180" i="1" s="1"/>
  <c r="ZB166" i="1"/>
  <c r="ZB168" i="1" s="1"/>
  <c r="ZB172" i="1" s="1"/>
  <c r="ZB178" i="1" s="1"/>
  <c r="ZK166" i="1"/>
  <c r="ZK168" i="1" s="1"/>
  <c r="ZK172" i="1" s="1"/>
  <c r="ZK178" i="1" s="1"/>
  <c r="AAQ166" i="1"/>
  <c r="AAQ168" i="1" s="1"/>
  <c r="AAQ172" i="1" s="1"/>
  <c r="AAQ178" i="1" s="1"/>
  <c r="YK166" i="1"/>
  <c r="YK184" i="1" s="1"/>
  <c r="ZV166" i="1"/>
  <c r="AAL166" i="1"/>
  <c r="XU166" i="1"/>
  <c r="AAE166" i="1"/>
  <c r="AAE184" i="1" s="1"/>
  <c r="AAB166" i="1"/>
  <c r="AAB184" i="1" s="1"/>
  <c r="YV166" i="1"/>
  <c r="YV182" i="1" s="1"/>
  <c r="AAK166" i="1"/>
  <c r="AAK182" i="1" s="1"/>
  <c r="ZE166" i="1"/>
  <c r="ZE182" i="1" s="1"/>
  <c r="ZP166" i="1"/>
  <c r="ZP170" i="1" s="1"/>
  <c r="ZP175" i="1" s="1"/>
  <c r="ZP180" i="1" s="1"/>
  <c r="YY166" i="1"/>
  <c r="YY168" i="1" s="1"/>
  <c r="YY172" i="1" s="1"/>
  <c r="YY178" i="1" s="1"/>
  <c r="AAI166" i="1"/>
  <c r="AAI182" i="1" s="1"/>
  <c r="ZD166" i="1"/>
  <c r="ZD184" i="1" s="1"/>
  <c r="ZW166" i="1"/>
  <c r="ZW184" i="1" s="1"/>
  <c r="AAR166" i="1"/>
  <c r="AAR168" i="1" s="1"/>
  <c r="AAR172" i="1" s="1"/>
  <c r="AAR178" i="1" s="1"/>
  <c r="YM166" i="1"/>
  <c r="YM168" i="1" s="1"/>
  <c r="YM172" i="1" s="1"/>
  <c r="YM178" i="1" s="1"/>
  <c r="YL166" i="1"/>
  <c r="YS166" i="1"/>
  <c r="YQ166" i="1"/>
  <c r="YO166" i="1"/>
  <c r="YU166" i="1"/>
  <c r="ZI166" i="1"/>
  <c r="ZZ166" i="1"/>
  <c r="ZC166" i="1"/>
  <c r="YX166" i="1"/>
  <c r="ZF166" i="1"/>
  <c r="AAC166" i="1"/>
  <c r="ZH166" i="1"/>
  <c r="ZY166" i="1"/>
  <c r="ZN166" i="1"/>
  <c r="AAM166" i="1"/>
  <c r="YZ166" i="1"/>
  <c r="ZX166" i="1"/>
  <c r="YB166" i="1"/>
  <c r="ZQ166" i="1"/>
  <c r="ZJ166" i="1"/>
  <c r="AAH166" i="1"/>
  <c r="ZS166" i="1"/>
  <c r="YI189" i="1"/>
  <c r="XG189" i="1"/>
  <c r="XK186" i="1"/>
  <c r="XK192" i="1" s="1"/>
  <c r="XK197" i="1" s="1"/>
  <c r="XJ186" i="1"/>
  <c r="XJ192" i="1" s="1"/>
  <c r="XJ197" i="1" s="1"/>
  <c r="ZT189" i="1"/>
  <c r="YW186" i="1"/>
  <c r="YW192" i="1" s="1"/>
  <c r="YW197" i="1" s="1"/>
  <c r="AAG189" i="1"/>
  <c r="YD189" i="1"/>
  <c r="XP186" i="1"/>
  <c r="XP192" i="1" s="1"/>
  <c r="XP197" i="1" s="1"/>
  <c r="YH189" i="1"/>
  <c r="YW189" i="1"/>
  <c r="AAG186" i="1"/>
  <c r="XY186" i="1"/>
  <c r="YT192" i="1"/>
  <c r="YT197" i="1" s="1"/>
  <c r="XP189" i="1"/>
  <c r="XQ189" i="1"/>
  <c r="XG192" i="1"/>
  <c r="XG197" i="1" s="1"/>
  <c r="YH186" i="1"/>
  <c r="AAJ189" i="1"/>
  <c r="YI186" i="1"/>
  <c r="ZT186" i="1"/>
  <c r="XX186" i="1"/>
  <c r="XQ186" i="1"/>
  <c r="XY189" i="1"/>
  <c r="AAS186" i="1"/>
  <c r="YD186" i="1"/>
  <c r="XX189" i="1"/>
  <c r="AAJ186" i="1" l="1"/>
  <c r="AAO189" i="1"/>
  <c r="ZM189" i="1"/>
  <c r="XR184" i="1"/>
  <c r="XO184" i="1"/>
  <c r="XO170" i="1"/>
  <c r="XO175" i="1" s="1"/>
  <c r="XO180" i="1" s="1"/>
  <c r="XN170" i="1"/>
  <c r="XN175" i="1" s="1"/>
  <c r="XN180" i="1" s="1"/>
  <c r="XO182" i="1"/>
  <c r="XO186" i="1" s="1"/>
  <c r="XO192" i="1" s="1"/>
  <c r="XO197" i="1" s="1"/>
  <c r="XR168" i="1"/>
  <c r="XR172" i="1" s="1"/>
  <c r="XR178" i="1" s="1"/>
  <c r="XR186" i="1" s="1"/>
  <c r="XR192" i="1" s="1"/>
  <c r="XR197" i="1" s="1"/>
  <c r="XI170" i="1"/>
  <c r="XI175" i="1" s="1"/>
  <c r="XI180" i="1" s="1"/>
  <c r="XI189" i="1" s="1"/>
  <c r="YN182" i="1"/>
  <c r="YN186" i="1" s="1"/>
  <c r="YN192" i="1" s="1"/>
  <c r="YN197" i="1" s="1"/>
  <c r="XI168" i="1"/>
  <c r="XI172" i="1" s="1"/>
  <c r="XI178" i="1" s="1"/>
  <c r="XI182" i="1"/>
  <c r="XR170" i="1"/>
  <c r="XR175" i="1" s="1"/>
  <c r="XR180" i="1" s="1"/>
  <c r="YN184" i="1"/>
  <c r="XN168" i="1"/>
  <c r="XN172" i="1" s="1"/>
  <c r="XN178" i="1" s="1"/>
  <c r="XN186" i="1" s="1"/>
  <c r="XN192" i="1" s="1"/>
  <c r="XN197" i="1" s="1"/>
  <c r="XM184" i="1"/>
  <c r="XV168" i="1"/>
  <c r="XV172" i="1" s="1"/>
  <c r="XV178" i="1" s="1"/>
  <c r="XH170" i="1"/>
  <c r="XH175" i="1" s="1"/>
  <c r="XH180" i="1" s="1"/>
  <c r="XN184" i="1"/>
  <c r="ZL184" i="1"/>
  <c r="XH168" i="1"/>
  <c r="XH172" i="1" s="1"/>
  <c r="XH178" i="1" s="1"/>
  <c r="XH186" i="1" s="1"/>
  <c r="XH192" i="1" s="1"/>
  <c r="XH197" i="1" s="1"/>
  <c r="XH184" i="1"/>
  <c r="XM168" i="1"/>
  <c r="XM172" i="1" s="1"/>
  <c r="XM178" i="1" s="1"/>
  <c r="XM186" i="1" s="1"/>
  <c r="XM192" i="1" s="1"/>
  <c r="XM197" i="1" s="1"/>
  <c r="XM170" i="1"/>
  <c r="XM175" i="1" s="1"/>
  <c r="XM180" i="1" s="1"/>
  <c r="XL182" i="1"/>
  <c r="XL170" i="1"/>
  <c r="XL175" i="1" s="1"/>
  <c r="XL180" i="1" s="1"/>
  <c r="XL189" i="1" s="1"/>
  <c r="XL168" i="1"/>
  <c r="XL172" i="1" s="1"/>
  <c r="XL178" i="1" s="1"/>
  <c r="XV184" i="1"/>
  <c r="XV189" i="1" s="1"/>
  <c r="XV182" i="1"/>
  <c r="YC182" i="1"/>
  <c r="YC170" i="1"/>
  <c r="YC175" i="1" s="1"/>
  <c r="YC180" i="1" s="1"/>
  <c r="YC189" i="1" s="1"/>
  <c r="YN170" i="1"/>
  <c r="YN175" i="1" s="1"/>
  <c r="YN180" i="1" s="1"/>
  <c r="ZL170" i="1"/>
  <c r="ZL175" i="1" s="1"/>
  <c r="ZL180" i="1" s="1"/>
  <c r="YC168" i="1"/>
  <c r="YC172" i="1" s="1"/>
  <c r="YC178" i="1" s="1"/>
  <c r="AAA168" i="1"/>
  <c r="AAA172" i="1" s="1"/>
  <c r="AAA178" i="1" s="1"/>
  <c r="AAP184" i="1"/>
  <c r="ZL168" i="1"/>
  <c r="ZL172" i="1" s="1"/>
  <c r="ZL178" i="1" s="1"/>
  <c r="ZL186" i="1" s="1"/>
  <c r="ZL192" i="1" s="1"/>
  <c r="ZL197" i="1" s="1"/>
  <c r="YR170" i="1"/>
  <c r="YR175" i="1" s="1"/>
  <c r="YR180" i="1" s="1"/>
  <c r="YR182" i="1"/>
  <c r="YR186" i="1" s="1"/>
  <c r="YR192" i="1" s="1"/>
  <c r="YR197" i="1" s="1"/>
  <c r="AAP182" i="1"/>
  <c r="AAP186" i="1" s="1"/>
  <c r="AAP192" i="1" s="1"/>
  <c r="AAP197" i="1" s="1"/>
  <c r="AAP170" i="1"/>
  <c r="AAP175" i="1" s="1"/>
  <c r="AAP180" i="1" s="1"/>
  <c r="ZO168" i="1"/>
  <c r="ZO172" i="1" s="1"/>
  <c r="ZO178" i="1" s="1"/>
  <c r="ZO186" i="1" s="1"/>
  <c r="ZO192" i="1" s="1"/>
  <c r="ZO197" i="1" s="1"/>
  <c r="AAA184" i="1"/>
  <c r="AAA189" i="1" s="1"/>
  <c r="ZO170" i="1"/>
  <c r="ZO175" i="1" s="1"/>
  <c r="ZO180" i="1" s="1"/>
  <c r="ZO184" i="1"/>
  <c r="AAA182" i="1"/>
  <c r="YA168" i="1"/>
  <c r="YA172" i="1" s="1"/>
  <c r="YA178" i="1" s="1"/>
  <c r="YA186" i="1" s="1"/>
  <c r="YA192" i="1" s="1"/>
  <c r="YA197" i="1" s="1"/>
  <c r="YA170" i="1"/>
  <c r="YA175" i="1" s="1"/>
  <c r="YA180" i="1" s="1"/>
  <c r="YA184" i="1"/>
  <c r="AAI170" i="1"/>
  <c r="AAI175" i="1" s="1"/>
  <c r="AAI180" i="1" s="1"/>
  <c r="XZ184" i="1"/>
  <c r="AAI184" i="1"/>
  <c r="ZG182" i="1"/>
  <c r="AAN182" i="1"/>
  <c r="ZU168" i="1"/>
  <c r="ZU172" i="1" s="1"/>
  <c r="ZU178" i="1" s="1"/>
  <c r="ZU186" i="1" s="1"/>
  <c r="ZU192" i="1" s="1"/>
  <c r="ZU197" i="1" s="1"/>
  <c r="ZU170" i="1"/>
  <c r="ZU175" i="1" s="1"/>
  <c r="ZU180" i="1" s="1"/>
  <c r="YJ168" i="1"/>
  <c r="YJ172" i="1" s="1"/>
  <c r="YJ178" i="1" s="1"/>
  <c r="YJ184" i="1"/>
  <c r="YJ189" i="1" s="1"/>
  <c r="YJ182" i="1"/>
  <c r="AAN184" i="1"/>
  <c r="AAN189" i="1" s="1"/>
  <c r="ZG168" i="1"/>
  <c r="ZG172" i="1" s="1"/>
  <c r="ZG178" i="1" s="1"/>
  <c r="AAF170" i="1"/>
  <c r="AAF175" i="1" s="1"/>
  <c r="AAF180" i="1" s="1"/>
  <c r="AAF189" i="1" s="1"/>
  <c r="YR184" i="1"/>
  <c r="ZU184" i="1"/>
  <c r="XS182" i="1"/>
  <c r="XS186" i="1" s="1"/>
  <c r="XS192" i="1" s="1"/>
  <c r="XS197" i="1" s="1"/>
  <c r="AAF168" i="1"/>
  <c r="AAF172" i="1" s="1"/>
  <c r="AAF178" i="1" s="1"/>
  <c r="AAF182" i="1"/>
  <c r="ZR184" i="1"/>
  <c r="XZ168" i="1"/>
  <c r="XZ172" i="1" s="1"/>
  <c r="XZ178" i="1" s="1"/>
  <c r="XZ186" i="1" s="1"/>
  <c r="XZ192" i="1" s="1"/>
  <c r="XZ197" i="1" s="1"/>
  <c r="XZ170" i="1"/>
  <c r="XZ175" i="1" s="1"/>
  <c r="XZ180" i="1" s="1"/>
  <c r="YG184" i="1"/>
  <c r="YG189" i="1" s="1"/>
  <c r="AAD170" i="1"/>
  <c r="AAD175" i="1" s="1"/>
  <c r="AAD180" i="1" s="1"/>
  <c r="AAD189" i="1" s="1"/>
  <c r="AAD182" i="1"/>
  <c r="YP170" i="1"/>
  <c r="YP175" i="1" s="1"/>
  <c r="YP180" i="1" s="1"/>
  <c r="AAD168" i="1"/>
  <c r="AAD172" i="1" s="1"/>
  <c r="AAD178" i="1" s="1"/>
  <c r="AAN168" i="1"/>
  <c r="AAN172" i="1" s="1"/>
  <c r="AAN178" i="1" s="1"/>
  <c r="ZR182" i="1"/>
  <c r="ZR186" i="1" s="1"/>
  <c r="ZR192" i="1" s="1"/>
  <c r="ZR197" i="1" s="1"/>
  <c r="ZB182" i="1"/>
  <c r="ZB186" i="1" s="1"/>
  <c r="ZB192" i="1" s="1"/>
  <c r="ZB197" i="1" s="1"/>
  <c r="XW182" i="1"/>
  <c r="XT184" i="1"/>
  <c r="XW170" i="1"/>
  <c r="XW175" i="1" s="1"/>
  <c r="XW180" i="1" s="1"/>
  <c r="XW189" i="1" s="1"/>
  <c r="YF170" i="1"/>
  <c r="YF175" i="1" s="1"/>
  <c r="YF180" i="1" s="1"/>
  <c r="XW168" i="1"/>
  <c r="XW172" i="1" s="1"/>
  <c r="XW178" i="1" s="1"/>
  <c r="YF184" i="1"/>
  <c r="ZR170" i="1"/>
  <c r="ZR175" i="1" s="1"/>
  <c r="ZR180" i="1" s="1"/>
  <c r="YP184" i="1"/>
  <c r="YP168" i="1"/>
  <c r="YP172" i="1" s="1"/>
  <c r="YP178" i="1" s="1"/>
  <c r="YP186" i="1" s="1"/>
  <c r="YP192" i="1" s="1"/>
  <c r="YP197" i="1" s="1"/>
  <c r="YF182" i="1"/>
  <c r="YF186" i="1" s="1"/>
  <c r="YF192" i="1" s="1"/>
  <c r="YF197" i="1" s="1"/>
  <c r="ZG170" i="1"/>
  <c r="ZG175" i="1" s="1"/>
  <c r="ZG180" i="1" s="1"/>
  <c r="ZG189" i="1" s="1"/>
  <c r="YG168" i="1"/>
  <c r="YG172" i="1" s="1"/>
  <c r="YG178" i="1" s="1"/>
  <c r="YG182" i="1"/>
  <c r="YE168" i="1"/>
  <c r="YE172" i="1" s="1"/>
  <c r="YE178" i="1" s="1"/>
  <c r="YE182" i="1"/>
  <c r="YE184" i="1"/>
  <c r="YE189" i="1" s="1"/>
  <c r="YM170" i="1"/>
  <c r="YM175" i="1" s="1"/>
  <c r="YM180" i="1" s="1"/>
  <c r="ZA182" i="1"/>
  <c r="XT170" i="1"/>
  <c r="XT175" i="1" s="1"/>
  <c r="XT180" i="1" s="1"/>
  <c r="ZB170" i="1"/>
  <c r="ZB175" i="1" s="1"/>
  <c r="ZB180" i="1" s="1"/>
  <c r="XS184" i="1"/>
  <c r="ZA168" i="1"/>
  <c r="ZA172" i="1" s="1"/>
  <c r="ZA178" i="1" s="1"/>
  <c r="ZB184" i="1"/>
  <c r="ZA184" i="1"/>
  <c r="ZA189" i="1" s="1"/>
  <c r="XS170" i="1"/>
  <c r="XS175" i="1" s="1"/>
  <c r="XS180" i="1" s="1"/>
  <c r="XT168" i="1"/>
  <c r="XT172" i="1" s="1"/>
  <c r="XT178" i="1" s="1"/>
  <c r="XT186" i="1" s="1"/>
  <c r="XT192" i="1" s="1"/>
  <c r="XT197" i="1" s="1"/>
  <c r="AAB168" i="1"/>
  <c r="AAB172" i="1" s="1"/>
  <c r="AAB178" i="1" s="1"/>
  <c r="YV184" i="1"/>
  <c r="AAB170" i="1"/>
  <c r="AAB175" i="1" s="1"/>
  <c r="AAB180" i="1" s="1"/>
  <c r="AAB189" i="1" s="1"/>
  <c r="AAI168" i="1"/>
  <c r="AAI172" i="1" s="1"/>
  <c r="AAI178" i="1" s="1"/>
  <c r="AAI186" i="1" s="1"/>
  <c r="AAI192" i="1" s="1"/>
  <c r="AAI197" i="1" s="1"/>
  <c r="AAB182" i="1"/>
  <c r="AAQ182" i="1"/>
  <c r="AAQ186" i="1" s="1"/>
  <c r="AAQ192" i="1" s="1"/>
  <c r="AAQ197" i="1" s="1"/>
  <c r="AAE182" i="1"/>
  <c r="ZK182" i="1"/>
  <c r="ZK186" i="1" s="1"/>
  <c r="ZK192" i="1" s="1"/>
  <c r="ZK197" i="1" s="1"/>
  <c r="ZK170" i="1"/>
  <c r="ZK175" i="1" s="1"/>
  <c r="ZK180" i="1" s="1"/>
  <c r="AAE168" i="1"/>
  <c r="AAE172" i="1" s="1"/>
  <c r="AAE178" i="1" s="1"/>
  <c r="AAE170" i="1"/>
  <c r="AAE175" i="1" s="1"/>
  <c r="AAE180" i="1" s="1"/>
  <c r="AAE189" i="1" s="1"/>
  <c r="ZK184" i="1"/>
  <c r="ZP182" i="1"/>
  <c r="ZW170" i="1"/>
  <c r="ZW175" i="1" s="1"/>
  <c r="ZW180" i="1" s="1"/>
  <c r="ZW189" i="1" s="1"/>
  <c r="AAQ170" i="1"/>
  <c r="AAQ175" i="1" s="1"/>
  <c r="AAQ180" i="1" s="1"/>
  <c r="AAQ184" i="1"/>
  <c r="AAK170" i="1"/>
  <c r="AAK175" i="1" s="1"/>
  <c r="AAK180" i="1" s="1"/>
  <c r="ZW168" i="1"/>
  <c r="ZW172" i="1" s="1"/>
  <c r="ZW178" i="1" s="1"/>
  <c r="AAK168" i="1"/>
  <c r="AAK172" i="1" s="1"/>
  <c r="AAK178" i="1" s="1"/>
  <c r="AAK186" i="1" s="1"/>
  <c r="AAK192" i="1" s="1"/>
  <c r="AAK197" i="1" s="1"/>
  <c r="ZP184" i="1"/>
  <c r="ZP189" i="1" s="1"/>
  <c r="ZW182" i="1"/>
  <c r="ZE170" i="1"/>
  <c r="ZE175" i="1" s="1"/>
  <c r="ZE180" i="1" s="1"/>
  <c r="AAR184" i="1"/>
  <c r="AAK184" i="1"/>
  <c r="ZE168" i="1"/>
  <c r="ZE172" i="1" s="1"/>
  <c r="ZE178" i="1" s="1"/>
  <c r="ZE186" i="1" s="1"/>
  <c r="ZE192" i="1" s="1"/>
  <c r="ZE197" i="1" s="1"/>
  <c r="YK168" i="1"/>
  <c r="YK172" i="1" s="1"/>
  <c r="YK178" i="1" s="1"/>
  <c r="YK170" i="1"/>
  <c r="YK175" i="1" s="1"/>
  <c r="YK180" i="1" s="1"/>
  <c r="YK189" i="1" s="1"/>
  <c r="AAR182" i="1"/>
  <c r="AAR186" i="1" s="1"/>
  <c r="YV170" i="1"/>
  <c r="YV175" i="1" s="1"/>
  <c r="YV180" i="1" s="1"/>
  <c r="ZD182" i="1"/>
  <c r="AAR170" i="1"/>
  <c r="AAR175" i="1" s="1"/>
  <c r="AAR180" i="1" s="1"/>
  <c r="YV168" i="1"/>
  <c r="YV172" i="1" s="1"/>
  <c r="YV178" i="1" s="1"/>
  <c r="YV186" i="1" s="1"/>
  <c r="YV192" i="1" s="1"/>
  <c r="YV197" i="1" s="1"/>
  <c r="XU184" i="1"/>
  <c r="XU168" i="1"/>
  <c r="XU172" i="1" s="1"/>
  <c r="XU178" i="1" s="1"/>
  <c r="XU170" i="1"/>
  <c r="XU175" i="1" s="1"/>
  <c r="XU180" i="1" s="1"/>
  <c r="XU182" i="1"/>
  <c r="ZV170" i="1"/>
  <c r="ZV175" i="1" s="1"/>
  <c r="ZV180" i="1" s="1"/>
  <c r="ZV184" i="1"/>
  <c r="ZV182" i="1"/>
  <c r="ZV168" i="1"/>
  <c r="ZV172" i="1" s="1"/>
  <c r="ZV178" i="1" s="1"/>
  <c r="YY170" i="1"/>
  <c r="YY175" i="1" s="1"/>
  <c r="YY180" i="1" s="1"/>
  <c r="ZD168" i="1"/>
  <c r="ZD172" i="1" s="1"/>
  <c r="ZD178" i="1" s="1"/>
  <c r="AAL184" i="1"/>
  <c r="AAL182" i="1"/>
  <c r="AAL168" i="1"/>
  <c r="AAL172" i="1" s="1"/>
  <c r="AAL178" i="1" s="1"/>
  <c r="AAL170" i="1"/>
  <c r="AAL175" i="1" s="1"/>
  <c r="AAL180" i="1" s="1"/>
  <c r="YY182" i="1"/>
  <c r="YY186" i="1" s="1"/>
  <c r="YY192" i="1" s="1"/>
  <c r="YY197" i="1" s="1"/>
  <c r="YY184" i="1"/>
  <c r="YK182" i="1"/>
  <c r="YM184" i="1"/>
  <c r="ZE184" i="1"/>
  <c r="YM182" i="1"/>
  <c r="YM186" i="1" s="1"/>
  <c r="ZD170" i="1"/>
  <c r="ZD175" i="1" s="1"/>
  <c r="ZD180" i="1" s="1"/>
  <c r="ZD189" i="1" s="1"/>
  <c r="ZP168" i="1"/>
  <c r="ZP172" i="1" s="1"/>
  <c r="ZP178" i="1" s="1"/>
  <c r="ZS168" i="1"/>
  <c r="ZS172" i="1" s="1"/>
  <c r="ZS178" i="1" s="1"/>
  <c r="ZS184" i="1"/>
  <c r="ZS170" i="1"/>
  <c r="ZS175" i="1" s="1"/>
  <c r="ZS180" i="1" s="1"/>
  <c r="ZS182" i="1"/>
  <c r="ZI168" i="1"/>
  <c r="ZI172" i="1" s="1"/>
  <c r="ZI178" i="1" s="1"/>
  <c r="ZI170" i="1"/>
  <c r="ZI175" i="1" s="1"/>
  <c r="ZI180" i="1" s="1"/>
  <c r="ZI184" i="1"/>
  <c r="ZI182" i="1"/>
  <c r="ZY170" i="1"/>
  <c r="ZY175" i="1" s="1"/>
  <c r="ZY180" i="1" s="1"/>
  <c r="ZY182" i="1"/>
  <c r="ZY184" i="1"/>
  <c r="ZY168" i="1"/>
  <c r="ZY172" i="1" s="1"/>
  <c r="ZY178" i="1" s="1"/>
  <c r="YQ168" i="1"/>
  <c r="YQ172" i="1" s="1"/>
  <c r="YQ178" i="1" s="1"/>
  <c r="YQ184" i="1"/>
  <c r="YQ170" i="1"/>
  <c r="YQ175" i="1" s="1"/>
  <c r="YQ180" i="1" s="1"/>
  <c r="YQ182" i="1"/>
  <c r="YL184" i="1"/>
  <c r="YL168" i="1"/>
  <c r="YL172" i="1" s="1"/>
  <c r="YL178" i="1" s="1"/>
  <c r="YL170" i="1"/>
  <c r="YL175" i="1" s="1"/>
  <c r="YL180" i="1" s="1"/>
  <c r="YL182" i="1"/>
  <c r="YU168" i="1"/>
  <c r="YU172" i="1" s="1"/>
  <c r="YU178" i="1" s="1"/>
  <c r="YU170" i="1"/>
  <c r="YU175" i="1" s="1"/>
  <c r="YU180" i="1" s="1"/>
  <c r="YU182" i="1"/>
  <c r="YU184" i="1"/>
  <c r="YX168" i="1"/>
  <c r="YX172" i="1" s="1"/>
  <c r="YX178" i="1" s="1"/>
  <c r="YX170" i="1"/>
  <c r="YX175" i="1" s="1"/>
  <c r="YX180" i="1" s="1"/>
  <c r="YX184" i="1"/>
  <c r="YX182" i="1"/>
  <c r="ZJ170" i="1"/>
  <c r="ZJ175" i="1" s="1"/>
  <c r="ZJ180" i="1" s="1"/>
  <c r="ZJ182" i="1"/>
  <c r="ZJ168" i="1"/>
  <c r="ZJ172" i="1" s="1"/>
  <c r="ZJ178" i="1" s="1"/>
  <c r="ZJ184" i="1"/>
  <c r="ZQ168" i="1"/>
  <c r="ZQ172" i="1" s="1"/>
  <c r="ZQ178" i="1" s="1"/>
  <c r="ZQ184" i="1"/>
  <c r="ZQ170" i="1"/>
  <c r="ZQ175" i="1" s="1"/>
  <c r="ZQ180" i="1" s="1"/>
  <c r="ZQ182" i="1"/>
  <c r="YB184" i="1"/>
  <c r="YB170" i="1"/>
  <c r="YB175" i="1" s="1"/>
  <c r="YB180" i="1" s="1"/>
  <c r="YB182" i="1"/>
  <c r="YB168" i="1"/>
  <c r="YB172" i="1" s="1"/>
  <c r="YB178" i="1" s="1"/>
  <c r="ZN184" i="1"/>
  <c r="ZN170" i="1"/>
  <c r="ZN175" i="1" s="1"/>
  <c r="ZN180" i="1" s="1"/>
  <c r="ZN182" i="1"/>
  <c r="ZN168" i="1"/>
  <c r="ZN172" i="1" s="1"/>
  <c r="ZN178" i="1" s="1"/>
  <c r="AAH168" i="1"/>
  <c r="AAH172" i="1" s="1"/>
  <c r="AAH178" i="1" s="1"/>
  <c r="AAH184" i="1"/>
  <c r="AAH170" i="1"/>
  <c r="AAH175" i="1" s="1"/>
  <c r="AAH180" i="1" s="1"/>
  <c r="AAH182" i="1"/>
  <c r="YS184" i="1"/>
  <c r="YS170" i="1"/>
  <c r="YS175" i="1" s="1"/>
  <c r="YS180" i="1" s="1"/>
  <c r="YS168" i="1"/>
  <c r="YS172" i="1" s="1"/>
  <c r="YS178" i="1" s="1"/>
  <c r="YS182" i="1"/>
  <c r="ZH184" i="1"/>
  <c r="ZH182" i="1"/>
  <c r="ZH170" i="1"/>
  <c r="ZH175" i="1" s="1"/>
  <c r="ZH180" i="1" s="1"/>
  <c r="ZH168" i="1"/>
  <c r="ZH172" i="1" s="1"/>
  <c r="ZH178" i="1" s="1"/>
  <c r="AAC184" i="1"/>
  <c r="AAC182" i="1"/>
  <c r="AAC170" i="1"/>
  <c r="AAC175" i="1" s="1"/>
  <c r="AAC180" i="1" s="1"/>
  <c r="AAC168" i="1"/>
  <c r="AAC172" i="1" s="1"/>
  <c r="AAC178" i="1" s="1"/>
  <c r="ZF184" i="1"/>
  <c r="ZF168" i="1"/>
  <c r="ZF172" i="1" s="1"/>
  <c r="ZF178" i="1" s="1"/>
  <c r="ZF170" i="1"/>
  <c r="ZF175" i="1" s="1"/>
  <c r="ZF180" i="1" s="1"/>
  <c r="ZF182" i="1"/>
  <c r="ZX170" i="1"/>
  <c r="ZX175" i="1" s="1"/>
  <c r="ZX180" i="1" s="1"/>
  <c r="ZX182" i="1"/>
  <c r="ZX184" i="1"/>
  <c r="ZX168" i="1"/>
  <c r="ZX172" i="1" s="1"/>
  <c r="ZX178" i="1" s="1"/>
  <c r="YZ170" i="1"/>
  <c r="YZ175" i="1" s="1"/>
  <c r="YZ180" i="1" s="1"/>
  <c r="YZ168" i="1"/>
  <c r="YZ172" i="1" s="1"/>
  <c r="YZ178" i="1" s="1"/>
  <c r="YZ182" i="1"/>
  <c r="YZ184" i="1"/>
  <c r="ZC170" i="1"/>
  <c r="ZC175" i="1" s="1"/>
  <c r="ZC180" i="1" s="1"/>
  <c r="ZC168" i="1"/>
  <c r="ZC172" i="1" s="1"/>
  <c r="ZC178" i="1" s="1"/>
  <c r="ZC184" i="1"/>
  <c r="ZC182" i="1"/>
  <c r="AAM168" i="1"/>
  <c r="AAM172" i="1" s="1"/>
  <c r="AAM178" i="1" s="1"/>
  <c r="AAM170" i="1"/>
  <c r="AAM175" i="1" s="1"/>
  <c r="AAM180" i="1" s="1"/>
  <c r="AAM182" i="1"/>
  <c r="AAM184" i="1"/>
  <c r="ZZ168" i="1"/>
  <c r="ZZ172" i="1" s="1"/>
  <c r="ZZ178" i="1" s="1"/>
  <c r="ZZ170" i="1"/>
  <c r="ZZ175" i="1" s="1"/>
  <c r="ZZ180" i="1" s="1"/>
  <c r="ZZ182" i="1"/>
  <c r="ZZ184" i="1"/>
  <c r="YO184" i="1"/>
  <c r="YO182" i="1"/>
  <c r="YO168" i="1"/>
  <c r="YO172" i="1" s="1"/>
  <c r="YO178" i="1" s="1"/>
  <c r="YO170" i="1"/>
  <c r="YO175" i="1" s="1"/>
  <c r="YO180" i="1" s="1"/>
  <c r="XG195" i="1"/>
  <c r="XG200" i="1" s="1"/>
  <c r="XG209" i="1" s="1"/>
  <c r="XK195" i="1"/>
  <c r="XK200" i="1" s="1"/>
  <c r="AAO195" i="1"/>
  <c r="AAO200" i="1" s="1"/>
  <c r="YT195" i="1"/>
  <c r="YT200" i="1" s="1"/>
  <c r="XJ195" i="1"/>
  <c r="XJ200" i="1" s="1"/>
  <c r="YH192" i="1"/>
  <c r="YH197" i="1" s="1"/>
  <c r="AAJ192" i="1"/>
  <c r="AAJ197" i="1" s="1"/>
  <c r="XX192" i="1"/>
  <c r="XX197" i="1" s="1"/>
  <c r="YW195" i="1"/>
  <c r="YW200" i="1" s="1"/>
  <c r="XQ192" i="1"/>
  <c r="XQ197" i="1" s="1"/>
  <c r="ZT192" i="1"/>
  <c r="ZT197" i="1" s="1"/>
  <c r="YD192" i="1"/>
  <c r="YD197" i="1" s="1"/>
  <c r="XY192" i="1"/>
  <c r="XY197" i="1" s="1"/>
  <c r="AAG192" i="1"/>
  <c r="AAG197" i="1" s="1"/>
  <c r="ZM192" i="1"/>
  <c r="ZM197" i="1" s="1"/>
  <c r="XP195" i="1"/>
  <c r="XP200" i="1" s="1"/>
  <c r="AAS192" i="1"/>
  <c r="AAS197" i="1" s="1"/>
  <c r="YI192" i="1"/>
  <c r="YI197" i="1" s="1"/>
  <c r="XM189" i="1" l="1"/>
  <c r="XR189" i="1"/>
  <c r="XR195" i="1" s="1"/>
  <c r="XR200" i="1" s="1"/>
  <c r="XO189" i="1"/>
  <c r="XO195" i="1" s="1"/>
  <c r="XO200" i="1" s="1"/>
  <c r="YN189" i="1"/>
  <c r="YN195" i="1" s="1"/>
  <c r="YN200" i="1" s="1"/>
  <c r="YN203" i="1" s="1"/>
  <c r="YN212" i="1" s="1"/>
  <c r="XN189" i="1"/>
  <c r="XN195" i="1" s="1"/>
  <c r="XN200" i="1" s="1"/>
  <c r="XI186" i="1"/>
  <c r="XI192" i="1" s="1"/>
  <c r="XI197" i="1" s="1"/>
  <c r="YR189" i="1"/>
  <c r="YR195" i="1" s="1"/>
  <c r="YR200" i="1" s="1"/>
  <c r="XV186" i="1"/>
  <c r="XV192" i="1" s="1"/>
  <c r="XV197" i="1" s="1"/>
  <c r="XH189" i="1"/>
  <c r="XH195" i="1" s="1"/>
  <c r="XH200" i="1" s="1"/>
  <c r="XH203" i="1" s="1"/>
  <c r="XH212" i="1" s="1"/>
  <c r="AAA186" i="1"/>
  <c r="AAA192" i="1" s="1"/>
  <c r="AAA197" i="1" s="1"/>
  <c r="YC186" i="1"/>
  <c r="YC192" i="1" s="1"/>
  <c r="YC197" i="1" s="1"/>
  <c r="ZL189" i="1"/>
  <c r="ZL195" i="1" s="1"/>
  <c r="ZL200" i="1" s="1"/>
  <c r="ZL203" i="1" s="1"/>
  <c r="ZL212" i="1" s="1"/>
  <c r="XL186" i="1"/>
  <c r="ZO189" i="1"/>
  <c r="ZO195" i="1" s="1"/>
  <c r="ZO200" i="1" s="1"/>
  <c r="ZO203" i="1" s="1"/>
  <c r="ZO212" i="1" s="1"/>
  <c r="ZG186" i="1"/>
  <c r="ZG192" i="1" s="1"/>
  <c r="ZG197" i="1" s="1"/>
  <c r="AAP189" i="1"/>
  <c r="AAP195" i="1" s="1"/>
  <c r="AAP200" i="1" s="1"/>
  <c r="AAP209" i="1" s="1"/>
  <c r="YE186" i="1"/>
  <c r="YE192" i="1" s="1"/>
  <c r="YE197" i="1" s="1"/>
  <c r="YA189" i="1"/>
  <c r="YA195" i="1" s="1"/>
  <c r="YA200" i="1" s="1"/>
  <c r="YA203" i="1" s="1"/>
  <c r="YA212" i="1" s="1"/>
  <c r="AAI189" i="1"/>
  <c r="AAI195" i="1" s="1"/>
  <c r="AAI200" i="1" s="1"/>
  <c r="AAI209" i="1" s="1"/>
  <c r="XZ189" i="1"/>
  <c r="XZ195" i="1" s="1"/>
  <c r="XZ200" i="1" s="1"/>
  <c r="ZU189" i="1"/>
  <c r="ZU195" i="1" s="1"/>
  <c r="ZU200" i="1" s="1"/>
  <c r="ZU203" i="1" s="1"/>
  <c r="ZU212" i="1" s="1"/>
  <c r="YJ186" i="1"/>
  <c r="YJ192" i="1" s="1"/>
  <c r="YJ197" i="1" s="1"/>
  <c r="AAF186" i="1"/>
  <c r="AAF192" i="1" s="1"/>
  <c r="AAF197" i="1" s="1"/>
  <c r="AAN186" i="1"/>
  <c r="AAN192" i="1" s="1"/>
  <c r="AAN197" i="1" s="1"/>
  <c r="ZR189" i="1"/>
  <c r="ZR195" i="1" s="1"/>
  <c r="ZR200" i="1" s="1"/>
  <c r="ZR203" i="1" s="1"/>
  <c r="ZR212" i="1" s="1"/>
  <c r="YO186" i="1"/>
  <c r="YO192" i="1" s="1"/>
  <c r="YO197" i="1" s="1"/>
  <c r="AAH189" i="1"/>
  <c r="YP189" i="1"/>
  <c r="YP195" i="1" s="1"/>
  <c r="YP200" i="1" s="1"/>
  <c r="YP203" i="1" s="1"/>
  <c r="YP212" i="1" s="1"/>
  <c r="AAM186" i="1"/>
  <c r="AAM192" i="1" s="1"/>
  <c r="AAM197" i="1" s="1"/>
  <c r="ZF189" i="1"/>
  <c r="AAD186" i="1"/>
  <c r="AAD192" i="1" s="1"/>
  <c r="AAD197" i="1" s="1"/>
  <c r="ZH189" i="1"/>
  <c r="ZA186" i="1"/>
  <c r="ZA192" i="1" s="1"/>
  <c r="ZA197" i="1" s="1"/>
  <c r="XW186" i="1"/>
  <c r="XW192" i="1" s="1"/>
  <c r="XW197" i="1" s="1"/>
  <c r="ZS189" i="1"/>
  <c r="YF189" i="1"/>
  <c r="YF195" i="1" s="1"/>
  <c r="YF200" i="1" s="1"/>
  <c r="YF203" i="1" s="1"/>
  <c r="YF212" i="1" s="1"/>
  <c r="XT189" i="1"/>
  <c r="XT195" i="1" s="1"/>
  <c r="XT200" i="1" s="1"/>
  <c r="YG186" i="1"/>
  <c r="YG192" i="1" s="1"/>
  <c r="YG197" i="1" s="1"/>
  <c r="YL189" i="1"/>
  <c r="ZY189" i="1"/>
  <c r="YO189" i="1"/>
  <c r="YZ189" i="1"/>
  <c r="ZH186" i="1"/>
  <c r="ZH192" i="1" s="1"/>
  <c r="ZH197" i="1" s="1"/>
  <c r="YV189" i="1"/>
  <c r="YV195" i="1" s="1"/>
  <c r="YV200" i="1" s="1"/>
  <c r="YV203" i="1" s="1"/>
  <c r="YV212" i="1" s="1"/>
  <c r="AAQ189" i="1"/>
  <c r="AAQ195" i="1" s="1"/>
  <c r="AAQ200" i="1" s="1"/>
  <c r="XS189" i="1"/>
  <c r="XS195" i="1" s="1"/>
  <c r="XS200" i="1" s="1"/>
  <c r="XS209" i="1" s="1"/>
  <c r="AAE186" i="1"/>
  <c r="AAE192" i="1" s="1"/>
  <c r="AAE197" i="1" s="1"/>
  <c r="YB189" i="1"/>
  <c r="YQ189" i="1"/>
  <c r="ZB189" i="1"/>
  <c r="ZB195" i="1" s="1"/>
  <c r="ZB200" i="1" s="1"/>
  <c r="ZB203" i="1" s="1"/>
  <c r="ZB212" i="1" s="1"/>
  <c r="YM189" i="1"/>
  <c r="AAB186" i="1"/>
  <c r="AAB192" i="1" s="1"/>
  <c r="AAB197" i="1" s="1"/>
  <c r="AAR189" i="1"/>
  <c r="ZQ189" i="1"/>
  <c r="ZY186" i="1"/>
  <c r="ZY192" i="1" s="1"/>
  <c r="ZY197" i="1" s="1"/>
  <c r="ZS186" i="1"/>
  <c r="ZK189" i="1"/>
  <c r="ZK195" i="1" s="1"/>
  <c r="ZK200" i="1" s="1"/>
  <c r="ZV186" i="1"/>
  <c r="ZV192" i="1" s="1"/>
  <c r="ZV197" i="1" s="1"/>
  <c r="XU189" i="1"/>
  <c r="ZE189" i="1"/>
  <c r="ZE195" i="1" s="1"/>
  <c r="ZE200" i="1" s="1"/>
  <c r="ZE203" i="1" s="1"/>
  <c r="ZE212" i="1" s="1"/>
  <c r="ZP186" i="1"/>
  <c r="ZP192" i="1" s="1"/>
  <c r="ZP197" i="1" s="1"/>
  <c r="ZW186" i="1"/>
  <c r="ZW192" i="1" s="1"/>
  <c r="ZW197" i="1" s="1"/>
  <c r="ZD186" i="1"/>
  <c r="YK186" i="1"/>
  <c r="YK192" i="1" s="1"/>
  <c r="YK197" i="1" s="1"/>
  <c r="AAL186" i="1"/>
  <c r="AAL192" i="1" s="1"/>
  <c r="AAL197" i="1" s="1"/>
  <c r="AAR192" i="1"/>
  <c r="AAR197" i="1" s="1"/>
  <c r="AAC189" i="1"/>
  <c r="AAK189" i="1"/>
  <c r="AAK195" i="1" s="1"/>
  <c r="AAK200" i="1" s="1"/>
  <c r="AAK209" i="1" s="1"/>
  <c r="XM195" i="1"/>
  <c r="XM200" i="1" s="1"/>
  <c r="XM209" i="1" s="1"/>
  <c r="ZX189" i="1"/>
  <c r="ZZ186" i="1"/>
  <c r="ZZ192" i="1" s="1"/>
  <c r="ZZ197" i="1" s="1"/>
  <c r="ZC186" i="1"/>
  <c r="ZC192" i="1" s="1"/>
  <c r="ZC197" i="1" s="1"/>
  <c r="YS189" i="1"/>
  <c r="ZN189" i="1"/>
  <c r="AAL189" i="1"/>
  <c r="YM192" i="1"/>
  <c r="YM197" i="1" s="1"/>
  <c r="ZV189" i="1"/>
  <c r="XU186" i="1"/>
  <c r="XU192" i="1" s="1"/>
  <c r="XU197" i="1" s="1"/>
  <c r="YY189" i="1"/>
  <c r="YY195" i="1" s="1"/>
  <c r="YY200" i="1" s="1"/>
  <c r="ZZ189" i="1"/>
  <c r="ZX186" i="1"/>
  <c r="ZX192" i="1" s="1"/>
  <c r="ZX197" i="1" s="1"/>
  <c r="AAC186" i="1"/>
  <c r="AAC192" i="1" s="1"/>
  <c r="AAC197" i="1" s="1"/>
  <c r="ZN186" i="1"/>
  <c r="ZN192" i="1" s="1"/>
  <c r="ZN197" i="1" s="1"/>
  <c r="ZJ186" i="1"/>
  <c r="ZJ192" i="1" s="1"/>
  <c r="ZJ197" i="1" s="1"/>
  <c r="YQ186" i="1"/>
  <c r="YQ192" i="1" s="1"/>
  <c r="YQ197" i="1" s="1"/>
  <c r="YU189" i="1"/>
  <c r="YU186" i="1"/>
  <c r="YS186" i="1"/>
  <c r="YX189" i="1"/>
  <c r="ZC189" i="1"/>
  <c r="ZI189" i="1"/>
  <c r="ZI186" i="1"/>
  <c r="ZI192" i="1" s="1"/>
  <c r="ZI197" i="1" s="1"/>
  <c r="AAM189" i="1"/>
  <c r="YZ186" i="1"/>
  <c r="YZ192" i="1" s="1"/>
  <c r="YZ197" i="1" s="1"/>
  <c r="ZF186" i="1"/>
  <c r="ZQ186" i="1"/>
  <c r="ZQ192" i="1" s="1"/>
  <c r="ZQ197" i="1" s="1"/>
  <c r="YL186" i="1"/>
  <c r="AAH186" i="1"/>
  <c r="AAH192" i="1" s="1"/>
  <c r="AAH197" i="1" s="1"/>
  <c r="YB186" i="1"/>
  <c r="ZJ189" i="1"/>
  <c r="YX186" i="1"/>
  <c r="YX192" i="1" s="1"/>
  <c r="YX197" i="1" s="1"/>
  <c r="ZP49" i="1"/>
  <c r="ZP51" i="1" s="1"/>
  <c r="AAP49" i="1"/>
  <c r="AAP51" i="1" s="1"/>
  <c r="ZQ49" i="1"/>
  <c r="ZQ51" i="1" s="1"/>
  <c r="ZR49" i="1"/>
  <c r="ZR51" i="1" s="1"/>
  <c r="AAR49" i="1"/>
  <c r="AAR51" i="1" s="1"/>
  <c r="AAS49" i="1"/>
  <c r="AAS51" i="1" s="1"/>
  <c r="ZU49" i="1"/>
  <c r="ZU51" i="1" s="1"/>
  <c r="AAC49" i="1"/>
  <c r="AAC51" i="1" s="1"/>
  <c r="AAK49" i="1"/>
  <c r="AAK51" i="1" s="1"/>
  <c r="XO49" i="1"/>
  <c r="XO51" i="1" s="1"/>
  <c r="ZW49" i="1"/>
  <c r="ZW51" i="1" s="1"/>
  <c r="XL49" i="1"/>
  <c r="XL51" i="1" s="1"/>
  <c r="ZX49" i="1"/>
  <c r="ZX51" i="1" s="1"/>
  <c r="XM49" i="1"/>
  <c r="XM51" i="1" s="1"/>
  <c r="ZY49" i="1"/>
  <c r="ZY51" i="1" s="1"/>
  <c r="AAH49" i="1"/>
  <c r="AAH51" i="1" s="1"/>
  <c r="XH49" i="1"/>
  <c r="XH51" i="1" s="1"/>
  <c r="XI49" i="1"/>
  <c r="XI51" i="1" s="1"/>
  <c r="XQ49" i="1"/>
  <c r="XQ51" i="1" s="1"/>
  <c r="XY49" i="1"/>
  <c r="XY51" i="1" s="1"/>
  <c r="XJ49" i="1"/>
  <c r="XJ51" i="1" s="1"/>
  <c r="ZC49" i="1"/>
  <c r="ZC51" i="1" s="1"/>
  <c r="YM49" i="1"/>
  <c r="YM51" i="1" s="1"/>
  <c r="XT49" i="1"/>
  <c r="XT51" i="1" s="1"/>
  <c r="AAF49" i="1"/>
  <c r="AAF51" i="1" s="1"/>
  <c r="XU49" i="1"/>
  <c r="XU51" i="1" s="1"/>
  <c r="AAG49" i="1"/>
  <c r="AAG51" i="1" s="1"/>
  <c r="XR49" i="1"/>
  <c r="XR51" i="1" s="1"/>
  <c r="XS49" i="1"/>
  <c r="XS51" i="1" s="1"/>
  <c r="YH49" i="1"/>
  <c r="YH51" i="1" s="1"/>
  <c r="YN49" i="1"/>
  <c r="YN51" i="1" s="1"/>
  <c r="YP49" i="1"/>
  <c r="YP51" i="1" s="1"/>
  <c r="YX49" i="1"/>
  <c r="YX51" i="1" s="1"/>
  <c r="AAQ49" i="1"/>
  <c r="AAQ51" i="1" s="1"/>
  <c r="AAA49" i="1"/>
  <c r="AAA51" i="1" s="1"/>
  <c r="YB49" i="1"/>
  <c r="YB51" i="1" s="1"/>
  <c r="YC49" i="1"/>
  <c r="YC51" i="1" s="1"/>
  <c r="AAO49" i="1"/>
  <c r="AAO51" i="1" s="1"/>
  <c r="YF49" i="1"/>
  <c r="YF51" i="1" s="1"/>
  <c r="YG49" i="1"/>
  <c r="YG51" i="1" s="1"/>
  <c r="YV49" i="1"/>
  <c r="YV51" i="1" s="1"/>
  <c r="ZK49" i="1"/>
  <c r="ZK51" i="1" s="1"/>
  <c r="ZM49" i="1"/>
  <c r="ZM51" i="1" s="1"/>
  <c r="ZO49" i="1"/>
  <c r="ZO51" i="1" s="1"/>
  <c r="ZD49" i="1"/>
  <c r="ZD51" i="1" s="1"/>
  <c r="XP49" i="1"/>
  <c r="XP51" i="1" s="1"/>
  <c r="YJ49" i="1"/>
  <c r="YJ51" i="1" s="1"/>
  <c r="YK49" i="1"/>
  <c r="YK51" i="1" s="1"/>
  <c r="XN49" i="1"/>
  <c r="XN51" i="1" s="1"/>
  <c r="YQ49" i="1"/>
  <c r="YQ51" i="1" s="1"/>
  <c r="YU49" i="1"/>
  <c r="YU51" i="1" s="1"/>
  <c r="ZG49" i="1"/>
  <c r="ZG51" i="1" s="1"/>
  <c r="AAB49" i="1"/>
  <c r="AAB51" i="1" s="1"/>
  <c r="AAL49" i="1"/>
  <c r="AAL51" i="1" s="1"/>
  <c r="YA49" i="1"/>
  <c r="YA51" i="1" s="1"/>
  <c r="YR49" i="1"/>
  <c r="YR51" i="1" s="1"/>
  <c r="YS49" i="1"/>
  <c r="YS51" i="1" s="1"/>
  <c r="YD49" i="1"/>
  <c r="YD51" i="1" s="1"/>
  <c r="ZE49" i="1"/>
  <c r="ZE51" i="1" s="1"/>
  <c r="ZF49" i="1"/>
  <c r="ZF51" i="1" s="1"/>
  <c r="XX49" i="1"/>
  <c r="XX51" i="1" s="1"/>
  <c r="XZ49" i="1"/>
  <c r="XZ51" i="1" s="1"/>
  <c r="XK49" i="1"/>
  <c r="XK51" i="1" s="1"/>
  <c r="YZ49" i="1"/>
  <c r="YZ51" i="1" s="1"/>
  <c r="ZB49" i="1"/>
  <c r="ZB51" i="1" s="1"/>
  <c r="YT49" i="1"/>
  <c r="YT51" i="1" s="1"/>
  <c r="ZS49" i="1"/>
  <c r="ZS51" i="1" s="1"/>
  <c r="ZT49" i="1"/>
  <c r="ZT51" i="1" s="1"/>
  <c r="XG49" i="1"/>
  <c r="XG51" i="1" s="1"/>
  <c r="YO49" i="1"/>
  <c r="YO51" i="1" s="1"/>
  <c r="YW49" i="1"/>
  <c r="YW51" i="1" s="1"/>
  <c r="ZV49" i="1"/>
  <c r="ZV51" i="1" s="1"/>
  <c r="YY49" i="1"/>
  <c r="YY51" i="1" s="1"/>
  <c r="ZH49" i="1"/>
  <c r="ZH51" i="1" s="1"/>
  <c r="ZI49" i="1"/>
  <c r="ZI51" i="1" s="1"/>
  <c r="ZJ49" i="1"/>
  <c r="ZJ51" i="1" s="1"/>
  <c r="AAE49" i="1"/>
  <c r="AAE51" i="1" s="1"/>
  <c r="XW49" i="1"/>
  <c r="XW51" i="1" s="1"/>
  <c r="ZL49" i="1"/>
  <c r="ZL51" i="1" s="1"/>
  <c r="ZN49" i="1"/>
  <c r="ZN51" i="1" s="1"/>
  <c r="AAM49" i="1"/>
  <c r="AAM51" i="1" s="1"/>
  <c r="YI49" i="1"/>
  <c r="YI51" i="1" s="1"/>
  <c r="AAN49" i="1"/>
  <c r="AAN51" i="1" s="1"/>
  <c r="XV49" i="1"/>
  <c r="XV51" i="1" s="1"/>
  <c r="AAJ49" i="1"/>
  <c r="AAJ51" i="1" s="1"/>
  <c r="YL49" i="1"/>
  <c r="YL51" i="1" s="1"/>
  <c r="AAI49" i="1"/>
  <c r="AAI51" i="1" s="1"/>
  <c r="YE49" i="1"/>
  <c r="YE51" i="1" s="1"/>
  <c r="ZA49" i="1"/>
  <c r="ZA51" i="1" s="1"/>
  <c r="AAD49" i="1"/>
  <c r="AAD51" i="1" s="1"/>
  <c r="ZZ49" i="1"/>
  <c r="ZZ51" i="1" s="1"/>
  <c r="AAG195" i="1"/>
  <c r="AAG200" i="1" s="1"/>
  <c r="AAO203" i="1"/>
  <c r="AAO212" i="1" s="1"/>
  <c r="AAO209" i="1"/>
  <c r="YW203" i="1"/>
  <c r="YW212" i="1" s="1"/>
  <c r="YW209" i="1"/>
  <c r="YT203" i="1"/>
  <c r="YT212" i="1" s="1"/>
  <c r="YT209" i="1"/>
  <c r="XK203" i="1"/>
  <c r="XK212" i="1" s="1"/>
  <c r="XK209" i="1"/>
  <c r="XJ203" i="1"/>
  <c r="XJ212" i="1" s="1"/>
  <c r="XJ209" i="1"/>
  <c r="XP203" i="1"/>
  <c r="XP212" i="1" s="1"/>
  <c r="XP209" i="1"/>
  <c r="XG203" i="1"/>
  <c r="XG212" i="1" s="1"/>
  <c r="YI195" i="1"/>
  <c r="YI200" i="1" s="1"/>
  <c r="XQ195" i="1"/>
  <c r="XQ200" i="1" s="1"/>
  <c r="YH195" i="1"/>
  <c r="YH200" i="1" s="1"/>
  <c r="ZT195" i="1"/>
  <c r="ZT200" i="1" s="1"/>
  <c r="YD195" i="1"/>
  <c r="YD200" i="1" s="1"/>
  <c r="AAS195" i="1"/>
  <c r="AAS200" i="1" s="1"/>
  <c r="XY195" i="1"/>
  <c r="XY200" i="1" s="1"/>
  <c r="AAJ195" i="1"/>
  <c r="AAJ200" i="1" s="1"/>
  <c r="ZM195" i="1"/>
  <c r="ZM200" i="1" s="1"/>
  <c r="XX195" i="1"/>
  <c r="XX200" i="1" s="1"/>
  <c r="YC195" i="1" l="1"/>
  <c r="YC200" i="1" s="1"/>
  <c r="YN209" i="1"/>
  <c r="XI195" i="1"/>
  <c r="XI200" i="1" s="1"/>
  <c r="XI209" i="1" s="1"/>
  <c r="XV195" i="1"/>
  <c r="XV200" i="1" s="1"/>
  <c r="XV209" i="1" s="1"/>
  <c r="AAA195" i="1"/>
  <c r="AAA200" i="1" s="1"/>
  <c r="AAA203" i="1" s="1"/>
  <c r="AAA212" i="1" s="1"/>
  <c r="ZG195" i="1"/>
  <c r="ZG200" i="1" s="1"/>
  <c r="ZG203" i="1" s="1"/>
  <c r="ZG212" i="1" s="1"/>
  <c r="ZL209" i="1"/>
  <c r="XL192" i="1"/>
  <c r="XL197" i="1" s="1"/>
  <c r="ZO209" i="1"/>
  <c r="YE195" i="1"/>
  <c r="YE200" i="1" s="1"/>
  <c r="YE203" i="1" s="1"/>
  <c r="YE212" i="1" s="1"/>
  <c r="YJ195" i="1"/>
  <c r="YJ200" i="1" s="1"/>
  <c r="YJ203" i="1" s="1"/>
  <c r="YJ212" i="1" s="1"/>
  <c r="YO195" i="1"/>
  <c r="YO200" i="1" s="1"/>
  <c r="YO203" i="1" s="1"/>
  <c r="YO212" i="1" s="1"/>
  <c r="AAF195" i="1"/>
  <c r="AAF200" i="1" s="1"/>
  <c r="AAF203" i="1" s="1"/>
  <c r="AAF212" i="1" s="1"/>
  <c r="AAN195" i="1"/>
  <c r="AAN200" i="1" s="1"/>
  <c r="AAN209" i="1" s="1"/>
  <c r="AAD195" i="1"/>
  <c r="AAD200" i="1" s="1"/>
  <c r="AAD209" i="1" s="1"/>
  <c r="XW195" i="1"/>
  <c r="XW200" i="1" s="1"/>
  <c r="XW209" i="1" s="1"/>
  <c r="AAM195" i="1"/>
  <c r="AAM200" i="1" s="1"/>
  <c r="AAM209" i="1" s="1"/>
  <c r="ZA195" i="1"/>
  <c r="ZA200" i="1" s="1"/>
  <c r="ZA209" i="1" s="1"/>
  <c r="XS203" i="1"/>
  <c r="XS212" i="1" s="1"/>
  <c r="YG195" i="1"/>
  <c r="YG200" i="1" s="1"/>
  <c r="YG203" i="1" s="1"/>
  <c r="YG212" i="1" s="1"/>
  <c r="YP209" i="1"/>
  <c r="YF209" i="1"/>
  <c r="AAI203" i="1"/>
  <c r="AAI212" i="1" s="1"/>
  <c r="ZH195" i="1"/>
  <c r="ZH200" i="1" s="1"/>
  <c r="ZH203" i="1" s="1"/>
  <c r="ZH212" i="1" s="1"/>
  <c r="ZB206" i="1"/>
  <c r="ZB209" i="1"/>
  <c r="ZQ195" i="1"/>
  <c r="ZQ200" i="1" s="1"/>
  <c r="ZQ209" i="1" s="1"/>
  <c r="AAP203" i="1"/>
  <c r="AAP212" i="1" s="1"/>
  <c r="ZS192" i="1"/>
  <c r="ZS197" i="1" s="1"/>
  <c r="AAR195" i="1"/>
  <c r="AAR200" i="1" s="1"/>
  <c r="AAR209" i="1" s="1"/>
  <c r="ZP195" i="1"/>
  <c r="ZP200" i="1" s="1"/>
  <c r="ZP203" i="1" s="1"/>
  <c r="ZP212" i="1" s="1"/>
  <c r="ZY195" i="1"/>
  <c r="ZY200" i="1" s="1"/>
  <c r="ZY203" i="1" s="1"/>
  <c r="ZY212" i="1" s="1"/>
  <c r="ZK203" i="1"/>
  <c r="ZK212" i="1" s="1"/>
  <c r="ZK209" i="1"/>
  <c r="ZU209" i="1"/>
  <c r="AAB195" i="1"/>
  <c r="AAB200" i="1" s="1"/>
  <c r="YA209" i="1"/>
  <c r="ZV195" i="1"/>
  <c r="ZV200" i="1" s="1"/>
  <c r="ZV203" i="1" s="1"/>
  <c r="ZV212" i="1" s="1"/>
  <c r="AAL195" i="1"/>
  <c r="AAL200" i="1" s="1"/>
  <c r="AAL203" i="1" s="1"/>
  <c r="AAL212" i="1" s="1"/>
  <c r="ZW195" i="1"/>
  <c r="ZW200" i="1" s="1"/>
  <c r="ZZ195" i="1"/>
  <c r="ZZ200" i="1" s="1"/>
  <c r="ZZ203" i="1" s="1"/>
  <c r="ZZ212" i="1" s="1"/>
  <c r="YM195" i="1"/>
  <c r="YM200" i="1" s="1"/>
  <c r="YM203" i="1" s="1"/>
  <c r="YM212" i="1" s="1"/>
  <c r="AAE195" i="1"/>
  <c r="AAE200" i="1" s="1"/>
  <c r="AAE203" i="1" s="1"/>
  <c r="YV209" i="1"/>
  <c r="ZI195" i="1"/>
  <c r="ZI200" i="1" s="1"/>
  <c r="ZI203" i="1" s="1"/>
  <c r="ZI212" i="1" s="1"/>
  <c r="XH209" i="1"/>
  <c r="ZC195" i="1"/>
  <c r="ZC200" i="1" s="1"/>
  <c r="ZC203" i="1" s="1"/>
  <c r="ZC212" i="1" s="1"/>
  <c r="ZD192" i="1"/>
  <c r="ZD197" i="1" s="1"/>
  <c r="YZ195" i="1"/>
  <c r="YZ200" i="1" s="1"/>
  <c r="YZ209" i="1" s="1"/>
  <c r="YK195" i="1"/>
  <c r="YK200" i="1" s="1"/>
  <c r="YK203" i="1" s="1"/>
  <c r="YK212" i="1" s="1"/>
  <c r="ZR209" i="1"/>
  <c r="ZE209" i="1"/>
  <c r="YQ195" i="1"/>
  <c r="YQ200" i="1" s="1"/>
  <c r="ZN195" i="1"/>
  <c r="ZN200" i="1" s="1"/>
  <c r="ZN209" i="1" s="1"/>
  <c r="XM203" i="1"/>
  <c r="XM212" i="1" s="1"/>
  <c r="AAK203" i="1"/>
  <c r="AAK212" i="1" s="1"/>
  <c r="AAH195" i="1"/>
  <c r="AAH200" i="1" s="1"/>
  <c r="AAH209" i="1" s="1"/>
  <c r="YX195" i="1"/>
  <c r="YX200" i="1" s="1"/>
  <c r="YX209" i="1" s="1"/>
  <c r="AAC195" i="1"/>
  <c r="AAC200" i="1" s="1"/>
  <c r="AAC203" i="1" s="1"/>
  <c r="AAC212" i="1" s="1"/>
  <c r="ZX195" i="1"/>
  <c r="ZX200" i="1" s="1"/>
  <c r="ZX203" i="1" s="1"/>
  <c r="ZX212" i="1" s="1"/>
  <c r="XU195" i="1"/>
  <c r="XU200" i="1" s="1"/>
  <c r="XU203" i="1" s="1"/>
  <c r="XU212" i="1" s="1"/>
  <c r="ZJ195" i="1"/>
  <c r="ZJ200" i="1" s="1"/>
  <c r="ZJ209" i="1" s="1"/>
  <c r="YB192" i="1"/>
  <c r="YB197" i="1" s="1"/>
  <c r="YU192" i="1"/>
  <c r="YU197" i="1" s="1"/>
  <c r="YS192" i="1"/>
  <c r="YS197" i="1" s="1"/>
  <c r="ZF192" i="1"/>
  <c r="ZF197" i="1" s="1"/>
  <c r="YL192" i="1"/>
  <c r="YL197" i="1" s="1"/>
  <c r="XK206" i="1"/>
  <c r="ZE206" i="1"/>
  <c r="YV206" i="1"/>
  <c r="XP206" i="1"/>
  <c r="XH206" i="1"/>
  <c r="ZR206" i="1"/>
  <c r="YA206" i="1"/>
  <c r="YW206" i="1"/>
  <c r="XG206" i="1"/>
  <c r="YF206" i="1"/>
  <c r="YN206" i="1"/>
  <c r="YT206" i="1"/>
  <c r="AAO206" i="1"/>
  <c r="ZO206" i="1"/>
  <c r="XJ206" i="1"/>
  <c r="YP206" i="1"/>
  <c r="ZU206" i="1"/>
  <c r="ZL206" i="1"/>
  <c r="YI203" i="1"/>
  <c r="YI212" i="1" s="1"/>
  <c r="YI209" i="1"/>
  <c r="ZM203" i="1"/>
  <c r="ZM212" i="1" s="1"/>
  <c r="ZM209" i="1"/>
  <c r="AAJ203" i="1"/>
  <c r="AAJ212" i="1" s="1"/>
  <c r="AAJ209" i="1"/>
  <c r="YC203" i="1"/>
  <c r="YC212" i="1" s="1"/>
  <c r="YC209" i="1"/>
  <c r="XX203" i="1"/>
  <c r="XX212" i="1" s="1"/>
  <c r="XX209" i="1"/>
  <c r="ZT203" i="1"/>
  <c r="ZT212" i="1" s="1"/>
  <c r="ZT209" i="1"/>
  <c r="AAQ203" i="1"/>
  <c r="AAQ212" i="1" s="1"/>
  <c r="AAQ209" i="1"/>
  <c r="YD203" i="1"/>
  <c r="YD212" i="1" s="1"/>
  <c r="YD209" i="1"/>
  <c r="XQ203" i="1"/>
  <c r="XQ212" i="1" s="1"/>
  <c r="XQ209" i="1"/>
  <c r="YR203" i="1"/>
  <c r="YR212" i="1" s="1"/>
  <c r="YR209" i="1"/>
  <c r="XY203" i="1"/>
  <c r="XY212" i="1" s="1"/>
  <c r="XY209" i="1"/>
  <c r="YH203" i="1"/>
  <c r="YH212" i="1" s="1"/>
  <c r="YH209" i="1"/>
  <c r="XR203" i="1"/>
  <c r="XR212" i="1" s="1"/>
  <c r="XR209" i="1"/>
  <c r="AAS203" i="1"/>
  <c r="AAS212" i="1" s="1"/>
  <c r="AAS209" i="1"/>
  <c r="YY203" i="1"/>
  <c r="YY212" i="1" s="1"/>
  <c r="YY209" i="1"/>
  <c r="XZ203" i="1"/>
  <c r="XZ212" i="1" s="1"/>
  <c r="XZ209" i="1"/>
  <c r="XO203" i="1"/>
  <c r="XO212" i="1" s="1"/>
  <c r="XO209" i="1"/>
  <c r="AAG203" i="1"/>
  <c r="AAG212" i="1" s="1"/>
  <c r="AAG209" i="1"/>
  <c r="XT203" i="1"/>
  <c r="XT212" i="1" s="1"/>
  <c r="XT209" i="1"/>
  <c r="XN203" i="1"/>
  <c r="XN212" i="1" s="1"/>
  <c r="XN209" i="1"/>
  <c r="XG55" i="1"/>
  <c r="XP55" i="1"/>
  <c r="XI55" i="1"/>
  <c r="XZ55" i="1"/>
  <c r="XL55" i="1"/>
  <c r="AAO55" i="1"/>
  <c r="ZE55" i="1"/>
  <c r="YE55" i="1"/>
  <c r="ZG55" i="1"/>
  <c r="AAM55" i="1"/>
  <c r="AAQ55" i="1"/>
  <c r="ZI55" i="1"/>
  <c r="ZU55" i="1"/>
  <c r="XW55" i="1"/>
  <c r="XN55" i="1"/>
  <c r="XS55" i="1"/>
  <c r="AAJ55" i="1"/>
  <c r="YD55" i="1"/>
  <c r="XM55" i="1"/>
  <c r="ZA55" i="1"/>
  <c r="YL55" i="1"/>
  <c r="YC55" i="1"/>
  <c r="YB55" i="1"/>
  <c r="AAR55" i="1"/>
  <c r="ZW55" i="1"/>
  <c r="YM55" i="1"/>
  <c r="AAN55" i="1"/>
  <c r="AAP55" i="1"/>
  <c r="XK55" i="1"/>
  <c r="YU55" i="1"/>
  <c r="AAF55" i="1"/>
  <c r="YN55" i="1"/>
  <c r="AAL55" i="1"/>
  <c r="YR55" i="1"/>
  <c r="YY55" i="1"/>
  <c r="AAC55" i="1"/>
  <c r="AAB55" i="1"/>
  <c r="ZD55" i="1"/>
  <c r="ZO55" i="1"/>
  <c r="ZR55" i="1"/>
  <c r="XH55" i="1"/>
  <c r="XU55" i="1"/>
  <c r="YK55" i="1"/>
  <c r="ZV55" i="1"/>
  <c r="XT55" i="1"/>
  <c r="ZK55" i="1"/>
  <c r="YT55" i="1"/>
  <c r="XQ55" i="1"/>
  <c r="ASG143" i="1"/>
  <c r="YV55" i="1"/>
  <c r="AAI55" i="1"/>
  <c r="XV55" i="1"/>
  <c r="ZN55" i="1"/>
  <c r="YS55" i="1"/>
  <c r="ZX55" i="1"/>
  <c r="ZS55" i="1"/>
  <c r="ZL55" i="1"/>
  <c r="YO55" i="1"/>
  <c r="YX55" i="1"/>
  <c r="YI55" i="1"/>
  <c r="AAK55" i="1"/>
  <c r="YJ55" i="1"/>
  <c r="ZB55" i="1"/>
  <c r="ZQ55" i="1"/>
  <c r="ZY55" i="1"/>
  <c r="ZZ55" i="1"/>
  <c r="AAS55" i="1"/>
  <c r="YH55" i="1"/>
  <c r="XX55" i="1"/>
  <c r="ZM55" i="1"/>
  <c r="XY55" i="1"/>
  <c r="AAE55" i="1"/>
  <c r="YZ55" i="1"/>
  <c r="ZT55" i="1"/>
  <c r="YA55" i="1"/>
  <c r="YW55" i="1"/>
  <c r="ZF55" i="1"/>
  <c r="ZP55" i="1"/>
  <c r="YQ55" i="1"/>
  <c r="AAA55" i="1"/>
  <c r="YF55" i="1"/>
  <c r="XO55" i="1"/>
  <c r="ZH55" i="1"/>
  <c r="AAG55" i="1"/>
  <c r="YG55" i="1"/>
  <c r="AAH55" i="1"/>
  <c r="AAD55" i="1"/>
  <c r="ZC55" i="1"/>
  <c r="XJ55" i="1"/>
  <c r="ZJ55" i="1"/>
  <c r="YP55" i="1"/>
  <c r="XR55" i="1"/>
  <c r="ZG206" i="1" l="1"/>
  <c r="ZG209" i="1"/>
  <c r="XI203" i="1"/>
  <c r="XI212" i="1" s="1"/>
  <c r="AAA206" i="1"/>
  <c r="AAA209" i="1"/>
  <c r="XV203" i="1"/>
  <c r="XV212" i="1" s="1"/>
  <c r="XL195" i="1"/>
  <c r="XL200" i="1" s="1"/>
  <c r="XL203" i="1" s="1"/>
  <c r="AAD203" i="1"/>
  <c r="AAD212" i="1" s="1"/>
  <c r="YJ209" i="1"/>
  <c r="YE209" i="1"/>
  <c r="YO209" i="1"/>
  <c r="YJ206" i="1"/>
  <c r="AAF209" i="1"/>
  <c r="AAM203" i="1"/>
  <c r="AAM206" i="1" s="1"/>
  <c r="XW203" i="1"/>
  <c r="XW212" i="1" s="1"/>
  <c r="AAN203" i="1"/>
  <c r="AAN212" i="1" s="1"/>
  <c r="ZA203" i="1"/>
  <c r="ZA212" i="1" s="1"/>
  <c r="XS206" i="1"/>
  <c r="YG209" i="1"/>
  <c r="AAI206" i="1"/>
  <c r="ZH209" i="1"/>
  <c r="ZQ203" i="1"/>
  <c r="ZQ212" i="1" s="1"/>
  <c r="YM209" i="1"/>
  <c r="ZY209" i="1"/>
  <c r="ZP209" i="1"/>
  <c r="AAR203" i="1"/>
  <c r="AAR212" i="1" s="1"/>
  <c r="AAL209" i="1"/>
  <c r="AAP206" i="1"/>
  <c r="ZK206" i="1"/>
  <c r="YU195" i="1"/>
  <c r="YU200" i="1" s="1"/>
  <c r="YU203" i="1" s="1"/>
  <c r="ZS195" i="1"/>
  <c r="ZS200" i="1" s="1"/>
  <c r="ZY206" i="1"/>
  <c r="ZV209" i="1"/>
  <c r="AAB203" i="1"/>
  <c r="AAB209" i="1"/>
  <c r="YZ203" i="1"/>
  <c r="YZ212" i="1" s="1"/>
  <c r="ZZ209" i="1"/>
  <c r="YM206" i="1"/>
  <c r="AAL206" i="1"/>
  <c r="ZF195" i="1"/>
  <c r="ZF200" i="1" s="1"/>
  <c r="ZF203" i="1" s="1"/>
  <c r="XU209" i="1"/>
  <c r="YX203" i="1"/>
  <c r="YX212" i="1" s="1"/>
  <c r="ZI209" i="1"/>
  <c r="AAE209" i="1"/>
  <c r="YK209" i="1"/>
  <c r="ZW209" i="1"/>
  <c r="ZW203" i="1"/>
  <c r="ZC209" i="1"/>
  <c r="AAH203" i="1"/>
  <c r="AAH212" i="1" s="1"/>
  <c r="YK206" i="1"/>
  <c r="ZD195" i="1"/>
  <c r="ZD200" i="1" s="1"/>
  <c r="ZD209" i="1" s="1"/>
  <c r="AAE212" i="1"/>
  <c r="AAE206" i="1"/>
  <c r="YQ209" i="1"/>
  <c r="YQ203" i="1"/>
  <c r="AAC209" i="1"/>
  <c r="XM206" i="1"/>
  <c r="ZN203" i="1"/>
  <c r="ZN212" i="1" s="1"/>
  <c r="AAK206" i="1"/>
  <c r="ZV206" i="1"/>
  <c r="ZJ203" i="1"/>
  <c r="YL195" i="1"/>
  <c r="YL200" i="1" s="1"/>
  <c r="YL203" i="1" s="1"/>
  <c r="ZX209" i="1"/>
  <c r="ZX206" i="1"/>
  <c r="ZC206" i="1"/>
  <c r="YS195" i="1"/>
  <c r="YS200" i="1" s="1"/>
  <c r="YS209" i="1" s="1"/>
  <c r="YB195" i="1"/>
  <c r="YB200" i="1" s="1"/>
  <c r="ZH206" i="1"/>
  <c r="AAJ206" i="1"/>
  <c r="YG206" i="1"/>
  <c r="ZI206" i="1"/>
  <c r="ZZ206" i="1"/>
  <c r="XT206" i="1"/>
  <c r="AAC206" i="1"/>
  <c r="XU206" i="1"/>
  <c r="ZP206" i="1"/>
  <c r="XX206" i="1"/>
  <c r="YY206" i="1"/>
  <c r="AAS206" i="1"/>
  <c r="YO206" i="1"/>
  <c r="YD206" i="1"/>
  <c r="YE206" i="1"/>
  <c r="YH206" i="1"/>
  <c r="ZT206" i="1"/>
  <c r="XZ206" i="1"/>
  <c r="YR206" i="1"/>
  <c r="ZM206" i="1"/>
  <c r="AAG206" i="1"/>
  <c r="AAF206" i="1"/>
  <c r="YC206" i="1"/>
  <c r="XN206" i="1"/>
  <c r="XO206" i="1"/>
  <c r="XR206" i="1"/>
  <c r="XY206" i="1"/>
  <c r="XQ206" i="1"/>
  <c r="AAQ206" i="1"/>
  <c r="YI206" i="1"/>
  <c r="ASM62" i="1"/>
  <c r="ASM66" i="1"/>
  <c r="XI206" i="1" l="1"/>
  <c r="XW206" i="1"/>
  <c r="XV206" i="1"/>
  <c r="AAD206" i="1"/>
  <c r="XL209" i="1"/>
  <c r="AAN206" i="1"/>
  <c r="AAM212" i="1"/>
  <c r="ZA206" i="1"/>
  <c r="XL212" i="1"/>
  <c r="XL206" i="1"/>
  <c r="ZQ206" i="1"/>
  <c r="AAR206" i="1"/>
  <c r="YS203" i="1"/>
  <c r="YS206" i="1" s="1"/>
  <c r="ZS209" i="1"/>
  <c r="ZS203" i="1"/>
  <c r="YU209" i="1"/>
  <c r="ZD203" i="1"/>
  <c r="ZD206" i="1" s="1"/>
  <c r="YZ206" i="1"/>
  <c r="AAB212" i="1"/>
  <c r="AAB206" i="1"/>
  <c r="AAH206" i="1"/>
  <c r="YX206" i="1"/>
  <c r="ZF209" i="1"/>
  <c r="ZW212" i="1"/>
  <c r="ZW206" i="1"/>
  <c r="ZN206" i="1"/>
  <c r="YQ212" i="1"/>
  <c r="YQ206" i="1"/>
  <c r="ZJ212" i="1"/>
  <c r="ZJ206" i="1"/>
  <c r="YL209" i="1"/>
  <c r="YU212" i="1"/>
  <c r="YU206" i="1"/>
  <c r="YB203" i="1"/>
  <c r="YB209" i="1"/>
  <c r="ZF212" i="1"/>
  <c r="ZF206" i="1"/>
  <c r="YL212" i="1"/>
  <c r="YL206" i="1"/>
  <c r="ATW131" i="1"/>
  <c r="ATR162" i="1" s="1"/>
  <c r="YS212" i="1" l="1"/>
  <c r="ZD212" i="1"/>
  <c r="ZS206" i="1"/>
  <c r="ZS212" i="1"/>
  <c r="YB212" i="1"/>
  <c r="YB206" i="1"/>
  <c r="ASI170" i="1"/>
  <c r="ASI166" i="1"/>
  <c r="EC84" i="1"/>
  <c r="EK84" i="1"/>
  <c r="EN88" i="1" s="1"/>
  <c r="EB119" i="1" s="1"/>
  <c r="EQ119" i="1" s="1"/>
</calcChain>
</file>

<file path=xl/sharedStrings.xml><?xml version="1.0" encoding="utf-8"?>
<sst xmlns="http://schemas.openxmlformats.org/spreadsheetml/2006/main" count="7395" uniqueCount="1876">
  <si>
    <t>Исходные данные</t>
  </si>
  <si>
    <t>Номинальная мощность</t>
  </si>
  <si>
    <t>Фазное напряжение</t>
  </si>
  <si>
    <t>Вт</t>
  </si>
  <si>
    <t>об/мин</t>
  </si>
  <si>
    <t>В</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</si>
  <si>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</si>
  <si>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</si>
  <si>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</si>
  <si>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</si>
  <si>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</si>
  <si>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</si>
  <si>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</si>
  <si>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</si>
  <si>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</si>
  <si>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</si>
  <si>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</si>
  <si>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</si>
  <si>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</si>
  <si>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</si>
  <si>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</si>
  <si>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</si>
  <si>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</si>
  <si>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</si>
  <si>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</si>
  <si>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</si>
  <si>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</si>
  <si>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</si>
  <si>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</si>
  <si>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Номинальный ток обмотки статора</t>
  </si>
  <si>
    <t>Допустимое число а</t>
  </si>
  <si>
    <t>Окончательное число витков фазы обмотки статора</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</si>
  <si>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</si>
  <si>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</si>
  <si>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</si>
  <si>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</si>
  <si>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</si>
  <si>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</si>
  <si>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</si>
  <si>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</si>
  <si>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</si>
  <si>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</si>
  <si>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</si>
  <si>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</si>
  <si>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</si>
  <si>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мм</t>
  </si>
  <si>
    <t>Значение h1</t>
  </si>
  <si>
    <t>Воздушный зазор по рисунку 11</t>
  </si>
  <si>
    <t>Зубцовое деление</t>
  </si>
  <si>
    <t>Kв по таблице 9</t>
  </si>
  <si>
    <t>Ток в стержне ротора</t>
  </si>
  <si>
    <t>Полная высота паза hп2</t>
  </si>
  <si>
    <t>Уточненная площадь сечения стержня qc</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</si>
  <si>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</si>
  <si>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</si>
  <si>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</si>
  <si>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</si>
  <si>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</si>
  <si>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</si>
  <si>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</si>
  <si>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</si>
  <si>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</si>
  <si>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</si>
  <si>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</si>
  <si>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</si>
  <si>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</si>
  <si>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Суммарное магнитное напряжение магнитной цепи</t>
  </si>
  <si>
    <t>Коэффициент насыщения магнитной цепи</t>
  </si>
  <si>
    <t>Намагничивающий ток</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</si>
  <si>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</si>
  <si>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</si>
  <si>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</si>
  <si>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</si>
  <si>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</si>
  <si>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</si>
  <si>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</si>
  <si>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</si>
  <si>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</si>
  <si>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</si>
  <si>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</si>
  <si>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</si>
  <si>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</si>
  <si>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</si>
  <si>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</si>
  <si>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</si>
  <si>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</si>
  <si>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</si>
  <si>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</si>
  <si>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</si>
  <si>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</si>
  <si>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</si>
  <si>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</si>
  <si>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</si>
  <si>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</si>
  <si>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</si>
  <si>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</si>
  <si>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</si>
  <si>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</si>
  <si>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</si>
  <si>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</si>
  <si>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</si>
  <si>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</si>
  <si>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</si>
  <si>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</si>
  <si>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</si>
  <si>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</si>
  <si>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</si>
  <si>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</si>
  <si>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</si>
  <si>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</si>
  <si>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</si>
  <si>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</si>
  <si>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</si>
  <si>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Приведение x2 к числу витков статора</t>
  </si>
  <si>
    <t>Относительное значение</t>
  </si>
  <si>
    <t>г</t>
  </si>
  <si>
    <t>д</t>
  </si>
  <si>
    <t>е</t>
  </si>
  <si>
    <t>ж</t>
  </si>
  <si>
    <t>Потери в стали основные</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</si>
  <si>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</si>
  <si>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</si>
  <si>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</si>
  <si>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</si>
  <si>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</si>
  <si>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</si>
  <si>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</si>
  <si>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</si>
  <si>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</si>
  <si>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</si>
  <si>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</si>
  <si>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</si>
  <si>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</si>
  <si>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</si>
  <si>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</si>
  <si>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</si>
  <si>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</si>
  <si>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</si>
  <si>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</si>
  <si>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</si>
  <si>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</si>
  <si>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</si>
  <si>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</si>
  <si>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</si>
  <si>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</si>
  <si>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</si>
  <si>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</si>
  <si>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</si>
  <si>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</si>
  <si>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</si>
  <si>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</si>
  <si>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</si>
  <si>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</si>
  <si>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</si>
  <si>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</si>
  <si>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</si>
  <si>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</si>
  <si>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</si>
  <si>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</si>
  <si>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</si>
  <si>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</si>
  <si>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</si>
  <si>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</si>
  <si>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</si>
  <si>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</si>
  <si>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</si>
  <si>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</si>
  <si>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</si>
  <si>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</si>
  <si>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</si>
  <si>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</si>
  <si>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</si>
  <si>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</si>
  <si>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</si>
  <si>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</si>
  <si>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</si>
  <si>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</si>
  <si>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</si>
  <si>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</si>
  <si>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</si>
  <si>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</si>
  <si>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</si>
  <si>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</si>
  <si>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</si>
  <si>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</si>
  <si>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</si>
  <si>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</si>
  <si>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</si>
  <si>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</si>
  <si>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</si>
  <si>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</si>
  <si>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</si>
  <si>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</si>
  <si>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</si>
  <si>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</si>
  <si>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</si>
  <si>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</si>
  <si>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</si>
  <si>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</si>
  <si>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</si>
  <si>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</si>
  <si>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</si>
  <si>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</si>
  <si>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</si>
  <si>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</si>
  <si>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</si>
  <si>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</si>
  <si>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</si>
  <si>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</si>
  <si>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</si>
  <si>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</si>
  <si>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</si>
  <si>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</si>
  <si>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</si>
  <si>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</si>
  <si>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</si>
  <si>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</si>
  <si>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</si>
  <si>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</si>
  <si>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</si>
  <si>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</si>
  <si>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</si>
  <si>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</si>
  <si>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</si>
  <si>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</si>
  <si>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</si>
  <si>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</si>
  <si>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</si>
  <si>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</si>
  <si>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</si>
  <si>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</si>
  <si>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</si>
  <si>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</si>
  <si>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</si>
  <si>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</si>
  <si>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</si>
  <si>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</si>
  <si>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</si>
  <si>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</si>
  <si>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</si>
  <si>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</si>
  <si>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</si>
  <si>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</si>
  <si>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</si>
  <si>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</si>
  <si>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</si>
  <si>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</si>
  <si>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</si>
  <si>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</si>
  <si>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</si>
  <si>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</si>
  <si>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</si>
  <si>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</si>
  <si>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</si>
  <si>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</si>
  <si>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</si>
  <si>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</si>
  <si>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</si>
  <si>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</si>
  <si>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</si>
  <si>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</si>
  <si>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</si>
  <si>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</si>
  <si>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</si>
  <si>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</si>
  <si>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</si>
  <si>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</si>
  <si>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</si>
  <si>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</si>
  <si>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</si>
  <si>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</si>
  <si>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</si>
  <si>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</si>
  <si>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</si>
  <si>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</si>
  <si>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</si>
  <si>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</si>
  <si>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</si>
  <si>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</si>
  <si>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</si>
  <si>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</si>
  <si>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</si>
  <si>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</si>
  <si>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</si>
  <si>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</si>
  <si>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</si>
  <si>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</si>
  <si>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</si>
  <si>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</si>
  <si>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</si>
  <si>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</si>
  <si>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</si>
  <si>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</si>
  <si>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</si>
  <si>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</si>
  <si>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</si>
  <si>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</si>
  <si>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</si>
  <si>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</si>
  <si>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</si>
  <si>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</si>
  <si>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</si>
  <si>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</si>
  <si>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</si>
  <si>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</si>
  <si>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</si>
  <si>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</si>
  <si>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</si>
  <si>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</si>
  <si>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</si>
  <si>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</si>
  <si>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</si>
  <si>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</si>
  <si>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</si>
  <si>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</si>
  <si>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</si>
  <si>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</si>
  <si>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</si>
  <si>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</si>
  <si>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</si>
  <si>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</si>
  <si>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</si>
  <si>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</si>
  <si>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</si>
  <si>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</si>
  <si>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</si>
  <si>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</si>
  <si>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</si>
  <si>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</si>
  <si>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</si>
  <si>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</si>
  <si>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</si>
  <si>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</si>
  <si>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</si>
  <si>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</si>
  <si>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</si>
  <si>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</si>
  <si>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</si>
  <si>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</si>
  <si>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</si>
  <si>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</si>
  <si>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</si>
  <si>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</si>
  <si>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</si>
  <si>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</si>
  <si>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</si>
  <si>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</si>
  <si>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</si>
  <si>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</si>
  <si>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</si>
  <si>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</si>
  <si>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</si>
  <si>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</si>
  <si>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</si>
  <si>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</si>
  <si>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</si>
  <si>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</si>
  <si>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</si>
  <si>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</si>
  <si>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</si>
  <si>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</si>
  <si>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</si>
  <si>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</si>
  <si>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</si>
  <si>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</si>
  <si>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</si>
  <si>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</si>
  <si>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</si>
  <si>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</si>
  <si>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</si>
  <si>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</si>
  <si>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</si>
  <si>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</si>
  <si>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</si>
  <si>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</si>
  <si>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</si>
  <si>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</si>
  <si>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</si>
  <si>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</si>
  <si>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</si>
  <si>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</si>
  <si>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</si>
  <si>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</si>
  <si>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</si>
  <si>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</si>
  <si>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</si>
  <si>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</si>
  <si>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</si>
  <si>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</si>
  <si>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</si>
  <si>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</si>
  <si>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</si>
  <si>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</si>
  <si>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</si>
  <si>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коэффициент ki по рисунку 12</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</si>
  <si>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</si>
  <si>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</si>
  <si>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</si>
  <si>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</si>
  <si>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</si>
  <si>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</si>
  <si>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</si>
  <si>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</si>
  <si>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</si>
  <si>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</si>
  <si>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</si>
  <si>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</si>
  <si>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</si>
  <si>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</si>
  <si>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</si>
  <si>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</si>
  <si>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</si>
  <si>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</si>
  <si>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</si>
  <si>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</si>
  <si>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</si>
  <si>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</si>
  <si>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</si>
  <si>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</si>
  <si>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</si>
  <si>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</si>
  <si>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</si>
  <si>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</si>
  <si>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</si>
  <si>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</si>
  <si>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</si>
  <si>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</si>
  <si>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</si>
  <si>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</si>
  <si>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</si>
  <si>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</si>
  <si>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</si>
  <si>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</si>
  <si>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</si>
  <si>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</si>
  <si>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</si>
  <si>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</si>
  <si>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</si>
  <si>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</si>
  <si>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</si>
  <si>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</si>
  <si>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</si>
  <si>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</si>
  <si>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</si>
  <si>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</si>
  <si>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</si>
  <si>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</si>
  <si>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</si>
  <si>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</si>
  <si>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</si>
  <si>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</si>
  <si>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</si>
  <si>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</si>
  <si>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</si>
  <si>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</si>
  <si>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</si>
  <si>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</si>
  <si>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</si>
  <si>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</si>
  <si>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</si>
  <si>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</si>
  <si>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</si>
  <si>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</si>
  <si>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</si>
  <si>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</si>
  <si>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</si>
  <si>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</si>
  <si>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</si>
  <si>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</si>
  <si>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</si>
  <si>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</si>
  <si>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</si>
  <si>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</si>
  <si>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</si>
  <si>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</si>
  <si>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</si>
  <si>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</si>
  <si>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</si>
  <si>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</si>
  <si>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</si>
  <si>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</si>
  <si>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</si>
  <si>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</si>
  <si>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</si>
  <si>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</si>
  <si>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</si>
  <si>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</si>
  <si>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</si>
  <si>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</si>
  <si>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</si>
  <si>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</si>
  <si>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</si>
  <si>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</si>
  <si>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</si>
  <si>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</si>
  <si>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</si>
  <si>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</si>
  <si>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</si>
  <si>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</si>
  <si>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</si>
  <si>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</si>
  <si>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</si>
  <si>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</si>
  <si>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</si>
  <si>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</si>
  <si>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</si>
  <si>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</si>
  <si>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</si>
  <si>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</si>
  <si>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</si>
  <si>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</si>
  <si>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</si>
  <si>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</si>
  <si>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</si>
  <si>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</si>
  <si>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</si>
  <si>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</si>
  <si>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</si>
  <si>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</si>
  <si>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</si>
  <si>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</si>
  <si>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</si>
  <si>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</si>
  <si>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</si>
  <si>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</si>
  <si>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</si>
  <si>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</si>
  <si>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</si>
  <si>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</si>
  <si>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</si>
  <si>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</si>
  <si>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</si>
  <si>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</si>
  <si>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</si>
  <si>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</si>
  <si>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</si>
  <si>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</si>
  <si>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</si>
  <si>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</si>
  <si>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</si>
  <si>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</si>
  <si>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</si>
  <si>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</si>
  <si>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</si>
  <si>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</si>
  <si>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</si>
  <si>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</si>
  <si>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</si>
  <si>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</si>
  <si>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</si>
  <si>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</si>
  <si>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</si>
  <si>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</si>
  <si>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</si>
  <si>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</si>
  <si>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</si>
  <si>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</si>
  <si>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</si>
  <si>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</si>
  <si>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</si>
  <si>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</si>
  <si>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</si>
  <si>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</si>
  <si>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</si>
  <si>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</si>
  <si>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</si>
  <si>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</si>
  <si>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</si>
  <si>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</si>
  <si>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</si>
  <si>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</si>
  <si>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</si>
  <si>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</si>
  <si>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</si>
  <si>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</si>
  <si>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</si>
  <si>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</si>
  <si>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</si>
  <si>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</si>
  <si>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</si>
  <si>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</si>
  <si>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</si>
  <si>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</si>
  <si>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</si>
  <si>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</si>
  <si>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</si>
  <si>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</si>
  <si>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</si>
  <si>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</si>
  <si>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</si>
  <si>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</si>
  <si>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</si>
  <si>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</si>
  <si>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</si>
  <si>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</si>
  <si>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</si>
  <si>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</si>
  <si>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</si>
  <si>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</si>
  <si>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</si>
  <si>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</si>
  <si>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</si>
  <si>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</si>
  <si>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</si>
  <si>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</si>
  <si>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</si>
  <si>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</si>
  <si>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</si>
  <si>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</si>
  <si>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</si>
  <si>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</si>
  <si>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</si>
  <si>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</si>
  <si>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</si>
  <si>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</si>
  <si>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</si>
  <si>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</si>
  <si>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</si>
  <si>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</si>
  <si>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</si>
  <si>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</si>
  <si>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</si>
  <si>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</si>
  <si>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</si>
  <si>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</si>
  <si>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</si>
  <si>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</si>
  <si>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</si>
  <si>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</si>
  <si>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</si>
  <si>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</si>
  <si>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</si>
  <si>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</si>
  <si>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</si>
  <si>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</si>
  <si>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</si>
  <si>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</si>
  <si>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</si>
  <si>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</si>
  <si>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</si>
  <si>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</si>
  <si>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</si>
  <si>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</si>
  <si>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</si>
  <si>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</si>
  <si>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</si>
  <si>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</si>
  <si>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</si>
  <si>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</si>
  <si>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</si>
  <si>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</si>
  <si>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</si>
  <si>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</si>
  <si>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</si>
  <si>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</si>
  <si>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</si>
  <si>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</si>
  <si>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</si>
  <si>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</si>
  <si>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</si>
  <si>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</si>
  <si>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</si>
  <si>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</si>
  <si>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</si>
  <si>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</si>
  <si>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</si>
  <si>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</si>
  <si>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</si>
  <si>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</si>
  <si>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</si>
  <si>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</si>
  <si>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</si>
  <si>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</si>
  <si>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</si>
  <si>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</si>
  <si>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</si>
  <si>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</si>
  <si>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</si>
  <si>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</si>
  <si>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</si>
  <si>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</si>
  <si>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</si>
  <si>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</si>
  <si>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</si>
  <si>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</si>
  <si>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</si>
  <si>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</si>
  <si>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</si>
  <si>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</si>
  <si>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</si>
  <si>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</si>
  <si>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</si>
  <si>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</si>
  <si>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</si>
  <si>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</si>
  <si>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</si>
  <si>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</si>
  <si>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</si>
  <si>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</si>
  <si>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</si>
  <si>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</si>
  <si>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</si>
  <si>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</si>
  <si>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</si>
  <si>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</si>
  <si>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</si>
  <si>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</si>
  <si>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</si>
  <si>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</si>
  <si>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</si>
  <si>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</si>
  <si>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</si>
  <si>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</si>
  <si>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</si>
  <si>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</si>
  <si>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</si>
  <si>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</si>
  <si>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</si>
  <si>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</si>
  <si>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</si>
  <si>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</si>
  <si>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</si>
  <si>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</si>
  <si>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</si>
  <si>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</si>
  <si>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</si>
  <si>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</si>
  <si>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</si>
  <si>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</si>
  <si>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</si>
  <si>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</si>
  <si>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</si>
  <si>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</si>
  <si>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</si>
  <si>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</si>
  <si>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</si>
  <si>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</si>
  <si>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</si>
  <si>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</si>
  <si>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a</t>
  </si>
  <si>
    <t>1; 2</t>
  </si>
  <si>
    <t>1; 2; 3</t>
  </si>
  <si>
    <t>1; 2; 4</t>
  </si>
  <si>
    <t>1; 2; 5</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</si>
  <si>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</si>
  <si>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</si>
  <si>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</si>
  <si>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</si>
  <si>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</si>
  <si>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</si>
  <si>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</si>
  <si>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</si>
  <si>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</si>
  <si>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t>Сечение эффективного проводника (предварительно) по расчету</t>
  </si>
  <si>
    <r>
      <t>q</t>
    </r>
    <r>
      <rPr>
        <i/>
        <vertAlign val="subscript"/>
        <sz val="36"/>
        <color theme="1"/>
        <rFont val="Times New Roman"/>
        <family val="1"/>
        <charset val="204"/>
      </rPr>
      <t>эф</t>
    </r>
  </si>
  <si>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</si>
  <si>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</si>
  <si>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</si>
  <si>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</si>
  <si>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</si>
  <si>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</si>
  <si>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</si>
  <si>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</si>
  <si>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</si>
  <si>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</si>
  <si>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</si>
  <si>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</si>
  <si>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</si>
  <si>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</si>
  <si>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</si>
  <si>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</si>
  <si>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</si>
  <si>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</si>
  <si>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</si>
  <si>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</si>
  <si>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</si>
  <si>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</si>
  <si>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</si>
  <si>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</si>
  <si>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</si>
  <si>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</si>
  <si>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</si>
  <si>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</si>
  <si>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</si>
  <si>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</si>
  <si>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</si>
  <si>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</si>
  <si>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</si>
  <si>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</si>
  <si>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</si>
  <si>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</si>
  <si>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</si>
  <si>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</si>
  <si>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</si>
  <si>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</si>
  <si>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</si>
  <si>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</si>
  <si>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</si>
  <si>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</si>
  <si>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</si>
  <si>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</si>
  <si>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</si>
  <si>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</si>
  <si>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</si>
  <si>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</si>
  <si>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</si>
  <si>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</si>
  <si>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</si>
  <si>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</si>
  <si>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</si>
  <si>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</si>
  <si>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</si>
  <si>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</si>
  <si>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</si>
  <si>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</si>
  <si>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</si>
  <si>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</si>
  <si>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</si>
  <si>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</si>
  <si>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</si>
  <si>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</si>
  <si>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</si>
  <si>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</si>
  <si>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</si>
  <si>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</si>
  <si>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</si>
  <si>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</si>
  <si>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</si>
  <si>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</si>
  <si>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</si>
  <si>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</si>
  <si>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</si>
  <si>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</si>
  <si>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</si>
  <si>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</si>
  <si>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</si>
  <si>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</si>
  <si>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</si>
  <si>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</si>
  <si>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</si>
  <si>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</si>
  <si>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</si>
  <si>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</si>
  <si>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</si>
  <si>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h</t>
    </r>
    <r>
      <rPr>
        <i/>
        <vertAlign val="subscript"/>
        <sz val="36"/>
        <color theme="1"/>
        <rFont val="Times New Roman"/>
        <family val="1"/>
        <charset val="204"/>
      </rPr>
      <t>j</t>
    </r>
  </si>
  <si>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</si>
  <si>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</si>
  <si>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</si>
  <si>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</si>
  <si>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</si>
  <si>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</si>
  <si>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</si>
  <si>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</si>
  <si>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</si>
  <si>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</si>
  <si>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</si>
  <si>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</si>
  <si>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7.3</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</si>
  <si>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</si>
  <si>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</si>
  <si>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</si>
  <si>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</si>
  <si>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</si>
  <si>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</si>
  <si>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</si>
  <si>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10.3</t>
  </si>
  <si>
    <t>10.5</t>
  </si>
  <si>
    <t>10.12</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</si>
  <si>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</si>
  <si>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</si>
  <si>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</si>
  <si>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</si>
  <si>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</si>
  <si>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</si>
  <si>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</si>
  <si>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</si>
  <si>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</si>
  <si>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</si>
  <si>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</si>
  <si>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</si>
  <si>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</si>
  <si>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</si>
  <si>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</si>
  <si>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</si>
  <si>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</si>
  <si>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</si>
  <si>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</si>
  <si>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</si>
  <si>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</si>
  <si>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</si>
  <si>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</si>
  <si>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</si>
  <si>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</si>
  <si>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</si>
  <si>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</si>
  <si>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</si>
  <si>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</si>
  <si>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</si>
  <si>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</si>
  <si>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</si>
  <si>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</si>
  <si>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</si>
  <si>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</si>
  <si>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</si>
  <si>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</si>
  <si>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</si>
  <si>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</si>
  <si>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</si>
  <si>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</si>
  <si>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</si>
  <si>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</si>
  <si>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</si>
  <si>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</si>
  <si>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</si>
  <si>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</si>
  <si>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</si>
  <si>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</si>
  <si>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</si>
  <si>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</si>
  <si>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</si>
  <si>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</si>
  <si>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</si>
  <si>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</si>
  <si>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</si>
  <si>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</si>
  <si>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</si>
  <si>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</si>
  <si>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</si>
  <si>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</si>
  <si>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</si>
  <si>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</si>
  <si>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</si>
  <si>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</si>
  <si>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</si>
  <si>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</si>
  <si>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</si>
  <si>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</si>
  <si>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</si>
  <si>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</si>
  <si>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</si>
  <si>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</si>
  <si>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</si>
  <si>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</si>
  <si>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</si>
  <si>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t></t>
  </si>
  <si>
    <t></t>
  </si>
  <si>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</si>
  <si>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</si>
  <si>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</si>
  <si>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</si>
  <si>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</si>
  <si>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</si>
  <si>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</si>
  <si>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</si>
  <si>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</si>
  <si>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</si>
  <si>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</si>
  <si>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</si>
  <si>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</si>
  <si>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</si>
  <si>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</si>
  <si>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</si>
  <si>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</si>
  <si>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</si>
  <si>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</si>
  <si>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</si>
  <si>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</si>
  <si>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</si>
  <si>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</si>
  <si>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</si>
  <si>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</si>
  <si>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</si>
  <si>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</si>
  <si>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</si>
  <si>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</si>
  <si>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</si>
  <si>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</si>
  <si>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</si>
  <si>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</si>
  <si>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</si>
  <si>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</si>
  <si>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</si>
  <si>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</si>
  <si>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</si>
  <si>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</si>
  <si>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</si>
  <si>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</si>
  <si>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</si>
  <si>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</si>
  <si>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</si>
  <si>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</si>
  <si>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</si>
  <si>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</si>
  <si>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</si>
  <si>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</si>
  <si>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</si>
  <si>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</si>
  <si>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</si>
  <si>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</si>
  <si>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</si>
  <si>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</si>
  <si>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</si>
  <si>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</si>
  <si>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</si>
  <si>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</si>
  <si>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</si>
  <si>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</si>
  <si>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</si>
  <si>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</si>
  <si>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</si>
  <si>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</si>
  <si>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</si>
  <si>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</si>
  <si>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</si>
  <si>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</si>
  <si>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</si>
  <si>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</si>
  <si>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</si>
  <si>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</si>
  <si>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</si>
  <si>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</si>
  <si>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</si>
  <si>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</si>
  <si>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</si>
  <si>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</si>
  <si>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</si>
  <si>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</si>
  <si>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</si>
  <si>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</si>
  <si>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</si>
  <si>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</si>
  <si>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</si>
  <si>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</si>
  <si>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</si>
  <si>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</si>
  <si>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</si>
  <si>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</si>
  <si>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</si>
  <si>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</si>
  <si>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</si>
  <si>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</si>
  <si>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</si>
  <si>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</si>
  <si>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</si>
  <si>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</si>
  <si>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</si>
  <si>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</si>
  <si>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</si>
  <si>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</si>
  <si>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</si>
  <si>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</si>
  <si>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</si>
  <si>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</si>
  <si>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</si>
  <si>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</si>
  <si>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</si>
  <si>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</si>
  <si>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</si>
  <si>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</si>
  <si>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</si>
  <si>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</si>
  <si>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</si>
  <si>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</si>
  <si>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</si>
  <si>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</si>
  <si>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</si>
  <si>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</si>
  <si>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</si>
  <si>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</si>
  <si>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</si>
  <si>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</si>
  <si>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</si>
  <si>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</si>
  <si>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</si>
  <si>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</si>
  <si>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</si>
  <si>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</si>
  <si>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</si>
  <si>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</si>
  <si>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</si>
  <si>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</si>
  <si>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</si>
  <si>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</si>
  <si>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</si>
  <si>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</si>
  <si>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</si>
  <si>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</si>
  <si>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</si>
  <si>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</si>
  <si>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</si>
  <si>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</si>
  <si>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</si>
  <si>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 xml:space="preserve">Значение </t>
    </r>
    <r>
      <rPr>
        <i/>
        <sz val="20"/>
        <color theme="1"/>
        <rFont val="Times New Roman"/>
        <family val="1"/>
        <charset val="204"/>
      </rPr>
      <t>h</t>
    </r>
    <r>
      <rPr>
        <i/>
        <vertAlign val="subscript"/>
        <sz val="20"/>
        <color theme="1"/>
        <rFont val="Times New Roman"/>
        <family val="1"/>
        <charset val="204"/>
      </rPr>
      <t>П2|СТТР</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</si>
  <si>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</si>
  <si>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</si>
  <si>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</si>
  <si>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</si>
  <si>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</si>
  <si>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</si>
  <si>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</si>
  <si>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</si>
  <si>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</si>
  <si>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</si>
  <si>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</si>
  <si>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</si>
  <si>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</si>
  <si>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</si>
  <si>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</si>
  <si>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</si>
  <si>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</si>
  <si>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i/>
        <vertAlign val="subscript"/>
        <sz val="36"/>
        <color theme="1"/>
        <rFont val="Times New Roman"/>
        <family val="1"/>
        <charset val="204"/>
      </rPr>
      <t>П1|РТР</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</si>
  <si>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</si>
  <si>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</si>
  <si>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</si>
  <si>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</si>
  <si>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</si>
  <si>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</si>
  <si>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</si>
  <si>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</si>
  <si>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</si>
  <si>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</si>
  <si>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</si>
  <si>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</si>
  <si>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</si>
  <si>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</si>
  <si>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</si>
  <si>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</si>
  <si>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</si>
  <si>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</si>
  <si>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</si>
  <si>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</si>
  <si>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</si>
  <si>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</si>
  <si>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</si>
  <si>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</si>
  <si>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</si>
  <si>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</si>
  <si>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</si>
  <si>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</si>
  <si>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</si>
  <si>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</si>
  <si>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</si>
  <si>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</si>
  <si>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</si>
  <si>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</si>
  <si>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</si>
  <si>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</si>
  <si>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</si>
  <si>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</si>
  <si>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</si>
  <si>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</si>
  <si>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</si>
  <si>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</si>
  <si>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</si>
  <si>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</si>
  <si>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</si>
  <si>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</si>
  <si>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</si>
  <si>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</si>
  <si>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</si>
  <si>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</si>
  <si>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</si>
  <si>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</si>
  <si>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</si>
  <si>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</si>
  <si>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</si>
  <si>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</si>
  <si>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</si>
  <si>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</si>
  <si>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</si>
  <si>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</si>
  <si>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</si>
  <si>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</si>
  <si>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</si>
  <si>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</si>
  <si>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</si>
  <si>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</si>
  <si>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</si>
  <si>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</si>
  <si>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</si>
  <si>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</si>
  <si>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</si>
  <si>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</si>
  <si>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</si>
  <si>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</si>
  <si>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</si>
  <si>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</si>
  <si>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</si>
  <si>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</si>
  <si>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</si>
  <si>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</si>
  <si>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</si>
  <si>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</si>
  <si>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</si>
  <si>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</si>
  <si>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</si>
  <si>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</si>
  <si>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</si>
  <si>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</si>
  <si>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</si>
  <si>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</si>
  <si>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</si>
  <si>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</si>
  <si>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</si>
  <si>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</si>
  <si>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</si>
  <si>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</si>
  <si>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</si>
  <si>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</si>
  <si>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</si>
  <si>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</si>
  <si>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</si>
  <si>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</si>
  <si>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</si>
  <si>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</si>
  <si>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</si>
  <si>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</si>
  <si>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</si>
  <si>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</si>
  <si>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</si>
  <si>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</si>
  <si>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</si>
  <si>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</si>
  <si>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</si>
  <si>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</si>
  <si>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</si>
  <si>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</si>
  <si>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</si>
  <si>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</si>
  <si>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</si>
  <si>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</si>
  <si>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</si>
  <si>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</si>
  <si>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</si>
  <si>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</si>
  <si>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</si>
  <si>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</si>
  <si>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</si>
  <si>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</si>
  <si>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</si>
  <si>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</si>
  <si>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</si>
  <si>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</si>
  <si>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</si>
  <si>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</si>
  <si>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</si>
  <si>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</si>
  <si>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</si>
  <si>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</si>
  <si>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</si>
  <si>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</si>
  <si>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</si>
  <si>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</si>
  <si>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</si>
  <si>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</si>
  <si>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</si>
  <si>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</si>
  <si>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</si>
  <si>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</si>
  <si>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</si>
  <si>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</si>
  <si>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</si>
  <si>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</si>
  <si>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</si>
  <si>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</si>
  <si>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</si>
  <si>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</si>
  <si>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</si>
  <si>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</si>
  <si>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</si>
  <si>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</si>
  <si>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</si>
  <si>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</si>
  <si>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</si>
  <si>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</si>
  <si>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</si>
  <si>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</si>
  <si>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</si>
  <si>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</si>
  <si>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</si>
  <si>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</si>
  <si>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</si>
  <si>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</si>
  <si>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</si>
  <si>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</si>
  <si>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</si>
  <si>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</si>
  <si>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</si>
  <si>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</si>
  <si>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</si>
  <si>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УКР - 2</t>
  </si>
  <si>
    <t>УКР - 1</t>
  </si>
  <si>
    <r>
      <t>K</t>
    </r>
    <r>
      <rPr>
        <i/>
        <vertAlign val="subscript"/>
        <sz val="36"/>
        <color theme="1"/>
        <rFont val="Times New Roman"/>
        <family val="1"/>
        <charset val="204"/>
      </rPr>
      <t>β</t>
    </r>
  </si>
  <si>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</si>
  <si>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</si>
  <si>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</si>
  <si>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</si>
  <si>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</si>
  <si>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</si>
  <si>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</si>
  <si>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</si>
  <si>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</si>
  <si>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</si>
  <si>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</si>
  <si>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</si>
  <si>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</si>
  <si>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</si>
  <si>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</si>
  <si>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</si>
  <si>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</si>
  <si>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</si>
  <si>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</si>
  <si>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</si>
  <si>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</si>
  <si>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</si>
  <si>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</si>
  <si>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</si>
  <si>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</si>
  <si>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</si>
  <si>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</si>
  <si>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</si>
  <si>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</si>
  <si>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</si>
  <si>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</si>
  <si>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</si>
  <si>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</si>
  <si>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</si>
  <si>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</si>
  <si>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</si>
  <si>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</si>
  <si>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</si>
  <si>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</si>
  <si>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</si>
  <si>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</si>
  <si>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</si>
  <si>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</si>
  <si>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</si>
  <si>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</si>
  <si>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</si>
  <si>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</si>
  <si>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</si>
  <si>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</si>
  <si>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</si>
  <si>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</si>
  <si>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</si>
  <si>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</si>
  <si>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</si>
  <si>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</si>
  <si>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</si>
  <si>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</si>
  <si>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</si>
  <si>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</si>
  <si>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</si>
  <si>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</si>
  <si>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</si>
  <si>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</si>
  <si>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</si>
  <si>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</si>
  <si>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</si>
  <si>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</si>
  <si>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</si>
  <si>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</si>
  <si>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</si>
  <si>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</si>
  <si>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</si>
  <si>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</si>
  <si>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</si>
  <si>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</si>
  <si>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</si>
  <si>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</si>
  <si>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</si>
  <si>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</si>
  <si>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</si>
  <si>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</si>
  <si>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</si>
  <si>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</si>
  <si>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</si>
  <si>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</si>
  <si>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</si>
  <si>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</si>
  <si>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</si>
  <si>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</si>
  <si>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</si>
  <si>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</si>
  <si>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</si>
  <si>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</si>
  <si>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</si>
  <si>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</si>
  <si>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</si>
  <si>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</si>
  <si>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</si>
  <si>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</si>
  <si>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</si>
  <si>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</si>
  <si>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</si>
  <si>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</si>
  <si>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</si>
  <si>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</si>
  <si>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</si>
  <si>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</si>
  <si>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</si>
  <si>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</si>
  <si>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</si>
  <si>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</si>
  <si>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</si>
  <si>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</si>
  <si>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</si>
  <si>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</si>
  <si>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</si>
  <si>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</si>
  <si>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</si>
  <si>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</si>
  <si>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</si>
  <si>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</si>
  <si>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</si>
  <si>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</si>
  <si>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</si>
  <si>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</si>
  <si>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</si>
  <si>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</si>
  <si>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</si>
  <si>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</si>
  <si>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</si>
  <si>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</si>
  <si>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</si>
  <si>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</si>
  <si>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</si>
  <si>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</si>
  <si>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</si>
  <si>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</si>
  <si>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</si>
  <si>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</si>
  <si>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</si>
  <si>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</si>
  <si>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</si>
  <si>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</si>
  <si>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</si>
  <si>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</si>
  <si>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</si>
  <si>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</si>
  <si>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</si>
  <si>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</si>
  <si>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</si>
  <si>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</si>
  <si>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</si>
  <si>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</si>
  <si>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</si>
  <si>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</si>
  <si>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</si>
  <si>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</si>
  <si>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</si>
  <si>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</si>
  <si>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</si>
  <si>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</si>
  <si>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</si>
  <si>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</si>
  <si>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</si>
  <si>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</si>
  <si>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</si>
  <si>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</si>
  <si>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</si>
  <si>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</si>
  <si>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</si>
  <si>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</si>
  <si>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</si>
  <si>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</si>
  <si>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</si>
  <si>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</si>
  <si>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</si>
  <si>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</si>
  <si>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</si>
  <si>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</si>
  <si>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</si>
  <si>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</si>
  <si>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</si>
  <si>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</si>
  <si>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</si>
  <si>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</si>
  <si>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</si>
  <si>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</si>
  <si>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</si>
  <si>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</si>
  <si>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</si>
  <si>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</si>
  <si>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</si>
  <si>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</si>
  <si>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</si>
  <si>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</si>
  <si>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</si>
  <si>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</si>
  <si>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</si>
  <si>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</si>
  <si>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</si>
  <si>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</si>
  <si>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</si>
  <si>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</si>
  <si>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</si>
  <si>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</si>
  <si>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</si>
  <si>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</si>
  <si>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</si>
  <si>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</si>
  <si>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</si>
  <si>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</si>
  <si>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</si>
  <si>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</si>
  <si>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</si>
  <si>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</si>
  <si>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</si>
  <si>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</si>
  <si>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</si>
  <si>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</si>
  <si>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</si>
  <si>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</si>
  <si>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</si>
  <si>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8.2</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</si>
  <si>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</si>
  <si>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</si>
  <si>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</si>
  <si>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</si>
  <si>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</si>
  <si>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</si>
  <si>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</si>
  <si>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</si>
  <si>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</si>
  <si>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</si>
  <si>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</si>
  <si>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</si>
  <si>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</si>
  <si>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</si>
  <si>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</si>
  <si>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</si>
  <si>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</si>
  <si>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</si>
  <si>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</si>
  <si>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</si>
  <si>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</si>
  <si>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</si>
  <si>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</si>
  <si>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</si>
  <si>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</si>
  <si>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</si>
  <si>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</si>
  <si>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</si>
  <si>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</si>
  <si>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</si>
  <si>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</si>
  <si>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</si>
  <si>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</si>
  <si>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</si>
  <si>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</si>
  <si>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</si>
  <si>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</si>
  <si>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</si>
  <si>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</si>
  <si>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</si>
  <si>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</si>
  <si>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</si>
  <si>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</si>
  <si>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</si>
  <si>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</si>
  <si>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</si>
  <si>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</si>
  <si>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</si>
  <si>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</si>
  <si>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</si>
  <si>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</si>
  <si>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</si>
  <si>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</si>
  <si>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</si>
  <si>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</si>
  <si>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</si>
  <si>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</si>
  <si>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</si>
  <si>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</si>
  <si>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</si>
  <si>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</si>
  <si>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</si>
  <si>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</si>
  <si>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</si>
  <si>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</si>
  <si>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</si>
  <si>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</si>
  <si>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</si>
  <si>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</si>
  <si>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</si>
  <si>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</si>
  <si>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</si>
  <si>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</si>
  <si>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</si>
  <si>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</si>
  <si>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</si>
  <si>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</si>
  <si>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</si>
  <si>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</si>
  <si>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</si>
  <si>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</si>
  <si>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</si>
  <si>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</si>
  <si>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</si>
  <si>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</si>
  <si>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</si>
  <si>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</si>
  <si>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</si>
  <si>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</si>
  <si>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</si>
  <si>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</si>
  <si>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</si>
  <si>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</si>
  <si>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</si>
  <si>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</si>
  <si>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</si>
  <si>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</si>
  <si>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</si>
  <si>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</si>
  <si>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</si>
  <si>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</si>
  <si>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</si>
  <si>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</si>
  <si>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</si>
  <si>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</si>
  <si>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</si>
  <si>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</si>
  <si>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</si>
  <si>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</si>
  <si>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</si>
  <si>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</si>
  <si>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</si>
  <si>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</si>
  <si>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</si>
  <si>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</si>
  <si>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</si>
  <si>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</si>
  <si>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</si>
  <si>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</si>
  <si>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</si>
  <si>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</si>
  <si>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</si>
  <si>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</si>
  <si>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</si>
  <si>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</si>
  <si>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</si>
  <si>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</si>
  <si>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</si>
  <si>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</si>
  <si>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</si>
  <si>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</si>
  <si>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</si>
  <si>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</si>
  <si>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</si>
  <si>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</si>
  <si>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r>
      <t>b</t>
    </r>
    <r>
      <rPr>
        <i/>
        <vertAlign val="subscript"/>
        <sz val="16"/>
        <color theme="1"/>
        <rFont val="Times New Roman"/>
        <family val="1"/>
        <charset val="204"/>
      </rPr>
      <t>1РТР</t>
    </r>
  </si>
  <si>
    <t>Н ∙ м</t>
  </si>
  <si>
    <t></t>
  </si>
  <si>
    <t></t>
  </si>
  <si>
    <r>
      <t>x</t>
    </r>
    <r>
      <rPr>
        <vertAlign val="subscript"/>
        <sz val="20"/>
        <color theme="1"/>
        <rFont val="Times New Roman"/>
        <family val="1"/>
        <charset val="204"/>
      </rPr>
      <t>δ</t>
    </r>
    <r>
      <rPr>
        <sz val="20"/>
        <color theme="1"/>
        <rFont val="Times New Roman"/>
        <family val="1"/>
        <charset val="204"/>
      </rPr>
      <t xml:space="preserve"> = B</t>
    </r>
    <r>
      <rPr>
        <vertAlign val="subscript"/>
        <sz val="20"/>
        <color theme="1"/>
        <rFont val="Times New Roman"/>
        <family val="1"/>
      </rPr>
      <t>фδ</t>
    </r>
  </si>
  <si>
    <r>
      <t>B</t>
    </r>
    <r>
      <rPr>
        <i/>
        <vertAlign val="subscript"/>
        <sz val="20"/>
        <color theme="1"/>
        <rFont val="Times New Roman"/>
        <family val="1"/>
      </rPr>
      <t>фδ</t>
    </r>
  </si>
  <si>
    <t>Высота оси вращения соответствующая номинальной мощности асинхронного электродвигателя</t>
  </si>
  <si>
    <r>
      <t>h</t>
    </r>
    <r>
      <rPr>
        <i/>
        <vertAlign val="subscript"/>
        <sz val="36"/>
        <color theme="1"/>
        <rFont val="Times New Roman"/>
        <family val="1"/>
        <charset val="204"/>
      </rPr>
      <t>П2|СТТР</t>
    </r>
  </si>
  <si>
    <r>
      <t>P</t>
    </r>
    <r>
      <rPr>
        <b/>
        <vertAlign val="subscript"/>
        <sz val="24"/>
        <color rgb="FF006600"/>
        <rFont val="Times New Roman"/>
        <family val="1"/>
      </rPr>
      <t>расч</t>
    </r>
  </si>
  <si>
    <r>
      <t>K</t>
    </r>
    <r>
      <rPr>
        <b/>
        <vertAlign val="subscript"/>
        <sz val="24"/>
        <color rgb="FF006600"/>
        <rFont val="Times New Roman"/>
        <family val="1"/>
        <charset val="204"/>
      </rPr>
      <t>в</t>
    </r>
  </si>
  <si>
    <r>
      <t>t</t>
    </r>
    <r>
      <rPr>
        <b/>
        <vertAlign val="subscript"/>
        <sz val="24"/>
        <color rgb="FF006600"/>
        <rFont val="Times New Roman"/>
        <family val="1"/>
      </rPr>
      <t>1max</t>
    </r>
  </si>
  <si>
    <t>Предварительное число эффективных 
проводников в пазу</t>
  </si>
  <si>
    <t>Avrg</t>
  </si>
  <si>
    <r>
      <t>Выберите предлагаемое значение коэффициента K</t>
    </r>
    <r>
      <rPr>
        <vertAlign val="subscript"/>
        <sz val="16"/>
        <color theme="1"/>
        <rFont val="Times New Roman"/>
        <family val="1"/>
      </rPr>
      <t>D</t>
    </r>
  </si>
  <si>
    <t>Выберите предлагаемое значение высоты оси h {мм} или выпишите значение пользуясь таблицой</t>
  </si>
  <si>
    <t>Выберите предлагаемое значение наружнего диаметра {Метр} или выпишите значение пользуясь таблицой</t>
  </si>
  <si>
    <r>
      <t>K</t>
    </r>
    <r>
      <rPr>
        <b/>
        <vertAlign val="subscript"/>
        <sz val="24"/>
        <color rgb="FF006600"/>
        <rFont val="Times New Roman"/>
        <family val="1"/>
      </rPr>
      <t>E</t>
    </r>
  </si>
  <si>
    <r>
      <t>K</t>
    </r>
    <r>
      <rPr>
        <b/>
        <vertAlign val="subscript"/>
        <sz val="24"/>
        <color rgb="FF006600"/>
        <rFont val="Times New Roman"/>
        <family val="1"/>
      </rPr>
      <t>p</t>
    </r>
  </si>
  <si>
    <r>
      <t>t</t>
    </r>
    <r>
      <rPr>
        <b/>
        <vertAlign val="subscript"/>
        <sz val="24"/>
        <color rgb="FF006600"/>
        <rFont val="Times New Roman"/>
        <family val="1"/>
      </rPr>
      <t>1min</t>
    </r>
  </si>
  <si>
    <r>
      <t>u</t>
    </r>
    <r>
      <rPr>
        <b/>
        <vertAlign val="subscript"/>
        <sz val="24"/>
        <color rgb="FF006600"/>
        <rFont val="Times New Roman"/>
        <family val="1"/>
        <charset val="204"/>
      </rPr>
      <t>П.ПРЕДВ</t>
    </r>
  </si>
  <si>
    <r>
      <t xml:space="preserve"> u</t>
    </r>
    <r>
      <rPr>
        <i/>
        <vertAlign val="subscript"/>
        <sz val="28"/>
        <color theme="1"/>
        <rFont val="Times New Roman"/>
        <family val="1"/>
        <charset val="204"/>
      </rPr>
      <t>П.ПРЕДВ</t>
    </r>
  </si>
  <si>
    <r>
      <t>K</t>
    </r>
    <r>
      <rPr>
        <b/>
        <vertAlign val="subscript"/>
        <sz val="24"/>
        <color rgb="FF006600"/>
        <rFont val="Times New Roman"/>
        <family val="1"/>
        <charset val="204"/>
      </rPr>
      <t>E</t>
    </r>
  </si>
  <si>
    <r>
      <t>P</t>
    </r>
    <r>
      <rPr>
        <b/>
        <vertAlign val="subscript"/>
        <sz val="24"/>
        <color rgb="FF006600"/>
        <rFont val="Times New Roman"/>
        <family val="1"/>
        <charset val="204"/>
      </rPr>
      <t>СТ|ДОБ</t>
    </r>
  </si>
  <si>
    <t>c</t>
  </si>
  <si>
    <r>
      <t>P</t>
    </r>
    <r>
      <rPr>
        <b/>
        <vertAlign val="subscript"/>
        <sz val="24"/>
        <color rgb="FF006600"/>
        <rFont val="Times New Roman"/>
        <family val="1"/>
        <charset val="204"/>
      </rPr>
      <t>ПОВ|РТР</t>
    </r>
  </si>
  <si>
    <r>
      <t>P</t>
    </r>
    <r>
      <rPr>
        <b/>
        <vertAlign val="subscript"/>
        <sz val="24"/>
        <color rgb="FF006600"/>
        <rFont val="Times New Roman"/>
        <family val="1"/>
        <charset val="204"/>
      </rPr>
      <t>ПУЛ|РТР</t>
    </r>
  </si>
  <si>
    <t>НЕОПРЕДЕЛЕННОЕ ЗНАЧЕНИЕ</t>
  </si>
  <si>
    <r>
      <t></t>
    </r>
    <r>
      <rPr>
        <sz val="48"/>
        <color rgb="FF333333"/>
        <rFont val="Arial"/>
        <family val="2"/>
        <charset val="204"/>
      </rPr>
      <t> </t>
    </r>
  </si>
  <si>
    <r>
      <t>b</t>
    </r>
    <r>
      <rPr>
        <b/>
        <vertAlign val="subscript"/>
        <sz val="24"/>
        <color rgb="FF006600"/>
        <rFont val="Times New Roman"/>
        <family val="1"/>
      </rPr>
      <t>СПРТВ</t>
    </r>
  </si>
  <si>
    <r>
      <t>a</t>
    </r>
    <r>
      <rPr>
        <b/>
        <vertAlign val="subscript"/>
        <sz val="24"/>
        <color rgb="FF006600"/>
        <rFont val="Times New Roman"/>
        <family val="1"/>
      </rPr>
      <t>СПРТВ</t>
    </r>
  </si>
  <si>
    <r>
      <t>K</t>
    </r>
    <r>
      <rPr>
        <b/>
        <vertAlign val="subscript"/>
        <sz val="24"/>
        <color rgb="FF006600"/>
        <rFont val="Times New Roman"/>
        <family val="1"/>
      </rPr>
      <t>ТР|IP23</t>
    </r>
  </si>
  <si>
    <r>
      <t>K</t>
    </r>
    <r>
      <rPr>
        <b/>
        <vertAlign val="subscript"/>
        <sz val="24"/>
        <color rgb="FF006600"/>
        <rFont val="Times New Roman"/>
        <family val="1"/>
      </rPr>
      <t>D</t>
    </r>
  </si>
  <si>
    <r>
      <t>K</t>
    </r>
    <r>
      <rPr>
        <b/>
        <vertAlign val="subscript"/>
        <sz val="24"/>
        <color rgb="FF006600"/>
        <rFont val="Times New Roman"/>
        <family val="1"/>
      </rPr>
      <t>ТР|IP44</t>
    </r>
  </si>
  <si>
    <r>
      <t>a</t>
    </r>
    <r>
      <rPr>
        <i/>
        <vertAlign val="subscript"/>
        <sz val="28"/>
        <color theme="1"/>
        <rFont val="Times New Roman"/>
        <family val="1"/>
      </rPr>
      <t>СПРТВ</t>
    </r>
  </si>
  <si>
    <r>
      <t>b</t>
    </r>
    <r>
      <rPr>
        <i/>
        <vertAlign val="subscript"/>
        <sz val="28"/>
        <color theme="1"/>
        <rFont val="Times New Roman"/>
        <family val="1"/>
      </rPr>
      <t>СПРТВ</t>
    </r>
  </si>
  <si>
    <r>
      <t>b</t>
    </r>
    <r>
      <rPr>
        <i/>
        <vertAlign val="subscript"/>
        <sz val="20"/>
        <color theme="1"/>
        <rFont val="Times New Roman"/>
        <family val="1"/>
        <charset val="204"/>
      </rPr>
      <t>КЦТ</t>
    </r>
  </si>
  <si>
    <r>
      <t>b</t>
    </r>
    <r>
      <rPr>
        <i/>
        <vertAlign val="subscript"/>
        <sz val="20"/>
        <color theme="1"/>
        <rFont val="Times New Roman"/>
        <family val="1"/>
        <charset val="204"/>
      </rPr>
      <t>СПРТВ</t>
    </r>
  </si>
  <si>
    <t>Выберите предлагаемое значение коэффициента K</t>
  </si>
  <si>
    <r>
      <t>φ</t>
    </r>
    <r>
      <rPr>
        <vertAlign val="subscript"/>
        <sz val="18"/>
        <color rgb="FF006600"/>
        <rFont val="Times New Roman"/>
        <family val="1"/>
      </rPr>
      <t>ИСКОМОЕ</t>
    </r>
  </si>
  <si>
    <t>класс нагревостойкости</t>
  </si>
  <si>
    <t>K</t>
  </si>
  <si>
    <t>x</t>
  </si>
  <si>
    <t>y</t>
  </si>
  <si>
    <r>
      <t>Рисунок 21 IMG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</si>
  <si>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kд = φ</t>
    </r>
    <r>
      <rPr>
        <vertAlign val="subscript"/>
        <sz val="20"/>
        <color theme="1"/>
        <rFont val="Times New Roman"/>
        <family val="1"/>
      </rPr>
      <t>21</t>
    </r>
  </si>
  <si>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</si>
  <si>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λ</t>
    </r>
    <r>
      <rPr>
        <b/>
        <vertAlign val="subscript"/>
        <sz val="24"/>
        <color rgb="FF006600"/>
        <rFont val="Times New Roman"/>
        <family val="1"/>
        <charset val="204"/>
      </rPr>
      <t>П2|ВТСН</t>
    </r>
  </si>
  <si>
    <r>
      <t>B</t>
    </r>
    <r>
      <rPr>
        <b/>
        <vertAlign val="subscript"/>
        <sz val="24"/>
        <color rgb="FF006600"/>
        <rFont val="Times New Roman"/>
        <family val="1"/>
      </rPr>
      <t>фδ</t>
    </r>
  </si>
  <si>
    <t>Коэффициент общего увеличения
сопротивления фазы ротора</t>
  </si>
  <si>
    <r>
      <t>r</t>
    </r>
    <r>
      <rPr>
        <b/>
        <vertAlign val="subscript"/>
        <sz val="24"/>
        <color rgb="FF006600"/>
        <rFont val="Times New Roman"/>
        <family val="1"/>
        <charset val="204"/>
      </rPr>
      <t>2|ВТСН</t>
    </r>
  </si>
  <si>
    <r>
      <t>x</t>
    </r>
    <r>
      <rPr>
        <b/>
        <vertAlign val="subscript"/>
        <sz val="24"/>
        <color rgb="FF006600"/>
        <rFont val="Times New Roman"/>
        <family val="1"/>
        <charset val="204"/>
      </rPr>
      <t>2|ВТСН</t>
    </r>
  </si>
  <si>
    <r>
      <t>R</t>
    </r>
    <r>
      <rPr>
        <b/>
        <vertAlign val="subscript"/>
        <sz val="24"/>
        <color rgb="FF006600"/>
        <rFont val="Times New Roman"/>
        <family val="1"/>
        <charset val="204"/>
      </rPr>
      <t>п|ВТСН</t>
    </r>
  </si>
  <si>
    <r>
      <t>X</t>
    </r>
    <r>
      <rPr>
        <b/>
        <vertAlign val="subscript"/>
        <sz val="24"/>
        <color rgb="FF006600"/>
        <rFont val="Times New Roman"/>
        <family val="1"/>
        <charset val="204"/>
      </rPr>
      <t>п|ВТСН</t>
    </r>
  </si>
  <si>
    <r>
      <t>C</t>
    </r>
    <r>
      <rPr>
        <b/>
        <vertAlign val="subscript"/>
        <sz val="24"/>
        <color rgb="FF006600"/>
        <rFont val="Times New Roman"/>
        <family val="1"/>
        <charset val="204"/>
      </rPr>
      <t>1П|ВТСН</t>
    </r>
  </si>
  <si>
    <r>
      <t>x</t>
    </r>
    <r>
      <rPr>
        <b/>
        <vertAlign val="subscript"/>
        <sz val="24"/>
        <color rgb="FF006600"/>
        <rFont val="Times New Roman"/>
        <family val="1"/>
        <charset val="204"/>
      </rPr>
      <t>1|НАС</t>
    </r>
  </si>
  <si>
    <r>
      <t>r</t>
    </r>
    <r>
      <rPr>
        <i/>
        <vertAlign val="subscript"/>
        <sz val="28"/>
        <color theme="1"/>
        <rFont val="Times New Roman"/>
        <family val="1"/>
        <charset val="204"/>
      </rPr>
      <t>2|ВТСН</t>
    </r>
  </si>
  <si>
    <r>
      <t>x</t>
    </r>
    <r>
      <rPr>
        <i/>
        <vertAlign val="subscript"/>
        <sz val="28"/>
        <color theme="1"/>
        <rFont val="Times New Roman"/>
        <family val="1"/>
        <charset val="204"/>
      </rPr>
      <t>2|ВТСН</t>
    </r>
  </si>
  <si>
    <r>
      <t>x</t>
    </r>
    <r>
      <rPr>
        <i/>
        <vertAlign val="subscript"/>
        <sz val="24"/>
        <color theme="1"/>
        <rFont val="Times New Roman"/>
        <family val="1"/>
        <charset val="204"/>
      </rPr>
      <t>2|НАС</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</si>
  <si>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</si>
  <si>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C</t>
    </r>
    <r>
      <rPr>
        <b/>
        <vertAlign val="subscript"/>
        <sz val="24"/>
        <color rgb="FF006600"/>
        <rFont val="Times New Roman"/>
        <family val="1"/>
      </rPr>
      <t>N</t>
    </r>
  </si>
  <si>
    <t>Рис. 9.75. Пусковые характеристики спроектированного
двигателя с короткозамкнутымротором</t>
  </si>
  <si>
    <t>Рисунок 21_IMG - kд = φ21 зависимости φ21 от ξ</t>
  </si>
  <si>
    <t>Число разбиений</t>
  </si>
  <si>
    <r>
      <rPr>
        <b/>
        <sz val="24"/>
        <color rgb="FF006600"/>
        <rFont val="Times New Roman"/>
        <family val="1"/>
      </rPr>
      <t>F</t>
    </r>
    <r>
      <rPr>
        <b/>
        <vertAlign val="subscript"/>
        <sz val="24"/>
        <color rgb="FF006600"/>
        <rFont val="Times New Roman"/>
        <family val="1"/>
      </rPr>
      <t>N|СР</t>
    </r>
  </si>
  <si>
    <t>Ампер</t>
  </si>
  <si>
    <r>
      <t>Ампер/м</t>
    </r>
    <r>
      <rPr>
        <vertAlign val="superscript"/>
        <sz val="28"/>
        <color theme="1"/>
        <rFont val="Times New Roman"/>
        <family val="1"/>
        <charset val="204"/>
      </rPr>
      <t>2</t>
    </r>
  </si>
  <si>
    <t>Целое
число</t>
  </si>
  <si>
    <t>?</t>
  </si>
  <si>
    <t>Дробное
число</t>
  </si>
  <si>
    <t>Дробное 
число</t>
  </si>
  <si>
    <r>
      <t>x</t>
    </r>
    <r>
      <rPr>
        <b/>
        <vertAlign val="subscript"/>
        <sz val="24"/>
        <color rgb="FF006600"/>
        <rFont val="Times New Roman"/>
        <family val="1"/>
      </rPr>
      <t>δ</t>
    </r>
  </si>
  <si>
    <r>
      <t>I</t>
    </r>
    <r>
      <rPr>
        <b/>
        <vertAlign val="subscript"/>
        <sz val="24"/>
        <color rgb="FF006600"/>
        <rFont val="Times New Roman"/>
        <family val="1"/>
        <charset val="204"/>
      </rPr>
      <t>1П|НАС</t>
    </r>
  </si>
  <si>
    <r>
      <t>I</t>
    </r>
    <r>
      <rPr>
        <b/>
        <vertAlign val="subscript"/>
        <sz val="24"/>
        <color rgb="FF006600"/>
        <rFont val="Times New Roman"/>
        <family val="1"/>
        <charset val="204"/>
      </rPr>
      <t>1П|ВТСН</t>
    </r>
  </si>
  <si>
    <r>
      <t>I</t>
    </r>
    <r>
      <rPr>
        <b/>
        <vertAlign val="subscript"/>
        <sz val="24"/>
        <color rgb="FF006600"/>
        <rFont val="Times New Roman"/>
        <family val="1"/>
        <charset val="204"/>
      </rPr>
      <t>2|SНОМ</t>
    </r>
  </si>
  <si>
    <t>Рабочие характеристики асинхронного двигателя</t>
  </si>
  <si>
    <t>Раздел 2</t>
  </si>
  <si>
    <t>5.1</t>
  </si>
  <si>
    <t>Раздел 4</t>
  </si>
  <si>
    <t>6.3</t>
  </si>
  <si>
    <t>6.5</t>
  </si>
  <si>
    <t>6.9</t>
  </si>
  <si>
    <t>9.1</t>
  </si>
  <si>
    <t>9.2</t>
  </si>
  <si>
    <t>9.4</t>
  </si>
  <si>
    <t>9.7</t>
  </si>
  <si>
    <t>9.8</t>
  </si>
  <si>
    <t>9.6</t>
  </si>
  <si>
    <t>9.9</t>
  </si>
  <si>
    <t>9.10</t>
  </si>
  <si>
    <t>9.11</t>
  </si>
  <si>
    <t>9.12</t>
  </si>
  <si>
    <t>9.13</t>
  </si>
  <si>
    <t>9.14</t>
  </si>
  <si>
    <t>9.15</t>
  </si>
  <si>
    <t>9.26</t>
  </si>
  <si>
    <t>9.25</t>
  </si>
  <si>
    <t>9.23</t>
  </si>
  <si>
    <t>9.21</t>
  </si>
  <si>
    <t>9.20</t>
  </si>
  <si>
    <t>9.19</t>
  </si>
  <si>
    <t>9.18</t>
  </si>
  <si>
    <t>9.17</t>
  </si>
  <si>
    <t>9.16</t>
  </si>
  <si>
    <r>
      <t>I</t>
    </r>
    <r>
      <rPr>
        <i/>
        <vertAlign val="subscript"/>
        <sz val="36"/>
        <color theme="1"/>
        <rFont val="Times New Roman"/>
        <family val="1"/>
        <charset val="204"/>
      </rPr>
      <t>1П|ВТСН</t>
    </r>
  </si>
  <si>
    <r>
      <t>I</t>
    </r>
    <r>
      <rPr>
        <i/>
        <vertAlign val="subscript"/>
        <sz val="36"/>
        <color theme="1"/>
        <rFont val="Times New Roman"/>
        <family val="1"/>
        <charset val="204"/>
      </rPr>
      <t>μ.отн</t>
    </r>
  </si>
  <si>
    <r>
      <t>Δb</t>
    </r>
    <r>
      <rPr>
        <b/>
        <vertAlign val="subscript"/>
        <sz val="24"/>
        <color rgb="FF006600"/>
        <rFont val="Times New Roman"/>
        <family val="1"/>
        <charset val="204"/>
      </rPr>
      <t>П</t>
    </r>
  </si>
  <si>
    <r>
      <t>Δh</t>
    </r>
    <r>
      <rPr>
        <b/>
        <vertAlign val="subscript"/>
        <sz val="24"/>
        <color rgb="FF006600"/>
        <rFont val="Times New Roman"/>
        <family val="1"/>
        <charset val="204"/>
      </rPr>
      <t>П</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</si>
  <si>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</si>
  <si>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ринимается</t>
    </r>
    <r>
      <rPr>
        <sz val="16"/>
        <color theme="1"/>
        <rFont val="Times New Roman"/>
        <family val="1"/>
        <charset val="204"/>
      </rPr>
      <t xml:space="preserve">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</si>
  <si>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h</t>
    </r>
    <r>
      <rPr>
        <b/>
        <vertAlign val="subscript"/>
        <sz val="24"/>
        <color rgb="FF006600"/>
        <rFont val="Times New Roman"/>
        <family val="1"/>
        <charset val="204"/>
      </rPr>
      <t>П2|CТТР</t>
    </r>
  </si>
  <si>
    <r>
      <t>b</t>
    </r>
    <r>
      <rPr>
        <b/>
        <vertAlign val="subscript"/>
        <sz val="24"/>
        <color rgb="FF006600"/>
        <rFont val="Times New Roman"/>
        <family val="1"/>
        <charset val="204"/>
      </rPr>
      <t>1Δ|СТТР</t>
    </r>
  </si>
  <si>
    <r>
      <t>h</t>
    </r>
    <r>
      <rPr>
        <b/>
        <vertAlign val="subscript"/>
        <sz val="24"/>
        <color rgb="FF006600"/>
        <rFont val="Times New Roman"/>
        <family val="1"/>
        <charset val="204"/>
      </rPr>
      <t>ΔП2|CТТР</t>
    </r>
  </si>
  <si>
    <r>
      <t>S</t>
    </r>
    <r>
      <rPr>
        <b/>
        <vertAlign val="subscript"/>
        <sz val="24"/>
        <color rgb="FF006600"/>
        <rFont val="Times New Roman"/>
        <family val="1"/>
        <charset val="204"/>
      </rPr>
      <t>из</t>
    </r>
  </si>
  <si>
    <r>
      <t>S</t>
    </r>
    <r>
      <rPr>
        <b/>
        <vertAlign val="subscript"/>
        <sz val="24"/>
        <color rgb="FF006600"/>
        <rFont val="Times New Roman"/>
        <family val="1"/>
        <charset val="204"/>
      </rPr>
      <t>пр</t>
    </r>
  </si>
  <si>
    <t>Sиз - площадь изоляции
проводников на один паз</t>
  </si>
  <si>
    <t>здесь в расчете</t>
  </si>
  <si>
    <r>
      <t>Значение индукции B</t>
    </r>
    <r>
      <rPr>
        <vertAlign val="subscript"/>
        <sz val="16"/>
        <color theme="1"/>
        <rFont val="Times New Roman"/>
        <family val="1"/>
        <charset val="204"/>
      </rPr>
      <t>z2</t>
    </r>
    <r>
      <rPr>
        <sz val="16"/>
        <color theme="1"/>
        <rFont val="Times New Roman"/>
        <family val="1"/>
        <charset val="204"/>
      </rPr>
      <t xml:space="preserve">
по таблице 5</t>
    </r>
  </si>
  <si>
    <t>Значение допустимой индукции в зубцах
статора Bz1 по таблице 5</t>
  </si>
  <si>
    <t>Значение допустимой индукции в
ярме статора Ba по таблице 5</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</si>
  <si>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</si>
  <si>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S</t>
    </r>
    <r>
      <rPr>
        <i/>
        <vertAlign val="subscript"/>
        <sz val="20"/>
        <color theme="1"/>
        <rFont val="Times New Roman"/>
        <family val="1"/>
        <charset val="204"/>
      </rPr>
      <t>пр</t>
    </r>
    <r>
      <rPr>
        <sz val="20"/>
        <color theme="1"/>
        <rFont val="Times New Roman"/>
        <family val="1"/>
        <charset val="204"/>
      </rPr>
      <t xml:space="preserve"> </t>
    </r>
    <r>
      <rPr>
        <sz val="16"/>
        <color theme="1"/>
        <rFont val="Times New Roman"/>
        <family val="1"/>
        <charset val="204"/>
      </rPr>
      <t>Площадь заполнения проводником это разность между полной площадью паза и площадью прокладок в этом расчете
копылова принимаетя равным 0</t>
    </r>
  </si>
  <si>
    <t>значение укорочения шага обмотки β 
принимается от 1/3 до 1</t>
  </si>
  <si>
    <t>Введите значение укорочения
шага обмотки β из
предложенного диапозона</t>
  </si>
  <si>
    <t>Возможные типы укорочения
Укорочение - 1
Укорочение - 2</t>
  </si>
  <si>
    <r>
      <t>Окончательное
значение S</t>
    </r>
    <r>
      <rPr>
        <vertAlign val="subscript"/>
        <sz val="16"/>
        <color theme="1"/>
        <rFont val="Times New Roman"/>
        <family val="1"/>
        <charset val="204"/>
      </rPr>
      <t>пр</t>
    </r>
  </si>
  <si>
    <t>Для двигателей c h = 180 - 250 мм</t>
  </si>
  <si>
    <t>Для двигателей с h ≥ 280 мм</t>
  </si>
  <si>
    <t>Механические потери для
двигателей со степенью
защиты IP23</t>
  </si>
  <si>
    <t>1,9</t>
  </si>
  <si>
    <t>1,10</t>
  </si>
  <si>
    <t>1,11</t>
  </si>
  <si>
    <t>1,12</t>
  </si>
  <si>
    <t>1,13</t>
  </si>
  <si>
    <t>1,14</t>
  </si>
  <si>
    <r>
      <t>L</t>
    </r>
    <r>
      <rPr>
        <b/>
        <vertAlign val="subscript"/>
        <sz val="24"/>
        <color rgb="FF006600"/>
        <rFont val="Times New Roman"/>
        <family val="1"/>
        <charset val="204"/>
      </rPr>
      <t>j</t>
    </r>
  </si>
  <si>
    <r>
      <t>H</t>
    </r>
    <r>
      <rPr>
        <b/>
        <vertAlign val="subscript"/>
        <sz val="24"/>
        <color rgb="FF006600"/>
        <rFont val="Times New Roman"/>
        <family val="1"/>
        <charset val="204"/>
      </rPr>
      <t>j</t>
    </r>
  </si>
  <si>
    <t>Магнитное напряжение
ярма ротора</t>
  </si>
  <si>
    <t>Приведение x2 к числу
витков статора</t>
  </si>
  <si>
    <r>
      <t>Значение ξ</t>
    </r>
    <r>
      <rPr>
        <vertAlign val="subscript"/>
        <sz val="16"/>
        <color theme="1"/>
        <rFont val="Times New Roman"/>
        <family val="1"/>
        <charset val="204"/>
      </rPr>
      <t>КЦТ|Д1</t>
    </r>
  </si>
  <si>
    <t>kд = 1 для рабочего режима 
kд можно найти по рискнку 21 φ(ξH|РТР|ПРВ)</t>
  </si>
  <si>
    <t>Рисунок 1</t>
  </si>
  <si>
    <t>Рисунок 8 - Зубцовое деление статора 
асинхронных двигателей со всыпной обмоткой
1 - при h ≤ 90 мм;
2 - при 90 &lt; h ≤ 250 мм;
3 - при h &gt; 250 мм;</t>
  </si>
  <si>
    <t>Таблица 9</t>
  </si>
  <si>
    <t>Iкл ток короткозамыкающих
колец</t>
  </si>
  <si>
    <t>Рисунок 12</t>
  </si>
  <si>
    <t>коэффициент приведения
токов в двигателе</t>
  </si>
  <si>
    <t>Таблица11</t>
  </si>
  <si>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</si>
  <si>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t>Таблица 5</t>
  </si>
  <si>
    <t>La длина средней магнитной 
линии ярма статора</t>
  </si>
  <si>
    <t>Таблица 20</t>
  </si>
  <si>
    <r>
      <t>Площадь поперечного сечения короткозамыкающих колец q</t>
    </r>
    <r>
      <rPr>
        <vertAlign val="subscript"/>
        <sz val="16"/>
        <color theme="1"/>
        <rFont val="Times New Roman"/>
        <family val="1"/>
        <charset val="204"/>
      </rPr>
      <t>кл</t>
    </r>
  </si>
  <si>
    <r>
      <t>I</t>
    </r>
    <r>
      <rPr>
        <b/>
        <vertAlign val="subscript"/>
        <sz val="24"/>
        <color rgb="FF006600"/>
        <rFont val="Times New Roman"/>
        <family val="1"/>
        <charset val="204"/>
      </rPr>
      <t>КЛ</t>
    </r>
  </si>
  <si>
    <r>
      <t>J</t>
    </r>
    <r>
      <rPr>
        <b/>
        <vertAlign val="subscript"/>
        <sz val="24"/>
        <color rgb="FF006600"/>
        <rFont val="Times New Roman"/>
        <family val="1"/>
        <charset val="204"/>
      </rPr>
      <t>КЛ</t>
    </r>
  </si>
  <si>
    <t>Потери в стали
основные для 
двигателей меньше 250 кВт</t>
  </si>
  <si>
    <t>Таблица 11</t>
  </si>
  <si>
    <t>Lj длина средней магнитной линии
ярма ротора для двигателей 2p=2</t>
  </si>
  <si>
    <t>Значение Lj выборочное
окончательное</t>
  </si>
  <si>
    <t>Магнитное напряжение
воздушного зазора</t>
  </si>
  <si>
    <t>Класс нагевостойкости пазовой изоляции
и изоляции обмоток</t>
  </si>
  <si>
    <t>Тип конструктивного исполнения
корпуса асинхронного двигателя</t>
  </si>
  <si>
    <t>Таблица 1</t>
  </si>
  <si>
    <t>Наружный диаметр статора
выбирается по таблице 1</t>
  </si>
  <si>
    <t>Рисунок 2</t>
  </si>
  <si>
    <t>Рисунок 4</t>
  </si>
  <si>
    <t>Окончательное значение
линейной нагрузки</t>
  </si>
  <si>
    <t>Число парралельных
ветвей (предварительно)</t>
  </si>
  <si>
    <t>Рисунок 5</t>
  </si>
  <si>
    <t>В - значение индукции выбирается по рисунку 5 графику
электромагнитных нагрузок предварительно</t>
  </si>
  <si>
    <t>Рисунок 7</t>
  </si>
  <si>
    <t>Рисунок 8</t>
  </si>
  <si>
    <t>Таблица 8</t>
  </si>
  <si>
    <t>Число парралельных ветвей, округленное
до целого числа</t>
  </si>
  <si>
    <t>Таблица 3</t>
  </si>
  <si>
    <t>Номинальный диаметр неизолированного
проводника, мм</t>
  </si>
  <si>
    <t>Таблица 4</t>
  </si>
  <si>
    <t>Магнитное напряжение
зубцовой зоны ротора</t>
  </si>
  <si>
    <t>Таблица 12</t>
  </si>
  <si>
    <t>Допускается двойное обозначение переменной</t>
  </si>
  <si>
    <t>Округление, в случае поверки расчета может быть произведено уменьшение точности</t>
  </si>
  <si>
    <t>Формуляр переменной использующейся повторно в расчете</t>
  </si>
  <si>
    <t>переменная использует вложенный цикл операторов</t>
  </si>
  <si>
    <t>Решение не рекоммендованно к использованию</t>
  </si>
  <si>
    <t>Ячейка ссылается на иерархию ячек с вложенными опараторами</t>
  </si>
  <si>
    <t>Условные обозначения расчетных символов и знаков используемых в программе</t>
  </si>
  <si>
    <t>переменная пересчета вложенного оператора</t>
  </si>
  <si>
    <t>Обрамление переменной или цеочки необходимых переменных для достижения вложений  переменнной</t>
  </si>
  <si>
    <t>Синхронная углавая скорость
асинхронного двигателя</t>
  </si>
  <si>
    <t>Lj длина средней
магнитной линии ярма
ротора кроме двухполюсных</t>
  </si>
  <si>
    <t>Удельное сопротивление материала стержня 
(алюминиевые шины) при расчетной
температуре таблица 20</t>
  </si>
  <si>
    <t>Рисунок 22</t>
  </si>
  <si>
    <t>Рисунок 20</t>
  </si>
  <si>
    <t>Рисунок 21</t>
  </si>
  <si>
    <t>hz2 высота зуба для расчета
магнитного напряжения зубцовой зоны ротора</t>
  </si>
  <si>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
Значение B</t>
    </r>
    <r>
      <rPr>
        <vertAlign val="subscript"/>
        <sz val="16"/>
        <color theme="1"/>
        <rFont val="Times New Roman"/>
        <family val="1"/>
        <charset val="204"/>
      </rPr>
      <t>j</t>
    </r>
    <r>
      <rPr>
        <sz val="16"/>
        <color theme="1"/>
        <rFont val="Times New Roman"/>
        <family val="1"/>
        <charset val="204"/>
      </rPr>
      <t xml:space="preserve"> расчитвается в расчете магнитной цепи</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</si>
  <si>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</si>
  <si>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t>Таблица 13</t>
  </si>
  <si>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</si>
  <si>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Значение коэффициента К</t>
    </r>
    <r>
      <rPr>
        <vertAlign val="subscript"/>
        <sz val="16"/>
        <color theme="1"/>
        <rFont val="Times New Roman"/>
        <family val="1"/>
        <charset val="204"/>
      </rPr>
      <t>выл</t>
    </r>
    <r>
      <rPr>
        <sz val="16"/>
        <color theme="1"/>
        <rFont val="Times New Roman"/>
        <family val="1"/>
        <charset val="204"/>
      </rPr>
      <t xml:space="preserve"> определяется по таблице 13</t>
    </r>
  </si>
  <si>
    <t>Рисунок 23</t>
  </si>
  <si>
    <t>Рисунок 24</t>
  </si>
  <si>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</si>
  <si>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</si>
  <si>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t>Таблица 16</t>
  </si>
  <si>
    <t>Пульсационные потери 
в зубцах ротора</t>
  </si>
  <si>
    <t>Сумма добавочных
потерь в стали</t>
  </si>
  <si>
    <t>*</t>
  </si>
  <si>
    <t>Рисунок 16</t>
  </si>
  <si>
    <t>Значение Lп2 выбирается формула по
буквенной маркировке из таблицы</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</si>
  <si>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</si>
  <si>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</si>
  <si>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 между центрами
окружностей сопряжений пазов</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</si>
  <si>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</si>
  <si>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t>Сечение эффективного
проводника (табличное значение)</t>
  </si>
  <si>
    <r>
      <t>Внешний диаметр
ротора D</t>
    </r>
    <r>
      <rPr>
        <vertAlign val="subscript"/>
        <sz val="16"/>
        <color theme="1"/>
        <rFont val="Times New Roman"/>
        <family val="1"/>
        <charset val="204"/>
      </rPr>
      <t>2</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</si>
  <si>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
высота паза статора</t>
    </r>
  </si>
  <si>
    <r>
      <t>b</t>
    </r>
    <r>
      <rPr>
        <i/>
        <vertAlign val="subscript"/>
        <sz val="20"/>
        <color theme="1"/>
        <rFont val="Times New Roman"/>
        <family val="1"/>
        <charset val="204"/>
      </rPr>
      <t>2ΔСТТР</t>
    </r>
    <r>
      <rPr>
        <i/>
        <sz val="20"/>
        <color theme="1"/>
        <rFont val="Times New Roman"/>
        <family val="1"/>
        <charset val="204"/>
      </rPr>
      <t xml:space="preserve"> </t>
    </r>
    <r>
      <rPr>
        <sz val="16"/>
        <color theme="1"/>
        <rFont val="Times New Roman"/>
        <family val="1"/>
        <charset val="204"/>
      </rPr>
      <t>ширина паза с припуском</t>
    </r>
  </si>
  <si>
    <r>
      <t>b</t>
    </r>
    <r>
      <rPr>
        <i/>
        <vertAlign val="subscript"/>
        <sz val="20"/>
        <color theme="1"/>
        <rFont val="Times New Roman"/>
        <family val="1"/>
        <charset val="204"/>
      </rPr>
      <t>1ΔСТТР</t>
    </r>
  </si>
  <si>
    <t>Высота ярма
статора ha</t>
  </si>
  <si>
    <t>Магнитное напряжение
ярма статора</t>
  </si>
  <si>
    <t>Величина λ это отношение является 
критерием правильности выбора
главных размеров указанных на рисунке 7</t>
  </si>
  <si>
    <r>
      <t>d</t>
    </r>
    <r>
      <rPr>
        <b/>
        <vertAlign val="subscript"/>
        <sz val="24"/>
        <color rgb="FF006600"/>
        <rFont val="Times New Roman"/>
        <family val="1"/>
        <charset val="204"/>
      </rPr>
      <t>эл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</si>
  <si>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</si>
  <si>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t>"B_δ_расч = {p ∙ Ф}over{D ∙ l_δ}"</t>
  </si>
  <si>
    <r>
      <t>P</t>
    </r>
    <r>
      <rPr>
        <i/>
        <vertAlign val="subscript"/>
        <sz val="36"/>
        <color theme="1"/>
        <rFont val="Times New Roman"/>
        <family val="1"/>
        <charset val="204"/>
      </rPr>
      <t>расч</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</si>
</sst>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30">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b/>
      <sz val="22"/>
      <color rgb="FF006600"/>
      <name val="Calibri"/>
      <family val="2"/>
      <charset val="204"/>
      <scheme val="minor"/>
    </font>
    <font>
      <sz val="18"/>
      <color theme="1"/>
      <name val="Myriad Pro"/>
    </font>
    <font>
      <vertAlign val="subscript"/>
      <sz val="20"/>
      <color theme="1"/>
      <name val="Times New Roman"/>
      <family val="1"/>
    </font>
    <font>
      <i/>
      <vertAlign val="subscript"/>
      <sz val="20"/>
      <color theme="1"/>
      <name val="Times New Roman"/>
      <family val="1"/>
    </font>
    <font>
      <vertAlign val="subscript"/>
      <sz val="16"/>
      <color theme="1"/>
      <name val="Times New Roman"/>
      <family val="1"/>
    </font>
    <font>
      <sz val="22"/>
      <color rgb="FF800080"/>
      <name val="fontello"/>
    </font>
    <font>
      <sz val="14"/>
      <color theme="1"/>
      <name val="Times New Roman"/>
      <family val="1"/>
    </font>
    <font>
      <b/>
      <vertAlign val="subscript"/>
      <sz val="24"/>
      <color rgb="FF006600"/>
      <name val="Times New Roman"/>
      <family val="1"/>
    </font>
    <font>
      <i/>
      <vertAlign val="subscript"/>
      <sz val="28"/>
      <color theme="1"/>
      <name val="Times New Roman"/>
      <family val="1"/>
    </font>
    <font>
      <sz val="18"/>
      <color rgb="FF006600"/>
      <name val="Times New Roman"/>
      <family val="1"/>
    </font>
    <font>
      <vertAlign val="subscript"/>
      <sz val="18"/>
      <color rgb="FF006600"/>
      <name val="Times New Roman"/>
      <family val="1"/>
    </font>
    <font>
      <b/>
      <sz val="24"/>
      <color rgb="FF006600"/>
      <name val="Times New Roman"/>
      <family val="1"/>
    </font>
    <font>
      <b/>
      <sz val="28"/>
      <color rgb="FF006600"/>
      <name val="Times New Roman"/>
      <family val="1"/>
    </font>
    <font>
      <b/>
      <sz val="28"/>
      <color rgb="FF800080"/>
      <name val="Times New Roman"/>
      <family val="1"/>
      <charset val="204"/>
    </font>
    <font>
      <u/>
      <sz val="11"/>
      <color rgb="FF006600"/>
      <name val="Calibri"/>
      <family val="2"/>
      <charset val="204"/>
      <scheme val="minor"/>
    </font>
    <font>
      <sz val="10"/>
      <color rgb="FF6A8759"/>
      <name val="JetBrains Mono"/>
      <family val="3"/>
      <charset val="204"/>
    </font>
  </fonts>
  <fills count="2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lightUp">
        <bgColor theme="0" tint="-0.14990691854609822"/>
      </patternFill>
    </fill>
    <fill>
      <patternFill patternType="solid">
        <fgColor theme="6" tint="0.59999389629810485"/>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3" tint="0.79998168889431442"/>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22" fillId="0" borderId="0" applyNumberFormat="0" applyFont="0" applyFill="0" applyBorder="0" applyAlignment="0" applyProtection="0"/>
  </cellStyleXfs>
  <cellXfs count="2246">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9"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4" fillId="0" borderId="0" xfId="0" applyFont="1" applyAlignment="1">
      <alignment horizontal="center" vertic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21" fillId="0" borderId="0" xfId="0" applyFont="1" applyFill="1" applyBorder="1" applyAlignment="1">
      <alignment vertical="center"/>
    </xf>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36" fillId="0" borderId="1" xfId="0" applyFont="1" applyBorder="1" applyAlignment="1">
      <alignment horizontal="center" vertical="center" wrapText="1"/>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0" xfId="0" applyNumberFormat="1" applyFont="1" applyBorder="1" applyAlignment="1">
      <alignment vertical="center"/>
    </xf>
    <xf numFmtId="1" fontId="2" fillId="0" borderId="41" xfId="0" applyNumberFormat="1" applyFont="1" applyBorder="1" applyAlignment="1">
      <alignment vertical="center"/>
    </xf>
    <xf numFmtId="1" fontId="2" fillId="0" borderId="29" xfId="0" applyNumberFormat="1" applyFont="1" applyBorder="1" applyAlignment="1">
      <alignment vertical="center"/>
    </xf>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7" fillId="0" borderId="0" xfId="0" applyNumberFormat="1" applyFont="1"/>
    <xf numFmtId="0" fontId="4" fillId="6" borderId="1" xfId="0" applyFont="1" applyFill="1" applyBorder="1" applyAlignment="1">
      <alignment horizontal="center" vertical="center"/>
    </xf>
    <xf numFmtId="0" fontId="79"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1" fillId="0" borderId="1" xfId="0" applyNumberFormat="1" applyFont="1" applyBorder="1"/>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vertical="center" wrapText="1"/>
    </xf>
    <xf numFmtId="164" fontId="81" fillId="8" borderId="4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0"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23"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0" fillId="3" borderId="1" xfId="1" applyFont="1" applyFill="1" applyBorder="1" applyAlignment="1">
      <alignment horizontal="center" vertical="center"/>
    </xf>
    <xf numFmtId="2" fontId="2" fillId="0" borderId="0" xfId="0" applyNumberFormat="1" applyFont="1"/>
    <xf numFmtId="0" fontId="2" fillId="0" borderId="0" xfId="0" applyFont="1" applyAlignment="1"/>
    <xf numFmtId="0" fontId="90"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1"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3"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5" fillId="3" borderId="1" xfId="1" applyFont="1" applyFill="1" applyBorder="1" applyAlignment="1">
      <alignment horizontal="center" vertical="center"/>
    </xf>
    <xf numFmtId="0" fontId="95"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96"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2" fontId="2" fillId="0" borderId="65"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9" fillId="12" borderId="0" xfId="1" applyNumberFormat="1" applyFont="1" applyFill="1" applyBorder="1" applyAlignment="1">
      <alignment vertical="center" wrapText="1"/>
    </xf>
    <xf numFmtId="164" fontId="89" fillId="12" borderId="36" xfId="1" applyNumberFormat="1" applyFont="1" applyFill="1" applyBorder="1" applyAlignment="1">
      <alignment vertical="center" wrapText="1"/>
    </xf>
    <xf numFmtId="164" fontId="89" fillId="12" borderId="38" xfId="1" applyNumberFormat="1" applyFont="1" applyFill="1" applyBorder="1" applyAlignment="1">
      <alignment vertical="center" wrapText="1"/>
    </xf>
    <xf numFmtId="164" fontId="89" fillId="12" borderId="39" xfId="1" applyNumberFormat="1" applyFont="1" applyFill="1" applyBorder="1" applyAlignment="1">
      <alignment vertical="center" wrapText="1"/>
    </xf>
    <xf numFmtId="164" fontId="89" fillId="12" borderId="18" xfId="1" applyNumberFormat="1" applyFont="1" applyFill="1" applyBorder="1" applyAlignment="1">
      <alignment vertical="center" wrapText="1"/>
    </xf>
    <xf numFmtId="164" fontId="89" fillId="12" borderId="37" xfId="1" applyNumberFormat="1" applyFont="1" applyFill="1" applyBorder="1" applyAlignment="1">
      <alignment vertical="center" wrapText="1"/>
    </xf>
    <xf numFmtId="164" fontId="89" fillId="12" borderId="22" xfId="1" applyNumberFormat="1" applyFont="1" applyFill="1" applyBorder="1" applyAlignment="1">
      <alignment vertical="center" wrapText="1"/>
    </xf>
    <xf numFmtId="164" fontId="89" fillId="12" borderId="20" xfId="1" applyNumberFormat="1" applyFont="1" applyFill="1" applyBorder="1" applyAlignment="1">
      <alignment vertical="center" wrapText="1"/>
    </xf>
    <xf numFmtId="0" fontId="101" fillId="9" borderId="1" xfId="0" applyFont="1" applyFill="1" applyBorder="1" applyAlignment="1">
      <alignment horizontal="center" vertical="center" wrapText="1"/>
    </xf>
    <xf numFmtId="0" fontId="103" fillId="9" borderId="1" xfId="0" applyFont="1" applyFill="1" applyBorder="1" applyAlignment="1">
      <alignment horizontal="center" vertical="center" wrapText="1"/>
    </xf>
    <xf numFmtId="0" fontId="4" fillId="6" borderId="19" xfId="0" applyFont="1" applyFill="1" applyBorder="1" applyAlignment="1">
      <alignment vertical="center"/>
    </xf>
    <xf numFmtId="164" fontId="81" fillId="8" borderId="23"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1" fillId="8" borderId="19"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1" fillId="8" borderId="41" xfId="1" applyNumberFormat="1" applyFont="1" applyFill="1" applyBorder="1" applyAlignment="1">
      <alignment vertical="center" wrapText="1"/>
    </xf>
    <xf numFmtId="168" fontId="81" fillId="8" borderId="41"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0" borderId="0" xfId="0" applyFont="1"/>
    <xf numFmtId="164" fontId="108" fillId="8" borderId="29" xfId="1" applyNumberFormat="1" applyFont="1" applyFill="1" applyBorder="1" applyAlignment="1">
      <alignment horizontal="center" vertical="center" wrapText="1"/>
    </xf>
    <xf numFmtId="0" fontId="5" fillId="0" borderId="0" xfId="0" applyFont="1" applyAlignment="1"/>
    <xf numFmtId="164" fontId="109" fillId="12" borderId="0" xfId="1" applyNumberFormat="1" applyFont="1" applyFill="1" applyBorder="1" applyAlignment="1">
      <alignment vertical="center" wrapText="1"/>
    </xf>
    <xf numFmtId="164" fontId="109" fillId="12" borderId="13" xfId="1" applyNumberFormat="1" applyFont="1" applyFill="1" applyBorder="1" applyAlignment="1">
      <alignment vertical="center" wrapText="1"/>
    </xf>
    <xf numFmtId="164" fontId="109" fillId="12" borderId="11" xfId="1" applyNumberFormat="1" applyFont="1" applyFill="1" applyBorder="1" applyAlignment="1">
      <alignment vertical="center" wrapText="1"/>
    </xf>
    <xf numFmtId="164" fontId="109" fillId="12" borderId="14" xfId="1" applyNumberFormat="1" applyFont="1" applyFill="1" applyBorder="1" applyAlignment="1">
      <alignment vertical="center" wrapText="1"/>
    </xf>
    <xf numFmtId="164" fontId="109" fillId="12" borderId="9" xfId="1" applyNumberFormat="1" applyFont="1" applyFill="1" applyBorder="1" applyAlignment="1">
      <alignment vertical="center" wrapText="1"/>
    </xf>
    <xf numFmtId="164" fontId="109" fillId="12" borderId="12" xfId="1" applyNumberFormat="1" applyFont="1" applyFill="1" applyBorder="1" applyAlignment="1">
      <alignment vertical="center" wrapText="1"/>
    </xf>
    <xf numFmtId="164" fontId="108"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164" fontId="109"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18" xfId="0" applyFont="1" applyBorder="1" applyAlignment="1"/>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17" xfId="1" applyNumberFormat="1" applyFont="1" applyFill="1" applyBorder="1" applyAlignment="1">
      <alignment horizontal="center" vertical="center" wrapText="1"/>
    </xf>
    <xf numFmtId="164" fontId="81" fillId="8" borderId="69" xfId="1" applyNumberFormat="1" applyFont="1" applyFill="1" applyBorder="1" applyAlignment="1">
      <alignment horizontal="center" vertical="center" wrapText="1"/>
    </xf>
    <xf numFmtId="167" fontId="81" fillId="8" borderId="42"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7"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1"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168" fontId="81" fillId="8" borderId="4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4" fillId="6" borderId="41" xfId="0" applyFont="1" applyFill="1" applyBorder="1" applyAlignment="1">
      <alignment horizontal="center" vertical="center"/>
    </xf>
    <xf numFmtId="1" fontId="2" fillId="3" borderId="30" xfId="0" applyNumberFormat="1" applyFont="1" applyFill="1" applyBorder="1" applyAlignment="1">
      <alignment vertical="center"/>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 xfId="1" applyNumberFormat="1" applyFont="1" applyFill="1" applyBorder="1" applyAlignment="1">
      <alignment horizontal="center" vertical="center" wrapText="1"/>
    </xf>
    <xf numFmtId="164" fontId="89" fillId="12" borderId="23" xfId="1" applyNumberFormat="1" applyFont="1" applyFill="1" applyBorder="1" applyAlignment="1">
      <alignment vertical="center" wrapText="1"/>
    </xf>
    <xf numFmtId="1" fontId="2" fillId="3" borderId="2" xfId="0" applyNumberFormat="1" applyFont="1" applyFill="1" applyBorder="1" applyAlignment="1">
      <alignment horizontal="center" vertical="center"/>
    </xf>
    <xf numFmtId="167" fontId="81"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81"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89" fillId="12" borderId="11" xfId="1" applyNumberFormat="1" applyFont="1" applyFill="1" applyBorder="1" applyAlignment="1">
      <alignment vertical="center" wrapText="1"/>
    </xf>
    <xf numFmtId="0" fontId="4" fillId="6" borderId="1" xfId="0" applyFont="1" applyFill="1" applyBorder="1" applyAlignment="1">
      <alignment horizontal="center" vertical="center"/>
    </xf>
    <xf numFmtId="1" fontId="81"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5" fillId="6" borderId="16" xfId="0" applyFont="1" applyFill="1" applyBorder="1" applyAlignment="1">
      <alignment horizontal="center" vertical="center"/>
    </xf>
    <xf numFmtId="164" fontId="108" fillId="8" borderId="41" xfId="1" applyNumberFormat="1" applyFont="1" applyFill="1" applyBorder="1" applyAlignment="1">
      <alignment vertical="center" wrapText="1"/>
    </xf>
    <xf numFmtId="164" fontId="108" fillId="8" borderId="29" xfId="1" applyNumberFormat="1" applyFont="1" applyFill="1" applyBorder="1" applyAlignment="1">
      <alignment vertical="center" wrapText="1"/>
    </xf>
    <xf numFmtId="164" fontId="108" fillId="8" borderId="30" xfId="1" applyNumberFormat="1" applyFont="1" applyFill="1" applyBorder="1" applyAlignment="1">
      <alignment vertical="center" wrapText="1"/>
    </xf>
    <xf numFmtId="0" fontId="5" fillId="6" borderId="21" xfId="0" applyFont="1" applyFill="1" applyBorder="1" applyAlignment="1">
      <alignment vertical="center"/>
    </xf>
    <xf numFmtId="0" fontId="5" fillId="6" borderId="19" xfId="0" applyFont="1" applyFill="1" applyBorder="1" applyAlignment="1">
      <alignment vertical="center"/>
    </xf>
    <xf numFmtId="0" fontId="5" fillId="6" borderId="61" xfId="0" applyFont="1" applyFill="1" applyBorder="1" applyAlignment="1">
      <alignment horizontal="center" vertical="center"/>
    </xf>
    <xf numFmtId="0" fontId="5" fillId="6" borderId="18" xfId="0" applyFont="1" applyFill="1" applyBorder="1" applyAlignment="1">
      <alignment vertical="center"/>
    </xf>
    <xf numFmtId="0" fontId="5" fillId="6" borderId="0" xfId="0" applyFont="1" applyFill="1" applyBorder="1" applyAlignment="1">
      <alignment vertical="center"/>
    </xf>
    <xf numFmtId="0" fontId="5" fillId="6" borderId="37" xfId="0" applyFont="1" applyFill="1" applyBorder="1" applyAlignment="1">
      <alignment vertical="center"/>
    </xf>
    <xf numFmtId="0" fontId="5" fillId="6" borderId="38" xfId="0" applyFont="1" applyFill="1" applyBorder="1" applyAlignment="1">
      <alignment vertical="center"/>
    </xf>
    <xf numFmtId="0" fontId="5" fillId="6" borderId="58" xfId="0" applyFont="1" applyFill="1" applyBorder="1" applyAlignment="1">
      <alignment vertical="center"/>
    </xf>
    <xf numFmtId="0" fontId="5" fillId="6" borderId="20" xfId="0" applyFont="1" applyFill="1" applyBorder="1" applyAlignment="1">
      <alignment vertical="center"/>
    </xf>
    <xf numFmtId="0" fontId="5" fillId="6" borderId="36" xfId="0" applyFont="1" applyFill="1" applyBorder="1" applyAlignment="1">
      <alignment vertical="center"/>
    </xf>
    <xf numFmtId="0" fontId="5" fillId="6" borderId="39" xfId="0" applyFont="1" applyFill="1" applyBorder="1" applyAlignment="1">
      <alignment vertical="center"/>
    </xf>
    <xf numFmtId="0" fontId="90" fillId="3" borderId="30" xfId="1" applyFont="1" applyFill="1" applyBorder="1" applyAlignment="1">
      <alignment horizontal="center" vertical="center"/>
    </xf>
    <xf numFmtId="0" fontId="5" fillId="0" borderId="1" xfId="0" applyFont="1" applyBorder="1"/>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0" borderId="0" xfId="0" applyNumberFormat="1" applyFont="1" applyAlignment="1">
      <alignment horizontal="center" vertical="center"/>
    </xf>
    <xf numFmtId="0" fontId="10" fillId="0" borderId="10"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2" fillId="4"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0" fillId="0" borderId="6" xfId="0" applyBorder="1" applyAlignment="1">
      <alignment horizontal="center" vertical="center" wrapText="1"/>
    </xf>
    <xf numFmtId="1" fontId="2" fillId="0" borderId="1" xfId="0" applyNumberFormat="1" applyFont="1" applyBorder="1"/>
    <xf numFmtId="1" fontId="2" fillId="0" borderId="30" xfId="0" applyNumberFormat="1" applyFont="1" applyBorder="1" applyAlignment="1">
      <alignment vertical="center"/>
    </xf>
    <xf numFmtId="1" fontId="2" fillId="0" borderId="1" xfId="0" applyNumberFormat="1" applyFont="1" applyBorder="1" applyAlignment="1">
      <alignment horizontal="center" vertical="center"/>
    </xf>
    <xf numFmtId="164"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1" fontId="2" fillId="25" borderId="1" xfId="0" applyNumberFormat="1" applyFont="1" applyFill="1" applyBorder="1" applyAlignment="1">
      <alignment horizontal="center" vertical="center"/>
    </xf>
    <xf numFmtId="1" fontId="2" fillId="26" borderId="1" xfId="0" applyNumberFormat="1" applyFont="1" applyFill="1" applyBorder="1" applyAlignment="1">
      <alignment horizontal="center" vertical="center"/>
    </xf>
    <xf numFmtId="1" fontId="96" fillId="13" borderId="1" xfId="1" applyNumberFormat="1" applyFont="1" applyFill="1" applyBorder="1" applyAlignment="1">
      <alignment horizontal="center" vertical="center" wrapText="1"/>
    </xf>
    <xf numFmtId="0" fontId="119"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2"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4" fontId="34" fillId="10" borderId="2" xfId="1" applyNumberFormat="1" applyFont="1" applyFill="1" applyBorder="1" applyAlignment="1">
      <alignment horizontal="center" vertical="center" wrapText="1"/>
    </xf>
    <xf numFmtId="164" fontId="120" fillId="0" borderId="0" xfId="0" applyNumberFormat="1" applyFont="1"/>
    <xf numFmtId="1" fontId="81" fillId="8" borderId="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8"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165"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0" fontId="2" fillId="6" borderId="1" xfId="0" applyFont="1" applyFill="1" applyBorder="1" applyAlignment="1">
      <alignment horizontal="center" vertical="center"/>
    </xf>
    <xf numFmtId="164" fontId="34" fillId="12" borderId="1" xfId="1" applyNumberFormat="1" applyFont="1" applyFill="1" applyBorder="1" applyAlignment="1">
      <alignment horizontal="center" vertical="center" wrapText="1"/>
    </xf>
    <xf numFmtId="164" fontId="114" fillId="14" borderId="1" xfId="1" applyNumberFormat="1" applyFont="1" applyFill="1" applyBorder="1" applyAlignment="1">
      <alignment horizontal="center" vertical="center" wrapText="1"/>
    </xf>
    <xf numFmtId="2" fontId="2" fillId="0" borderId="1" xfId="0" applyNumberFormat="1" applyFont="1" applyBorder="1" applyAlignment="1">
      <alignment horizontal="center" vertical="center" wrapText="1"/>
    </xf>
    <xf numFmtId="1" fontId="81" fillId="8" borderId="2" xfId="1" applyNumberFormat="1" applyFont="1" applyFill="1" applyBorder="1" applyAlignment="1">
      <alignment horizontal="center" vertical="center" wrapText="1"/>
    </xf>
    <xf numFmtId="0" fontId="25" fillId="3" borderId="2" xfId="1" applyFont="1" applyFill="1" applyBorder="1" applyAlignment="1">
      <alignment horizontal="center" vertical="center"/>
    </xf>
    <xf numFmtId="1" fontId="81" fillId="8" borderId="40"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0" fontId="2" fillId="0" borderId="1" xfId="0" applyFont="1" applyBorder="1" applyAlignment="1">
      <alignment horizontal="center" vertical="center"/>
    </xf>
    <xf numFmtId="164" fontId="81" fillId="8" borderId="2" xfId="1" applyNumberFormat="1" applyFont="1" applyFill="1" applyBorder="1" applyAlignment="1">
      <alignment horizontal="center" vertical="center" wrapText="1"/>
    </xf>
    <xf numFmtId="164" fontId="39" fillId="20" borderId="1" xfId="0" applyNumberFormat="1" applyFont="1" applyFill="1" applyBorder="1" applyAlignment="1">
      <alignment horizontal="center" vertical="center"/>
    </xf>
    <xf numFmtId="0" fontId="2" fillId="0" borderId="38" xfId="0" applyFont="1" applyBorder="1" applyAlignment="1"/>
    <xf numFmtId="0" fontId="2" fillId="0" borderId="22" xfId="0" applyFont="1" applyBorder="1" applyAlignment="1"/>
    <xf numFmtId="0" fontId="25" fillId="3" borderId="1" xfId="1" applyFont="1" applyFill="1" applyBorder="1" applyAlignment="1">
      <alignment horizontal="center" vertical="top"/>
    </xf>
    <xf numFmtId="164" fontId="1" fillId="0" borderId="0" xfId="0" applyNumberFormat="1" applyFont="1" applyAlignment="1"/>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2" fillId="0" borderId="0" xfId="0" applyFont="1" applyAlignment="1"/>
    <xf numFmtId="1" fontId="81" fillId="8" borderId="41"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0" fontId="4" fillId="22" borderId="23" xfId="0" applyFont="1" applyFill="1" applyBorder="1" applyAlignment="1">
      <alignment vertical="center"/>
    </xf>
    <xf numFmtId="0" fontId="4" fillId="22" borderId="22" xfId="0" applyFont="1" applyFill="1" applyBorder="1" applyAlignment="1">
      <alignment vertical="center"/>
    </xf>
    <xf numFmtId="0" fontId="4" fillId="22" borderId="20" xfId="0" applyFont="1" applyFill="1" applyBorder="1" applyAlignment="1">
      <alignment vertical="center"/>
    </xf>
    <xf numFmtId="0" fontId="4" fillId="22" borderId="40" xfId="0" applyFont="1" applyFill="1" applyBorder="1" applyAlignment="1">
      <alignment vertical="center"/>
    </xf>
    <xf numFmtId="164" fontId="81" fillId="8" borderId="1" xfId="1" applyNumberFormat="1" applyFont="1" applyFill="1" applyBorder="1" applyAlignment="1">
      <alignment horizontal="center" vertical="center" wrapText="1"/>
    </xf>
    <xf numFmtId="0" fontId="2" fillId="6" borderId="38"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9" fontId="1" fillId="0" borderId="0" xfId="0" applyNumberFormat="1" applyFont="1" applyBorder="1" applyAlignment="1">
      <alignment vertical="center"/>
    </xf>
    <xf numFmtId="164" fontId="1" fillId="0" borderId="0" xfId="0" applyNumberFormat="1" applyFont="1" applyBorder="1" applyAlignment="1"/>
    <xf numFmtId="164" fontId="1" fillId="0" borderId="0" xfId="0" applyNumberFormat="1" applyFont="1" applyFill="1"/>
    <xf numFmtId="164" fontId="1" fillId="0" borderId="11" xfId="0" applyNumberFormat="1" applyFont="1" applyBorder="1" applyAlignment="1"/>
    <xf numFmtId="164" fontId="2"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166" fontId="2" fillId="0" borderId="0" xfId="0" applyNumberFormat="1" applyFont="1"/>
    <xf numFmtId="164" fontId="2" fillId="0" borderId="1" xfId="0" applyNumberFormat="1" applyFont="1" applyBorder="1" applyAlignment="1">
      <alignment horizontal="center" vertical="center"/>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2" fillId="28"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2" fillId="0" borderId="37" xfId="0" applyNumberFormat="1" applyFont="1" applyBorder="1" applyAlignment="1">
      <alignment horizontal="center" vertical="center"/>
    </xf>
    <xf numFmtId="164" fontId="126"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1" fillId="0" borderId="36" xfId="0" applyNumberFormat="1" applyFont="1" applyBorder="1" applyAlignment="1"/>
    <xf numFmtId="164" fontId="1" fillId="0" borderId="18" xfId="0" applyNumberFormat="1" applyFont="1" applyBorder="1" applyAlignment="1"/>
    <xf numFmtId="164" fontId="1" fillId="0" borderId="22" xfId="0" applyNumberFormat="1" applyFont="1" applyBorder="1" applyAlignment="1"/>
    <xf numFmtId="164" fontId="2" fillId="0" borderId="1"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2"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9" fillId="20" borderId="1" xfId="0" applyNumberFormat="1"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41" xfId="0" applyFont="1" applyFill="1" applyBorder="1" applyAlignment="1">
      <alignment horizontal="center" vertical="center"/>
    </xf>
    <xf numFmtId="164" fontId="81" fillId="8" borderId="19"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65" fillId="12" borderId="21" xfId="1" applyNumberFormat="1" applyFont="1" applyFill="1" applyBorder="1" applyAlignment="1">
      <alignment vertical="center" wrapText="1"/>
    </xf>
    <xf numFmtId="164" fontId="65" fillId="12" borderId="40"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164" fontId="39" fillId="20"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 fontId="2" fillId="0" borderId="1" xfId="0" applyNumberFormat="1" applyFont="1" applyFill="1" applyBorder="1" applyAlignment="1">
      <alignment horizontal="center" vertical="center"/>
    </xf>
    <xf numFmtId="0" fontId="79" fillId="3" borderId="1" xfId="1" applyFont="1" applyFill="1" applyBorder="1" applyAlignment="1">
      <alignment horizontal="center" vertical="center"/>
    </xf>
    <xf numFmtId="0" fontId="25" fillId="3" borderId="24" xfId="1" applyFont="1" applyFill="1" applyBorder="1" applyAlignment="1">
      <alignment horizontal="center" vertical="top"/>
    </xf>
    <xf numFmtId="0" fontId="127" fillId="3" borderId="1" xfId="1" applyFont="1" applyFill="1" applyBorder="1" applyAlignment="1">
      <alignment horizontal="center" vertical="top"/>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4" fontId="128" fillId="8" borderId="29" xfId="1" applyNumberFormat="1" applyFont="1" applyFill="1" applyBorder="1" applyAlignment="1">
      <alignment vertical="center" wrapText="1"/>
    </xf>
    <xf numFmtId="0" fontId="129" fillId="0" borderId="0" xfId="0" applyFont="1" applyAlignment="1">
      <alignment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0" fontId="2" fillId="0" borderId="1" xfId="0"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2" fontId="2" fillId="0" borderId="22" xfId="0" applyNumberFormat="1" applyFont="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1" fontId="2" fillId="3" borderId="1" xfId="0"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2" fontId="2" fillId="0" borderId="23"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0" xfId="0" applyNumberFormat="1" applyFont="1" applyBorder="1" applyAlignment="1">
      <alignment horizontal="center" vertical="center"/>
    </xf>
    <xf numFmtId="166" fontId="2" fillId="3" borderId="24" xfId="0" applyNumberFormat="1" applyFont="1" applyFill="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61" fillId="3" borderId="41" xfId="0" applyNumberFormat="1" applyFont="1" applyFill="1" applyBorder="1" applyAlignment="1">
      <alignment horizontal="center" vertical="center"/>
    </xf>
    <xf numFmtId="164" fontId="61" fillId="3" borderId="29" xfId="0" applyNumberFormat="1" applyFont="1" applyFill="1" applyBorder="1" applyAlignment="1">
      <alignment horizontal="center" vertical="center"/>
    </xf>
    <xf numFmtId="164" fontId="61" fillId="3" borderId="30" xfId="0" applyNumberFormat="1" applyFont="1" applyFill="1" applyBorder="1" applyAlignment="1">
      <alignment horizontal="center" vertical="center"/>
    </xf>
    <xf numFmtId="164" fontId="78" fillId="14" borderId="23" xfId="1" applyNumberFormat="1" applyFont="1" applyFill="1" applyBorder="1" applyAlignment="1">
      <alignment horizontal="center" vertical="center" wrapText="1"/>
    </xf>
    <xf numFmtId="164" fontId="78" fillId="14" borderId="22" xfId="1" applyNumberFormat="1" applyFont="1" applyFill="1" applyBorder="1" applyAlignment="1">
      <alignment horizontal="center" vertical="center" wrapText="1"/>
    </xf>
    <xf numFmtId="164" fontId="78" fillId="14" borderId="20" xfId="1" applyNumberFormat="1" applyFont="1" applyFill="1" applyBorder="1" applyAlignment="1">
      <alignment horizontal="center" vertical="center" wrapText="1"/>
    </xf>
    <xf numFmtId="164" fontId="78" fillId="14" borderId="18" xfId="1" applyNumberFormat="1" applyFont="1" applyFill="1" applyBorder="1" applyAlignment="1">
      <alignment horizontal="center" vertical="center" wrapText="1"/>
    </xf>
    <xf numFmtId="164" fontId="78" fillId="14" borderId="0" xfId="1" applyNumberFormat="1" applyFont="1" applyFill="1" applyBorder="1" applyAlignment="1">
      <alignment horizontal="center" vertical="center" wrapText="1"/>
    </xf>
    <xf numFmtId="164" fontId="78" fillId="14" borderId="36" xfId="1" applyNumberFormat="1" applyFont="1" applyFill="1" applyBorder="1" applyAlignment="1">
      <alignment horizontal="center" vertical="center" wrapText="1"/>
    </xf>
    <xf numFmtId="164" fontId="78" fillId="14" borderId="40" xfId="1" applyNumberFormat="1" applyFont="1" applyFill="1" applyBorder="1" applyAlignment="1">
      <alignment horizontal="center" vertical="center" wrapText="1"/>
    </xf>
    <xf numFmtId="164" fontId="78" fillId="14" borderId="12" xfId="1" applyNumberFormat="1" applyFont="1" applyFill="1" applyBorder="1" applyAlignment="1">
      <alignment horizontal="center" vertical="center" wrapText="1"/>
    </xf>
    <xf numFmtId="164" fontId="78" fillId="14" borderId="31" xfId="1" applyNumberFormat="1" applyFont="1" applyFill="1" applyBorder="1" applyAlignment="1">
      <alignment horizontal="center" vertical="center" wrapText="1"/>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32"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22" xfId="0" applyNumberFormat="1" applyFont="1" applyBorder="1" applyAlignment="1">
      <alignment horizontal="center" vertical="center"/>
    </xf>
    <xf numFmtId="164" fontId="2" fillId="0" borderId="32"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33"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2" fontId="2" fillId="3" borderId="34" xfId="0" applyNumberFormat="1" applyFont="1" applyFill="1" applyBorder="1" applyAlignment="1">
      <alignment horizontal="center" vertical="center"/>
    </xf>
    <xf numFmtId="166" fontId="2" fillId="3" borderId="41" xfId="0" applyNumberFormat="1" applyFont="1" applyFill="1" applyBorder="1" applyAlignment="1">
      <alignment horizontal="center" vertical="center"/>
    </xf>
    <xf numFmtId="166" fontId="2" fillId="3" borderId="29"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4" fontId="2" fillId="0" borderId="23" xfId="0" applyNumberFormat="1" applyFont="1" applyBorder="1" applyAlignment="1">
      <alignment horizontal="center" vertical="center"/>
    </xf>
    <xf numFmtId="2" fontId="2" fillId="0" borderId="23" xfId="0" applyNumberFormat="1" applyFont="1" applyBorder="1" applyAlignment="1">
      <alignment horizontal="center" vertical="center"/>
    </xf>
    <xf numFmtId="2" fontId="2" fillId="0" borderId="40" xfId="0" applyNumberFormat="1" applyFont="1" applyBorder="1" applyAlignment="1">
      <alignment horizontal="center" vertical="center"/>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164" fontId="2" fillId="0" borderId="9" xfId="0" applyNumberFormat="1" applyFont="1" applyBorder="1" applyAlignment="1">
      <alignment horizontal="center" vertical="center"/>
    </xf>
    <xf numFmtId="164" fontId="29" fillId="0" borderId="23" xfId="1" applyNumberFormat="1" applyFont="1" applyBorder="1" applyAlignment="1">
      <alignment horizontal="center" vertical="center" wrapText="1"/>
    </xf>
    <xf numFmtId="164" fontId="29" fillId="0" borderId="22" xfId="1" applyNumberFormat="1" applyFont="1" applyBorder="1" applyAlignment="1">
      <alignment horizontal="center" vertical="center" wrapText="1"/>
    </xf>
    <xf numFmtId="164" fontId="29" fillId="0" borderId="40" xfId="1" applyNumberFormat="1" applyFont="1" applyBorder="1" applyAlignment="1">
      <alignment horizontal="center" vertical="center" wrapText="1"/>
    </xf>
    <xf numFmtId="164" fontId="29" fillId="0" borderId="12" xfId="1" applyNumberFormat="1" applyFont="1" applyBorder="1" applyAlignment="1">
      <alignment horizontal="center" vertical="center" wrapText="1"/>
    </xf>
    <xf numFmtId="166" fontId="2" fillId="3" borderId="42" xfId="0" applyNumberFormat="1" applyFont="1" applyFill="1" applyBorder="1" applyAlignment="1">
      <alignment horizontal="center" vertical="center"/>
    </xf>
    <xf numFmtId="166" fontId="2" fillId="3" borderId="43" xfId="0" applyNumberFormat="1" applyFont="1" applyFill="1" applyBorder="1" applyAlignment="1">
      <alignment horizontal="center" vertical="center"/>
    </xf>
    <xf numFmtId="166" fontId="2" fillId="3" borderId="33" xfId="0" applyNumberFormat="1" applyFont="1" applyFill="1" applyBorder="1" applyAlignment="1">
      <alignment horizontal="center" vertical="center"/>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31" xfId="0" applyNumberFormat="1" applyFont="1" applyBorder="1" applyAlignment="1">
      <alignment horizontal="center" vertical="center" wrapText="1"/>
    </xf>
    <xf numFmtId="0" fontId="4" fillId="6" borderId="23"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40" xfId="0" applyFont="1" applyFill="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4" fontId="2" fillId="0" borderId="27"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164" fontId="23" fillId="8" borderId="41"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2" fillId="0" borderId="24" xfId="0" applyNumberFormat="1" applyFont="1" applyBorder="1" applyAlignment="1">
      <alignment horizontal="center" vertical="center"/>
    </xf>
    <xf numFmtId="2" fontId="2" fillId="0" borderId="2" xfId="0" applyNumberFormat="1" applyFont="1" applyBorder="1" applyAlignment="1">
      <alignment horizontal="center" vertical="center"/>
    </xf>
    <xf numFmtId="2" fontId="2" fillId="0" borderId="21" xfId="0" applyNumberFormat="1" applyFont="1" applyBorder="1" applyAlignment="1">
      <alignment horizontal="center" vertical="center"/>
    </xf>
    <xf numFmtId="2" fontId="2" fillId="0" borderId="19"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64" fontId="39" fillId="20" borderId="2"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 fontId="2" fillId="0" borderId="23" xfId="0" applyNumberFormat="1" applyFont="1" applyBorder="1" applyAlignment="1">
      <alignment horizontal="center" vertical="center" wrapText="1"/>
    </xf>
    <xf numFmtId="1" fontId="2" fillId="0" borderId="22" xfId="0" applyNumberFormat="1" applyFont="1" applyBorder="1" applyAlignment="1">
      <alignment horizontal="center" vertical="center" wrapText="1"/>
    </xf>
    <xf numFmtId="1" fontId="2" fillId="0" borderId="20" xfId="0" applyNumberFormat="1" applyFont="1" applyBorder="1" applyAlignment="1">
      <alignment horizontal="center" vertical="center" wrapText="1"/>
    </xf>
    <xf numFmtId="1" fontId="2" fillId="0" borderId="37" xfId="0" applyNumberFormat="1" applyFont="1" applyBorder="1" applyAlignment="1">
      <alignment horizontal="center" vertical="center" wrapText="1"/>
    </xf>
    <xf numFmtId="1" fontId="2" fillId="0" borderId="38" xfId="0" applyNumberFormat="1" applyFont="1" applyBorder="1" applyAlignment="1">
      <alignment horizontal="center" vertical="center" wrapText="1"/>
    </xf>
    <xf numFmtId="1" fontId="2" fillId="0" borderId="39" xfId="0" applyNumberFormat="1" applyFont="1" applyBorder="1" applyAlignment="1">
      <alignment horizontal="center" vertical="center" wrapText="1"/>
    </xf>
    <xf numFmtId="1" fontId="2" fillId="0" borderId="41" xfId="0" applyNumberFormat="1" applyFont="1" applyBorder="1" applyAlignment="1">
      <alignment horizontal="center" vertical="center" wrapText="1"/>
    </xf>
    <xf numFmtId="1" fontId="2" fillId="0" borderId="29" xfId="0" applyNumberFormat="1" applyFont="1" applyBorder="1" applyAlignment="1">
      <alignment horizontal="center" vertical="center" wrapText="1"/>
    </xf>
    <xf numFmtId="1" fontId="2" fillId="0" borderId="30" xfId="0" applyNumberFormat="1" applyFont="1" applyBorder="1" applyAlignment="1">
      <alignment horizontal="center" vertical="center" wrapText="1"/>
    </xf>
    <xf numFmtId="0" fontId="4" fillId="6" borderId="19" xfId="0" applyFont="1" applyFill="1" applyBorder="1" applyAlignment="1">
      <alignment horizontal="center" vertical="center"/>
    </xf>
    <xf numFmtId="164" fontId="2" fillId="0" borderId="20" xfId="0" applyNumberFormat="1" applyFont="1" applyBorder="1" applyAlignment="1">
      <alignment horizontal="center" vertical="center"/>
    </xf>
    <xf numFmtId="164" fontId="2" fillId="0" borderId="31" xfId="0" applyNumberFormat="1" applyFont="1" applyBorder="1" applyAlignment="1">
      <alignment horizontal="center" vertical="center"/>
    </xf>
    <xf numFmtId="1" fontId="2" fillId="3" borderId="24" xfId="0" applyNumberFormat="1" applyFont="1" applyFill="1" applyBorder="1" applyAlignment="1">
      <alignment horizontal="center" vertical="center"/>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 fontId="2" fillId="3" borderId="4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23" fillId="8" borderId="29" xfId="1" applyNumberFormat="1" applyFont="1" applyFill="1" applyBorder="1" applyAlignment="1">
      <alignment horizontal="center" vertical="center" wrapText="1"/>
    </xf>
    <xf numFmtId="164" fontId="23" fillId="11" borderId="36" xfId="1" applyNumberFormat="1" applyFont="1" applyFill="1" applyBorder="1" applyAlignment="1">
      <alignment horizontal="center" vertical="center" wrapText="1"/>
    </xf>
    <xf numFmtId="164" fontId="29" fillId="0" borderId="23"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18" xfId="1" applyNumberFormat="1" applyFont="1" applyBorder="1" applyAlignment="1">
      <alignment horizontal="center" vertical="center"/>
    </xf>
    <xf numFmtId="164" fontId="29" fillId="0" borderId="36" xfId="1" applyNumberFormat="1" applyFont="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64" fontId="29" fillId="0" borderId="40"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34" fillId="14" borderId="43" xfId="1" applyNumberFormat="1" applyFont="1" applyFill="1" applyBorder="1" applyAlignment="1">
      <alignment horizontal="center" vertical="center" wrapText="1"/>
    </xf>
    <xf numFmtId="49" fontId="2" fillId="0" borderId="29" xfId="0" applyNumberFormat="1" applyFont="1" applyBorder="1" applyAlignment="1">
      <alignment horizontal="center" vertical="center"/>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164" fontId="19" fillId="0" borderId="13"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19" fillId="0" borderId="10" xfId="0" applyNumberFormat="1" applyFont="1" applyBorder="1" applyAlignment="1">
      <alignment horizontal="center" vertical="center"/>
    </xf>
    <xf numFmtId="164" fontId="81" fillId="8" borderId="23" xfId="1" applyNumberFormat="1" applyFont="1" applyFill="1" applyBorder="1" applyAlignment="1">
      <alignment horizontal="center" vertical="center" wrapText="1"/>
    </xf>
    <xf numFmtId="164" fontId="81" fillId="8" borderId="20"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2" fillId="0" borderId="2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8" fontId="81" fillId="8" borderId="41" xfId="1" applyNumberFormat="1" applyFont="1" applyFill="1" applyBorder="1" applyAlignment="1">
      <alignment horizontal="center" vertical="center" wrapText="1"/>
    </xf>
    <xf numFmtId="168" fontId="81" fillId="8" borderId="30" xfId="1" applyNumberFormat="1" applyFont="1" applyFill="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0" fontId="4" fillId="6" borderId="22"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0"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7" fontId="2" fillId="3" borderId="41" xfId="0" applyNumberFormat="1" applyFont="1" applyFill="1" applyBorder="1" applyAlignment="1">
      <alignment horizontal="center" vertical="center"/>
    </xf>
    <xf numFmtId="167" fontId="2" fillId="3" borderId="30" xfId="0" applyNumberFormat="1" applyFont="1" applyFill="1" applyBorder="1" applyAlignment="1">
      <alignment horizontal="center" vertical="center"/>
    </xf>
    <xf numFmtId="164" fontId="64" fillId="0" borderId="23" xfId="0"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4" fillId="0" borderId="40" xfId="0" applyNumberFormat="1" applyFont="1" applyBorder="1" applyAlignment="1">
      <alignment horizontal="center" vertical="center"/>
    </xf>
    <xf numFmtId="164" fontId="64" fillId="0" borderId="12" xfId="0" applyNumberFormat="1" applyFont="1" applyBorder="1" applyAlignment="1">
      <alignment horizontal="center" vertical="center"/>
    </xf>
    <xf numFmtId="164" fontId="2" fillId="0" borderId="1" xfId="0" applyNumberFormat="1" applyFont="1" applyBorder="1" applyAlignment="1">
      <alignment horizontal="center" vertical="center" wrapText="1"/>
    </xf>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9" xfId="0" applyFont="1" applyFill="1" applyBorder="1" applyAlignment="1">
      <alignment horizontal="center" vertical="center"/>
    </xf>
    <xf numFmtId="1" fontId="2" fillId="0" borderId="2" xfId="0" applyNumberFormat="1" applyFont="1" applyBorder="1" applyAlignment="1">
      <alignment horizontal="center" vertical="center"/>
    </xf>
    <xf numFmtId="1" fontId="2" fillId="0" borderId="19" xfId="0" applyNumberFormat="1" applyFont="1" applyBorder="1" applyAlignment="1">
      <alignment horizontal="center" vertical="center"/>
    </xf>
    <xf numFmtId="166" fontId="2" fillId="0" borderId="2" xfId="0" applyNumberFormat="1" applyFont="1" applyBorder="1" applyAlignment="1">
      <alignment horizontal="center" vertical="center"/>
    </xf>
    <xf numFmtId="166" fontId="2" fillId="0" borderId="19" xfId="0" applyNumberFormat="1" applyFont="1" applyBorder="1" applyAlignment="1">
      <alignment horizontal="center" vertical="center"/>
    </xf>
    <xf numFmtId="164" fontId="64" fillId="0" borderId="20" xfId="0" applyNumberFormat="1" applyFont="1" applyBorder="1" applyAlignment="1">
      <alignment horizontal="center" vertical="center"/>
    </xf>
    <xf numFmtId="164" fontId="64" fillId="0" borderId="31" xfId="0" applyNumberFormat="1" applyFont="1" applyBorder="1" applyAlignment="1">
      <alignment horizontal="center" vertical="center"/>
    </xf>
    <xf numFmtId="0" fontId="2" fillId="6" borderId="2"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19" xfId="0" applyFont="1" applyFill="1" applyBorder="1" applyAlignment="1">
      <alignment horizontal="center" vertical="center"/>
    </xf>
    <xf numFmtId="164" fontId="61" fillId="0" borderId="41" xfId="0" applyNumberFormat="1" applyFont="1" applyBorder="1" applyAlignment="1">
      <alignment horizontal="center" vertical="center"/>
    </xf>
    <xf numFmtId="164" fontId="61" fillId="0" borderId="29" xfId="0" applyNumberFormat="1" applyFont="1" applyBorder="1" applyAlignment="1">
      <alignment horizontal="center" vertical="center"/>
    </xf>
    <xf numFmtId="164" fontId="61" fillId="0" borderId="30" xfId="0" applyNumberFormat="1" applyFont="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164" fontId="74"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164" fontId="81" fillId="8" borderId="29" xfId="1" applyNumberFormat="1" applyFont="1" applyFill="1" applyBorder="1" applyAlignment="1">
      <alignment horizontal="center" vertical="center" wrapText="1"/>
    </xf>
    <xf numFmtId="164" fontId="123" fillId="21" borderId="23" xfId="1" applyNumberFormat="1" applyFont="1" applyFill="1" applyBorder="1" applyAlignment="1">
      <alignment horizontal="center" vertical="center" wrapText="1"/>
    </xf>
    <xf numFmtId="164" fontId="123" fillId="21" borderId="20" xfId="1" applyNumberFormat="1" applyFont="1" applyFill="1" applyBorder="1" applyAlignment="1">
      <alignment horizontal="center" vertical="center" wrapText="1"/>
    </xf>
    <xf numFmtId="164" fontId="123" fillId="21" borderId="41" xfId="1" applyNumberFormat="1" applyFont="1" applyFill="1" applyBorder="1" applyAlignment="1">
      <alignment horizontal="center" vertical="center" wrapText="1"/>
    </xf>
    <xf numFmtId="164" fontId="123" fillId="21" borderId="30" xfId="1" applyNumberFormat="1" applyFont="1" applyFill="1" applyBorder="1" applyAlignment="1">
      <alignment horizontal="center" vertical="center" wrapText="1"/>
    </xf>
    <xf numFmtId="0" fontId="2" fillId="0" borderId="23"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18" xfId="0" applyFont="1" applyBorder="1" applyAlignment="1">
      <alignment horizontal="center" vertical="center"/>
    </xf>
    <xf numFmtId="0" fontId="2" fillId="0" borderId="36" xfId="0" applyFont="1" applyBorder="1" applyAlignment="1">
      <alignment horizontal="center" vertical="center"/>
    </xf>
    <xf numFmtId="166" fontId="2" fillId="0" borderId="23" xfId="0" applyNumberFormat="1" applyFont="1" applyBorder="1" applyAlignment="1">
      <alignment horizontal="center" vertical="center" wrapText="1"/>
    </xf>
    <xf numFmtId="166" fontId="2" fillId="0" borderId="20" xfId="0" applyNumberFormat="1" applyFont="1" applyBorder="1" applyAlignment="1">
      <alignment horizontal="center" vertical="center" wrapText="1"/>
    </xf>
    <xf numFmtId="166" fontId="2" fillId="0" borderId="18" xfId="0" applyNumberFormat="1" applyFont="1" applyBorder="1" applyAlignment="1">
      <alignment horizontal="center" vertical="center" wrapText="1"/>
    </xf>
    <xf numFmtId="166" fontId="2" fillId="0" borderId="36" xfId="0" applyNumberFormat="1" applyFont="1" applyBorder="1" applyAlignment="1">
      <alignment horizontal="center" vertical="center" wrapText="1"/>
    </xf>
    <xf numFmtId="166" fontId="2" fillId="0" borderId="37" xfId="0" applyNumberFormat="1" applyFont="1" applyBorder="1" applyAlignment="1">
      <alignment horizontal="center" vertical="center" wrapText="1"/>
    </xf>
    <xf numFmtId="166" fontId="2" fillId="0" borderId="39" xfId="0" applyNumberFormat="1" applyFont="1" applyBorder="1" applyAlignment="1">
      <alignment horizontal="center" vertical="center" wrapText="1"/>
    </xf>
    <xf numFmtId="166" fontId="2" fillId="0" borderId="1" xfId="0" applyNumberFormat="1" applyFont="1" applyBorder="1" applyAlignment="1">
      <alignment horizontal="center" vertical="center"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0" fontId="2" fillId="0" borderId="19" xfId="0" applyFont="1" applyBorder="1" applyAlignment="1">
      <alignment horizontal="center" vertical="center"/>
    </xf>
    <xf numFmtId="167" fontId="2" fillId="0" borderId="1" xfId="0" applyNumberFormat="1" applyFont="1" applyBorder="1" applyAlignment="1">
      <alignment horizontal="center" vertical="center" wrapText="1"/>
    </xf>
    <xf numFmtId="166" fontId="2" fillId="0" borderId="2" xfId="0" applyNumberFormat="1" applyFont="1" applyBorder="1" applyAlignment="1">
      <alignment horizontal="center" vertical="center" wrapText="1"/>
    </xf>
    <xf numFmtId="166" fontId="2" fillId="0" borderId="21" xfId="0" applyNumberFormat="1" applyFont="1" applyBorder="1" applyAlignment="1">
      <alignment horizontal="center" vertical="center" wrapText="1"/>
    </xf>
    <xf numFmtId="166" fontId="2" fillId="0" borderId="19" xfId="0" applyNumberFormat="1" applyFont="1" applyBorder="1" applyAlignment="1">
      <alignment horizontal="center" vertical="center" wrapText="1"/>
    </xf>
    <xf numFmtId="167" fontId="2" fillId="0" borderId="1" xfId="0" applyNumberFormat="1" applyFont="1" applyBorder="1" applyAlignment="1">
      <alignment horizontal="center" vertical="center"/>
    </xf>
    <xf numFmtId="0" fontId="2" fillId="2" borderId="2" xfId="0" applyFont="1" applyFill="1" applyBorder="1" applyAlignment="1">
      <alignment horizontal="center" vertical="center"/>
    </xf>
    <xf numFmtId="0" fontId="2" fillId="2" borderId="21" xfId="0" applyFont="1" applyFill="1" applyBorder="1" applyAlignment="1">
      <alignment horizontal="center" vertical="center"/>
    </xf>
    <xf numFmtId="0" fontId="2" fillId="2" borderId="19" xfId="0" applyFont="1" applyFill="1" applyBorder="1" applyAlignment="1">
      <alignment horizontal="center" vertical="center"/>
    </xf>
    <xf numFmtId="2" fontId="2" fillId="2" borderId="1" xfId="0" applyNumberFormat="1" applyFont="1" applyFill="1" applyBorder="1" applyAlignment="1">
      <alignment horizontal="center" vertical="center"/>
    </xf>
    <xf numFmtId="164" fontId="2" fillId="0" borderId="2" xfId="0" applyNumberFormat="1" applyFont="1" applyBorder="1" applyAlignment="1">
      <alignment horizontal="center" vertical="center"/>
    </xf>
    <xf numFmtId="164" fontId="2" fillId="0" borderId="21" xfId="0" applyNumberFormat="1" applyFont="1" applyBorder="1" applyAlignment="1">
      <alignment horizontal="center" vertical="center"/>
    </xf>
    <xf numFmtId="164" fontId="2" fillId="0" borderId="19" xfId="0" applyNumberFormat="1" applyFont="1" applyBorder="1" applyAlignment="1">
      <alignment horizontal="center" vertical="center"/>
    </xf>
    <xf numFmtId="168" fontId="2" fillId="0" borderId="2" xfId="0" applyNumberFormat="1" applyFont="1" applyBorder="1" applyAlignment="1">
      <alignment horizontal="center" vertical="center"/>
    </xf>
    <xf numFmtId="168" fontId="2" fillId="0" borderId="21" xfId="0" applyNumberFormat="1" applyFont="1" applyBorder="1" applyAlignment="1">
      <alignment horizontal="center" vertical="center"/>
    </xf>
    <xf numFmtId="168" fontId="2" fillId="0" borderId="19" xfId="0" applyNumberFormat="1" applyFont="1" applyBorder="1" applyAlignment="1">
      <alignment horizontal="center" vertical="center"/>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0"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164" fontId="114" fillId="14" borderId="41" xfId="1" applyNumberFormat="1" applyFont="1" applyFill="1" applyBorder="1" applyAlignment="1">
      <alignment horizontal="center" vertical="center" wrapText="1"/>
    </xf>
    <xf numFmtId="164" fontId="114" fillId="14" borderId="30" xfId="1" applyNumberFormat="1" applyFont="1" applyFill="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164" fontId="114" fillId="14" borderId="29" xfId="1" applyNumberFormat="1" applyFont="1" applyFill="1" applyBorder="1" applyAlignment="1">
      <alignment horizontal="center" vertical="center" wrapText="1"/>
    </xf>
    <xf numFmtId="2" fontId="2" fillId="0" borderId="37" xfId="0" applyNumberFormat="1" applyFont="1" applyBorder="1" applyAlignment="1">
      <alignment horizontal="center" vertical="center"/>
    </xf>
    <xf numFmtId="2" fontId="2" fillId="2" borderId="23" xfId="0" applyNumberFormat="1" applyFont="1" applyFill="1" applyBorder="1" applyAlignment="1">
      <alignment horizontal="center" vertical="center"/>
    </xf>
    <xf numFmtId="2" fontId="2" fillId="2" borderId="37" xfId="0" applyNumberFormat="1" applyFont="1" applyFill="1" applyBorder="1" applyAlignment="1">
      <alignment horizontal="center" vertical="center"/>
    </xf>
    <xf numFmtId="2" fontId="2" fillId="0" borderId="1" xfId="0" applyNumberFormat="1" applyFont="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2" fillId="0" borderId="9" xfId="0" applyNumberFormat="1" applyFont="1" applyBorder="1" applyAlignment="1">
      <alignment horizontal="center" vertical="center" wrapText="1"/>
    </xf>
    <xf numFmtId="165" fontId="2" fillId="3" borderId="24" xfId="0" applyNumberFormat="1" applyFont="1" applyFill="1" applyBorder="1" applyAlignment="1">
      <alignment horizontal="center" vertical="center"/>
    </xf>
    <xf numFmtId="0" fontId="21" fillId="0"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0" fontId="2" fillId="6" borderId="22" xfId="0" applyFont="1" applyFill="1" applyBorder="1" applyAlignment="1">
      <alignment horizontal="center" vertical="center"/>
    </xf>
    <xf numFmtId="0" fontId="2" fillId="6" borderId="38" xfId="0" applyFont="1" applyFill="1" applyBorder="1" applyAlignment="1">
      <alignment horizontal="center" vertical="center"/>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0" fontId="4" fillId="22" borderId="33" xfId="0" applyFont="1" applyFill="1" applyBorder="1" applyAlignment="1">
      <alignment horizontal="center" vertical="center"/>
    </xf>
    <xf numFmtId="164" fontId="96" fillId="10" borderId="41" xfId="1" applyNumberFormat="1" applyFont="1" applyFill="1" applyBorder="1" applyAlignment="1">
      <alignment horizontal="center" vertical="center" wrapText="1"/>
    </xf>
    <xf numFmtId="164" fontId="96" fillId="10" borderId="29" xfId="1" applyNumberFormat="1" applyFont="1" applyFill="1" applyBorder="1" applyAlignment="1">
      <alignment horizontal="center" vertical="center" wrapText="1"/>
    </xf>
    <xf numFmtId="164" fontId="96" fillId="10" borderId="30" xfId="1" applyNumberFormat="1" applyFont="1" applyFill="1" applyBorder="1" applyAlignment="1">
      <alignment horizontal="center" vertical="center" wrapText="1"/>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4" fontId="2" fillId="0" borderId="41"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164" fontId="34" fillId="10" borderId="53" xfId="1" applyNumberFormat="1" applyFont="1" applyFill="1" applyBorder="1" applyAlignment="1">
      <alignment horizontal="center" vertical="center" wrapText="1"/>
    </xf>
    <xf numFmtId="164" fontId="34" fillId="10" borderId="43"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64" fontId="29" fillId="0" borderId="22" xfId="1" applyNumberFormat="1" applyFont="1" applyBorder="1" applyAlignment="1">
      <alignment horizontal="center" vertical="center"/>
    </xf>
    <xf numFmtId="164" fontId="29" fillId="0" borderId="12" xfId="1" applyNumberFormat="1" applyFont="1" applyBorder="1" applyAlignment="1">
      <alignment horizontal="center" vertical="center"/>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34" fillId="13" borderId="1" xfId="1" applyNumberFormat="1" applyFont="1" applyFill="1" applyBorder="1" applyAlignment="1">
      <alignment horizontal="center" vertical="center" wrapText="1"/>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9" fillId="0" borderId="0" xfId="1" applyNumberFormat="1" applyFont="1" applyBorder="1" applyAlignment="1">
      <alignment horizontal="center" vertical="center"/>
    </xf>
    <xf numFmtId="1" fontId="2" fillId="0"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64" fontId="30" fillId="0" borderId="1" xfId="1" applyNumberFormat="1" applyFont="1" applyBorder="1" applyAlignment="1">
      <alignment horizontal="center" vertical="center"/>
    </xf>
    <xf numFmtId="164" fontId="114" fillId="14" borderId="1" xfId="1"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0" fontId="2" fillId="6" borderId="0" xfId="0" applyFont="1" applyFill="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164" fontId="81" fillId="8" borderId="22"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4" fontId="81" fillId="8" borderId="38" xfId="1" applyNumberFormat="1" applyFont="1" applyFill="1" applyBorder="1" applyAlignment="1">
      <alignment horizontal="center" vertical="center" wrapText="1"/>
    </xf>
    <xf numFmtId="164" fontId="81" fillId="8" borderId="39" xfId="1" applyNumberFormat="1" applyFont="1" applyFill="1" applyBorder="1" applyAlignment="1">
      <alignment horizontal="center" vertical="center" wrapText="1"/>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xf>
    <xf numFmtId="164" fontId="23" fillId="8" borderId="50" xfId="1" applyNumberFormat="1" applyFont="1" applyFill="1" applyBorder="1" applyAlignment="1">
      <alignment horizontal="center" vertical="center" wrapText="1"/>
    </xf>
    <xf numFmtId="164" fontId="62" fillId="0" borderId="1" xfId="0" applyNumberFormat="1" applyFont="1" applyBorder="1" applyAlignment="1">
      <alignment horizontal="center" vertical="center"/>
    </xf>
    <xf numFmtId="166" fontId="81" fillId="8" borderId="37" xfId="1" applyNumberFormat="1" applyFont="1" applyFill="1" applyBorder="1" applyAlignment="1">
      <alignment horizontal="center" vertical="center" wrapText="1"/>
    </xf>
    <xf numFmtId="166" fontId="81" fillId="8" borderId="38" xfId="1" applyNumberFormat="1" applyFont="1" applyFill="1" applyBorder="1" applyAlignment="1">
      <alignment horizontal="center" vertical="center" wrapText="1"/>
    </xf>
    <xf numFmtId="166" fontId="81" fillId="8" borderId="39" xfId="1" applyNumberFormat="1" applyFont="1" applyFill="1" applyBorder="1" applyAlignment="1">
      <alignment horizontal="center" vertical="center" wrapText="1"/>
    </xf>
    <xf numFmtId="164" fontId="81" fillId="8" borderId="43" xfId="1" applyNumberFormat="1" applyFont="1" applyFill="1" applyBorder="1" applyAlignment="1">
      <alignment horizontal="center" vertical="center" wrapText="1"/>
    </xf>
    <xf numFmtId="164" fontId="2" fillId="0" borderId="41" xfId="0" applyNumberFormat="1" applyFont="1" applyBorder="1" applyAlignment="1">
      <alignment horizontal="center" vertical="center" wrapText="1"/>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6" fontId="2" fillId="3" borderId="19" xfId="0" applyNumberFormat="1" applyFont="1" applyFill="1" applyBorder="1" applyAlignment="1">
      <alignment horizontal="center" vertical="center"/>
    </xf>
    <xf numFmtId="0" fontId="2" fillId="0" borderId="41"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164" fontId="81" fillId="8" borderId="21" xfId="1" applyNumberFormat="1" applyFont="1" applyFill="1" applyBorder="1" applyAlignment="1">
      <alignment horizontal="center" vertical="center" wrapText="1"/>
    </xf>
    <xf numFmtId="167" fontId="2" fillId="3" borderId="18" xfId="0" applyNumberFormat="1" applyFont="1" applyFill="1" applyBorder="1" applyAlignment="1">
      <alignment horizontal="center" vertical="center"/>
    </xf>
    <xf numFmtId="167" fontId="2" fillId="3" borderId="36" xfId="0" applyNumberFormat="1" applyFont="1" applyFill="1" applyBorder="1" applyAlignment="1">
      <alignment horizontal="center" vertical="center"/>
    </xf>
    <xf numFmtId="164" fontId="81" fillId="8" borderId="18" xfId="1" applyNumberFormat="1" applyFont="1" applyFill="1" applyBorder="1" applyAlignment="1">
      <alignment horizontal="center" vertical="center" wrapText="1"/>
    </xf>
    <xf numFmtId="164" fontId="81" fillId="8" borderId="0" xfId="1" applyNumberFormat="1" applyFont="1" applyFill="1" applyBorder="1" applyAlignment="1">
      <alignment horizontal="center" vertical="center" wrapText="1"/>
    </xf>
    <xf numFmtId="164" fontId="81" fillId="8" borderId="36" xfId="1" applyNumberFormat="1" applyFont="1" applyFill="1" applyBorder="1" applyAlignment="1">
      <alignment horizontal="center" vertical="center" wrapText="1"/>
    </xf>
    <xf numFmtId="1" fontId="2" fillId="3" borderId="21" xfId="0" applyNumberFormat="1" applyFont="1" applyFill="1" applyBorder="1" applyAlignment="1">
      <alignment horizontal="center" vertical="center"/>
    </xf>
    <xf numFmtId="168" fontId="2" fillId="3" borderId="21" xfId="0" applyNumberFormat="1" applyFont="1" applyFill="1" applyBorder="1" applyAlignment="1">
      <alignment horizontal="center" vertical="center"/>
    </xf>
    <xf numFmtId="1" fontId="2" fillId="0" borderId="1" xfId="0" applyNumberFormat="1" applyFont="1" applyBorder="1" applyAlignment="1">
      <alignment horizontal="center" vertical="center" wrapText="1"/>
    </xf>
    <xf numFmtId="168" fontId="2" fillId="0" borderId="23" xfId="0" applyNumberFormat="1" applyFont="1" applyBorder="1" applyAlignment="1">
      <alignment horizontal="center" vertical="center"/>
    </xf>
    <xf numFmtId="168" fontId="2" fillId="0" borderId="37" xfId="0" applyNumberFormat="1" applyFont="1" applyBorder="1" applyAlignment="1">
      <alignment horizontal="center" vertical="center"/>
    </xf>
    <xf numFmtId="164" fontId="2" fillId="0" borderId="36" xfId="0" applyNumberFormat="1" applyFont="1" applyBorder="1" applyAlignment="1">
      <alignment horizontal="center" vertical="center"/>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0" fontId="21" fillId="0" borderId="18" xfId="0" applyFont="1" applyFill="1" applyBorder="1" applyAlignment="1">
      <alignment horizontal="center" vertical="center"/>
    </xf>
    <xf numFmtId="0" fontId="21" fillId="0" borderId="0" xfId="0" applyFont="1" applyFill="1" applyBorder="1" applyAlignment="1">
      <alignment horizontal="center" vertical="center"/>
    </xf>
    <xf numFmtId="0" fontId="21" fillId="0" borderId="36" xfId="0" applyFont="1" applyFill="1" applyBorder="1" applyAlignment="1">
      <alignment horizontal="center" vertical="center"/>
    </xf>
    <xf numFmtId="167" fontId="2" fillId="3" borderId="29" xfId="0" applyNumberFormat="1" applyFont="1" applyFill="1" applyBorder="1" applyAlignment="1">
      <alignment horizontal="center" vertical="center"/>
    </xf>
    <xf numFmtId="168" fontId="81" fillId="8" borderId="1" xfId="1" applyNumberFormat="1" applyFont="1" applyFill="1" applyBorder="1" applyAlignment="1">
      <alignment horizontal="center" vertical="center" wrapText="1"/>
    </xf>
    <xf numFmtId="164" fontId="2" fillId="0" borderId="24" xfId="0" applyNumberFormat="1" applyFont="1" applyBorder="1" applyAlignment="1">
      <alignment horizontal="center" vertical="center" wrapText="1"/>
    </xf>
    <xf numFmtId="164" fontId="39" fillId="0" borderId="23" xfId="1" applyNumberFormat="1" applyFont="1" applyBorder="1" applyAlignment="1">
      <alignment horizontal="center" vertical="center"/>
    </xf>
    <xf numFmtId="164" fontId="39" fillId="0" borderId="20"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8" fontId="2" fillId="3" borderId="1"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0" xfId="0" applyNumberFormat="1" applyFont="1" applyBorder="1" applyAlignment="1">
      <alignment horizontal="center" vertical="center"/>
    </xf>
    <xf numFmtId="164" fontId="81" fillId="8" borderId="24"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xf>
    <xf numFmtId="2" fontId="2" fillId="3" borderId="19" xfId="0" applyNumberFormat="1" applyFont="1" applyFill="1" applyBorder="1" applyAlignment="1">
      <alignment horizontal="center" vertical="center"/>
    </xf>
    <xf numFmtId="164" fontId="23" fillId="11" borderId="21" xfId="1" applyNumberFormat="1" applyFont="1" applyFill="1" applyBorder="1" applyAlignment="1">
      <alignment horizontal="center" vertical="center" wrapText="1"/>
    </xf>
    <xf numFmtId="164" fontId="2" fillId="0" borderId="13" xfId="0" applyNumberFormat="1" applyFont="1" applyBorder="1" applyAlignment="1">
      <alignment horizontal="center" vertical="center"/>
    </xf>
    <xf numFmtId="164" fontId="2" fillId="0" borderId="14"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51" fillId="0" borderId="23" xfId="1" applyNumberFormat="1" applyFont="1" applyBorder="1" applyAlignment="1">
      <alignment horizontal="center" vertical="center"/>
    </xf>
    <xf numFmtId="164" fontId="51" fillId="0" borderId="22"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12" xfId="1" applyNumberFormat="1" applyFont="1" applyBorder="1" applyAlignment="1">
      <alignment horizontal="center" vertical="center"/>
    </xf>
    <xf numFmtId="164" fontId="51" fillId="0" borderId="31" xfId="1" applyNumberFormat="1" applyFont="1" applyBorder="1" applyAlignment="1">
      <alignment horizontal="center" vertical="center"/>
    </xf>
    <xf numFmtId="164" fontId="29" fillId="0" borderId="23" xfId="0" applyNumberFormat="1" applyFont="1" applyBorder="1" applyAlignment="1">
      <alignment horizontal="center" vertical="center"/>
    </xf>
    <xf numFmtId="164" fontId="29" fillId="0" borderId="2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9" fillId="0" borderId="31" xfId="0"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167" fontId="2" fillId="3" borderId="24" xfId="0" applyNumberFormat="1" applyFont="1" applyFill="1" applyBorder="1" applyAlignment="1">
      <alignment horizontal="center" vertical="center"/>
    </xf>
    <xf numFmtId="164" fontId="26" fillId="0" borderId="11"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26" fillId="0" borderId="10" xfId="0" applyNumberFormat="1" applyFont="1" applyBorder="1" applyAlignment="1">
      <alignment horizontal="center" vertical="center"/>
    </xf>
    <xf numFmtId="167" fontId="2" fillId="3" borderId="19" xfId="0" applyNumberFormat="1" applyFont="1" applyFill="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64" fontId="62" fillId="0" borderId="23"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0" fontId="68" fillId="3" borderId="23" xfId="1" applyFont="1" applyFill="1" applyBorder="1" applyAlignment="1">
      <alignment horizontal="center" vertical="center"/>
    </xf>
    <xf numFmtId="0" fontId="68" fillId="3" borderId="20" xfId="1" applyFont="1" applyFill="1" applyBorder="1" applyAlignment="1">
      <alignment horizontal="center" vertical="center"/>
    </xf>
    <xf numFmtId="0" fontId="68" fillId="3" borderId="18" xfId="1" applyFont="1" applyFill="1" applyBorder="1" applyAlignment="1">
      <alignment horizontal="center" vertical="center"/>
    </xf>
    <xf numFmtId="0" fontId="68" fillId="3" borderId="36" xfId="1" applyFont="1" applyFill="1" applyBorder="1" applyAlignment="1">
      <alignment horizontal="center" vertical="center"/>
    </xf>
    <xf numFmtId="164" fontId="45" fillId="0" borderId="11"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45" fillId="0" borderId="10" xfId="0" applyNumberFormat="1" applyFont="1" applyBorder="1" applyAlignment="1">
      <alignment horizontal="center" vertical="center"/>
    </xf>
    <xf numFmtId="164" fontId="62" fillId="0" borderId="20" xfId="0" applyNumberFormat="1" applyFont="1" applyBorder="1" applyAlignment="1">
      <alignment horizontal="center" vertical="center"/>
    </xf>
    <xf numFmtId="164" fontId="62" fillId="0" borderId="31" xfId="0" applyNumberFormat="1" applyFont="1" applyBorder="1" applyAlignment="1">
      <alignment horizontal="center" vertical="center"/>
    </xf>
    <xf numFmtId="164" fontId="89" fillId="12" borderId="23" xfId="1" applyNumberFormat="1" applyFont="1" applyFill="1" applyBorder="1" applyAlignment="1">
      <alignment horizontal="center" vertical="center" wrapText="1"/>
    </xf>
    <xf numFmtId="164" fontId="89" fillId="12" borderId="22" xfId="1" applyNumberFormat="1" applyFont="1" applyFill="1" applyBorder="1" applyAlignment="1">
      <alignment horizontal="center" vertical="center" wrapText="1"/>
    </xf>
    <xf numFmtId="164" fontId="89" fillId="12" borderId="20" xfId="1" applyNumberFormat="1" applyFont="1" applyFill="1" applyBorder="1" applyAlignment="1">
      <alignment horizontal="center" vertical="center" wrapText="1"/>
    </xf>
    <xf numFmtId="164" fontId="89" fillId="12" borderId="18" xfId="1" applyNumberFormat="1" applyFont="1" applyFill="1" applyBorder="1" applyAlignment="1">
      <alignment horizontal="center" vertical="center" wrapText="1"/>
    </xf>
    <xf numFmtId="164" fontId="89" fillId="12" borderId="0" xfId="1" applyNumberFormat="1" applyFont="1" applyFill="1" applyBorder="1" applyAlignment="1">
      <alignment horizontal="center" vertical="center" wrapText="1"/>
    </xf>
    <xf numFmtId="164" fontId="89" fillId="12" borderId="36" xfId="1" applyNumberFormat="1" applyFont="1" applyFill="1" applyBorder="1" applyAlignment="1">
      <alignment horizontal="center" vertical="center" wrapText="1"/>
    </xf>
    <xf numFmtId="164" fontId="89" fillId="12" borderId="37" xfId="1" applyNumberFormat="1" applyFont="1" applyFill="1" applyBorder="1" applyAlignment="1">
      <alignment horizontal="center" vertical="center" wrapText="1"/>
    </xf>
    <xf numFmtId="164" fontId="89" fillId="12" borderId="38" xfId="1" applyNumberFormat="1" applyFont="1" applyFill="1" applyBorder="1" applyAlignment="1">
      <alignment horizontal="center" vertical="center" wrapText="1"/>
    </xf>
    <xf numFmtId="164" fontId="89" fillId="12" borderId="39" xfId="1" applyNumberFormat="1" applyFont="1" applyFill="1" applyBorder="1" applyAlignment="1">
      <alignment horizontal="center" vertical="center" wrapText="1"/>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170" fontId="2" fillId="0" borderId="1" xfId="0" applyNumberFormat="1" applyFont="1" applyBorder="1" applyAlignment="1">
      <alignment horizontal="center" vertical="center"/>
    </xf>
    <xf numFmtId="164" fontId="34" fillId="10" borderId="29" xfId="1" applyNumberFormat="1" applyFont="1" applyFill="1" applyBorder="1" applyAlignment="1">
      <alignment horizontal="center" vertical="center" wrapText="1"/>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26" fillId="0" borderId="38" xfId="0" applyNumberFormat="1" applyFont="1" applyBorder="1" applyAlignment="1">
      <alignment horizontal="center" vertical="center"/>
    </xf>
    <xf numFmtId="164" fontId="26" fillId="0" borderId="58" xfId="0" applyNumberFormat="1" applyFont="1" applyBorder="1" applyAlignment="1">
      <alignment horizontal="center" vertical="center"/>
    </xf>
    <xf numFmtId="164" fontId="23" fillId="11" borderId="39" xfId="1" applyNumberFormat="1" applyFont="1" applyFill="1" applyBorder="1" applyAlignment="1">
      <alignment horizontal="center" vertical="center" wrapText="1"/>
    </xf>
    <xf numFmtId="174" fontId="2" fillId="2" borderId="67" xfId="0" applyNumberFormat="1" applyFont="1" applyFill="1" applyBorder="1" applyAlignment="1">
      <alignment horizontal="center" vertical="center"/>
    </xf>
    <xf numFmtId="174" fontId="2" fillId="2" borderId="38" xfId="0" applyNumberFormat="1" applyFont="1" applyFill="1" applyBorder="1" applyAlignment="1">
      <alignment horizontal="center" vertical="center"/>
    </xf>
    <xf numFmtId="174" fontId="2" fillId="2" borderId="58" xfId="0" applyNumberFormat="1" applyFont="1" applyFill="1" applyBorder="1" applyAlignment="1">
      <alignment horizontal="center" vertical="center"/>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114" fillId="14" borderId="37" xfId="1" applyNumberFormat="1" applyFont="1" applyFill="1" applyBorder="1" applyAlignment="1">
      <alignment horizontal="center" vertical="center" wrapText="1"/>
    </xf>
    <xf numFmtId="164" fontId="114" fillId="14" borderId="39" xfId="1" applyNumberFormat="1" applyFont="1" applyFill="1" applyBorder="1" applyAlignment="1">
      <alignment horizontal="center" vertical="center" wrapText="1"/>
    </xf>
    <xf numFmtId="2" fontId="2" fillId="3" borderId="29" xfId="0" applyNumberFormat="1" applyFont="1" applyFill="1" applyBorder="1" applyAlignment="1">
      <alignment horizontal="center" vertical="center"/>
    </xf>
    <xf numFmtId="164" fontId="26" fillId="0" borderId="13"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49" fontId="2" fillId="0" borderId="1" xfId="0" applyNumberFormat="1" applyFont="1" applyBorder="1" applyAlignment="1">
      <alignment horizontal="center" vertical="center"/>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2" fontId="2" fillId="3" borderId="37" xfId="0" applyNumberFormat="1" applyFont="1" applyFill="1" applyBorder="1" applyAlignment="1">
      <alignment horizontal="center" vertical="center"/>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8" fontId="81" fillId="8" borderId="42" xfId="1" applyNumberFormat="1" applyFont="1" applyFill="1" applyBorder="1" applyAlignment="1">
      <alignment horizontal="center" vertical="center" wrapText="1"/>
    </xf>
    <xf numFmtId="168" fontId="81" fillId="8" borderId="33" xfId="1" applyNumberFormat="1" applyFont="1" applyFill="1" applyBorder="1" applyAlignment="1">
      <alignment horizontal="center" vertical="center" wrapText="1"/>
    </xf>
    <xf numFmtId="1" fontId="2" fillId="3" borderId="29" xfId="0" applyNumberFormat="1" applyFont="1" applyFill="1" applyBorder="1" applyAlignment="1">
      <alignment horizontal="center" vertical="center"/>
    </xf>
    <xf numFmtId="1" fontId="99" fillId="3" borderId="23" xfId="0" applyNumberFormat="1" applyFont="1" applyFill="1" applyBorder="1" applyAlignment="1">
      <alignment horizontal="center" vertical="center"/>
    </xf>
    <xf numFmtId="1" fontId="99" fillId="3" borderId="20" xfId="0" applyNumberFormat="1" applyFont="1" applyFill="1" applyBorder="1" applyAlignment="1">
      <alignment horizontal="center" vertical="center"/>
    </xf>
    <xf numFmtId="1" fontId="99" fillId="3" borderId="37" xfId="0" applyNumberFormat="1" applyFont="1" applyFill="1" applyBorder="1" applyAlignment="1">
      <alignment horizontal="center" vertical="center"/>
    </xf>
    <xf numFmtId="1" fontId="99" fillId="3" borderId="39" xfId="0" applyNumberFormat="1" applyFont="1" applyFill="1" applyBorder="1" applyAlignment="1">
      <alignment horizontal="center" vertical="center"/>
    </xf>
    <xf numFmtId="0" fontId="68" fillId="3" borderId="22" xfId="1" applyFont="1" applyFill="1" applyBorder="1" applyAlignment="1">
      <alignment horizontal="center" vertical="center"/>
    </xf>
    <xf numFmtId="0" fontId="68" fillId="3" borderId="40" xfId="1" applyFont="1" applyFill="1" applyBorder="1" applyAlignment="1">
      <alignment horizontal="center" vertical="center"/>
    </xf>
    <xf numFmtId="0" fontId="68" fillId="3" borderId="12" xfId="1" applyFont="1" applyFill="1" applyBorder="1" applyAlignment="1">
      <alignment horizontal="center" vertical="center"/>
    </xf>
    <xf numFmtId="0" fontId="68" fillId="3" borderId="31" xfId="1" applyFont="1" applyFill="1" applyBorder="1" applyAlignment="1">
      <alignment horizontal="center" vertical="center"/>
    </xf>
    <xf numFmtId="164" fontId="18" fillId="20" borderId="41" xfId="0" applyNumberFormat="1" applyFont="1" applyFill="1" applyBorder="1" applyAlignment="1">
      <alignment horizontal="center" vertical="center" wrapText="1"/>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2" fontId="96" fillId="10" borderId="1" xfId="1" applyNumberFormat="1" applyFont="1" applyFill="1" applyBorder="1" applyAlignment="1">
      <alignment horizontal="center" vertical="center" wrapText="1"/>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0" fontId="2" fillId="0" borderId="41"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1" xfId="0" applyFont="1" applyBorder="1" applyAlignment="1">
      <alignment horizontal="center" vertical="center" wrapText="1"/>
    </xf>
    <xf numFmtId="168" fontId="2" fillId="3" borderId="24" xfId="0" applyNumberFormat="1" applyFont="1" applyFill="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164" fontId="30" fillId="0" borderId="24" xfId="1" applyNumberFormat="1" applyFont="1" applyBorder="1" applyAlignment="1">
      <alignment horizontal="center" vertical="center"/>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4" fontId="18" fillId="0" borderId="27" xfId="0" applyNumberFormat="1" applyFont="1" applyBorder="1" applyAlignment="1">
      <alignment horizontal="center" vertical="center"/>
    </xf>
    <xf numFmtId="164" fontId="18" fillId="0" borderId="8"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4" fontId="23" fillId="21" borderId="1" xfId="1" applyNumberFormat="1" applyFont="1" applyFill="1" applyBorder="1" applyAlignment="1">
      <alignment horizontal="center" vertical="center" wrapText="1"/>
    </xf>
    <xf numFmtId="2" fontId="81" fillId="8" borderId="41" xfId="1" applyNumberFormat="1" applyFont="1" applyFill="1" applyBorder="1" applyAlignment="1">
      <alignment horizontal="center" vertical="center" wrapText="1"/>
    </xf>
    <xf numFmtId="2" fontId="81" fillId="8" borderId="30" xfId="1" applyNumberFormat="1" applyFont="1" applyFill="1" applyBorder="1" applyAlignment="1">
      <alignment horizontal="center" vertical="center" wrapText="1"/>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0" fontId="4" fillId="22" borderId="24" xfId="0" applyFont="1" applyFill="1" applyBorder="1" applyAlignment="1">
      <alignment horizontal="center" vertical="center"/>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 fillId="0" borderId="11" xfId="0" applyNumberFormat="1" applyFont="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81" fillId="8" borderId="19" xfId="1" applyNumberFormat="1" applyFont="1" applyFill="1" applyBorder="1" applyAlignment="1">
      <alignment horizontal="center" vertical="center" wrapText="1"/>
    </xf>
    <xf numFmtId="164" fontId="34" fillId="10" borderId="42" xfId="1" applyNumberFormat="1" applyFont="1" applyFill="1" applyBorder="1" applyAlignment="1">
      <alignment horizontal="center" vertical="center" wrapText="1"/>
    </xf>
    <xf numFmtId="164" fontId="30" fillId="0" borderId="22" xfId="1" applyNumberFormat="1" applyFont="1" applyBorder="1" applyAlignment="1">
      <alignment horizontal="center" vertical="center"/>
    </xf>
    <xf numFmtId="164" fontId="30" fillId="0" borderId="12" xfId="1" applyNumberFormat="1" applyFont="1" applyBorder="1" applyAlignment="1">
      <alignment horizontal="center" vertical="center"/>
    </xf>
    <xf numFmtId="164" fontId="39" fillId="0" borderId="13"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39" fillId="0" borderId="10" xfId="0" applyNumberFormat="1" applyFont="1" applyBorder="1" applyAlignment="1">
      <alignment horizontal="center" vertical="center"/>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51" xfId="0" applyNumberFormat="1" applyFont="1" applyBorder="1" applyAlignment="1">
      <alignment horizontal="center" vertical="center" wrapText="1"/>
    </xf>
    <xf numFmtId="1" fontId="62" fillId="0" borderId="62" xfId="0" applyNumberFormat="1" applyFont="1" applyBorder="1" applyAlignment="1">
      <alignment horizontal="center" vertical="center" wrapText="1"/>
    </xf>
    <xf numFmtId="164" fontId="19" fillId="0" borderId="27" xfId="0" applyNumberFormat="1" applyFont="1" applyBorder="1" applyAlignment="1">
      <alignment horizontal="center" vertical="center"/>
    </xf>
    <xf numFmtId="164" fontId="19" fillId="0" borderId="40" xfId="0" applyNumberFormat="1" applyFont="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4" xfId="0" applyNumberFormat="1" applyFont="1" applyBorder="1" applyAlignment="1">
      <alignment horizontal="center" vertical="center"/>
    </xf>
    <xf numFmtId="169" fontId="2" fillId="0" borderId="0" xfId="0" applyNumberFormat="1" applyFont="1" applyBorder="1" applyAlignment="1">
      <alignment horizontal="center" vertical="center"/>
    </xf>
    <xf numFmtId="169" fontId="2" fillId="0" borderId="9" xfId="0" applyNumberFormat="1" applyFont="1" applyBorder="1" applyAlignment="1">
      <alignment horizontal="center" vertical="center"/>
    </xf>
    <xf numFmtId="164" fontId="2" fillId="0" borderId="71" xfId="0" applyNumberFormat="1" applyFont="1" applyBorder="1" applyAlignment="1">
      <alignment horizontal="center" vertical="center"/>
    </xf>
    <xf numFmtId="164" fontId="2" fillId="0" borderId="33" xfId="0" applyNumberFormat="1" applyFont="1" applyBorder="1" applyAlignment="1">
      <alignment horizontal="center" vertical="center"/>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64" fontId="34" fillId="13" borderId="41" xfId="1" applyNumberFormat="1" applyFont="1" applyFill="1" applyBorder="1" applyAlignment="1">
      <alignment horizontal="center" vertical="center" wrapText="1"/>
    </xf>
    <xf numFmtId="164" fontId="34" fillId="13" borderId="30" xfId="1" applyNumberFormat="1" applyFont="1" applyFill="1" applyBorder="1" applyAlignment="1">
      <alignment horizontal="center" vertical="center" wrapText="1"/>
    </xf>
    <xf numFmtId="164" fontId="81" fillId="8" borderId="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164" fontId="47" fillId="8" borderId="37" xfId="1" applyNumberFormat="1" applyFont="1" applyFill="1" applyBorder="1" applyAlignment="1">
      <alignment horizontal="center" vertical="center" wrapText="1"/>
    </xf>
    <xf numFmtId="164" fontId="47" fillId="8" borderId="38" xfId="1" applyNumberFormat="1" applyFont="1" applyFill="1" applyBorder="1" applyAlignment="1">
      <alignment horizontal="center" vertical="center" wrapText="1"/>
    </xf>
    <xf numFmtId="164" fontId="47" fillId="8" borderId="39" xfId="1" applyNumberFormat="1" applyFont="1" applyFill="1" applyBorder="1" applyAlignment="1">
      <alignment horizontal="center" vertical="center" wrapText="1"/>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64" fontId="34" fillId="14" borderId="2"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34" fillId="14" borderId="19" xfId="1" applyNumberFormat="1" applyFont="1" applyFill="1" applyBorder="1" applyAlignment="1">
      <alignment horizontal="center" vertical="center" wrapText="1"/>
    </xf>
    <xf numFmtId="2" fontId="81" fillId="8" borderId="29" xfId="1" applyNumberFormat="1" applyFont="1" applyFill="1" applyBorder="1" applyAlignment="1">
      <alignment horizontal="center" vertical="center" wrapText="1"/>
    </xf>
    <xf numFmtId="166" fontId="81" fillId="8" borderId="1" xfId="1" applyNumberFormat="1"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166" fontId="81" fillId="8" borderId="19" xfId="1" applyNumberFormat="1" applyFont="1" applyFill="1" applyBorder="1" applyAlignment="1">
      <alignment horizontal="center" vertical="center" wrapText="1"/>
    </xf>
    <xf numFmtId="164" fontId="72" fillId="3" borderId="1" xfId="0" applyNumberFormat="1" applyFont="1" applyFill="1" applyBorder="1" applyAlignment="1">
      <alignment horizontal="center" vertical="center"/>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64" fontId="96" fillId="14" borderId="1" xfId="1" applyNumberFormat="1" applyFont="1" applyFill="1" applyBorder="1" applyAlignment="1">
      <alignment horizontal="center" vertical="center" wrapText="1"/>
    </xf>
    <xf numFmtId="164" fontId="96" fillId="14" borderId="41" xfId="1" applyNumberFormat="1" applyFont="1" applyFill="1" applyBorder="1" applyAlignment="1">
      <alignment horizontal="center" vertical="center" wrapText="1"/>
    </xf>
    <xf numFmtId="164" fontId="96" fillId="14" borderId="30"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 fontId="96" fillId="10" borderId="29" xfId="1" applyNumberFormat="1" applyFont="1" applyFill="1" applyBorder="1" applyAlignment="1">
      <alignment horizontal="center" vertical="center" wrapText="1"/>
    </xf>
    <xf numFmtId="1" fontId="96" fillId="10" borderId="30" xfId="1" applyNumberFormat="1" applyFont="1" applyFill="1" applyBorder="1" applyAlignment="1">
      <alignment horizontal="center" vertical="center" wrapText="1"/>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2" fontId="81" fillId="8" borderId="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33" xfId="1" applyNumberFormat="1" applyFont="1" applyFill="1" applyBorder="1" applyAlignment="1">
      <alignment horizontal="center" vertical="center" wrapText="1"/>
    </xf>
    <xf numFmtId="164" fontId="23" fillId="11" borderId="63" xfId="1" applyNumberFormat="1" applyFont="1" applyFill="1" applyBorder="1" applyAlignment="1">
      <alignment horizontal="center" vertical="center" wrapText="1"/>
    </xf>
    <xf numFmtId="164" fontId="18" fillId="0" borderId="23" xfId="0" applyNumberFormat="1" applyFont="1" applyBorder="1" applyAlignment="1">
      <alignment horizontal="center" vertical="center"/>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34" fillId="10" borderId="23" xfId="1" applyNumberFormat="1" applyFont="1" applyFill="1" applyBorder="1" applyAlignment="1">
      <alignment horizontal="center" vertical="center" wrapText="1"/>
    </xf>
    <xf numFmtId="164" fontId="34" fillId="10" borderId="22" xfId="1" applyNumberFormat="1" applyFont="1" applyFill="1" applyBorder="1" applyAlignment="1">
      <alignment horizontal="center" vertical="center" wrapText="1"/>
    </xf>
    <xf numFmtId="2" fontId="2" fillId="2" borderId="13" xfId="0" applyNumberFormat="1" applyFont="1" applyFill="1" applyBorder="1" applyAlignment="1">
      <alignment horizontal="center" vertical="center"/>
    </xf>
    <xf numFmtId="2" fontId="2" fillId="2" borderId="11" xfId="0" applyNumberFormat="1" applyFont="1" applyFill="1" applyBorder="1" applyAlignment="1">
      <alignment horizontal="center" vertical="center"/>
    </xf>
    <xf numFmtId="2" fontId="2" fillId="2" borderId="8" xfId="0" applyNumberFormat="1" applyFont="1" applyFill="1" applyBorder="1" applyAlignment="1">
      <alignment horizontal="center" vertical="center"/>
    </xf>
    <xf numFmtId="2" fontId="2" fillId="2" borderId="15" xfId="0" applyNumberFormat="1" applyFont="1" applyFill="1" applyBorder="1" applyAlignment="1">
      <alignment horizontal="center" vertical="center"/>
    </xf>
    <xf numFmtId="2" fontId="2" fillId="2" borderId="12" xfId="0" applyNumberFormat="1" applyFont="1" applyFill="1" applyBorder="1" applyAlignment="1">
      <alignment horizontal="center" vertical="center"/>
    </xf>
    <xf numFmtId="2" fontId="2" fillId="2" borderId="10" xfId="0" applyNumberFormat="1" applyFont="1" applyFill="1" applyBorder="1" applyAlignment="1">
      <alignment horizontal="center" vertical="center"/>
    </xf>
    <xf numFmtId="1" fontId="81" fillId="8" borderId="24" xfId="1" applyNumberFormat="1" applyFont="1" applyFill="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68" fontId="2" fillId="3" borderId="34" xfId="0" applyNumberFormat="1" applyFont="1" applyFill="1" applyBorder="1" applyAlignment="1">
      <alignment horizontal="center" vertical="center"/>
    </xf>
    <xf numFmtId="1" fontId="2" fillId="3" borderId="34" xfId="0" applyNumberFormat="1" applyFont="1" applyFill="1" applyBorder="1" applyAlignment="1">
      <alignment horizontal="center" vertical="center"/>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164" fontId="34" fillId="14" borderId="23" xfId="1" applyNumberFormat="1" applyFont="1" applyFill="1" applyBorder="1" applyAlignment="1">
      <alignment horizontal="center" vertical="center" wrapText="1"/>
    </xf>
    <xf numFmtId="164" fontId="34" fillId="14" borderId="22" xfId="1" applyNumberFormat="1" applyFont="1" applyFill="1" applyBorder="1" applyAlignment="1">
      <alignment horizontal="center" vertical="center" wrapText="1"/>
    </xf>
    <xf numFmtId="164" fontId="34" fillId="14" borderId="20" xfId="1" applyNumberFormat="1" applyFont="1" applyFill="1" applyBorder="1" applyAlignment="1">
      <alignment horizontal="center" vertical="center" wrapText="1"/>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164" fontId="26" fillId="27" borderId="1" xfId="0" applyNumberFormat="1" applyFont="1" applyFill="1" applyBorder="1" applyAlignment="1">
      <alignment horizontal="center" vertical="center"/>
    </xf>
    <xf numFmtId="164" fontId="18" fillId="20" borderId="41" xfId="0" applyNumberFormat="1" applyFont="1" applyFill="1" applyBorder="1" applyAlignment="1">
      <alignment horizontal="center" vertical="center"/>
    </xf>
    <xf numFmtId="164" fontId="26" fillId="28" borderId="1" xfId="0" applyNumberFormat="1" applyFont="1" applyFill="1" applyBorder="1" applyAlignment="1">
      <alignment horizontal="center" vertical="center"/>
    </xf>
    <xf numFmtId="0" fontId="21" fillId="0" borderId="37" xfId="0" applyFont="1" applyFill="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4" fontId="23" fillId="8" borderId="1" xfId="1" applyNumberFormat="1" applyFont="1" applyFill="1" applyBorder="1" applyAlignment="1">
      <alignment horizontal="center" vertical="center" wrapText="1"/>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39" fillId="0" borderId="27"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45" fillId="0" borderId="40" xfId="0" applyNumberFormat="1" applyFont="1" applyBorder="1" applyAlignment="1">
      <alignment horizontal="center" vertical="center"/>
    </xf>
    <xf numFmtId="165" fontId="2" fillId="3" borderId="69" xfId="0" applyNumberFormat="1" applyFont="1" applyFill="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166" fontId="81" fillId="8" borderId="42" xfId="1" applyNumberFormat="1" applyFont="1" applyFill="1" applyBorder="1" applyAlignment="1">
      <alignment horizontal="center" vertical="center" wrapText="1"/>
    </xf>
    <xf numFmtId="166" fontId="81" fillId="8" borderId="33" xfId="1" applyNumberFormat="1" applyFont="1" applyFill="1" applyBorder="1" applyAlignment="1">
      <alignment horizontal="center" vertical="center" wrapText="1"/>
    </xf>
    <xf numFmtId="164" fontId="65" fillId="12" borderId="53" xfId="1" applyNumberFormat="1" applyFont="1" applyFill="1" applyBorder="1" applyAlignment="1">
      <alignment horizontal="center" vertical="center" wrapText="1"/>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164" fontId="30" fillId="0" borderId="18" xfId="1" applyNumberFormat="1" applyFont="1" applyBorder="1" applyAlignment="1">
      <alignment horizontal="center" vertical="center"/>
    </xf>
    <xf numFmtId="164" fontId="30" fillId="0" borderId="36" xfId="1" applyNumberFormat="1" applyFont="1" applyBorder="1" applyAlignment="1">
      <alignment horizontal="center" vertical="center"/>
    </xf>
    <xf numFmtId="0" fontId="4" fillId="6" borderId="33" xfId="0" applyFont="1" applyFill="1" applyBorder="1" applyAlignment="1">
      <alignment horizontal="center" vertical="center"/>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164" fontId="49" fillId="8" borderId="37" xfId="1" applyNumberFormat="1" applyFont="1" applyFill="1" applyBorder="1" applyAlignment="1">
      <alignment horizontal="center" vertical="center" wrapText="1"/>
    </xf>
    <xf numFmtId="164" fontId="49" fillId="8" borderId="38" xfId="1" applyNumberFormat="1" applyFont="1" applyFill="1" applyBorder="1" applyAlignment="1">
      <alignment horizontal="center" vertical="center" wrapText="1"/>
    </xf>
    <xf numFmtId="164" fontId="49" fillId="8" borderId="39" xfId="1" applyNumberFormat="1" applyFont="1" applyFill="1" applyBorder="1" applyAlignment="1">
      <alignment horizontal="center" vertical="center" wrapText="1"/>
    </xf>
    <xf numFmtId="0" fontId="68" fillId="3" borderId="1" xfId="1" applyFont="1" applyFill="1" applyBorder="1" applyAlignment="1">
      <alignment horizontal="center" vertical="center"/>
    </xf>
    <xf numFmtId="164" fontId="2" fillId="3" borderId="19" xfId="0" applyNumberFormat="1" applyFont="1" applyFill="1" applyBorder="1" applyAlignment="1">
      <alignment horizontal="center" vertical="center"/>
    </xf>
    <xf numFmtId="164" fontId="34" fillId="12" borderId="1" xfId="1" applyNumberFormat="1" applyFont="1" applyFill="1" applyBorder="1" applyAlignment="1">
      <alignment horizontal="center" vertical="center" wrapText="1"/>
    </xf>
    <xf numFmtId="164" fontId="70" fillId="0" borderId="23" xfId="1" applyNumberFormat="1" applyFont="1" applyBorder="1" applyAlignment="1">
      <alignment horizontal="center" vertical="center"/>
    </xf>
    <xf numFmtId="164" fontId="70" fillId="0" borderId="22" xfId="1" applyNumberFormat="1" applyFont="1" applyBorder="1" applyAlignment="1">
      <alignment horizontal="center" vertical="center"/>
    </xf>
    <xf numFmtId="164" fontId="70" fillId="0" borderId="32" xfId="1" applyNumberFormat="1" applyFont="1" applyBorder="1" applyAlignment="1">
      <alignment horizontal="center" vertical="center"/>
    </xf>
    <xf numFmtId="164" fontId="70" fillId="0" borderId="40" xfId="1" applyNumberFormat="1" applyFont="1" applyBorder="1" applyAlignment="1">
      <alignment horizontal="center" vertical="center"/>
    </xf>
    <xf numFmtId="164" fontId="70" fillId="0" borderId="12" xfId="1" applyNumberFormat="1" applyFont="1" applyBorder="1" applyAlignment="1">
      <alignment horizontal="center" vertical="center"/>
    </xf>
    <xf numFmtId="164" fontId="70" fillId="0" borderId="10" xfId="1" applyNumberFormat="1" applyFont="1" applyBorder="1" applyAlignment="1">
      <alignment horizontal="center" vertical="center"/>
    </xf>
    <xf numFmtId="167" fontId="2" fillId="3" borderId="34" xfId="0" applyNumberFormat="1" applyFont="1" applyFill="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5" fontId="2" fillId="3" borderId="34" xfId="0" applyNumberFormat="1" applyFont="1" applyFill="1" applyBorder="1" applyAlignment="1">
      <alignment horizontal="center" vertical="center"/>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164" fontId="81" fillId="8" borderId="1" xfId="1" applyNumberFormat="1" applyFont="1" applyFill="1" applyBorder="1" applyAlignment="1">
      <alignment horizontal="center" vertical="center"/>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64" fontId="1" fillId="0" borderId="1" xfId="0" applyNumberFormat="1" applyFont="1" applyBorder="1" applyAlignment="1">
      <alignment horizontal="center" vertical="center"/>
    </xf>
    <xf numFmtId="167" fontId="81" fillId="8" borderId="42" xfId="1" applyNumberFormat="1" applyFont="1" applyFill="1" applyBorder="1" applyAlignment="1">
      <alignment horizontal="center" vertical="center" wrapText="1"/>
    </xf>
    <xf numFmtId="167" fontId="81" fillId="8" borderId="33" xfId="1" applyNumberFormat="1" applyFont="1" applyFill="1" applyBorder="1" applyAlignment="1">
      <alignment horizontal="center" vertical="center" wrapText="1"/>
    </xf>
    <xf numFmtId="173" fontId="2" fillId="3" borderId="1" xfId="0" applyNumberFormat="1" applyFont="1" applyFill="1" applyBorder="1" applyAlignment="1">
      <alignment horizontal="center" vertical="center"/>
    </xf>
    <xf numFmtId="173" fontId="2" fillId="3" borderId="24" xfId="0" applyNumberFormat="1" applyFont="1" applyFill="1" applyBorder="1" applyAlignment="1">
      <alignment horizontal="center" vertical="center"/>
    </xf>
    <xf numFmtId="164" fontId="23" fillId="11" borderId="19" xfId="1" applyNumberFormat="1" applyFont="1" applyFill="1" applyBorder="1" applyAlignment="1">
      <alignment horizontal="center" vertical="center" wrapText="1"/>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23" fillId="11" borderId="18" xfId="1" applyNumberFormat="1" applyFont="1" applyFill="1" applyBorder="1" applyAlignment="1">
      <alignment horizontal="center" vertical="center" wrapText="1"/>
    </xf>
    <xf numFmtId="164" fontId="23" fillId="11" borderId="56" xfId="1" applyNumberFormat="1" applyFont="1" applyFill="1" applyBorder="1" applyAlignment="1">
      <alignment horizontal="center" vertical="center" wrapText="1"/>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64" fontId="2" fillId="0" borderId="42" xfId="0" applyNumberFormat="1" applyFont="1" applyBorder="1" applyAlignment="1">
      <alignment horizontal="center" vertical="center"/>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66" fontId="2" fillId="3" borderId="69" xfId="0" applyNumberFormat="1" applyFont="1" applyFill="1" applyBorder="1" applyAlignment="1">
      <alignment horizontal="center" vertical="center"/>
    </xf>
    <xf numFmtId="164" fontId="2" fillId="0" borderId="42" xfId="0" applyNumberFormat="1" applyFont="1" applyBorder="1" applyAlignment="1">
      <alignment horizontal="center" vertical="center" wrapText="1"/>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26" fillId="0" borderId="27" xfId="0" applyNumberFormat="1" applyFont="1" applyBorder="1" applyAlignment="1">
      <alignment horizontal="center" vertical="center"/>
    </xf>
    <xf numFmtId="164" fontId="26" fillId="0" borderId="40" xfId="0" applyNumberFormat="1" applyFont="1" applyBorder="1" applyAlignment="1">
      <alignment horizontal="center" vertical="center"/>
    </xf>
    <xf numFmtId="164" fontId="112" fillId="8" borderId="41" xfId="1" applyNumberFormat="1" applyFont="1" applyFill="1" applyBorder="1" applyAlignment="1">
      <alignment horizontal="center" vertical="center" wrapText="1"/>
    </xf>
    <xf numFmtId="164" fontId="112" fillId="8" borderId="30"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6" fontId="81" fillId="8" borderId="29" xfId="1" applyNumberFormat="1" applyFont="1" applyFill="1" applyBorder="1" applyAlignment="1">
      <alignment horizontal="center" vertical="center" wrapText="1"/>
    </xf>
    <xf numFmtId="166" fontId="81" fillId="8" borderId="30" xfId="1" applyNumberFormat="1" applyFont="1" applyFill="1" applyBorder="1" applyAlignment="1">
      <alignment horizontal="center" vertical="center" wrapText="1"/>
    </xf>
    <xf numFmtId="164" fontId="125" fillId="8" borderId="24" xfId="1" applyNumberFormat="1" applyFont="1" applyFill="1" applyBorder="1" applyAlignment="1">
      <alignment horizontal="center" vertical="center" wrapText="1"/>
    </xf>
    <xf numFmtId="1" fontId="2" fillId="0" borderId="18" xfId="0" applyNumberFormat="1" applyFont="1" applyBorder="1" applyAlignment="1">
      <alignment horizontal="center" vertical="center" wrapText="1"/>
    </xf>
    <xf numFmtId="1" fontId="2" fillId="0" borderId="36" xfId="0" applyNumberFormat="1" applyFont="1" applyBorder="1" applyAlignment="1">
      <alignment horizontal="center" vertical="center" wrapText="1"/>
    </xf>
    <xf numFmtId="0" fontId="4" fillId="6" borderId="37" xfId="0" applyFont="1" applyFill="1" applyBorder="1" applyAlignment="1">
      <alignment horizontal="center" vertical="center"/>
    </xf>
    <xf numFmtId="0" fontId="4" fillId="6" borderId="39" xfId="0" applyFont="1" applyFill="1" applyBorder="1" applyAlignment="1">
      <alignment horizontal="center" vertical="center"/>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2" fontId="81" fillId="8" borderId="42" xfId="1" applyNumberFormat="1" applyFont="1" applyFill="1" applyBorder="1" applyAlignment="1">
      <alignment horizontal="center" vertical="center" wrapText="1"/>
    </xf>
    <xf numFmtId="2" fontId="81" fillId="8" borderId="33" xfId="1" applyNumberFormat="1" applyFont="1" applyFill="1" applyBorder="1" applyAlignment="1">
      <alignment horizontal="center" vertical="center" wrapText="1"/>
    </xf>
    <xf numFmtId="173" fontId="2" fillId="0" borderId="13" xfId="0" applyNumberFormat="1" applyFont="1" applyBorder="1" applyAlignment="1">
      <alignment horizontal="center" vertical="center"/>
    </xf>
    <xf numFmtId="173" fontId="2" fillId="0" borderId="11" xfId="0" applyNumberFormat="1" applyFont="1" applyBorder="1" applyAlignment="1">
      <alignment horizontal="center" vertical="center"/>
    </xf>
    <xf numFmtId="173" fontId="2" fillId="0" borderId="8" xfId="0" applyNumberFormat="1" applyFont="1" applyBorder="1" applyAlignment="1">
      <alignment horizontal="center" vertical="center"/>
    </xf>
    <xf numFmtId="173" fontId="2" fillId="0" borderId="15" xfId="0" applyNumberFormat="1" applyFont="1" applyBorder="1" applyAlignment="1">
      <alignment horizontal="center" vertical="center"/>
    </xf>
    <xf numFmtId="173" fontId="2" fillId="0" borderId="12" xfId="0" applyNumberFormat="1" applyFont="1" applyBorder="1" applyAlignment="1">
      <alignment horizontal="center" vertical="center"/>
    </xf>
    <xf numFmtId="173" fontId="2" fillId="0" borderId="10" xfId="0" applyNumberFormat="1" applyFont="1" applyBorder="1" applyAlignment="1">
      <alignment horizontal="center" vertical="center"/>
    </xf>
    <xf numFmtId="164" fontId="19" fillId="0" borderId="23" xfId="1" applyNumberFormat="1" applyFont="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45" fillId="0" borderId="13"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65" fillId="24" borderId="13" xfId="1" applyNumberFormat="1" applyFont="1" applyFill="1" applyBorder="1" applyAlignment="1">
      <alignment horizontal="center" vertical="center" wrapText="1"/>
    </xf>
    <xf numFmtId="164" fontId="65" fillId="24" borderId="11" xfId="1" applyNumberFormat="1" applyFont="1" applyFill="1" applyBorder="1" applyAlignment="1">
      <alignment horizontal="center" vertical="center" wrapText="1"/>
    </xf>
    <xf numFmtId="164" fontId="65" fillId="24" borderId="25" xfId="1" applyNumberFormat="1" applyFont="1" applyFill="1" applyBorder="1" applyAlignment="1">
      <alignment horizontal="center" vertical="center" wrapText="1"/>
    </xf>
    <xf numFmtId="164" fontId="65" fillId="24" borderId="15" xfId="1" applyNumberFormat="1" applyFont="1" applyFill="1" applyBorder="1" applyAlignment="1">
      <alignment horizontal="center" vertical="center" wrapText="1"/>
    </xf>
    <xf numFmtId="164" fontId="65" fillId="24" borderId="12" xfId="1" applyNumberFormat="1" applyFont="1" applyFill="1" applyBorder="1" applyAlignment="1">
      <alignment horizontal="center" vertical="center" wrapText="1"/>
    </xf>
    <xf numFmtId="164" fontId="65" fillId="24" borderId="31" xfId="1" applyNumberFormat="1" applyFont="1" applyFill="1" applyBorder="1" applyAlignment="1">
      <alignment horizontal="center" vertical="center" wrapText="1"/>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164" fontId="65" fillId="24" borderId="17" xfId="1" applyNumberFormat="1" applyFont="1" applyFill="1" applyBorder="1" applyAlignment="1">
      <alignment horizontal="center" vertical="center" wrapText="1"/>
    </xf>
    <xf numFmtId="164" fontId="65" fillId="24" borderId="16" xfId="1" applyNumberFormat="1" applyFont="1" applyFill="1" applyBorder="1" applyAlignment="1">
      <alignment horizontal="center" vertical="center" wrapText="1"/>
    </xf>
    <xf numFmtId="164" fontId="65" fillId="24"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24" xfId="1" applyNumberFormat="1" applyFont="1" applyFill="1" applyBorder="1" applyAlignment="1">
      <alignment horizontal="center" vertical="center" wrapText="1"/>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164" fontId="113" fillId="14" borderId="1" xfId="1" applyNumberFormat="1" applyFont="1" applyFill="1" applyBorder="1" applyAlignment="1">
      <alignment horizontal="center" vertical="center" wrapText="1"/>
    </xf>
    <xf numFmtId="164" fontId="96" fillId="10" borderId="1" xfId="1" applyNumberFormat="1" applyFont="1" applyFill="1" applyBorder="1" applyAlignment="1">
      <alignment horizontal="center" vertical="center" wrapText="1"/>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96" fillId="14" borderId="29" xfId="1" applyNumberFormat="1" applyFont="1" applyFill="1" applyBorder="1" applyAlignment="1">
      <alignment horizontal="center" vertical="center" wrapText="1"/>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65" fillId="12" borderId="14" xfId="1" applyNumberFormat="1" applyFont="1" applyFill="1" applyBorder="1" applyAlignment="1">
      <alignment horizontal="center" vertical="center" wrapText="1"/>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3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61" fillId="0" borderId="10" xfId="0" applyNumberFormat="1" applyFont="1" applyBorder="1" applyAlignment="1">
      <alignment horizontal="center" vertical="center"/>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65" fontId="2" fillId="0" borderId="14" xfId="0" applyNumberFormat="1" applyFont="1" applyBorder="1" applyAlignment="1">
      <alignment horizontal="center" vertical="center"/>
    </xf>
    <xf numFmtId="165" fontId="2" fillId="0" borderId="9" xfId="0"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67" fontId="2" fillId="0" borderId="14" xfId="0" applyNumberFormat="1" applyFont="1" applyBorder="1" applyAlignment="1">
      <alignment horizontal="center" vertical="center"/>
    </xf>
    <xf numFmtId="167" fontId="2" fillId="0" borderId="9" xfId="0" applyNumberFormat="1" applyFont="1" applyBorder="1" applyAlignment="1">
      <alignment horizontal="center" vertical="center"/>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42" fillId="8" borderId="41" xfId="1" applyNumberFormat="1" applyFont="1" applyFill="1" applyBorder="1" applyAlignment="1">
      <alignment horizontal="center" vertical="center" wrapText="1"/>
    </xf>
    <xf numFmtId="164" fontId="42" fillId="8" borderId="50" xfId="1" applyNumberFormat="1" applyFont="1" applyFill="1" applyBorder="1" applyAlignment="1">
      <alignment horizontal="center" vertical="center" wrapText="1"/>
    </xf>
    <xf numFmtId="164" fontId="2" fillId="2" borderId="14" xfId="0" applyNumberFormat="1" applyFont="1" applyFill="1" applyBorder="1" applyAlignment="1">
      <alignment horizontal="center" vertical="center"/>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30"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165" fontId="2" fillId="0" borderId="1" xfId="0" applyNumberFormat="1" applyFont="1" applyBorder="1" applyAlignment="1">
      <alignment horizontal="center" vertical="center"/>
    </xf>
    <xf numFmtId="167" fontId="81" fillId="8" borderId="40" xfId="1" applyNumberFormat="1" applyFont="1" applyFill="1" applyBorder="1" applyAlignment="1">
      <alignment horizontal="center" vertical="center" wrapText="1"/>
    </xf>
    <xf numFmtId="167" fontId="81" fillId="8" borderId="31" xfId="1" applyNumberFormat="1" applyFont="1" applyFill="1" applyBorder="1" applyAlignment="1">
      <alignment horizontal="center" vertical="center" wrapText="1"/>
    </xf>
    <xf numFmtId="164" fontId="2" fillId="0" borderId="54" xfId="0" applyNumberFormat="1" applyFont="1" applyBorder="1" applyAlignment="1">
      <alignment horizontal="center" vertical="center"/>
    </xf>
    <xf numFmtId="1" fontId="2" fillId="3" borderId="2" xfId="0" applyNumberFormat="1" applyFont="1" applyFill="1" applyBorder="1" applyAlignment="1">
      <alignment horizontal="center" vertical="center"/>
    </xf>
    <xf numFmtId="1" fontId="81" fillId="8" borderId="37" xfId="1" applyNumberFormat="1" applyFont="1" applyFill="1" applyBorder="1" applyAlignment="1">
      <alignment horizontal="center" vertical="center" wrapText="1"/>
    </xf>
    <xf numFmtId="1" fontId="81" fillId="8" borderId="39" xfId="1" applyNumberFormat="1" applyFont="1" applyFill="1" applyBorder="1" applyAlignment="1">
      <alignment horizontal="center" vertical="center" wrapText="1"/>
    </xf>
    <xf numFmtId="2" fontId="2" fillId="0" borderId="18" xfId="0" applyNumberFormat="1" applyFont="1" applyBorder="1" applyAlignment="1">
      <alignment horizontal="center" vertical="center"/>
    </xf>
    <xf numFmtId="164" fontId="19" fillId="0" borderId="14" xfId="0" applyNumberFormat="1" applyFont="1" applyBorder="1" applyAlignment="1">
      <alignment horizontal="center" vertical="center"/>
    </xf>
    <xf numFmtId="164" fontId="19" fillId="0" borderId="9" xfId="0" applyNumberFormat="1" applyFont="1" applyBorder="1" applyAlignment="1">
      <alignment horizontal="center" vertical="center"/>
    </xf>
    <xf numFmtId="2" fontId="2" fillId="3" borderId="40" xfId="0" applyNumberFormat="1" applyFont="1" applyFill="1" applyBorder="1" applyAlignment="1">
      <alignment horizontal="center" vertical="center"/>
    </xf>
    <xf numFmtId="2" fontId="2" fillId="3" borderId="31" xfId="0" applyNumberFormat="1" applyFont="1" applyFill="1" applyBorder="1" applyAlignment="1">
      <alignment horizontal="center" vertical="center"/>
    </xf>
    <xf numFmtId="1" fontId="2" fillId="0" borderId="22" xfId="0" applyNumberFormat="1" applyFont="1" applyBorder="1" applyAlignment="1">
      <alignment horizontal="center" vertical="center"/>
    </xf>
    <xf numFmtId="0" fontId="115" fillId="0" borderId="41" xfId="0" applyFont="1" applyFill="1" applyBorder="1" applyAlignment="1">
      <alignment horizontal="center" vertical="center"/>
    </xf>
    <xf numFmtId="0" fontId="115" fillId="0" borderId="29" xfId="0" applyFont="1" applyFill="1" applyBorder="1" applyAlignment="1">
      <alignment horizontal="center" vertical="center"/>
    </xf>
    <xf numFmtId="0" fontId="115" fillId="0" borderId="30" xfId="0" applyFont="1" applyFill="1" applyBorder="1" applyAlignment="1">
      <alignment horizontal="center" vertical="center"/>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4" xfId="0" applyNumberFormat="1" applyFont="1" applyBorder="1" applyAlignment="1">
      <alignment horizontal="center" vertical="center" wrapText="1"/>
    </xf>
    <xf numFmtId="1" fontId="2" fillId="0" borderId="9"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4" fontId="26" fillId="0" borderId="1" xfId="0" applyNumberFormat="1" applyFont="1" applyBorder="1" applyAlignment="1">
      <alignment horizontal="center" vertical="center"/>
    </xf>
    <xf numFmtId="166" fontId="2" fillId="0" borderId="41" xfId="0" applyNumberFormat="1" applyFont="1" applyBorder="1" applyAlignment="1">
      <alignment horizontal="center" vertical="center"/>
    </xf>
    <xf numFmtId="166" fontId="2" fillId="0" borderId="30" xfId="0" applyNumberFormat="1" applyFont="1" applyBorder="1" applyAlignment="1">
      <alignment horizontal="center" vertical="center"/>
    </xf>
    <xf numFmtId="164" fontId="2" fillId="2" borderId="1" xfId="0" applyNumberFormat="1" applyFont="1" applyFill="1" applyBorder="1" applyAlignment="1">
      <alignment horizontal="center" vertical="center" wrapText="1"/>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0" fontId="25" fillId="3" borderId="41" xfId="1" applyFont="1" applyFill="1" applyBorder="1" applyAlignment="1">
      <alignment horizontal="center" vertical="center"/>
    </xf>
    <xf numFmtId="0" fontId="25" fillId="3" borderId="30" xfId="1" applyFont="1" applyFill="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0" fontId="68" fillId="3" borderId="37" xfId="1" applyFont="1" applyFill="1" applyBorder="1" applyAlignment="1">
      <alignment horizontal="center" vertical="center"/>
    </xf>
    <xf numFmtId="0" fontId="68" fillId="3" borderId="39" xfId="1" applyFont="1" applyFill="1" applyBorder="1" applyAlignment="1">
      <alignment horizontal="center" vertical="center"/>
    </xf>
    <xf numFmtId="0" fontId="68" fillId="3" borderId="38" xfId="1" applyFont="1" applyFill="1" applyBorder="1" applyAlignment="1">
      <alignment horizontal="center" vertical="center"/>
    </xf>
    <xf numFmtId="164" fontId="81" fillId="8" borderId="40" xfId="1" applyNumberFormat="1" applyFont="1" applyFill="1" applyBorder="1" applyAlignment="1">
      <alignment horizontal="center" vertical="center" wrapText="1"/>
    </xf>
    <xf numFmtId="164" fontId="81" fillId="8" borderId="31" xfId="1" applyNumberFormat="1" applyFont="1" applyFill="1" applyBorder="1" applyAlignment="1">
      <alignment horizontal="center" vertical="center" wrapText="1"/>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 fontId="2" fillId="0" borderId="1" xfId="0" applyNumberFormat="1" applyFont="1" applyBorder="1" applyAlignment="1">
      <alignment horizontal="center" vertical="center"/>
    </xf>
    <xf numFmtId="167" fontId="81" fillId="8" borderId="41" xfId="1" applyNumberFormat="1" applyFont="1" applyFill="1" applyBorder="1" applyAlignment="1">
      <alignment horizontal="center" vertical="center" wrapText="1"/>
    </xf>
    <xf numFmtId="167" fontId="81" fillId="8" borderId="30" xfId="1" applyNumberFormat="1" applyFont="1" applyFill="1" applyBorder="1" applyAlignment="1">
      <alignment horizontal="center" vertical="center" wrapText="1"/>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64" fontId="24" fillId="8" borderId="1"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2" fontId="62" fillId="0" borderId="23" xfId="0" applyNumberFormat="1" applyFont="1" applyBorder="1" applyAlignment="1">
      <alignment horizontal="center" vertical="center"/>
    </xf>
    <xf numFmtId="2" fontId="62" fillId="0" borderId="22" xfId="0" applyNumberFormat="1" applyFont="1" applyBorder="1" applyAlignment="1">
      <alignment horizontal="center" vertical="center"/>
    </xf>
    <xf numFmtId="2" fontId="62" fillId="0" borderId="40" xfId="0" applyNumberFormat="1" applyFont="1" applyBorder="1" applyAlignment="1">
      <alignment horizontal="center" vertical="center"/>
    </xf>
    <xf numFmtId="2" fontId="62" fillId="0" borderId="12" xfId="0" applyNumberFormat="1" applyFont="1" applyBorder="1" applyAlignment="1">
      <alignment horizontal="center" vertical="center"/>
    </xf>
    <xf numFmtId="2" fontId="2" fillId="3" borderId="23" xfId="0" applyNumberFormat="1" applyFont="1" applyFill="1" applyBorder="1" applyAlignment="1">
      <alignment horizontal="center" vertical="center"/>
    </xf>
    <xf numFmtId="2" fontId="2" fillId="3" borderId="22" xfId="0"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64" fontId="23" fillId="8" borderId="23" xfId="1" applyNumberFormat="1" applyFont="1" applyFill="1" applyBorder="1" applyAlignment="1">
      <alignment horizontal="center" vertical="center" wrapText="1"/>
    </xf>
    <xf numFmtId="164" fontId="23" fillId="8" borderId="20" xfId="1" applyNumberFormat="1" applyFont="1" applyFill="1" applyBorder="1" applyAlignment="1">
      <alignment horizontal="center" vertical="center" wrapText="1"/>
    </xf>
    <xf numFmtId="164" fontId="64" fillId="0" borderId="32" xfId="0" applyNumberFormat="1" applyFont="1" applyBorder="1" applyAlignment="1">
      <alignment horizontal="center" vertical="center"/>
    </xf>
    <xf numFmtId="164" fontId="64" fillId="0" borderId="10" xfId="0" applyNumberFormat="1" applyFont="1" applyBorder="1" applyAlignment="1">
      <alignment horizontal="center" vertical="center"/>
    </xf>
    <xf numFmtId="0" fontId="2" fillId="0" borderId="30" xfId="0" applyFont="1" applyBorder="1" applyAlignment="1">
      <alignment horizontal="center" vertical="center" wrapText="1"/>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64" fontId="34" fillId="10" borderId="2" xfId="1" applyNumberFormat="1" applyFont="1" applyFill="1" applyBorder="1" applyAlignment="1">
      <alignment horizontal="center" vertical="center" wrapText="1"/>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1" fontId="81" fillId="8" borderId="29" xfId="1" applyNumberFormat="1" applyFont="1" applyFill="1" applyBorder="1" applyAlignment="1">
      <alignment horizontal="center" vertical="center" wrapText="1"/>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164" fontId="39" fillId="20" borderId="1"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2" fontId="2" fillId="0" borderId="11" xfId="0" applyNumberFormat="1" applyFont="1" applyBorder="1" applyAlignment="1">
      <alignment horizontal="center" vertical="center"/>
    </xf>
    <xf numFmtId="164" fontId="96" fillId="14" borderId="42" xfId="1" applyNumberFormat="1" applyFont="1" applyFill="1" applyBorder="1" applyAlignment="1">
      <alignment horizontal="center" vertical="center" wrapText="1"/>
    </xf>
    <xf numFmtId="164" fontId="96" fillId="14" borderId="33" xfId="1" applyNumberFormat="1" applyFont="1" applyFill="1" applyBorder="1" applyAlignment="1">
      <alignment horizontal="center" vertical="center" wrapText="1"/>
    </xf>
    <xf numFmtId="1" fontId="18" fillId="0" borderId="45" xfId="0" applyNumberFormat="1" applyFont="1" applyBorder="1" applyAlignment="1">
      <alignment horizontal="center" vertical="center" wrapText="1"/>
    </xf>
    <xf numFmtId="1" fontId="18" fillId="0" borderId="51" xfId="0" applyNumberFormat="1" applyFont="1" applyBorder="1" applyAlignment="1">
      <alignment horizontal="center" vertical="center" wrapText="1"/>
    </xf>
    <xf numFmtId="1" fontId="18" fillId="0" borderId="23" xfId="0" applyNumberFormat="1" applyFont="1" applyBorder="1" applyAlignment="1">
      <alignment horizontal="center" vertical="center" wrapText="1"/>
    </xf>
    <xf numFmtId="164" fontId="72" fillId="20" borderId="23" xfId="0" applyNumberFormat="1" applyFont="1" applyFill="1" applyBorder="1" applyAlignment="1">
      <alignment horizontal="center" vertical="center"/>
    </xf>
    <xf numFmtId="164" fontId="72" fillId="20" borderId="20" xfId="0" applyNumberFormat="1" applyFont="1" applyFill="1" applyBorder="1" applyAlignment="1">
      <alignment horizontal="center" vertical="center"/>
    </xf>
    <xf numFmtId="164" fontId="72" fillId="20" borderId="37" xfId="0" applyNumberFormat="1" applyFont="1" applyFill="1" applyBorder="1" applyAlignment="1">
      <alignment horizontal="center" vertical="center"/>
    </xf>
    <xf numFmtId="164" fontId="72" fillId="20" borderId="39" xfId="0" applyNumberFormat="1" applyFont="1" applyFill="1" applyBorder="1" applyAlignment="1">
      <alignment horizontal="center" vertical="center"/>
    </xf>
    <xf numFmtId="164" fontId="23" fillId="8" borderId="37" xfId="1" applyNumberFormat="1" applyFont="1" applyFill="1" applyBorder="1" applyAlignment="1">
      <alignment horizontal="center" vertical="center" wrapText="1"/>
    </xf>
    <xf numFmtId="164" fontId="23" fillId="8" borderId="39" xfId="1" applyNumberFormat="1" applyFont="1" applyFill="1" applyBorder="1" applyAlignment="1">
      <alignment horizontal="center" vertical="center" wrapText="1"/>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72" fillId="20" borderId="1" xfId="0" applyNumberFormat="1" applyFont="1" applyFill="1" applyBorder="1" applyAlignment="1">
      <alignment horizontal="center" vertical="center"/>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 fontId="2" fillId="0" borderId="19" xfId="0" applyNumberFormat="1" applyFont="1" applyBorder="1" applyAlignment="1">
      <alignment horizontal="center" vertical="center" wrapText="1"/>
    </xf>
    <xf numFmtId="0" fontId="4" fillId="6" borderId="38" xfId="0" applyFont="1" applyFill="1" applyBorder="1" applyAlignment="1">
      <alignment horizontal="center" vertical="center"/>
    </xf>
    <xf numFmtId="164" fontId="50" fillId="0" borderId="2" xfId="1" applyNumberFormat="1" applyFont="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4" fontId="18" fillId="0" borderId="11" xfId="0" applyNumberFormat="1" applyFont="1" applyBorder="1" applyAlignment="1">
      <alignment horizontal="center" vertical="center"/>
    </xf>
    <xf numFmtId="168" fontId="81" fillId="8" borderId="37" xfId="1" applyNumberFormat="1" applyFont="1" applyFill="1" applyBorder="1" applyAlignment="1">
      <alignment horizontal="center" vertical="center" wrapText="1"/>
    </xf>
    <xf numFmtId="168" fontId="81" fillId="8" borderId="39" xfId="1" applyNumberFormat="1" applyFont="1" applyFill="1" applyBorder="1" applyAlignment="1">
      <alignment horizontal="center" vertical="center" wrapText="1"/>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18" fillId="20" borderId="18" xfId="0" applyNumberFormat="1" applyFont="1" applyFill="1" applyBorder="1" applyAlignment="1">
      <alignment horizontal="center" vertical="center"/>
    </xf>
    <xf numFmtId="164" fontId="18" fillId="20" borderId="0" xfId="0" applyNumberFormat="1" applyFont="1" applyFill="1" applyBorder="1" applyAlignment="1">
      <alignment horizontal="center" vertical="center"/>
    </xf>
    <xf numFmtId="164" fontId="18" fillId="20" borderId="22" xfId="0" applyNumberFormat="1" applyFont="1" applyFill="1" applyBorder="1" applyAlignment="1">
      <alignment horizontal="center" vertical="center"/>
    </xf>
    <xf numFmtId="164" fontId="18" fillId="20" borderId="20" xfId="0" applyNumberFormat="1" applyFont="1" applyFill="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164" fontId="113" fillId="14" borderId="2" xfId="1" applyNumberFormat="1" applyFont="1" applyFill="1" applyBorder="1" applyAlignment="1">
      <alignment horizontal="center" vertical="center" wrapText="1"/>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0" fontId="21" fillId="0" borderId="66" xfId="0" applyFont="1" applyFill="1" applyBorder="1" applyAlignment="1">
      <alignment horizontal="center" vertical="center"/>
    </xf>
    <xf numFmtId="0" fontId="21" fillId="0" borderId="59" xfId="0" applyFont="1" applyFill="1" applyBorder="1" applyAlignment="1">
      <alignment horizontal="center" vertical="center"/>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4" fontId="2" fillId="0" borderId="23" xfId="0" applyNumberFormat="1" applyFont="1" applyBorder="1" applyAlignment="1">
      <alignment horizontal="left" vertical="center" wrapText="1" indent="2"/>
    </xf>
    <xf numFmtId="164" fontId="2" fillId="0" borderId="22" xfId="0" applyNumberFormat="1" applyFont="1" applyBorder="1" applyAlignment="1">
      <alignment horizontal="left" vertical="center" wrapText="1" indent="2"/>
    </xf>
    <xf numFmtId="164" fontId="2" fillId="0" borderId="20" xfId="0" applyNumberFormat="1" applyFont="1" applyBorder="1" applyAlignment="1">
      <alignment horizontal="left" vertical="center" wrapText="1" indent="2"/>
    </xf>
    <xf numFmtId="164" fontId="2" fillId="0" borderId="18" xfId="0" applyNumberFormat="1" applyFont="1" applyBorder="1" applyAlignment="1">
      <alignment horizontal="left" vertical="center" wrapText="1" indent="2"/>
    </xf>
    <xf numFmtId="164" fontId="2" fillId="0" borderId="0" xfId="0" applyNumberFormat="1" applyFont="1" applyBorder="1" applyAlignment="1">
      <alignment horizontal="left" vertical="center" wrapText="1" indent="2"/>
    </xf>
    <xf numFmtId="164" fontId="2" fillId="0" borderId="36" xfId="0" applyNumberFormat="1" applyFont="1" applyBorder="1" applyAlignment="1">
      <alignment horizontal="left" vertical="center" wrapText="1" indent="2"/>
    </xf>
    <xf numFmtId="164" fontId="2" fillId="0" borderId="37" xfId="0" applyNumberFormat="1" applyFont="1" applyBorder="1" applyAlignment="1">
      <alignment horizontal="left" vertical="center" wrapText="1" indent="2"/>
    </xf>
    <xf numFmtId="164" fontId="2" fillId="0" borderId="38" xfId="0" applyNumberFormat="1" applyFont="1" applyBorder="1" applyAlignment="1">
      <alignment horizontal="left" vertical="center" wrapText="1" indent="2"/>
    </xf>
    <xf numFmtId="164" fontId="2" fillId="0" borderId="39" xfId="0" applyNumberFormat="1" applyFont="1" applyBorder="1" applyAlignment="1">
      <alignment horizontal="left" vertical="center" wrapText="1" indent="2"/>
    </xf>
    <xf numFmtId="164" fontId="112" fillId="8" borderId="42" xfId="1" applyNumberFormat="1" applyFont="1" applyFill="1" applyBorder="1" applyAlignment="1">
      <alignment horizontal="center" vertical="center" wrapText="1"/>
    </xf>
    <xf numFmtId="164" fontId="112" fillId="8" borderId="55" xfId="1" applyNumberFormat="1" applyFont="1" applyFill="1" applyBorder="1" applyAlignment="1">
      <alignment horizontal="center" vertical="center" wrapText="1"/>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18" xfId="0" applyNumberFormat="1" applyFont="1" applyFill="1" applyBorder="1" applyAlignment="1">
      <alignment horizontal="center" vertical="center"/>
    </xf>
    <xf numFmtId="164" fontId="37" fillId="20" borderId="36"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0" fontId="68" fillId="3" borderId="0" xfId="1" applyFont="1" applyFill="1" applyBorder="1" applyAlignment="1">
      <alignment horizontal="center" vertical="center"/>
    </xf>
    <xf numFmtId="2" fontId="2" fillId="0" borderId="14" xfId="0" applyNumberFormat="1" applyFont="1" applyBorder="1" applyAlignment="1">
      <alignment horizontal="center" vertical="center"/>
    </xf>
    <xf numFmtId="2" fontId="2" fillId="0" borderId="9" xfId="0" applyNumberFormat="1" applyFont="1" applyBorder="1" applyAlignment="1">
      <alignment horizontal="center" vertical="center"/>
    </xf>
    <xf numFmtId="164" fontId="45" fillId="0" borderId="14" xfId="0" applyNumberFormat="1" applyFont="1" applyBorder="1" applyAlignment="1">
      <alignment horizontal="center" vertical="center"/>
    </xf>
    <xf numFmtId="164" fontId="45" fillId="0" borderId="0" xfId="0" applyNumberFormat="1" applyFont="1" applyBorder="1" applyAlignment="1">
      <alignment horizontal="center" vertical="center"/>
    </xf>
    <xf numFmtId="164" fontId="45" fillId="0" borderId="9" xfId="0" applyNumberFormat="1" applyFont="1" applyBorder="1" applyAlignment="1">
      <alignment horizontal="center" vertical="center"/>
    </xf>
    <xf numFmtId="164" fontId="37" fillId="20" borderId="22" xfId="0" applyNumberFormat="1" applyFont="1" applyFill="1" applyBorder="1" applyAlignment="1">
      <alignment horizontal="center" vertical="center"/>
    </xf>
    <xf numFmtId="164" fontId="37" fillId="20" borderId="40" xfId="0" applyNumberFormat="1" applyFont="1" applyFill="1" applyBorder="1" applyAlignment="1">
      <alignment horizontal="center" vertical="center"/>
    </xf>
    <xf numFmtId="164" fontId="37" fillId="20" borderId="31" xfId="0" applyNumberFormat="1" applyFont="1" applyFill="1" applyBorder="1" applyAlignment="1">
      <alignment horizontal="center" vertical="center"/>
    </xf>
    <xf numFmtId="164" fontId="30" fillId="0" borderId="32" xfId="1" applyNumberFormat="1" applyFont="1" applyBorder="1" applyAlignment="1">
      <alignment horizontal="center" vertical="center"/>
    </xf>
    <xf numFmtId="164" fontId="30" fillId="0" borderId="10" xfId="1" applyNumberFormat="1" applyFont="1" applyBorder="1" applyAlignment="1">
      <alignment horizontal="center" vertical="center"/>
    </xf>
    <xf numFmtId="164" fontId="34" fillId="8" borderId="41" xfId="1" applyNumberFormat="1" applyFont="1" applyFill="1" applyBorder="1" applyAlignment="1">
      <alignment horizontal="center" vertical="center" wrapText="1"/>
    </xf>
    <xf numFmtId="164" fontId="34" fillId="8" borderId="29" xfId="1" applyNumberFormat="1" applyFont="1" applyFill="1" applyBorder="1" applyAlignment="1">
      <alignment horizontal="center" vertical="center" wrapText="1"/>
    </xf>
    <xf numFmtId="164" fontId="34" fillId="8" borderId="30" xfId="1" applyNumberFormat="1" applyFont="1" applyFill="1" applyBorder="1" applyAlignment="1">
      <alignment horizontal="center" vertical="center" wrapText="1"/>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167" fontId="81" fillId="8" borderId="43" xfId="1" applyNumberFormat="1" applyFont="1" applyFill="1" applyBorder="1" applyAlignment="1">
      <alignment horizontal="center" vertical="center" wrapText="1"/>
    </xf>
    <xf numFmtId="171" fontId="2" fillId="3" borderId="24" xfId="0" applyNumberFormat="1" applyFont="1" applyFill="1" applyBorder="1" applyAlignment="1">
      <alignment horizontal="center" vertical="center"/>
    </xf>
    <xf numFmtId="164" fontId="34" fillId="10" borderId="41" xfId="1" applyNumberFormat="1" applyFont="1" applyFill="1" applyBorder="1" applyAlignment="1">
      <alignment horizontal="center" vertical="center" wrapText="1"/>
    </xf>
    <xf numFmtId="164" fontId="64" fillId="0" borderId="23" xfId="0" applyNumberFormat="1" applyFont="1" applyBorder="1" applyAlignment="1">
      <alignment horizontal="center" vertical="center" wrapText="1"/>
    </xf>
    <xf numFmtId="164" fontId="64" fillId="0" borderId="22" xfId="0" applyNumberFormat="1" applyFont="1" applyBorder="1" applyAlignment="1">
      <alignment horizontal="center" vertical="center" wrapText="1"/>
    </xf>
    <xf numFmtId="164" fontId="64" fillId="0" borderId="20" xfId="0" applyNumberFormat="1" applyFont="1" applyBorder="1" applyAlignment="1">
      <alignment horizontal="center" vertical="center" wrapText="1"/>
    </xf>
    <xf numFmtId="164" fontId="64" fillId="0" borderId="18" xfId="0" applyNumberFormat="1" applyFont="1" applyBorder="1" applyAlignment="1">
      <alignment horizontal="center" vertical="center" wrapText="1"/>
    </xf>
    <xf numFmtId="164" fontId="64" fillId="0" borderId="0" xfId="0" applyNumberFormat="1" applyFont="1" applyBorder="1" applyAlignment="1">
      <alignment horizontal="center" vertical="center" wrapText="1"/>
    </xf>
    <xf numFmtId="164" fontId="64" fillId="0" borderId="36" xfId="0" applyNumberFormat="1" applyFont="1" applyBorder="1" applyAlignment="1">
      <alignment horizontal="center" vertical="center" wrapText="1"/>
    </xf>
    <xf numFmtId="164" fontId="64" fillId="0" borderId="37" xfId="0" applyNumberFormat="1" applyFont="1" applyBorder="1" applyAlignment="1">
      <alignment horizontal="center" vertical="center" wrapText="1"/>
    </xf>
    <xf numFmtId="164" fontId="64" fillId="0" borderId="38" xfId="0" applyNumberFormat="1" applyFont="1" applyBorder="1" applyAlignment="1">
      <alignment horizontal="center" vertical="center" wrapText="1"/>
    </xf>
    <xf numFmtId="164" fontId="64" fillId="0" borderId="39" xfId="0" applyNumberFormat="1" applyFont="1" applyBorder="1" applyAlignment="1">
      <alignment horizontal="center" vertical="center" wrapText="1"/>
    </xf>
    <xf numFmtId="164" fontId="2" fillId="2" borderId="9" xfId="0" applyNumberFormat="1" applyFont="1" applyFill="1" applyBorder="1" applyAlignment="1">
      <alignment horizontal="center" vertic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 fontId="2" fillId="0" borderId="0" xfId="0" applyNumberFormat="1" applyFont="1" applyBorder="1" applyAlignment="1">
      <alignment horizontal="center" vertical="center" wrapText="1"/>
    </xf>
    <xf numFmtId="2" fontId="62" fillId="0" borderId="23" xfId="0" applyNumberFormat="1" applyFont="1" applyBorder="1" applyAlignment="1">
      <alignment horizontal="center" vertical="center" wrapText="1"/>
    </xf>
    <xf numFmtId="2" fontId="62" fillId="0" borderId="22" xfId="0" applyNumberFormat="1" applyFont="1" applyBorder="1" applyAlignment="1">
      <alignment horizontal="center" vertical="center" wrapText="1"/>
    </xf>
    <xf numFmtId="2" fontId="62" fillId="0" borderId="40" xfId="0" applyNumberFormat="1" applyFont="1" applyBorder="1" applyAlignment="1">
      <alignment horizontal="center" vertical="center" wrapText="1"/>
    </xf>
    <xf numFmtId="2" fontId="62" fillId="0" borderId="12" xfId="0" applyNumberFormat="1" applyFont="1" applyBorder="1" applyAlignment="1">
      <alignment horizontal="center" vertical="center" wrapText="1"/>
    </xf>
    <xf numFmtId="164" fontId="39" fillId="20" borderId="34" xfId="0" applyNumberFormat="1" applyFont="1" applyFill="1" applyBorder="1" applyAlignment="1">
      <alignment horizontal="center" vertical="center"/>
    </xf>
    <xf numFmtId="167" fontId="2" fillId="0" borderId="30" xfId="0" applyNumberFormat="1" applyFont="1" applyFill="1" applyBorder="1" applyAlignment="1">
      <alignment horizontal="center" vertical="center"/>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0" borderId="1" xfId="0" applyFont="1" applyBorder="1" applyAlignment="1">
      <alignment horizontal="center"/>
    </xf>
    <xf numFmtId="0" fontId="2" fillId="4" borderId="1" xfId="0" applyFont="1" applyFill="1" applyBorder="1" applyAlignment="1">
      <alignment horizontal="center" vertical="center" wrapText="1"/>
    </xf>
    <xf numFmtId="0" fontId="39" fillId="0" borderId="2" xfId="0" applyFont="1" applyBorder="1" applyAlignment="1">
      <alignment horizontal="center" vertical="center"/>
    </xf>
    <xf numFmtId="164" fontId="34" fillId="12" borderId="30" xfId="1" applyNumberFormat="1"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24" xfId="0" applyFont="1" applyBorder="1" applyAlignment="1">
      <alignment horizontal="center" vertical="center" wrapText="1"/>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4" borderId="1" xfId="0" applyFont="1" applyFill="1" applyBorder="1" applyAlignment="1">
      <alignment horizontal="center" vertical="top" wrapText="1"/>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19" xfId="0" applyFont="1" applyBorder="1" applyAlignment="1">
      <alignment horizontal="center" vertical="center" wrapText="1"/>
    </xf>
    <xf numFmtId="164" fontId="81" fillId="8" borderId="29" xfId="1" applyNumberFormat="1" applyFont="1" applyFill="1" applyBorder="1" applyAlignment="1">
      <alignment horizontal="center" vertical="center"/>
    </xf>
    <xf numFmtId="164" fontId="81" fillId="8" borderId="30" xfId="1" applyNumberFormat="1" applyFont="1" applyFill="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164" fontId="31" fillId="8" borderId="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164" fontId="72" fillId="0" borderId="1" xfId="0" applyNumberFormat="1" applyFont="1" applyBorder="1" applyAlignment="1">
      <alignment horizontal="center" vertical="center"/>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0" fontId="3" fillId="0" borderId="19"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164" fontId="34" fillId="16" borderId="1" xfId="1" applyNumberFormat="1" applyFont="1" applyFill="1" applyBorder="1" applyAlignment="1">
      <alignment horizontal="center" vertical="center" wrapText="1"/>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66" fillId="0" borderId="1" xfId="0" applyFont="1" applyBorder="1" applyAlignment="1">
      <alignment horizontal="center" vertical="center"/>
    </xf>
    <xf numFmtId="164" fontId="34" fillId="18" borderId="1" xfId="1" applyNumberFormat="1" applyFont="1" applyFill="1" applyBorder="1" applyAlignment="1">
      <alignment horizontal="center" vertical="center" wrapText="1"/>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0" fontId="32" fillId="0" borderId="29" xfId="0" applyFont="1" applyBorder="1" applyAlignment="1">
      <alignment horizontal="center" vertical="center"/>
    </xf>
    <xf numFmtId="0" fontId="33" fillId="0" borderId="1" xfId="0" applyFont="1" applyBorder="1" applyAlignment="1">
      <alignment horizontal="center" vertical="center" wrapText="1"/>
    </xf>
    <xf numFmtId="0" fontId="2" fillId="0" borderId="20" xfId="0" applyFont="1" applyBorder="1" applyAlignment="1">
      <alignment horizontal="center" vertical="top" wrapText="1"/>
    </xf>
    <xf numFmtId="0" fontId="2" fillId="0" borderId="36" xfId="0" applyFont="1" applyBorder="1" applyAlignment="1">
      <alignment horizontal="center" vertical="top" wrapText="1"/>
    </xf>
    <xf numFmtId="0" fontId="2" fillId="0" borderId="39" xfId="0" applyFont="1" applyBorder="1" applyAlignment="1">
      <alignment horizontal="center" vertical="top"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textRotation="90"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2" fillId="0" borderId="1" xfId="0" applyFont="1" applyBorder="1" applyAlignment="1">
      <alignment horizontal="left" vertical="center" wrapText="1" indent="2"/>
    </xf>
    <xf numFmtId="0" fontId="2" fillId="0" borderId="2"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164" fontId="48" fillId="0" borderId="1" xfId="1" applyNumberFormat="1" applyFont="1" applyBorder="1" applyAlignment="1">
      <alignment horizontal="center" vertical="center"/>
    </xf>
    <xf numFmtId="0" fontId="19" fillId="0" borderId="1" xfId="0" applyFont="1" applyBorder="1" applyAlignment="1">
      <alignment horizontal="center" vertical="center" wrapText="1"/>
    </xf>
    <xf numFmtId="0" fontId="2" fillId="0" borderId="1" xfId="0" applyFont="1" applyBorder="1" applyAlignment="1">
      <alignment horizontal="center" vertical="top"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32" fillId="0" borderId="1" xfId="0" applyFont="1" applyBorder="1" applyAlignment="1">
      <alignment horizontal="center" vertical="center" wrapText="1"/>
    </xf>
    <xf numFmtId="167" fontId="2" fillId="0" borderId="14" xfId="0" applyNumberFormat="1" applyFont="1" applyBorder="1" applyAlignment="1">
      <alignment horizontal="center" vertical="center" wrapText="1"/>
    </xf>
    <xf numFmtId="167" fontId="2" fillId="0" borderId="67" xfId="0" applyNumberFormat="1"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0" fontId="2" fillId="0" borderId="21" xfId="0" applyFont="1" applyBorder="1" applyAlignment="1">
      <alignment horizontal="center" vertical="center" textRotation="90" wrapText="1"/>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164" fontId="34" fillId="14" borderId="41" xfId="1" applyNumberFormat="1" applyFont="1" applyFill="1" applyBorder="1" applyAlignment="1">
      <alignment horizontal="center" vertical="center" wrapText="1"/>
    </xf>
    <xf numFmtId="164" fontId="34" fillId="14" borderId="29" xfId="1" applyNumberFormat="1" applyFont="1" applyFill="1" applyBorder="1" applyAlignment="1">
      <alignment horizontal="center" vertical="center" wrapText="1"/>
    </xf>
    <xf numFmtId="164" fontId="34" fillId="14" borderId="30" xfId="1" applyNumberFormat="1" applyFont="1" applyFill="1" applyBorder="1" applyAlignment="1">
      <alignment horizontal="center" vertical="center" wrapText="1"/>
    </xf>
    <xf numFmtId="0" fontId="2" fillId="0" borderId="41"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2" fillId="0" borderId="3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5" xfId="0" applyFont="1" applyFill="1" applyBorder="1" applyAlignment="1">
      <alignment horizontal="center" vertical="center" wrapText="1"/>
    </xf>
    <xf numFmtId="49" fontId="7" fillId="0" borderId="6" xfId="0" applyNumberFormat="1" applyFont="1" applyBorder="1" applyAlignment="1">
      <alignment horizontal="center"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vertical="center" textRotation="90" wrapText="1"/>
    </xf>
    <xf numFmtId="49" fontId="1" fillId="4" borderId="5" xfId="0" applyNumberFormat="1" applyFont="1" applyFill="1" applyBorder="1" applyAlignment="1">
      <alignment horizontal="center" vertical="center" textRotation="90" wrapText="1"/>
    </xf>
    <xf numFmtId="49" fontId="1" fillId="4" borderId="6" xfId="0" applyNumberFormat="1" applyFont="1" applyFill="1" applyBorder="1" applyAlignment="1">
      <alignment horizontal="center" vertical="center" textRotation="90"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 fillId="0" borderId="22" xfId="0" applyFont="1" applyBorder="1" applyAlignment="1">
      <alignment horizontal="center" vertical="center"/>
    </xf>
    <xf numFmtId="0" fontId="2" fillId="0" borderId="38" xfId="0" applyFont="1" applyBorder="1" applyAlignment="1">
      <alignment horizontal="center" vertical="center"/>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3" fillId="12" borderId="1" xfId="1" applyNumberFormat="1" applyFont="1" applyFill="1" applyBorder="1" applyAlignment="1">
      <alignment horizontal="center" vertical="center" wrapText="1"/>
    </xf>
    <xf numFmtId="0" fontId="83" fillId="0" borderId="1" xfId="0" applyFont="1" applyBorder="1" applyAlignment="1">
      <alignment horizontal="center" vertical="center" wrapText="1"/>
    </xf>
    <xf numFmtId="0" fontId="83" fillId="0" borderId="1" xfId="0" applyFont="1" applyBorder="1" applyAlignment="1">
      <alignment horizontal="center" vertical="center"/>
    </xf>
    <xf numFmtId="0" fontId="83" fillId="0" borderId="41" xfId="0" applyFont="1" applyBorder="1" applyAlignment="1">
      <alignment horizontal="center" vertical="center" wrapText="1"/>
    </xf>
    <xf numFmtId="0" fontId="83" fillId="0" borderId="29" xfId="0" applyFont="1" applyBorder="1" applyAlignment="1">
      <alignment horizontal="center" vertical="center" wrapText="1"/>
    </xf>
    <xf numFmtId="0" fontId="83" fillId="0" borderId="30" xfId="0" applyFont="1" applyBorder="1" applyAlignment="1">
      <alignment horizontal="center" vertical="center" wrapText="1"/>
    </xf>
    <xf numFmtId="0" fontId="5" fillId="0" borderId="17" xfId="0" applyFont="1" applyBorder="1" applyAlignment="1">
      <alignment horizontal="center" vertical="center"/>
    </xf>
    <xf numFmtId="0" fontId="5" fillId="0" borderId="16" xfId="0" applyFont="1" applyBorder="1" applyAlignment="1">
      <alignment horizontal="center" vertical="center"/>
    </xf>
    <xf numFmtId="0" fontId="5" fillId="0" borderId="7" xfId="0" applyFont="1" applyBorder="1" applyAlignment="1">
      <alignment horizontal="center" vertical="center"/>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5" fillId="0" borderId="12" xfId="0" applyFont="1" applyBorder="1" applyAlignment="1">
      <alignment horizontal="center" vertical="center"/>
    </xf>
    <xf numFmtId="0" fontId="5" fillId="0" borderId="41"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0" fontId="5" fillId="6" borderId="2"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9" xfId="0" applyFont="1" applyFill="1" applyBorder="1" applyAlignment="1">
      <alignment horizontal="center" vertical="center"/>
    </xf>
    <xf numFmtId="49" fontId="5" fillId="0" borderId="41" xfId="0" applyNumberFormat="1" applyFont="1" applyBorder="1" applyAlignment="1">
      <alignment horizontal="center" vertical="center"/>
    </xf>
    <xf numFmtId="49" fontId="5" fillId="0" borderId="30" xfId="0" applyNumberFormat="1" applyFont="1" applyBorder="1" applyAlignment="1">
      <alignment horizontal="center" vertical="center"/>
    </xf>
    <xf numFmtId="164" fontId="23" fillId="10" borderId="41" xfId="1" applyNumberFormat="1" applyFont="1" applyFill="1" applyBorder="1" applyAlignment="1">
      <alignment horizontal="center" vertical="center" wrapText="1"/>
    </xf>
    <xf numFmtId="164" fontId="23" fillId="10" borderId="30" xfId="1" applyNumberFormat="1" applyFont="1" applyFill="1" applyBorder="1" applyAlignment="1">
      <alignment horizontal="center" vertical="center" wrapText="1"/>
    </xf>
    <xf numFmtId="1" fontId="5" fillId="0" borderId="23" xfId="0" applyNumberFormat="1" applyFont="1" applyFill="1" applyBorder="1" applyAlignment="1">
      <alignment horizontal="center" vertical="center"/>
    </xf>
    <xf numFmtId="1" fontId="5" fillId="0" borderId="20" xfId="0" applyNumberFormat="1" applyFont="1" applyFill="1" applyBorder="1" applyAlignment="1">
      <alignment horizontal="center" vertical="center"/>
    </xf>
    <xf numFmtId="1" fontId="5" fillId="0" borderId="37" xfId="0" applyNumberFormat="1" applyFont="1" applyFill="1" applyBorder="1" applyAlignment="1">
      <alignment horizontal="center" vertical="center"/>
    </xf>
    <xf numFmtId="1" fontId="5" fillId="0" borderId="39" xfId="0" applyNumberFormat="1" applyFont="1" applyFill="1" applyBorder="1" applyAlignment="1">
      <alignment horizontal="center" vertical="center"/>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08" fillId="11" borderId="2" xfId="1" applyNumberFormat="1" applyFont="1" applyFill="1" applyBorder="1" applyAlignment="1">
      <alignment horizontal="center" vertical="center" wrapText="1"/>
    </xf>
    <xf numFmtId="164" fontId="108" fillId="11" borderId="34" xfId="1" applyNumberFormat="1" applyFont="1" applyFill="1" applyBorder="1" applyAlignment="1">
      <alignment horizontal="center" vertical="center" wrapText="1"/>
    </xf>
    <xf numFmtId="164" fontId="110" fillId="8" borderId="1"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0"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0"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1"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164" fontId="23" fillId="14" borderId="1"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164" fontId="23" fillId="14" borderId="30"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1" xfId="0" applyFont="1" applyBorder="1" applyAlignment="1">
      <alignment horizontal="center" vertical="center"/>
    </xf>
    <xf numFmtId="164" fontId="107" fillId="8" borderId="23" xfId="1" applyNumberFormat="1" applyFont="1" applyFill="1" applyBorder="1" applyAlignment="1">
      <alignment horizontal="center" vertical="center" wrapText="1"/>
    </xf>
    <xf numFmtId="164" fontId="107" fillId="8" borderId="22" xfId="1" applyNumberFormat="1" applyFont="1" applyFill="1" applyBorder="1" applyAlignment="1">
      <alignment horizontal="center" vertical="center" wrapText="1"/>
    </xf>
    <xf numFmtId="164" fontId="107" fillId="8" borderId="20" xfId="1" applyNumberFormat="1" applyFont="1" applyFill="1" applyBorder="1" applyAlignment="1">
      <alignment horizontal="center" vertical="center" wrapText="1"/>
    </xf>
    <xf numFmtId="164" fontId="107" fillId="8" borderId="18" xfId="1" applyNumberFormat="1" applyFont="1" applyFill="1" applyBorder="1" applyAlignment="1">
      <alignment horizontal="center" vertical="center" wrapText="1"/>
    </xf>
    <xf numFmtId="164" fontId="107" fillId="8" borderId="0" xfId="1" applyNumberFormat="1" applyFont="1" applyFill="1" applyBorder="1" applyAlignment="1">
      <alignment horizontal="center" vertical="center" wrapText="1"/>
    </xf>
    <xf numFmtId="164" fontId="107" fillId="8" borderId="36" xfId="1" applyNumberFormat="1" applyFont="1" applyFill="1" applyBorder="1" applyAlignment="1">
      <alignment horizontal="center" vertical="center" wrapText="1"/>
    </xf>
    <xf numFmtId="164" fontId="107" fillId="8" borderId="37" xfId="1" applyNumberFormat="1" applyFont="1" applyFill="1" applyBorder="1" applyAlignment="1">
      <alignment horizontal="center" vertical="center" wrapText="1"/>
    </xf>
    <xf numFmtId="164" fontId="107" fillId="8" borderId="38" xfId="1" applyNumberFormat="1" applyFont="1" applyFill="1" applyBorder="1" applyAlignment="1">
      <alignment horizontal="center" vertical="center" wrapText="1"/>
    </xf>
    <xf numFmtId="164" fontId="107" fillId="8" borderId="39" xfId="1" applyNumberFormat="1" applyFont="1" applyFill="1" applyBorder="1" applyAlignment="1">
      <alignment horizontal="center" vertical="center" wrapText="1"/>
    </xf>
    <xf numFmtId="1" fontId="5" fillId="2" borderId="23" xfId="0" applyNumberFormat="1" applyFont="1" applyFill="1" applyBorder="1" applyAlignment="1">
      <alignment horizontal="center" vertical="center"/>
    </xf>
    <xf numFmtId="1" fontId="5" fillId="2" borderId="20" xfId="0" applyNumberFormat="1" applyFont="1" applyFill="1" applyBorder="1" applyAlignment="1">
      <alignment horizontal="center" vertical="center"/>
    </xf>
    <xf numFmtId="1" fontId="5" fillId="2" borderId="37" xfId="0" applyNumberFormat="1" applyFont="1" applyFill="1" applyBorder="1" applyAlignment="1">
      <alignment horizontal="center" vertical="center"/>
    </xf>
    <xf numFmtId="1" fontId="5" fillId="2" borderId="39" xfId="0" applyNumberFormat="1" applyFont="1" applyFill="1" applyBorder="1" applyAlignment="1">
      <alignment horizontal="center" vertical="center"/>
    </xf>
    <xf numFmtId="1" fontId="5" fillId="0" borderId="23" xfId="0" applyNumberFormat="1" applyFont="1" applyBorder="1" applyAlignment="1">
      <alignment horizontal="center" vertical="center" wrapText="1"/>
    </xf>
    <xf numFmtId="1" fontId="5" fillId="0" borderId="20" xfId="0" applyNumberFormat="1" applyFont="1" applyBorder="1" applyAlignment="1">
      <alignment horizontal="center" vertical="center" wrapText="1"/>
    </xf>
    <xf numFmtId="1" fontId="5" fillId="0" borderId="37" xfId="0" applyNumberFormat="1" applyFont="1" applyBorder="1" applyAlignment="1">
      <alignment horizontal="center" vertical="center" wrapText="1"/>
    </xf>
    <xf numFmtId="1" fontId="5" fillId="0" borderId="39" xfId="0" applyNumberFormat="1" applyFont="1" applyBorder="1" applyAlignment="1">
      <alignment horizontal="center" vertical="center" wrapText="1"/>
    </xf>
    <xf numFmtId="164" fontId="32" fillId="0" borderId="23" xfId="1" applyNumberFormat="1" applyFont="1" applyBorder="1" applyAlignment="1">
      <alignment horizontal="center" vertical="center"/>
    </xf>
    <xf numFmtId="164" fontId="32" fillId="0" borderId="20" xfId="1" applyNumberFormat="1" applyFont="1" applyBorder="1" applyAlignment="1">
      <alignment horizontal="center" vertical="center"/>
    </xf>
    <xf numFmtId="164" fontId="32" fillId="0" borderId="37" xfId="1" applyNumberFormat="1" applyFont="1" applyBorder="1" applyAlignment="1">
      <alignment horizontal="center" vertical="center"/>
    </xf>
    <xf numFmtId="164" fontId="32" fillId="0" borderId="39" xfId="1" applyNumberFormat="1" applyFont="1" applyBorder="1" applyAlignment="1">
      <alignment horizontal="center" vertical="center"/>
    </xf>
    <xf numFmtId="164" fontId="108" fillId="11" borderId="19" xfId="1" applyNumberFormat="1" applyFont="1" applyFill="1" applyBorder="1" applyAlignment="1">
      <alignment horizontal="center" vertical="center" wrapText="1"/>
    </xf>
    <xf numFmtId="0" fontId="5" fillId="6" borderId="20"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1" xfId="0" applyFont="1" applyFill="1" applyBorder="1" applyAlignment="1">
      <alignment horizontal="center" vertical="center"/>
    </xf>
    <xf numFmtId="164" fontId="110" fillId="8" borderId="1" xfId="1" applyNumberFormat="1" applyFont="1" applyFill="1" applyBorder="1" applyAlignment="1">
      <alignment horizontal="center" vertical="center"/>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2" fontId="32" fillId="0" borderId="23"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37" xfId="0" applyNumberFormat="1" applyFont="1" applyBorder="1" applyAlignment="1">
      <alignment horizontal="center" vertical="center" wrapText="1"/>
    </xf>
    <xf numFmtId="2" fontId="2" fillId="0" borderId="39" xfId="0" applyNumberFormat="1" applyFont="1" applyBorder="1" applyAlignment="1">
      <alignment horizontal="center" vertical="center" wrapText="1"/>
    </xf>
    <xf numFmtId="2" fontId="5" fillId="3" borderId="1" xfId="0" applyNumberFormat="1" applyFont="1" applyFill="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20" xfId="0" applyNumberFormat="1" applyFont="1" applyBorder="1" applyAlignment="1">
      <alignment horizontal="center" vertical="center" wrapText="1"/>
    </xf>
    <xf numFmtId="2" fontId="5" fillId="0" borderId="37" xfId="0" applyNumberFormat="1" applyFont="1" applyBorder="1" applyAlignment="1">
      <alignment horizontal="center" vertical="center" wrapText="1"/>
    </xf>
    <xf numFmtId="2" fontId="5" fillId="0" borderId="38" xfId="0" applyNumberFormat="1" applyFont="1" applyBorder="1" applyAlignment="1">
      <alignment horizontal="center" vertical="center" wrapText="1"/>
    </xf>
    <xf numFmtId="2" fontId="5" fillId="0" borderId="39" xfId="0" applyNumberFormat="1" applyFont="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20" xfId="0" applyNumberFormat="1" applyFont="1" applyBorder="1" applyAlignment="1">
      <alignment horizontal="center" vertical="center"/>
    </xf>
    <xf numFmtId="2" fontId="5" fillId="0" borderId="37" xfId="0" applyNumberFormat="1" applyFont="1" applyBorder="1" applyAlignment="1">
      <alignment horizontal="center" vertical="center"/>
    </xf>
    <xf numFmtId="2" fontId="5" fillId="0" borderId="38" xfId="0" applyNumberFormat="1" applyFont="1" applyBorder="1" applyAlignment="1">
      <alignment horizontal="center" vertical="center"/>
    </xf>
    <xf numFmtId="2" fontId="5" fillId="0" borderId="39" xfId="0" applyNumberFormat="1" applyFont="1" applyBorder="1" applyAlignment="1">
      <alignment horizontal="center" vertical="center"/>
    </xf>
    <xf numFmtId="49" fontId="5" fillId="0" borderId="1" xfId="0" applyNumberFormat="1" applyFont="1" applyBorder="1" applyAlignment="1">
      <alignment horizontal="center" vertical="center"/>
    </xf>
    <xf numFmtId="164" fontId="23" fillId="10" borderId="1" xfId="1" applyNumberFormat="1" applyFont="1" applyFill="1" applyBorder="1" applyAlignment="1">
      <alignment horizontal="center" vertical="center" wrapText="1"/>
    </xf>
    <xf numFmtId="0" fontId="5" fillId="0" borderId="18" xfId="0" applyFont="1" applyBorder="1" applyAlignment="1">
      <alignment horizontal="center" vertical="center"/>
    </xf>
    <xf numFmtId="0" fontId="5" fillId="0" borderId="0" xfId="0" applyFont="1" applyBorder="1" applyAlignment="1">
      <alignment horizontal="center" vertical="center"/>
    </xf>
    <xf numFmtId="164" fontId="32" fillId="0" borderId="1" xfId="1" applyNumberFormat="1" applyFont="1" applyBorder="1" applyAlignment="1">
      <alignment horizontal="center" vertical="center"/>
    </xf>
    <xf numFmtId="164" fontId="108" fillId="11" borderId="1" xfId="1" applyNumberFormat="1" applyFont="1" applyFill="1" applyBorder="1" applyAlignment="1">
      <alignment horizontal="center" vertical="center" wrapText="1"/>
    </xf>
    <xf numFmtId="164" fontId="5" fillId="0" borderId="23" xfId="0" applyNumberFormat="1" applyFont="1" applyBorder="1" applyAlignment="1">
      <alignment horizontal="center" vertical="center"/>
    </xf>
    <xf numFmtId="164" fontId="5" fillId="0" borderId="22" xfId="0" applyNumberFormat="1" applyFont="1" applyBorder="1" applyAlignment="1">
      <alignment horizontal="center" vertical="center"/>
    </xf>
    <xf numFmtId="164" fontId="5" fillId="0" borderId="20" xfId="0" applyNumberFormat="1" applyFont="1" applyBorder="1" applyAlignment="1">
      <alignment horizontal="center" vertical="center"/>
    </xf>
    <xf numFmtId="164" fontId="5" fillId="0" borderId="18"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36" xfId="0" applyNumberFormat="1" applyFont="1" applyBorder="1" applyAlignment="1">
      <alignment horizontal="center" vertical="center"/>
    </xf>
    <xf numFmtId="164" fontId="5" fillId="0" borderId="37" xfId="0" applyNumberFormat="1" applyFont="1" applyBorder="1" applyAlignment="1">
      <alignment horizontal="center" vertical="center"/>
    </xf>
    <xf numFmtId="164" fontId="5" fillId="0" borderId="38" xfId="0" applyNumberFormat="1" applyFont="1" applyBorder="1" applyAlignment="1">
      <alignment horizontal="center" vertical="center"/>
    </xf>
    <xf numFmtId="164" fontId="5" fillId="0" borderId="39" xfId="0" applyNumberFormat="1" applyFont="1" applyBorder="1" applyAlignment="1">
      <alignment horizontal="center" vertical="center"/>
    </xf>
    <xf numFmtId="0" fontId="5" fillId="0" borderId="1" xfId="0" applyFont="1" applyFill="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49" fontId="5" fillId="0" borderId="29" xfId="0" applyNumberFormat="1" applyFont="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86" fillId="0" borderId="23" xfId="1" applyNumberFormat="1" applyFont="1" applyBorder="1" applyAlignment="1">
      <alignment horizontal="center" vertical="center"/>
    </xf>
    <xf numFmtId="164" fontId="86" fillId="0" borderId="22" xfId="1" applyNumberFormat="1" applyFont="1" applyBorder="1" applyAlignment="1">
      <alignment horizontal="center" vertical="center"/>
    </xf>
    <xf numFmtId="164" fontId="86" fillId="0" borderId="40" xfId="1" applyNumberFormat="1" applyFont="1" applyBorder="1" applyAlignment="1">
      <alignment horizontal="center" vertical="center"/>
    </xf>
    <xf numFmtId="164" fontId="86" fillId="0" borderId="12" xfId="1" applyNumberFormat="1" applyFont="1" applyBorder="1" applyAlignment="1">
      <alignment horizontal="center" vertical="center"/>
    </xf>
  </cellXfs>
  <cellStyles count="2">
    <cellStyle name="Hyperlink" xfId="1" builtinId="8" customBuiltin="1"/>
    <cellStyle name="Normal"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12.736974355132494</c:v>
                </c:pt>
                <c:pt idx="1">
                  <c:v>24.877261838856711</c:v>
                </c:pt>
                <c:pt idx="2">
                  <c:v>36.314073762296516</c:v>
                </c:pt>
                <c:pt idx="3">
                  <c:v>46.97109787442713</c:v>
                </c:pt>
                <c:pt idx="4">
                  <c:v>56.794325759108467</c:v>
                </c:pt>
                <c:pt idx="5">
                  <c:v>65.772100578723425</c:v>
                </c:pt>
                <c:pt idx="6">
                  <c:v>73.887905432053486</c:v>
                </c:pt>
                <c:pt idx="7">
                  <c:v>81.164881650293424</c:v>
                </c:pt>
                <c:pt idx="8">
                  <c:v>87.793580244864245</c:v>
                </c:pt>
                <c:pt idx="9">
                  <c:v>93.852059932613017</c:v>
                </c:pt>
                <c:pt idx="10">
                  <c:v>98.981228351348875</c:v>
                </c:pt>
                <c:pt idx="11">
                  <c:v>103.75002058985528</c:v>
                </c:pt>
                <c:pt idx="12">
                  <c:v>107.66521994057371</c:v>
                </c:pt>
                <c:pt idx="13">
                  <c:v>110.29661863574054</c:v>
                </c:pt>
                <c:pt idx="14">
                  <c:v>112.94656627403859</c:v>
                </c:pt>
                <c:pt idx="15">
                  <c:v>114.63576683323491</c:v>
                </c:pt>
                <c:pt idx="16">
                  <c:v>115.52465948358702</c:v>
                </c:pt>
                <c:pt idx="17">
                  <c:v>115.63359561506849</c:v>
                </c:pt>
                <c:pt idx="18">
                  <c:v>115.1148471058609</c:v>
                </c:pt>
                <c:pt idx="19">
                  <c:v>114.06276249034943</c:v>
                </c:pt>
                <c:pt idx="20">
                  <c:v>114.96593364011237</c:v>
                </c:pt>
                <c:pt idx="21">
                  <c:v>112.83886368018139</c:v>
                </c:pt>
                <c:pt idx="22">
                  <c:v>110.24527793856993</c:v>
                </c:pt>
                <c:pt idx="23">
                  <c:v>107.70090566694964</c:v>
                </c:pt>
                <c:pt idx="24">
                  <c:v>104.73754360224711</c:v>
                </c:pt>
                <c:pt idx="25">
                  <c:v>101.95454423124264</c:v>
                </c:pt>
                <c:pt idx="26">
                  <c:v>98.574664517817823</c:v>
                </c:pt>
                <c:pt idx="27">
                  <c:v>95.659459483404405</c:v>
                </c:pt>
                <c:pt idx="28">
                  <c:v>92.736237915490918</c:v>
                </c:pt>
                <c:pt idx="29">
                  <c:v>89.338110330439108</c:v>
                </c:pt>
                <c:pt idx="30">
                  <c:v>86.481961092002607</c:v>
                </c:pt>
                <c:pt idx="31">
                  <c:v>83.488700064514447</c:v>
                </c:pt>
                <c:pt idx="32">
                  <c:v>80.760776933234808</c:v>
                </c:pt>
                <c:pt idx="33">
                  <c:v>78.10916833984669</c:v>
                </c:pt>
                <c:pt idx="34">
                  <c:v>75.358090001368481</c:v>
                </c:pt>
                <c:pt idx="35">
                  <c:v>72.878613483957679</c:v>
                </c:pt>
                <c:pt idx="36">
                  <c:v>70.313779190086905</c:v>
                </c:pt>
                <c:pt idx="37">
                  <c:v>67.845833101558938</c:v>
                </c:pt>
                <c:pt idx="38">
                  <c:v>65.639296348276943</c:v>
                </c:pt>
                <c:pt idx="39">
                  <c:v>63.711898730334099</c:v>
                </c:pt>
                <c:pt idx="40">
                  <c:v>61.510519622834416</c:v>
                </c:pt>
                <c:pt idx="41">
                  <c:v>59.553434332602826</c:v>
                </c:pt>
                <c:pt idx="42">
                  <c:v>57.52827757935512</c:v>
                </c:pt>
                <c:pt idx="43">
                  <c:v>55.889902610204786</c:v>
                </c:pt>
                <c:pt idx="44">
                  <c:v>54.020456890991355</c:v>
                </c:pt>
                <c:pt idx="45">
                  <c:v>52.647877909648038</c:v>
                </c:pt>
                <c:pt idx="46">
                  <c:v>50.91956184082472</c:v>
                </c:pt>
                <c:pt idx="47">
                  <c:v>49.265303549944647</c:v>
                </c:pt>
                <c:pt idx="48">
                  <c:v>47.929490588287678</c:v>
                </c:pt>
                <c:pt idx="49">
                  <c:v>46.403174242714222</c:v>
                </c:pt>
                <c:pt idx="50">
                  <c:v>45.292633866293187</c:v>
                </c:pt>
                <c:pt idx="51">
                  <c:v>44.102856360584504</c:v>
                </c:pt>
                <c:pt idx="52">
                  <c:v>42.740930572009162</c:v>
                </c:pt>
                <c:pt idx="53">
                  <c:v>41.642457012645323</c:v>
                </c:pt>
                <c:pt idx="54">
                  <c:v>40.383679600349332</c:v>
                </c:pt>
                <c:pt idx="55">
                  <c:v>39.368540283787162</c:v>
                </c:pt>
                <c:pt idx="56">
                  <c:v>38.38922804234938</c:v>
                </c:pt>
                <c:pt idx="57">
                  <c:v>37.366985263903899</c:v>
                </c:pt>
                <c:pt idx="58">
                  <c:v>36.458284576467008</c:v>
                </c:pt>
                <c:pt idx="59">
                  <c:v>35.580915134475532</c:v>
                </c:pt>
                <c:pt idx="60">
                  <c:v>34.733559072445971</c:v>
                </c:pt>
                <c:pt idx="61">
                  <c:v>33.757872960061952</c:v>
                </c:pt>
                <c:pt idx="62">
                  <c:v>32.971619465488992</c:v>
                </c:pt>
                <c:pt idx="63">
                  <c:v>32.21159261451114</c:v>
                </c:pt>
                <c:pt idx="64">
                  <c:v>31.476704717937547</c:v>
                </c:pt>
                <c:pt idx="65">
                  <c:v>30.76591827822644</c:v>
                </c:pt>
                <c:pt idx="66">
                  <c:v>29.944608335883864</c:v>
                </c:pt>
                <c:pt idx="67">
                  <c:v>29.283030367974046</c:v>
                </c:pt>
                <c:pt idx="68">
                  <c:v>28.642577132057752</c:v>
                </c:pt>
                <c:pt idx="69">
                  <c:v>28.022396396628022</c:v>
                </c:pt>
                <c:pt idx="70">
                  <c:v>27.498646460917389</c:v>
                </c:pt>
                <c:pt idx="71">
                  <c:v>26.915095537334125</c:v>
                </c:pt>
                <c:pt idx="72">
                  <c:v>26.349531274891831</c:v>
                </c:pt>
                <c:pt idx="73">
                  <c:v>25.80124726680101</c:v>
                </c:pt>
                <c:pt idx="74">
                  <c:v>25.2695695370431</c:v>
                </c:pt>
                <c:pt idx="75">
                  <c:v>24.753854939846764</c:v>
                </c:pt>
                <c:pt idx="76">
                  <c:v>24.253489632659718</c:v>
                </c:pt>
                <c:pt idx="77">
                  <c:v>23.767887621098993</c:v>
                </c:pt>
                <c:pt idx="78">
                  <c:v>23.296489373987903</c:v>
                </c:pt>
                <c:pt idx="79">
                  <c:v>22.838760506312607</c:v>
                </c:pt>
                <c:pt idx="80">
                  <c:v>22.394190527737422</c:v>
                </c:pt>
                <c:pt idx="81">
                  <c:v>21.962291654189155</c:v>
                </c:pt>
                <c:pt idx="82">
                  <c:v>21.54259767994435</c:v>
                </c:pt>
                <c:pt idx="83">
                  <c:v>21.134662907619532</c:v>
                </c:pt>
                <c:pt idx="84">
                  <c:v>20.738061133463098</c:v>
                </c:pt>
                <c:pt idx="85">
                  <c:v>20.352384685372908</c:v>
                </c:pt>
                <c:pt idx="86">
                  <c:v>19.977243511108949</c:v>
                </c:pt>
                <c:pt idx="87">
                  <c:v>19.612264314230952</c:v>
                </c:pt>
                <c:pt idx="88">
                  <c:v>19.330210726377505</c:v>
                </c:pt>
                <c:pt idx="89">
                  <c:v>18.982682701597877</c:v>
                </c:pt>
                <c:pt idx="90">
                  <c:v>18.644347684712557</c:v>
                </c:pt>
              </c:numCache>
            </c:numRef>
          </c:yVal>
          <c:smooth val="1"/>
        </c:ser>
        <c:dLbls>
          <c:showLegendKey val="0"/>
          <c:showVal val="0"/>
          <c:showCatName val="0"/>
          <c:showSerName val="0"/>
          <c:showPercent val="0"/>
          <c:showBubbleSize val="0"/>
        </c:dLbls>
        <c:axId val="191969152"/>
        <c:axId val="191970688"/>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0.31917689446217462</c:v>
                </c:pt>
                <c:pt idx="1">
                  <c:v>0.51553680856815542</c:v>
                </c:pt>
                <c:pt idx="2">
                  <c:v>0.72649651799004877</c:v>
                </c:pt>
                <c:pt idx="3">
                  <c:v>0.93659294906462132</c:v>
                </c:pt>
                <c:pt idx="4">
                  <c:v>1.1412544002375515</c:v>
                </c:pt>
                <c:pt idx="5">
                  <c:v>1.3386972519956186</c:v>
                </c:pt>
                <c:pt idx="6">
                  <c:v>1.5278996103849198</c:v>
                </c:pt>
                <c:pt idx="7">
                  <c:v>1.7084778654468935</c:v>
                </c:pt>
                <c:pt idx="8">
                  <c:v>1.8863473937922171</c:v>
                </c:pt>
                <c:pt idx="9">
                  <c:v>2.0655821392977054</c:v>
                </c:pt>
                <c:pt idx="10">
                  <c:v>2.2307475236903493</c:v>
                </c:pt>
                <c:pt idx="11">
                  <c:v>2.4110449391074655</c:v>
                </c:pt>
                <c:pt idx="12">
                  <c:v>2.583629053074548</c:v>
                </c:pt>
                <c:pt idx="13">
                  <c:v>2.6949236935630023</c:v>
                </c:pt>
                <c:pt idx="14">
                  <c:v>2.8716101298966508</c:v>
                </c:pt>
                <c:pt idx="15">
                  <c:v>3.050563917244002</c:v>
                </c:pt>
                <c:pt idx="16">
                  <c:v>3.2075095109705587</c:v>
                </c:pt>
                <c:pt idx="17">
                  <c:v>3.3537636328746507</c:v>
                </c:pt>
                <c:pt idx="18">
                  <c:v>3.4902022223150939</c:v>
                </c:pt>
                <c:pt idx="19">
                  <c:v>3.6171295122020068</c:v>
                </c:pt>
                <c:pt idx="20">
                  <c:v>3.6335543850018022</c:v>
                </c:pt>
                <c:pt idx="21">
                  <c:v>3.7701216047051616</c:v>
                </c:pt>
                <c:pt idx="22">
                  <c:v>3.8949472817312727</c:v>
                </c:pt>
                <c:pt idx="23">
                  <c:v>3.9954400205739802</c:v>
                </c:pt>
                <c:pt idx="24">
                  <c:v>4.1041728420910601</c:v>
                </c:pt>
                <c:pt idx="25">
                  <c:v>4.1909065487827712</c:v>
                </c:pt>
                <c:pt idx="26">
                  <c:v>4.2801505633060861</c:v>
                </c:pt>
                <c:pt idx="27">
                  <c:v>4.3535083904271188</c:v>
                </c:pt>
                <c:pt idx="28">
                  <c:v>4.4214153572812211</c:v>
                </c:pt>
                <c:pt idx="29">
                  <c:v>4.4913328026214678</c:v>
                </c:pt>
                <c:pt idx="30">
                  <c:v>4.5492173209646616</c:v>
                </c:pt>
                <c:pt idx="31">
                  <c:v>4.5978479374623804</c:v>
                </c:pt>
                <c:pt idx="32">
                  <c:v>4.6478837506901414</c:v>
                </c:pt>
                <c:pt idx="33">
                  <c:v>4.6945910917597473</c:v>
                </c:pt>
                <c:pt idx="34">
                  <c:v>4.7327027025335271</c:v>
                </c:pt>
                <c:pt idx="35">
                  <c:v>4.7735461140552315</c:v>
                </c:pt>
                <c:pt idx="36">
                  <c:v>4.8061153693111622</c:v>
                </c:pt>
                <c:pt idx="37">
                  <c:v>4.8362304229861968</c:v>
                </c:pt>
                <c:pt idx="38">
                  <c:v>4.870110574796664</c:v>
                </c:pt>
                <c:pt idx="39">
                  <c:v>4.8928947764497561</c:v>
                </c:pt>
                <c:pt idx="40">
                  <c:v>4.9172126052989196</c:v>
                </c:pt>
                <c:pt idx="41">
                  <c:v>4.9460438747858211</c:v>
                </c:pt>
                <c:pt idx="42">
                  <c:v>4.9671639100424834</c:v>
                </c:pt>
                <c:pt idx="43">
                  <c:v>4.9844381370916206</c:v>
                </c:pt>
                <c:pt idx="44">
                  <c:v>5.0029715150530807</c:v>
                </c:pt>
                <c:pt idx="45">
                  <c:v>5.0246310033653998</c:v>
                </c:pt>
                <c:pt idx="46">
                  <c:v>5.0410324529038517</c:v>
                </c:pt>
                <c:pt idx="47">
                  <c:v>5.0563930486837538</c:v>
                </c:pt>
                <c:pt idx="48">
                  <c:v>5.0690215318827914</c:v>
                </c:pt>
                <c:pt idx="49">
                  <c:v>5.0826535827479509</c:v>
                </c:pt>
                <c:pt idx="50">
                  <c:v>5.1005947635347022</c:v>
                </c:pt>
                <c:pt idx="51">
                  <c:v>5.1112792203526247</c:v>
                </c:pt>
                <c:pt idx="52">
                  <c:v>5.1228548307987625</c:v>
                </c:pt>
                <c:pt idx="53">
                  <c:v>5.1324115037838256</c:v>
                </c:pt>
                <c:pt idx="54">
                  <c:v>5.1427863810257453</c:v>
                </c:pt>
                <c:pt idx="55">
                  <c:v>5.1513668492694045</c:v>
                </c:pt>
                <c:pt idx="56">
                  <c:v>5.1595359060766679</c:v>
                </c:pt>
                <c:pt idx="57">
                  <c:v>5.1753861474834064</c:v>
                </c:pt>
                <c:pt idx="58">
                  <c:v>5.1827892103666766</c:v>
                </c:pt>
                <c:pt idx="59">
                  <c:v>5.1898542358649209</c:v>
                </c:pt>
                <c:pt idx="60">
                  <c:v>5.1966015808161234</c:v>
                </c:pt>
                <c:pt idx="61">
                  <c:v>5.2039768491727427</c:v>
                </c:pt>
                <c:pt idx="62">
                  <c:v>5.2101057347623607</c:v>
                </c:pt>
                <c:pt idx="63">
                  <c:v>5.215971633369425</c:v>
                </c:pt>
                <c:pt idx="64">
                  <c:v>5.2215895203222251</c:v>
                </c:pt>
                <c:pt idx="65">
                  <c:v>5.2269733292823464</c:v>
                </c:pt>
                <c:pt idx="66">
                  <c:v>5.2328826662392043</c:v>
                </c:pt>
                <c:pt idx="67">
                  <c:v>5.2378074865354272</c:v>
                </c:pt>
                <c:pt idx="68">
                  <c:v>5.2425360489219095</c:v>
                </c:pt>
                <c:pt idx="69">
                  <c:v>5.2470788002245756</c:v>
                </c:pt>
                <c:pt idx="70">
                  <c:v>5.258682100718528</c:v>
                </c:pt>
                <c:pt idx="71">
                  <c:v>5.2628993056859228</c:v>
                </c:pt>
                <c:pt idx="72">
                  <c:v>5.2669575158998736</c:v>
                </c:pt>
                <c:pt idx="73">
                  <c:v>5.2708647716927084</c:v>
                </c:pt>
                <c:pt idx="74">
                  <c:v>5.2746286120601429</c:v>
                </c:pt>
                <c:pt idx="75">
                  <c:v>5.2782561113644917</c:v>
                </c:pt>
                <c:pt idx="76">
                  <c:v>5.2817539129833087</c:v>
                </c:pt>
                <c:pt idx="77">
                  <c:v>5.2851282601858047</c:v>
                </c:pt>
                <c:pt idx="78">
                  <c:v>5.2883850244908475</c:v>
                </c:pt>
                <c:pt idx="79">
                  <c:v>5.2915297317350669</c:v>
                </c:pt>
                <c:pt idx="80">
                  <c:v>5.294567586056858</c:v>
                </c:pt>
                <c:pt idx="81">
                  <c:v>5.2975034919819199</c:v>
                </c:pt>
                <c:pt idx="82">
                  <c:v>5.3003420747777996</c:v>
                </c:pt>
                <c:pt idx="83">
                  <c:v>5.3030876992288265</c:v>
                </c:pt>
                <c:pt idx="84">
                  <c:v>5.3057444869682069</c:v>
                </c:pt>
                <c:pt idx="85">
                  <c:v>5.3083163324911604</c:v>
                </c:pt>
                <c:pt idx="86">
                  <c:v>5.310806917961246</c:v>
                </c:pt>
                <c:pt idx="87">
                  <c:v>5.3132197269115506</c:v>
                </c:pt>
                <c:pt idx="88">
                  <c:v>5.3152098842903346</c:v>
                </c:pt>
                <c:pt idx="89">
                  <c:v>5.3174873409455312</c:v>
                </c:pt>
                <c:pt idx="90">
                  <c:v>5.319695983487895</c:v>
                </c:pt>
              </c:numCache>
            </c:numRef>
          </c:yVal>
          <c:smooth val="1"/>
        </c:ser>
        <c:dLbls>
          <c:showLegendKey val="0"/>
          <c:showVal val="0"/>
          <c:showCatName val="0"/>
          <c:showSerName val="0"/>
          <c:showPercent val="0"/>
          <c:showBubbleSize val="0"/>
        </c:dLbls>
        <c:axId val="191982208"/>
        <c:axId val="191980672"/>
      </c:scatterChart>
      <c:valAx>
        <c:axId val="19196915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1970688"/>
        <c:crosses val="autoZero"/>
        <c:crossBetween val="midCat"/>
      </c:valAx>
      <c:valAx>
        <c:axId val="191970688"/>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1969152"/>
        <c:crosses val="autoZero"/>
        <c:crossBetween val="midCat"/>
      </c:valAx>
      <c:valAx>
        <c:axId val="191980672"/>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1982208"/>
        <c:crosses val="max"/>
        <c:crossBetween val="midCat"/>
      </c:valAx>
      <c:valAx>
        <c:axId val="191982208"/>
        <c:scaling>
          <c:orientation val="minMax"/>
        </c:scaling>
        <c:delete val="1"/>
        <c:axPos val="b"/>
        <c:numFmt formatCode="0.00000" sourceLinked="1"/>
        <c:majorTickMark val="out"/>
        <c:minorTickMark val="none"/>
        <c:tickLblPos val="nextTo"/>
        <c:crossAx val="19198067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435035121328575"/>
          <c:y val="0.16844893049810702"/>
          <c:w val="0.70711034788486127"/>
          <c:h val="0.63228938382976718"/>
        </c:manualLayout>
      </c:layout>
      <c:scatterChart>
        <c:scatterStyle val="smoothMarker"/>
        <c:varyColors val="0"/>
        <c:ser>
          <c:idx val="0"/>
          <c:order val="0"/>
          <c:spPr>
            <a:ln w="5715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12.736974355132494</c:v>
                </c:pt>
                <c:pt idx="1">
                  <c:v>24.877261838856711</c:v>
                </c:pt>
                <c:pt idx="2">
                  <c:v>36.314073762296516</c:v>
                </c:pt>
                <c:pt idx="3">
                  <c:v>46.97109787442713</c:v>
                </c:pt>
                <c:pt idx="4">
                  <c:v>56.794325759108467</c:v>
                </c:pt>
                <c:pt idx="5">
                  <c:v>65.772100578723425</c:v>
                </c:pt>
                <c:pt idx="6">
                  <c:v>73.887905432053486</c:v>
                </c:pt>
                <c:pt idx="7">
                  <c:v>81.164881650293424</c:v>
                </c:pt>
                <c:pt idx="8">
                  <c:v>87.793580244864245</c:v>
                </c:pt>
                <c:pt idx="9">
                  <c:v>93.852059932613017</c:v>
                </c:pt>
                <c:pt idx="10">
                  <c:v>98.981228351348875</c:v>
                </c:pt>
                <c:pt idx="11">
                  <c:v>103.75002058985528</c:v>
                </c:pt>
                <c:pt idx="12">
                  <c:v>107.66521994057371</c:v>
                </c:pt>
                <c:pt idx="13">
                  <c:v>110.29661863574054</c:v>
                </c:pt>
                <c:pt idx="14">
                  <c:v>112.94656627403859</c:v>
                </c:pt>
                <c:pt idx="15">
                  <c:v>114.63576683323491</c:v>
                </c:pt>
                <c:pt idx="16">
                  <c:v>115.52465948358702</c:v>
                </c:pt>
                <c:pt idx="17">
                  <c:v>115.63359561506849</c:v>
                </c:pt>
                <c:pt idx="18">
                  <c:v>115.1148471058609</c:v>
                </c:pt>
                <c:pt idx="19">
                  <c:v>114.06276249034943</c:v>
                </c:pt>
                <c:pt idx="20">
                  <c:v>114.96593364011237</c:v>
                </c:pt>
                <c:pt idx="21">
                  <c:v>112.83886368018139</c:v>
                </c:pt>
                <c:pt idx="22">
                  <c:v>110.24527793856993</c:v>
                </c:pt>
                <c:pt idx="23">
                  <c:v>107.70090566694964</c:v>
                </c:pt>
                <c:pt idx="24">
                  <c:v>104.73754360224711</c:v>
                </c:pt>
                <c:pt idx="25">
                  <c:v>101.95454423124264</c:v>
                </c:pt>
                <c:pt idx="26">
                  <c:v>98.574664517817823</c:v>
                </c:pt>
                <c:pt idx="27">
                  <c:v>95.659459483404405</c:v>
                </c:pt>
                <c:pt idx="28">
                  <c:v>92.736237915490918</c:v>
                </c:pt>
                <c:pt idx="29">
                  <c:v>89.338110330439108</c:v>
                </c:pt>
                <c:pt idx="30">
                  <c:v>86.481961092002607</c:v>
                </c:pt>
                <c:pt idx="31">
                  <c:v>83.488700064514447</c:v>
                </c:pt>
                <c:pt idx="32">
                  <c:v>80.760776933234808</c:v>
                </c:pt>
                <c:pt idx="33">
                  <c:v>78.10916833984669</c:v>
                </c:pt>
                <c:pt idx="34">
                  <c:v>75.358090001368481</c:v>
                </c:pt>
                <c:pt idx="35">
                  <c:v>72.878613483957679</c:v>
                </c:pt>
                <c:pt idx="36">
                  <c:v>70.313779190086905</c:v>
                </c:pt>
                <c:pt idx="37">
                  <c:v>67.845833101558938</c:v>
                </c:pt>
                <c:pt idx="38">
                  <c:v>65.639296348276943</c:v>
                </c:pt>
                <c:pt idx="39">
                  <c:v>63.711898730334099</c:v>
                </c:pt>
                <c:pt idx="40">
                  <c:v>61.510519622834416</c:v>
                </c:pt>
                <c:pt idx="41">
                  <c:v>59.553434332602826</c:v>
                </c:pt>
                <c:pt idx="42">
                  <c:v>57.52827757935512</c:v>
                </c:pt>
                <c:pt idx="43">
                  <c:v>55.889902610204786</c:v>
                </c:pt>
                <c:pt idx="44">
                  <c:v>54.020456890991355</c:v>
                </c:pt>
                <c:pt idx="45">
                  <c:v>52.647877909648038</c:v>
                </c:pt>
                <c:pt idx="46">
                  <c:v>50.91956184082472</c:v>
                </c:pt>
                <c:pt idx="47">
                  <c:v>49.265303549944647</c:v>
                </c:pt>
                <c:pt idx="48">
                  <c:v>47.929490588287678</c:v>
                </c:pt>
                <c:pt idx="49">
                  <c:v>46.403174242714222</c:v>
                </c:pt>
                <c:pt idx="50">
                  <c:v>45.292633866293187</c:v>
                </c:pt>
                <c:pt idx="51">
                  <c:v>44.102856360584504</c:v>
                </c:pt>
                <c:pt idx="52">
                  <c:v>42.740930572009162</c:v>
                </c:pt>
                <c:pt idx="53">
                  <c:v>41.642457012645323</c:v>
                </c:pt>
                <c:pt idx="54">
                  <c:v>40.383679600349332</c:v>
                </c:pt>
                <c:pt idx="55">
                  <c:v>39.368540283787162</c:v>
                </c:pt>
                <c:pt idx="56">
                  <c:v>38.38922804234938</c:v>
                </c:pt>
                <c:pt idx="57">
                  <c:v>37.366985263903899</c:v>
                </c:pt>
                <c:pt idx="58">
                  <c:v>36.458284576467008</c:v>
                </c:pt>
                <c:pt idx="59">
                  <c:v>35.580915134475532</c:v>
                </c:pt>
                <c:pt idx="60">
                  <c:v>34.733559072445971</c:v>
                </c:pt>
                <c:pt idx="61">
                  <c:v>33.757872960061952</c:v>
                </c:pt>
                <c:pt idx="62">
                  <c:v>32.971619465488992</c:v>
                </c:pt>
                <c:pt idx="63">
                  <c:v>32.21159261451114</c:v>
                </c:pt>
                <c:pt idx="64">
                  <c:v>31.476704717937547</c:v>
                </c:pt>
                <c:pt idx="65">
                  <c:v>30.76591827822644</c:v>
                </c:pt>
                <c:pt idx="66">
                  <c:v>29.944608335883864</c:v>
                </c:pt>
                <c:pt idx="67">
                  <c:v>29.283030367974046</c:v>
                </c:pt>
                <c:pt idx="68">
                  <c:v>28.642577132057752</c:v>
                </c:pt>
                <c:pt idx="69">
                  <c:v>28.022396396628022</c:v>
                </c:pt>
                <c:pt idx="70">
                  <c:v>27.498646460917389</c:v>
                </c:pt>
                <c:pt idx="71">
                  <c:v>26.915095537334125</c:v>
                </c:pt>
                <c:pt idx="72">
                  <c:v>26.349531274891831</c:v>
                </c:pt>
                <c:pt idx="73">
                  <c:v>25.80124726680101</c:v>
                </c:pt>
                <c:pt idx="74">
                  <c:v>25.2695695370431</c:v>
                </c:pt>
                <c:pt idx="75">
                  <c:v>24.753854939846764</c:v>
                </c:pt>
                <c:pt idx="76">
                  <c:v>24.253489632659718</c:v>
                </c:pt>
                <c:pt idx="77">
                  <c:v>23.767887621098993</c:v>
                </c:pt>
                <c:pt idx="78">
                  <c:v>23.296489373987903</c:v>
                </c:pt>
                <c:pt idx="79">
                  <c:v>22.838760506312607</c:v>
                </c:pt>
                <c:pt idx="80">
                  <c:v>22.394190527737422</c:v>
                </c:pt>
                <c:pt idx="81">
                  <c:v>21.962291654189155</c:v>
                </c:pt>
                <c:pt idx="82">
                  <c:v>21.54259767994435</c:v>
                </c:pt>
                <c:pt idx="83">
                  <c:v>21.134662907619532</c:v>
                </c:pt>
                <c:pt idx="84">
                  <c:v>20.738061133463098</c:v>
                </c:pt>
                <c:pt idx="85">
                  <c:v>20.352384685372908</c:v>
                </c:pt>
                <c:pt idx="86">
                  <c:v>19.977243511108949</c:v>
                </c:pt>
                <c:pt idx="87">
                  <c:v>19.612264314230952</c:v>
                </c:pt>
                <c:pt idx="88">
                  <c:v>19.330210726377505</c:v>
                </c:pt>
                <c:pt idx="89">
                  <c:v>18.982682701597877</c:v>
                </c:pt>
                <c:pt idx="90">
                  <c:v>18.644347684712557</c:v>
                </c:pt>
              </c:numCache>
            </c:numRef>
          </c:yVal>
          <c:smooth val="1"/>
        </c:ser>
        <c:dLbls>
          <c:showLegendKey val="0"/>
          <c:showVal val="0"/>
          <c:showCatName val="0"/>
          <c:showSerName val="0"/>
          <c:showPercent val="0"/>
          <c:showBubbleSize val="0"/>
        </c:dLbls>
        <c:axId val="192289792"/>
        <c:axId val="192295680"/>
      </c:scatterChart>
      <c:valAx>
        <c:axId val="19228979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2295680"/>
        <c:crosses val="autoZero"/>
        <c:crossBetween val="midCat"/>
      </c:valAx>
      <c:valAx>
        <c:axId val="19229568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228979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12.736974355132494</c:v>
                </c:pt>
                <c:pt idx="1">
                  <c:v>24.877261838856711</c:v>
                </c:pt>
                <c:pt idx="2">
                  <c:v>36.314073762296516</c:v>
                </c:pt>
                <c:pt idx="3">
                  <c:v>46.97109787442713</c:v>
                </c:pt>
                <c:pt idx="4">
                  <c:v>56.794325759108467</c:v>
                </c:pt>
                <c:pt idx="5">
                  <c:v>65.772100578723425</c:v>
                </c:pt>
                <c:pt idx="6">
                  <c:v>73.887905432053486</c:v>
                </c:pt>
                <c:pt idx="7">
                  <c:v>81.164881650293424</c:v>
                </c:pt>
                <c:pt idx="8">
                  <c:v>87.793580244864245</c:v>
                </c:pt>
                <c:pt idx="9">
                  <c:v>93.852059932613017</c:v>
                </c:pt>
                <c:pt idx="10">
                  <c:v>98.981228351348875</c:v>
                </c:pt>
                <c:pt idx="11">
                  <c:v>103.75002058985528</c:v>
                </c:pt>
                <c:pt idx="12">
                  <c:v>107.66521994057371</c:v>
                </c:pt>
                <c:pt idx="13">
                  <c:v>110.29661863574054</c:v>
                </c:pt>
                <c:pt idx="14">
                  <c:v>112.94656627403859</c:v>
                </c:pt>
                <c:pt idx="15">
                  <c:v>114.63576683323491</c:v>
                </c:pt>
                <c:pt idx="16">
                  <c:v>115.52465948358702</c:v>
                </c:pt>
                <c:pt idx="17">
                  <c:v>115.63359561506849</c:v>
                </c:pt>
                <c:pt idx="18">
                  <c:v>115.1148471058609</c:v>
                </c:pt>
                <c:pt idx="19">
                  <c:v>114.06276249034943</c:v>
                </c:pt>
                <c:pt idx="20">
                  <c:v>114.96593364011237</c:v>
                </c:pt>
                <c:pt idx="21">
                  <c:v>112.83886368018139</c:v>
                </c:pt>
                <c:pt idx="22">
                  <c:v>110.24527793856993</c:v>
                </c:pt>
                <c:pt idx="23">
                  <c:v>107.70090566694964</c:v>
                </c:pt>
                <c:pt idx="24">
                  <c:v>104.73754360224711</c:v>
                </c:pt>
                <c:pt idx="25">
                  <c:v>101.95454423124264</c:v>
                </c:pt>
                <c:pt idx="26">
                  <c:v>98.574664517817823</c:v>
                </c:pt>
                <c:pt idx="27">
                  <c:v>95.659459483404405</c:v>
                </c:pt>
                <c:pt idx="28">
                  <c:v>92.736237915490918</c:v>
                </c:pt>
                <c:pt idx="29">
                  <c:v>89.338110330439108</c:v>
                </c:pt>
                <c:pt idx="30">
                  <c:v>86.481961092002607</c:v>
                </c:pt>
                <c:pt idx="31">
                  <c:v>83.488700064514447</c:v>
                </c:pt>
                <c:pt idx="32">
                  <c:v>80.760776933234808</c:v>
                </c:pt>
                <c:pt idx="33">
                  <c:v>78.10916833984669</c:v>
                </c:pt>
                <c:pt idx="34">
                  <c:v>75.358090001368481</c:v>
                </c:pt>
                <c:pt idx="35">
                  <c:v>72.878613483957679</c:v>
                </c:pt>
                <c:pt idx="36">
                  <c:v>70.313779190086905</c:v>
                </c:pt>
                <c:pt idx="37">
                  <c:v>67.845833101558938</c:v>
                </c:pt>
                <c:pt idx="38">
                  <c:v>65.639296348276943</c:v>
                </c:pt>
                <c:pt idx="39">
                  <c:v>63.711898730334099</c:v>
                </c:pt>
                <c:pt idx="40">
                  <c:v>61.510519622834416</c:v>
                </c:pt>
                <c:pt idx="41">
                  <c:v>59.553434332602826</c:v>
                </c:pt>
                <c:pt idx="42">
                  <c:v>57.52827757935512</c:v>
                </c:pt>
                <c:pt idx="43">
                  <c:v>55.889902610204786</c:v>
                </c:pt>
                <c:pt idx="44">
                  <c:v>54.020456890991355</c:v>
                </c:pt>
                <c:pt idx="45">
                  <c:v>52.647877909648038</c:v>
                </c:pt>
                <c:pt idx="46">
                  <c:v>50.91956184082472</c:v>
                </c:pt>
                <c:pt idx="47">
                  <c:v>49.265303549944647</c:v>
                </c:pt>
                <c:pt idx="48">
                  <c:v>47.929490588287678</c:v>
                </c:pt>
                <c:pt idx="49">
                  <c:v>46.403174242714222</c:v>
                </c:pt>
                <c:pt idx="50">
                  <c:v>45.292633866293187</c:v>
                </c:pt>
                <c:pt idx="51">
                  <c:v>44.102856360584504</c:v>
                </c:pt>
                <c:pt idx="52">
                  <c:v>42.740930572009162</c:v>
                </c:pt>
                <c:pt idx="53">
                  <c:v>41.642457012645323</c:v>
                </c:pt>
                <c:pt idx="54">
                  <c:v>40.383679600349332</c:v>
                </c:pt>
                <c:pt idx="55">
                  <c:v>39.368540283787162</c:v>
                </c:pt>
                <c:pt idx="56">
                  <c:v>38.38922804234938</c:v>
                </c:pt>
                <c:pt idx="57">
                  <c:v>37.366985263903899</c:v>
                </c:pt>
                <c:pt idx="58">
                  <c:v>36.458284576467008</c:v>
                </c:pt>
                <c:pt idx="59">
                  <c:v>35.580915134475532</c:v>
                </c:pt>
                <c:pt idx="60">
                  <c:v>34.733559072445971</c:v>
                </c:pt>
                <c:pt idx="61">
                  <c:v>33.757872960061952</c:v>
                </c:pt>
                <c:pt idx="62">
                  <c:v>32.971619465488992</c:v>
                </c:pt>
                <c:pt idx="63">
                  <c:v>32.21159261451114</c:v>
                </c:pt>
                <c:pt idx="64">
                  <c:v>31.476704717937547</c:v>
                </c:pt>
                <c:pt idx="65">
                  <c:v>30.76591827822644</c:v>
                </c:pt>
                <c:pt idx="66">
                  <c:v>29.944608335883864</c:v>
                </c:pt>
                <c:pt idx="67">
                  <c:v>29.283030367974046</c:v>
                </c:pt>
                <c:pt idx="68">
                  <c:v>28.642577132057752</c:v>
                </c:pt>
                <c:pt idx="69">
                  <c:v>28.022396396628022</c:v>
                </c:pt>
                <c:pt idx="70">
                  <c:v>27.498646460917389</c:v>
                </c:pt>
                <c:pt idx="71">
                  <c:v>26.915095537334125</c:v>
                </c:pt>
                <c:pt idx="72">
                  <c:v>26.349531274891831</c:v>
                </c:pt>
                <c:pt idx="73">
                  <c:v>25.80124726680101</c:v>
                </c:pt>
                <c:pt idx="74">
                  <c:v>25.2695695370431</c:v>
                </c:pt>
                <c:pt idx="75">
                  <c:v>24.753854939846764</c:v>
                </c:pt>
                <c:pt idx="76">
                  <c:v>24.253489632659718</c:v>
                </c:pt>
                <c:pt idx="77">
                  <c:v>23.767887621098993</c:v>
                </c:pt>
                <c:pt idx="78">
                  <c:v>23.296489373987903</c:v>
                </c:pt>
                <c:pt idx="79">
                  <c:v>22.838760506312607</c:v>
                </c:pt>
                <c:pt idx="80">
                  <c:v>22.394190527737422</c:v>
                </c:pt>
                <c:pt idx="81">
                  <c:v>21.962291654189155</c:v>
                </c:pt>
                <c:pt idx="82">
                  <c:v>21.54259767994435</c:v>
                </c:pt>
                <c:pt idx="83">
                  <c:v>21.134662907619532</c:v>
                </c:pt>
                <c:pt idx="84">
                  <c:v>20.738061133463098</c:v>
                </c:pt>
                <c:pt idx="85">
                  <c:v>20.352384685372908</c:v>
                </c:pt>
                <c:pt idx="86">
                  <c:v>19.977243511108949</c:v>
                </c:pt>
                <c:pt idx="87">
                  <c:v>19.612264314230952</c:v>
                </c:pt>
                <c:pt idx="88">
                  <c:v>19.330210726377505</c:v>
                </c:pt>
                <c:pt idx="89">
                  <c:v>18.982682701597877</c:v>
                </c:pt>
                <c:pt idx="90">
                  <c:v>18.644347684712557</c:v>
                </c:pt>
              </c:numCache>
            </c:numRef>
          </c:yVal>
          <c:smooth val="1"/>
        </c:ser>
        <c:dLbls>
          <c:showLegendKey val="0"/>
          <c:showVal val="0"/>
          <c:showCatName val="0"/>
          <c:showSerName val="0"/>
          <c:showPercent val="0"/>
          <c:showBubbleSize val="0"/>
        </c:dLbls>
        <c:axId val="192020480"/>
        <c:axId val="192022016"/>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0.31917689446217462</c:v>
                </c:pt>
                <c:pt idx="1">
                  <c:v>0.51553680856815542</c:v>
                </c:pt>
                <c:pt idx="2">
                  <c:v>0.72649651799004877</c:v>
                </c:pt>
                <c:pt idx="3">
                  <c:v>0.93659294906462132</c:v>
                </c:pt>
                <c:pt idx="4">
                  <c:v>1.1412544002375515</c:v>
                </c:pt>
                <c:pt idx="5">
                  <c:v>1.3386972519956186</c:v>
                </c:pt>
                <c:pt idx="6">
                  <c:v>1.5278996103849198</c:v>
                </c:pt>
                <c:pt idx="7">
                  <c:v>1.7084778654468935</c:v>
                </c:pt>
                <c:pt idx="8">
                  <c:v>1.8863473937922171</c:v>
                </c:pt>
                <c:pt idx="9">
                  <c:v>2.0655821392977054</c:v>
                </c:pt>
                <c:pt idx="10">
                  <c:v>2.2307475236903493</c:v>
                </c:pt>
                <c:pt idx="11">
                  <c:v>2.4110449391074655</c:v>
                </c:pt>
                <c:pt idx="12">
                  <c:v>2.583629053074548</c:v>
                </c:pt>
                <c:pt idx="13">
                  <c:v>2.6949236935630023</c:v>
                </c:pt>
                <c:pt idx="14">
                  <c:v>2.8716101298966508</c:v>
                </c:pt>
                <c:pt idx="15">
                  <c:v>3.050563917244002</c:v>
                </c:pt>
                <c:pt idx="16">
                  <c:v>3.2075095109705587</c:v>
                </c:pt>
                <c:pt idx="17">
                  <c:v>3.3537636328746507</c:v>
                </c:pt>
                <c:pt idx="18">
                  <c:v>3.4902022223150939</c:v>
                </c:pt>
                <c:pt idx="19">
                  <c:v>3.6171295122020068</c:v>
                </c:pt>
                <c:pt idx="20">
                  <c:v>3.6335543850018022</c:v>
                </c:pt>
                <c:pt idx="21">
                  <c:v>3.7701216047051616</c:v>
                </c:pt>
                <c:pt idx="22">
                  <c:v>3.8949472817312727</c:v>
                </c:pt>
                <c:pt idx="23">
                  <c:v>3.9954400205739802</c:v>
                </c:pt>
                <c:pt idx="24">
                  <c:v>4.1041728420910601</c:v>
                </c:pt>
                <c:pt idx="25">
                  <c:v>4.1909065487827712</c:v>
                </c:pt>
                <c:pt idx="26">
                  <c:v>4.2801505633060861</c:v>
                </c:pt>
                <c:pt idx="27">
                  <c:v>4.3535083904271188</c:v>
                </c:pt>
                <c:pt idx="28">
                  <c:v>4.4214153572812211</c:v>
                </c:pt>
                <c:pt idx="29">
                  <c:v>4.4913328026214678</c:v>
                </c:pt>
                <c:pt idx="30">
                  <c:v>4.5492173209646616</c:v>
                </c:pt>
                <c:pt idx="31">
                  <c:v>4.5978479374623804</c:v>
                </c:pt>
                <c:pt idx="32">
                  <c:v>4.6478837506901414</c:v>
                </c:pt>
                <c:pt idx="33">
                  <c:v>4.6945910917597473</c:v>
                </c:pt>
                <c:pt idx="34">
                  <c:v>4.7327027025335271</c:v>
                </c:pt>
                <c:pt idx="35">
                  <c:v>4.7735461140552315</c:v>
                </c:pt>
                <c:pt idx="36">
                  <c:v>4.8061153693111622</c:v>
                </c:pt>
                <c:pt idx="37">
                  <c:v>4.8362304229861968</c:v>
                </c:pt>
                <c:pt idx="38">
                  <c:v>4.870110574796664</c:v>
                </c:pt>
                <c:pt idx="39">
                  <c:v>4.8928947764497561</c:v>
                </c:pt>
                <c:pt idx="40">
                  <c:v>4.9172126052989196</c:v>
                </c:pt>
                <c:pt idx="41">
                  <c:v>4.9460438747858211</c:v>
                </c:pt>
                <c:pt idx="42">
                  <c:v>4.9671639100424834</c:v>
                </c:pt>
                <c:pt idx="43">
                  <c:v>4.9844381370916206</c:v>
                </c:pt>
                <c:pt idx="44">
                  <c:v>5.0029715150530807</c:v>
                </c:pt>
                <c:pt idx="45">
                  <c:v>5.0246310033653998</c:v>
                </c:pt>
                <c:pt idx="46">
                  <c:v>5.0410324529038517</c:v>
                </c:pt>
                <c:pt idx="47">
                  <c:v>5.0563930486837538</c:v>
                </c:pt>
                <c:pt idx="48">
                  <c:v>5.0690215318827914</c:v>
                </c:pt>
                <c:pt idx="49">
                  <c:v>5.0826535827479509</c:v>
                </c:pt>
                <c:pt idx="50">
                  <c:v>5.1005947635347022</c:v>
                </c:pt>
                <c:pt idx="51">
                  <c:v>5.1112792203526247</c:v>
                </c:pt>
                <c:pt idx="52">
                  <c:v>5.1228548307987625</c:v>
                </c:pt>
                <c:pt idx="53">
                  <c:v>5.1324115037838256</c:v>
                </c:pt>
                <c:pt idx="54">
                  <c:v>5.1427863810257453</c:v>
                </c:pt>
                <c:pt idx="55">
                  <c:v>5.1513668492694045</c:v>
                </c:pt>
                <c:pt idx="56">
                  <c:v>5.1595359060766679</c:v>
                </c:pt>
                <c:pt idx="57">
                  <c:v>5.1753861474834064</c:v>
                </c:pt>
                <c:pt idx="58">
                  <c:v>5.1827892103666766</c:v>
                </c:pt>
                <c:pt idx="59">
                  <c:v>5.1898542358649209</c:v>
                </c:pt>
                <c:pt idx="60">
                  <c:v>5.1966015808161234</c:v>
                </c:pt>
                <c:pt idx="61">
                  <c:v>5.2039768491727427</c:v>
                </c:pt>
                <c:pt idx="62">
                  <c:v>5.2101057347623607</c:v>
                </c:pt>
                <c:pt idx="63">
                  <c:v>5.215971633369425</c:v>
                </c:pt>
                <c:pt idx="64">
                  <c:v>5.2215895203222251</c:v>
                </c:pt>
                <c:pt idx="65">
                  <c:v>5.2269733292823464</c:v>
                </c:pt>
                <c:pt idx="66">
                  <c:v>5.2328826662392043</c:v>
                </c:pt>
                <c:pt idx="67">
                  <c:v>5.2378074865354272</c:v>
                </c:pt>
                <c:pt idx="68">
                  <c:v>5.2425360489219095</c:v>
                </c:pt>
                <c:pt idx="69">
                  <c:v>5.2470788002245756</c:v>
                </c:pt>
                <c:pt idx="70">
                  <c:v>5.258682100718528</c:v>
                </c:pt>
                <c:pt idx="71">
                  <c:v>5.2628993056859228</c:v>
                </c:pt>
                <c:pt idx="72">
                  <c:v>5.2669575158998736</c:v>
                </c:pt>
                <c:pt idx="73">
                  <c:v>5.2708647716927084</c:v>
                </c:pt>
                <c:pt idx="74">
                  <c:v>5.2746286120601429</c:v>
                </c:pt>
                <c:pt idx="75">
                  <c:v>5.2782561113644917</c:v>
                </c:pt>
                <c:pt idx="76">
                  <c:v>5.2817539129833087</c:v>
                </c:pt>
                <c:pt idx="77">
                  <c:v>5.2851282601858047</c:v>
                </c:pt>
                <c:pt idx="78">
                  <c:v>5.2883850244908475</c:v>
                </c:pt>
                <c:pt idx="79">
                  <c:v>5.2915297317350669</c:v>
                </c:pt>
                <c:pt idx="80">
                  <c:v>5.294567586056858</c:v>
                </c:pt>
                <c:pt idx="81">
                  <c:v>5.2975034919819199</c:v>
                </c:pt>
                <c:pt idx="82">
                  <c:v>5.3003420747777996</c:v>
                </c:pt>
                <c:pt idx="83">
                  <c:v>5.3030876992288265</c:v>
                </c:pt>
                <c:pt idx="84">
                  <c:v>5.3057444869682069</c:v>
                </c:pt>
                <c:pt idx="85">
                  <c:v>5.3083163324911604</c:v>
                </c:pt>
                <c:pt idx="86">
                  <c:v>5.310806917961246</c:v>
                </c:pt>
                <c:pt idx="87">
                  <c:v>5.3132197269115506</c:v>
                </c:pt>
                <c:pt idx="88">
                  <c:v>5.3152098842903346</c:v>
                </c:pt>
                <c:pt idx="89">
                  <c:v>5.3174873409455312</c:v>
                </c:pt>
                <c:pt idx="90">
                  <c:v>5.319695983487895</c:v>
                </c:pt>
              </c:numCache>
            </c:numRef>
          </c:yVal>
          <c:smooth val="1"/>
        </c:ser>
        <c:dLbls>
          <c:showLegendKey val="0"/>
          <c:showVal val="0"/>
          <c:showCatName val="0"/>
          <c:showSerName val="0"/>
          <c:showPercent val="0"/>
          <c:showBubbleSize val="0"/>
        </c:dLbls>
        <c:axId val="192029440"/>
        <c:axId val="192023552"/>
      </c:scatterChart>
      <c:valAx>
        <c:axId val="192020480"/>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2022016"/>
        <c:crosses val="autoZero"/>
        <c:crossBetween val="midCat"/>
      </c:valAx>
      <c:valAx>
        <c:axId val="192022016"/>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2020480"/>
        <c:crosses val="autoZero"/>
        <c:crossBetween val="midCat"/>
      </c:valAx>
      <c:valAx>
        <c:axId val="192023552"/>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2029440"/>
        <c:crosses val="max"/>
        <c:crossBetween val="midCat"/>
      </c:valAx>
      <c:valAx>
        <c:axId val="192029440"/>
        <c:scaling>
          <c:orientation val="minMax"/>
        </c:scaling>
        <c:delete val="1"/>
        <c:axPos val="b"/>
        <c:numFmt formatCode="0.00000" sourceLinked="1"/>
        <c:majorTickMark val="out"/>
        <c:minorTickMark val="none"/>
        <c:tickLblPos val="nextTo"/>
        <c:crossAx val="19202355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spPr>
            <a:ln w="53975">
              <a:solidFill>
                <a:schemeClr val="accent3"/>
              </a:solidFill>
            </a:ln>
          </c:spPr>
          <c:marker>
            <c:symbol val="none"/>
          </c:marker>
          <c:xVal>
            <c:numRef>
              <c:f>'Вывод расчетов'!$XG$51:$AAS$51</c:f>
              <c:numCache>
                <c:formatCode>0.000</c:formatCode>
                <c:ptCount val="91"/>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pt idx="54">
                  <c:v>57.91616019481242</c:v>
                </c:pt>
                <c:pt idx="55">
                  <c:v>58.363713906491185</c:v>
                </c:pt>
                <c:pt idx="56">
                  <c:v>58.792954535546556</c:v>
                </c:pt>
                <c:pt idx="57">
                  <c:v>59.204228756101479</c:v>
                </c:pt>
                <c:pt idx="58">
                  <c:v>59.597883563189328</c:v>
                </c:pt>
                <c:pt idx="59">
                  <c:v>59.974265843774937</c:v>
                </c:pt>
                <c:pt idx="60">
                  <c:v>60.333721971349185</c:v>
                </c:pt>
                <c:pt idx="61">
                  <c:v>60.676597423600839</c:v>
                </c:pt>
                <c:pt idx="62">
                  <c:v>61.003236422631794</c:v>
                </c:pt>
                <c:pt idx="63">
                  <c:v>61.313981597145919</c:v>
                </c:pt>
                <c:pt idx="64">
                  <c:v>61.609173666013689</c:v>
                </c:pt>
                <c:pt idx="65">
                  <c:v>61.889151142591103</c:v>
                </c:pt>
                <c:pt idx="66">
                  <c:v>62.154250059150158</c:v>
                </c:pt>
                <c:pt idx="67">
                  <c:v>62.404803710765023</c:v>
                </c:pt>
                <c:pt idx="68">
                  <c:v>62.641142417984149</c:v>
                </c:pt>
                <c:pt idx="69">
                  <c:v>62.863593307612661</c:v>
                </c:pt>
                <c:pt idx="70">
                  <c:v>63.072480110923109</c:v>
                </c:pt>
                <c:pt idx="71">
                  <c:v>63.26812297861197</c:v>
                </c:pt>
                <c:pt idx="72">
                  <c:v>63.450838311820348</c:v>
                </c:pt>
                <c:pt idx="73">
                  <c:v>63.620938608539994</c:v>
                </c:pt>
                <c:pt idx="74">
                  <c:v>63.778732324732886</c:v>
                </c:pt>
                <c:pt idx="75">
                  <c:v>63.924523749499215</c:v>
                </c:pt>
                <c:pt idx="76">
                  <c:v>64.058612893639264</c:v>
                </c:pt>
                <c:pt idx="77">
                  <c:v>64.181295390964749</c:v>
                </c:pt>
                <c:pt idx="78">
                  <c:v>64.292862411728748</c:v>
                </c:pt>
                <c:pt idx="79">
                  <c:v>64.393600587556676</c:v>
                </c:pt>
                <c:pt idx="80">
                  <c:v>64.483791947274995</c:v>
                </c:pt>
                <c:pt idx="81">
                  <c:v>64.563713863050793</c:v>
                </c:pt>
                <c:pt idx="82">
                  <c:v>64.633639006271778</c:v>
                </c:pt>
                <c:pt idx="83">
                  <c:v>64.693835312611768</c:v>
                </c:pt>
                <c:pt idx="84">
                  <c:v>64.744565955746054</c:v>
                </c:pt>
                <c:pt idx="85">
                  <c:v>64.786089329197139</c:v>
                </c:pt>
                <c:pt idx="86">
                  <c:v>64.818659035810398</c:v>
                </c:pt>
                <c:pt idx="87">
                  <c:v>64.842523884376618</c:v>
                </c:pt>
                <c:pt idx="88">
                  <c:v>64.857927892936445</c:v>
                </c:pt>
                <c:pt idx="89">
                  <c:v>64.865110298320701</c:v>
                </c:pt>
                <c:pt idx="90">
                  <c:v>64.864305571497738</c:v>
                </c:pt>
              </c:numCache>
            </c:numRef>
          </c:xVal>
          <c:yVal>
            <c:numRef>
              <c:f>'Вывод расчетов'!$XG$57:$AAS$57</c:f>
              <c:numCache>
                <c:formatCode>0.000</c:formatCode>
                <c:ptCount val="91"/>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pt idx="66">
                  <c:v>0.81984839021813516</c:v>
                </c:pt>
                <c:pt idx="67">
                  <c:v>0.81730371925356349</c:v>
                </c:pt>
                <c:pt idx="68">
                  <c:v>0.81475350994414697</c:v>
                </c:pt>
                <c:pt idx="69">
                  <c:v>0.81219865832701399</c:v>
                </c:pt>
                <c:pt idx="70">
                  <c:v>0.80964002129257129</c:v>
                </c:pt>
                <c:pt idx="71">
                  <c:v>0.80707841839931305</c:v>
                </c:pt>
                <c:pt idx="72">
                  <c:v>0.80451463356408059</c:v>
                </c:pt>
                <c:pt idx="73">
                  <c:v>0.80194941664041464</c:v>
                </c:pt>
                <c:pt idx="74">
                  <c:v>0.79938348489610622</c:v>
                </c:pt>
                <c:pt idx="75">
                  <c:v>0.79681752439970666</c:v>
                </c:pt>
                <c:pt idx="76">
                  <c:v>0.79425219132458547</c:v>
                </c:pt>
                <c:pt idx="77">
                  <c:v>0.79168811317811905</c:v>
                </c:pt>
                <c:pt idx="78">
                  <c:v>0.78912588996270361</c:v>
                </c:pt>
                <c:pt idx="79">
                  <c:v>0.78656609527451549</c:v>
                </c:pt>
                <c:pt idx="80">
                  <c:v>0.78400927734526948</c:v>
                </c:pt>
                <c:pt idx="81">
                  <c:v>0.78145596003163609</c:v>
                </c:pt>
                <c:pt idx="82">
                  <c:v>0.77890664375646501</c:v>
                </c:pt>
                <c:pt idx="83">
                  <c:v>0.77636180640550834</c:v>
                </c:pt>
                <c:pt idx="84">
                  <c:v>0.77382190418294228</c:v>
                </c:pt>
                <c:pt idx="85">
                  <c:v>0.77128737242863643</c:v>
                </c:pt>
                <c:pt idx="86">
                  <c:v>0.76875862639981885</c:v>
                </c:pt>
                <c:pt idx="87">
                  <c:v>0.76623606201950833</c:v>
                </c:pt>
                <c:pt idx="88">
                  <c:v>0.76372005659385478</c:v>
                </c:pt>
                <c:pt idx="89">
                  <c:v>0.76121096950031719</c:v>
                </c:pt>
                <c:pt idx="90">
                  <c:v>0.75870914284842272</c:v>
                </c:pt>
              </c:numCache>
            </c:numRef>
          </c:yVal>
          <c:smooth val="1"/>
        </c:ser>
        <c:dLbls>
          <c:showLegendKey val="0"/>
          <c:showVal val="0"/>
          <c:showCatName val="0"/>
          <c:showSerName val="0"/>
          <c:showPercent val="0"/>
          <c:showBubbleSize val="0"/>
        </c:dLbls>
        <c:axId val="192075264"/>
        <c:axId val="192076800"/>
      </c:scatterChart>
      <c:scatterChart>
        <c:scatterStyle val="smoothMarker"/>
        <c:varyColors val="0"/>
        <c:ser>
          <c:idx val="2"/>
          <c:order val="2"/>
          <c:spPr>
            <a:ln w="53975">
              <a:solidFill>
                <a:srgbClr val="FF0000"/>
              </a:solidFill>
              <a:prstDash val="dash"/>
            </a:ln>
          </c:spPr>
          <c:marker>
            <c:symbol val="none"/>
          </c:marker>
          <c:trendline>
            <c:trendlineType val="linear"/>
            <c:dispRSqr val="0"/>
            <c:dispEq val="0"/>
          </c:trendline>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расчетов'!$XG$57:$AAT$57</c:f>
              <c:numCache>
                <c:formatCode>0.000</c:formatCode>
                <c:ptCount val="92"/>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pt idx="66">
                  <c:v>0.81984839021813516</c:v>
                </c:pt>
                <c:pt idx="67">
                  <c:v>0.81730371925356349</c:v>
                </c:pt>
                <c:pt idx="68">
                  <c:v>0.81475350994414697</c:v>
                </c:pt>
                <c:pt idx="69">
                  <c:v>0.81219865832701399</c:v>
                </c:pt>
                <c:pt idx="70">
                  <c:v>0.80964002129257129</c:v>
                </c:pt>
                <c:pt idx="71">
                  <c:v>0.80707841839931305</c:v>
                </c:pt>
                <c:pt idx="72">
                  <c:v>0.80451463356408059</c:v>
                </c:pt>
                <c:pt idx="73">
                  <c:v>0.80194941664041464</c:v>
                </c:pt>
                <c:pt idx="74">
                  <c:v>0.79938348489610622</c:v>
                </c:pt>
                <c:pt idx="75">
                  <c:v>0.79681752439970666</c:v>
                </c:pt>
                <c:pt idx="76">
                  <c:v>0.79425219132458547</c:v>
                </c:pt>
                <c:pt idx="77">
                  <c:v>0.79168811317811905</c:v>
                </c:pt>
                <c:pt idx="78">
                  <c:v>0.78912588996270361</c:v>
                </c:pt>
                <c:pt idx="79">
                  <c:v>0.78656609527451549</c:v>
                </c:pt>
                <c:pt idx="80">
                  <c:v>0.78400927734526948</c:v>
                </c:pt>
                <c:pt idx="81">
                  <c:v>0.78145596003163609</c:v>
                </c:pt>
                <c:pt idx="82">
                  <c:v>0.77890664375646501</c:v>
                </c:pt>
                <c:pt idx="83">
                  <c:v>0.77636180640550834</c:v>
                </c:pt>
                <c:pt idx="84">
                  <c:v>0.77382190418294228</c:v>
                </c:pt>
                <c:pt idx="85">
                  <c:v>0.77128737242863643</c:v>
                </c:pt>
                <c:pt idx="86">
                  <c:v>0.76875862639981885</c:v>
                </c:pt>
                <c:pt idx="87">
                  <c:v>0.76623606201950833</c:v>
                </c:pt>
                <c:pt idx="88">
                  <c:v>0.76372005659385478</c:v>
                </c:pt>
                <c:pt idx="89">
                  <c:v>0.76121096950031719</c:v>
                </c:pt>
                <c:pt idx="90">
                  <c:v>0.75870914284842272</c:v>
                </c:pt>
                <c:pt idx="91" formatCode="0">
                  <c:v>18</c:v>
                </c:pt>
              </c:numCache>
            </c:numRef>
          </c:yVal>
          <c:smooth val="1"/>
        </c:ser>
        <c:dLbls>
          <c:showLegendKey val="0"/>
          <c:showVal val="0"/>
          <c:showCatName val="0"/>
          <c:showSerName val="0"/>
          <c:showPercent val="0"/>
          <c:showBubbleSize val="0"/>
        </c:dLbls>
        <c:axId val="192084224"/>
        <c:axId val="192082688"/>
      </c:scatterChart>
      <c:valAx>
        <c:axId val="192075264"/>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2076800"/>
        <c:crosses val="autoZero"/>
        <c:crossBetween val="midCat"/>
      </c:valAx>
      <c:valAx>
        <c:axId val="19207680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075264"/>
        <c:crosses val="autoZero"/>
        <c:crossBetween val="midCat"/>
      </c:valAx>
      <c:valAx>
        <c:axId val="192082688"/>
        <c:scaling>
          <c:orientation val="minMax"/>
        </c:scaling>
        <c:delete val="0"/>
        <c:axPos val="r"/>
        <c:numFmt formatCode="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084224"/>
        <c:crosses val="max"/>
        <c:crossBetween val="midCat"/>
      </c:valAx>
      <c:valAx>
        <c:axId val="192084224"/>
        <c:scaling>
          <c:orientation val="minMax"/>
        </c:scaling>
        <c:delete val="1"/>
        <c:axPos val="b"/>
        <c:numFmt formatCode="0.00" sourceLinked="1"/>
        <c:majorTickMark val="out"/>
        <c:minorTickMark val="none"/>
        <c:tickLblPos val="nextTo"/>
        <c:crossAx val="192082688"/>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numCache>
            </c:numRef>
          </c:xVal>
          <c:yVal>
            <c:numRef>
              <c:f>'Вывод расчетов'!$XG$57:$ZT$57</c:f>
              <c:numCache>
                <c:formatCode>0.000</c:formatCode>
                <c:ptCount val="66"/>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numCache>
            </c:numRef>
          </c:yVal>
          <c:smooth val="1"/>
        </c:ser>
        <c:dLbls>
          <c:showLegendKey val="0"/>
          <c:showVal val="0"/>
          <c:showCatName val="0"/>
          <c:showSerName val="0"/>
          <c:showPercent val="0"/>
          <c:showBubbleSize val="0"/>
        </c:dLbls>
        <c:axId val="192195584"/>
        <c:axId val="192213760"/>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2356352"/>
        <c:axId val="192215296"/>
      </c:scatterChart>
      <c:valAx>
        <c:axId val="192195584"/>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2213760"/>
        <c:crosses val="autoZero"/>
        <c:crossBetween val="midCat"/>
      </c:valAx>
      <c:valAx>
        <c:axId val="19221376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195584"/>
        <c:crosses val="autoZero"/>
        <c:crossBetween val="midCat"/>
      </c:valAx>
      <c:valAx>
        <c:axId val="192215296"/>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356352"/>
        <c:crosses val="max"/>
        <c:crossBetween val="midCat"/>
      </c:valAx>
      <c:valAx>
        <c:axId val="192356352"/>
        <c:scaling>
          <c:orientation val="minMax"/>
        </c:scaling>
        <c:delete val="1"/>
        <c:axPos val="b"/>
        <c:numFmt formatCode="0.00" sourceLinked="1"/>
        <c:majorTickMark val="out"/>
        <c:minorTickMark val="none"/>
        <c:tickLblPos val="nextTo"/>
        <c:crossAx val="192215296"/>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numCache>
            </c:numRef>
          </c:xVal>
          <c:yVal>
            <c:numRef>
              <c:f>'Вывод расчетов'!$XG$57:$ZT$57</c:f>
              <c:numCache>
                <c:formatCode>0.000</c:formatCode>
                <c:ptCount val="66"/>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numCache>
            </c:numRef>
          </c:yVal>
          <c:smooth val="1"/>
        </c:ser>
        <c:dLbls>
          <c:showLegendKey val="0"/>
          <c:showVal val="0"/>
          <c:showCatName val="0"/>
          <c:showSerName val="0"/>
          <c:showPercent val="0"/>
          <c:showBubbleSize val="0"/>
        </c:dLbls>
        <c:axId val="192396672"/>
        <c:axId val="192402560"/>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2405888"/>
        <c:axId val="192404096"/>
      </c:scatterChart>
      <c:valAx>
        <c:axId val="192396672"/>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2402560"/>
        <c:crosses val="autoZero"/>
        <c:crossBetween val="midCat"/>
      </c:valAx>
      <c:valAx>
        <c:axId val="19240256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396672"/>
        <c:crosses val="autoZero"/>
        <c:crossBetween val="midCat"/>
      </c:valAx>
      <c:valAx>
        <c:axId val="192404096"/>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405888"/>
        <c:crosses val="max"/>
        <c:crossBetween val="midCat"/>
      </c:valAx>
      <c:valAx>
        <c:axId val="192405888"/>
        <c:scaling>
          <c:orientation val="minMax"/>
        </c:scaling>
        <c:delete val="1"/>
        <c:axPos val="b"/>
        <c:numFmt formatCode="0.00" sourceLinked="1"/>
        <c:majorTickMark val="out"/>
        <c:minorTickMark val="none"/>
        <c:tickLblPos val="nextTo"/>
        <c:crossAx val="192404096"/>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'Вывод расчетов'!$YB$54:$YH$54</c:f>
              <c:numCache>
                <c:formatCode>0.00000</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2.3139227450508346</c:v>
                </c:pt>
                <c:pt idx="1">
                  <c:v>4.0144611712822469</c:v>
                </c:pt>
                <c:pt idx="2">
                  <c:v>5.7073457649656394</c:v>
                </c:pt>
                <c:pt idx="3">
                  <c:v>7.3917460564117032</c:v>
                </c:pt>
                <c:pt idx="4">
                  <c:v>9.0668538467428768</c:v>
                </c:pt>
                <c:pt idx="5">
                  <c:v>10.731884211246854</c:v>
                </c:pt>
                <c:pt idx="6">
                  <c:v>12.386076415765965</c:v>
                </c:pt>
                <c:pt idx="7">
                  <c:v>14.028694745230252</c:v>
                </c:pt>
                <c:pt idx="8">
                  <c:v>15.659029243907472</c:v>
                </c:pt>
                <c:pt idx="9">
                  <c:v>17.276396367393541</c:v>
                </c:pt>
                <c:pt idx="10">
                  <c:v>18.880139546798823</c:v>
                </c:pt>
                <c:pt idx="11">
                  <c:v>20.46962966599698</c:v>
                </c:pt>
                <c:pt idx="12">
                  <c:v>22.044265453191574</c:v>
                </c:pt>
                <c:pt idx="13">
                  <c:v>23.603473788418828</c:v>
                </c:pt>
                <c:pt idx="14">
                  <c:v>25.146709928942077</c:v>
                </c:pt>
                <c:pt idx="15">
                  <c:v>26.67345765480303</c:v>
                </c:pt>
                <c:pt idx="16">
                  <c:v>28.183229337075051</c:v>
                </c:pt>
                <c:pt idx="17">
                  <c:v>29.675565931616021</c:v>
                </c:pt>
                <c:pt idx="18">
                  <c:v>31.150036901339867</c:v>
                </c:pt>
                <c:pt idx="19">
                  <c:v>32.606240070218533</c:v>
                </c:pt>
                <c:pt idx="20">
                  <c:v>34.043801412389953</c:v>
                </c:pt>
                <c:pt idx="21">
                  <c:v>35.462374779881657</c:v>
                </c:pt>
                <c:pt idx="22">
                  <c:v>36.861641572567059</c:v>
                </c:pt>
                <c:pt idx="23">
                  <c:v>38.241310354050583</c:v>
                </c:pt>
                <c:pt idx="24">
                  <c:v>39.601116417232042</c:v>
                </c:pt>
                <c:pt idx="25">
                  <c:v>40.940821303329692</c:v>
                </c:pt>
                <c:pt idx="26">
                  <c:v>42.260212278147165</c:v>
                </c:pt>
                <c:pt idx="27">
                  <c:v>43.559101769353681</c:v>
                </c:pt>
                <c:pt idx="28">
                  <c:v>44.837326768510891</c:v>
                </c:pt>
                <c:pt idx="29">
                  <c:v>46.094748201525178</c:v>
                </c:pt>
                <c:pt idx="30">
                  <c:v>47.331250271132092</c:v>
                </c:pt>
                <c:pt idx="31">
                  <c:v>48.546739774933407</c:v>
                </c:pt>
                <c:pt idx="32">
                  <c:v>49.741145402406595</c:v>
                </c:pt>
                <c:pt idx="33">
                  <c:v>50.914417014194022</c:v>
                </c:pt>
                <c:pt idx="34">
                  <c:v>52.066524906856742</c:v>
                </c:pt>
                <c:pt idx="35">
                  <c:v>53.197459066146514</c:v>
                </c:pt>
                <c:pt idx="36">
                  <c:v>54.307228411710582</c:v>
                </c:pt>
                <c:pt idx="37">
                  <c:v>55.395860036000222</c:v>
                </c:pt>
                <c:pt idx="38">
                  <c:v>56.463398440004362</c:v>
                </c:pt>
                <c:pt idx="39">
                  <c:v>57.509904768278901</c:v>
                </c:pt>
                <c:pt idx="40">
                  <c:v>58.535456045587516</c:v>
                </c:pt>
                <c:pt idx="41">
                  <c:v>59.540144417316384</c:v>
                </c:pt>
                <c:pt idx="42">
                  <c:v>60.524076395670022</c:v>
                </c:pt>
                <c:pt idx="43">
                  <c:v>61.487372113503554</c:v>
                </c:pt>
                <c:pt idx="44">
                  <c:v>62.43016458749463</c:v>
                </c:pt>
                <c:pt idx="45">
                  <c:v>63.352598992211298</c:v>
                </c:pt>
                <c:pt idx="46">
                  <c:v>64.25483194648632</c:v>
                </c:pt>
                <c:pt idx="47">
                  <c:v>65.137030813369066</c:v>
                </c:pt>
                <c:pt idx="48">
                  <c:v>65.999373014788461</c:v>
                </c:pt>
                <c:pt idx="49">
                  <c:v>66.842045361931355</c:v>
                </c:pt>
                <c:pt idx="50">
                  <c:v>67.665243402213349</c:v>
                </c:pt>
                <c:pt idx="51">
                  <c:v>68.469170783599353</c:v>
                </c:pt>
                <c:pt idx="52">
                  <c:v>69.25403863691767</c:v>
                </c:pt>
                <c:pt idx="53">
                  <c:v>70.020064976701647</c:v>
                </c:pt>
                <c:pt idx="54">
                  <c:v>70.767474120991807</c:v>
                </c:pt>
                <c:pt idx="55">
                  <c:v>71.496496130434409</c:v>
                </c:pt>
                <c:pt idx="56">
                  <c:v>72.207366266922378</c:v>
                </c:pt>
                <c:pt idx="57">
                  <c:v>72.900324471941317</c:v>
                </c:pt>
                <c:pt idx="58">
                  <c:v>73.575614864703738</c:v>
                </c:pt>
                <c:pt idx="59">
                  <c:v>74.233485260083754</c:v>
                </c:pt>
                <c:pt idx="60">
                  <c:v>74.874186706297877</c:v>
                </c:pt>
                <c:pt idx="61">
                  <c:v>75.497973042215662</c:v>
                </c:pt>
                <c:pt idx="62">
                  <c:v>76.105100474130097</c:v>
                </c:pt>
                <c:pt idx="63">
                  <c:v>76.695827171765998</c:v>
                </c:pt>
                <c:pt idx="64">
                  <c:v>77.270412883259965</c:v>
                </c:pt>
                <c:pt idx="65">
                  <c:v>77.829118568805598</c:v>
                </c:pt>
                <c:pt idx="66">
                  <c:v>78.372206052620015</c:v>
                </c:pt>
                <c:pt idx="67">
                  <c:v>78.899937692858529</c:v>
                </c:pt>
                <c:pt idx="68">
                  <c:v>79.412576069074149</c:v>
                </c:pt>
                <c:pt idx="69">
                  <c:v>79.910383686797303</c:v>
                </c:pt>
                <c:pt idx="70">
                  <c:v>80.393622698789201</c:v>
                </c:pt>
                <c:pt idx="71">
                  <c:v>80.862554642506595</c:v>
                </c:pt>
                <c:pt idx="72">
                  <c:v>81.31744019330209</c:v>
                </c:pt>
                <c:pt idx="73">
                  <c:v>81.758538932872611</c:v>
                </c:pt>
                <c:pt idx="74">
                  <c:v>82.186109132461937</c:v>
                </c:pt>
                <c:pt idx="75">
                  <c:v>82.600407550316504</c:v>
                </c:pt>
                <c:pt idx="76">
                  <c:v>83.001689242891814</c:v>
                </c:pt>
                <c:pt idx="77">
                  <c:v>83.390207389303924</c:v>
                </c:pt>
                <c:pt idx="78">
                  <c:v>83.766213128523361</c:v>
                </c:pt>
                <c:pt idx="79">
                  <c:v>84.129955408809607</c:v>
                </c:pt>
                <c:pt idx="80">
                  <c:v>84.481680848889212</c:v>
                </c:pt>
                <c:pt idx="81">
                  <c:v>84.821633610385646</c:v>
                </c:pt>
                <c:pt idx="82">
                  <c:v>85.150055281016577</c:v>
                </c:pt>
                <c:pt idx="83">
                  <c:v>85.467184768080372</c:v>
                </c:pt>
                <c:pt idx="84">
                  <c:v>85.773258201764136</c:v>
                </c:pt>
                <c:pt idx="85">
                  <c:v>86.068508847814101</c:v>
                </c:pt>
                <c:pt idx="86">
                  <c:v>86.353167029119589</c:v>
                </c:pt>
                <c:pt idx="87">
                  <c:v>86.627460055773611</c:v>
                </c:pt>
                <c:pt idx="88">
                  <c:v>86.891612163182387</c:v>
                </c:pt>
                <c:pt idx="89">
                  <c:v>87.145844457810753</c:v>
                </c:pt>
                <c:pt idx="90">
                  <c:v>87.390374870160613</c:v>
                </c:pt>
              </c:numCache>
            </c:numRef>
          </c:xVal>
          <c:yVal>
            <c:numRef>
              <c:f>'Вывод расчетов'!$XH$37:$AAS$37</c:f>
              <c:numCache>
                <c:formatCode>0.000</c:formatCode>
                <c:ptCount val="90"/>
                <c:pt idx="0">
                  <c:v>17.442717439742584</c:v>
                </c:pt>
                <c:pt idx="1">
                  <c:v>18.600610050161688</c:v>
                </c:pt>
                <c:pt idx="2">
                  <c:v>20.054480058607748</c:v>
                </c:pt>
                <c:pt idx="3">
                  <c:v>21.740318553888457</c:v>
                </c:pt>
                <c:pt idx="4">
                  <c:v>23.603880682203066</c:v>
                </c:pt>
                <c:pt idx="5">
                  <c:v>25.601927099145268</c:v>
                </c:pt>
                <c:pt idx="6">
                  <c:v>27.701056408804934</c:v>
                </c:pt>
                <c:pt idx="7">
                  <c:v>29.875798422783792</c:v>
                </c:pt>
                <c:pt idx="8">
                  <c:v>32.106764298435166</c:v>
                </c:pt>
                <c:pt idx="9">
                  <c:v>34.379121877636827</c:v>
                </c:pt>
                <c:pt idx="10">
                  <c:v>36.681425859367344</c:v>
                </c:pt>
                <c:pt idx="11">
                  <c:v>39.004749605357468</c:v>
                </c:pt>
                <c:pt idx="12">
                  <c:v>41.342049785314337</c:v>
                </c:pt>
                <c:pt idx="13">
                  <c:v>43.687703050609414</c:v>
                </c:pt>
                <c:pt idx="14">
                  <c:v>46.037167328954382</c:v>
                </c:pt>
                <c:pt idx="15">
                  <c:v>48.386732762119628</c:v>
                </c:pt>
                <c:pt idx="16">
                  <c:v>50.733337126623866</c:v>
                </c:pt>
                <c:pt idx="17">
                  <c:v>53.074427828417761</c:v>
                </c:pt>
                <c:pt idx="18">
                  <c:v>55.407857753178163</c:v>
                </c:pt>
                <c:pt idx="19">
                  <c:v>57.731805918016796</c:v>
                </c:pt>
                <c:pt idx="20">
                  <c:v>60.044716445240191</c:v>
                </c:pt>
                <c:pt idx="21">
                  <c:v>62.345251189602557</c:v>
                </c:pt>
                <c:pt idx="22">
                  <c:v>64.632252629088541</c:v>
                </c:pt>
                <c:pt idx="23">
                  <c:v>66.904714537437826</c:v>
                </c:pt>
                <c:pt idx="24">
                  <c:v>69.161758606251681</c:v>
                </c:pt>
                <c:pt idx="25">
                  <c:v>71.402615652794054</c:v>
                </c:pt>
                <c:pt idx="26">
                  <c:v>73.626610389847485</c:v>
                </c:pt>
                <c:pt idx="27">
                  <c:v>75.833148983214727</c:v>
                </c:pt>
                <c:pt idx="28">
                  <c:v>78.021708806486899</c:v>
                </c:pt>
                <c:pt idx="29">
                  <c:v>80.191829939661005</c:v>
                </c:pt>
                <c:pt idx="30">
                  <c:v>82.343108060908534</c:v>
                </c:pt>
                <c:pt idx="31">
                  <c:v>84.475188458408169</c:v>
                </c:pt>
                <c:pt idx="32">
                  <c:v>86.587760948219127</c:v>
                </c:pt>
                <c:pt idx="33">
                  <c:v>88.680555529431416</c:v>
                </c:pt>
                <c:pt idx="34">
                  <c:v>90.753338642741042</c:v>
                </c:pt>
                <c:pt idx="35">
                  <c:v>92.805909925698487</c:v>
                </c:pt>
                <c:pt idx="36">
                  <c:v>94.838099379044309</c:v>
                </c:pt>
                <c:pt idx="37">
                  <c:v>96.849764875169299</c:v>
                </c:pt>
                <c:pt idx="38">
                  <c:v>98.840789952867823</c:v>
                </c:pt>
                <c:pt idx="39">
                  <c:v>100.81108185297595</c:v>
                </c:pt>
                <c:pt idx="40">
                  <c:v>102.76056975780466</c:v>
                </c:pt>
                <c:pt idx="41">
                  <c:v>104.68920320394426</c:v>
                </c:pt>
                <c:pt idx="42">
                  <c:v>106.59695064338631</c:v>
                </c:pt>
                <c:pt idx="43">
                  <c:v>108.48379813224817</c:v>
                </c:pt>
                <c:pt idx="44">
                  <c:v>110.34974812991149</c:v>
                </c:pt>
                <c:pt idx="45">
                  <c:v>112.19481839425571</c:v>
                </c:pt>
                <c:pt idx="46">
                  <c:v>114.01904096101693</c:v>
                </c:pt>
                <c:pt idx="47">
                  <c:v>115.82246119722781</c:v>
                </c:pt>
                <c:pt idx="48">
                  <c:v>117.60513692028191</c:v>
                </c:pt>
                <c:pt idx="49">
                  <c:v>119.36713757547243</c:v>
                </c:pt>
                <c:pt idx="50">
                  <c:v>121.10854346593995</c:v>
                </c:pt>
                <c:pt idx="51">
                  <c:v>122.82944502986371</c:v>
                </c:pt>
                <c:pt idx="52">
                  <c:v>124.5299421604773</c:v>
                </c:pt>
                <c:pt idx="53">
                  <c:v>126.21014356511542</c:v>
                </c:pt>
                <c:pt idx="54">
                  <c:v>127.87016616001827</c:v>
                </c:pt>
                <c:pt idx="55">
                  <c:v>129.51013449805856</c:v>
                </c:pt>
                <c:pt idx="56">
                  <c:v>131.13018022692151</c:v>
                </c:pt>
                <c:pt idx="57">
                  <c:v>132.7304415755776</c:v>
                </c:pt>
                <c:pt idx="58">
                  <c:v>134.311062867147</c:v>
                </c:pt>
                <c:pt idx="59">
                  <c:v>135.87219405647511</c:v>
                </c:pt>
                <c:pt idx="60">
                  <c:v>137.41399029092383</c:v>
                </c:pt>
                <c:pt idx="61">
                  <c:v>138.93661149304103</c:v>
                </c:pt>
                <c:pt idx="62">
                  <c:v>140.44022196390503</c:v>
                </c:pt>
                <c:pt idx="63">
                  <c:v>141.92499000605477</c:v>
                </c:pt>
                <c:pt idx="64">
                  <c:v>143.39108756501435</c:v>
                </c:pt>
                <c:pt idx="65">
                  <c:v>144.83868988850435</c:v>
                </c:pt>
                <c:pt idx="66">
                  <c:v>146.26797520250426</c:v>
                </c:pt>
                <c:pt idx="67">
                  <c:v>147.67912440339285</c:v>
                </c:pt>
                <c:pt idx="68">
                  <c:v>149.07232076544642</c:v>
                </c:pt>
                <c:pt idx="69">
                  <c:v>150.44774966302339</c:v>
                </c:pt>
                <c:pt idx="70">
                  <c:v>151.80559830680306</c:v>
                </c:pt>
                <c:pt idx="71">
                  <c:v>153.14605549348366</c:v>
                </c:pt>
                <c:pt idx="72">
                  <c:v>154.46931136837648</c:v>
                </c:pt>
                <c:pt idx="73">
                  <c:v>155.77555720036119</c:v>
                </c:pt>
                <c:pt idx="74">
                  <c:v>157.06498516869314</c:v>
                </c:pt>
                <c:pt idx="75">
                  <c:v>158.33778816117689</c:v>
                </c:pt>
                <c:pt idx="76">
                  <c:v>159.59415958324001</c:v>
                </c:pt>
                <c:pt idx="77">
                  <c:v>160.83429317746177</c:v>
                </c:pt>
                <c:pt idx="78">
                  <c:v>162.05838285312785</c:v>
                </c:pt>
                <c:pt idx="79">
                  <c:v>163.26662252539933</c:v>
                </c:pt>
                <c:pt idx="80">
                  <c:v>164.45920596369839</c:v>
                </c:pt>
                <c:pt idx="81">
                  <c:v>165.63632664892995</c:v>
                </c:pt>
                <c:pt idx="82">
                  <c:v>166.79817763916819</c:v>
                </c:pt>
                <c:pt idx="83">
                  <c:v>167.94495144345362</c:v>
                </c:pt>
                <c:pt idx="84">
                  <c:v>169.07683990335656</c:v>
                </c:pt>
                <c:pt idx="85">
                  <c:v>170.19403408197417</c:v>
                </c:pt>
                <c:pt idx="86">
                  <c:v>171.29672416004226</c:v>
                </c:pt>
                <c:pt idx="87">
                  <c:v>172.38509933884976</c:v>
                </c:pt>
                <c:pt idx="88">
                  <c:v>173.45934774965855</c:v>
                </c:pt>
                <c:pt idx="89">
                  <c:v>174.51965636933934</c:v>
                </c:pt>
              </c:numCache>
            </c:numRef>
          </c:yVal>
          <c:smooth val="1"/>
        </c:ser>
        <c:dLbls>
          <c:showLegendKey val="0"/>
          <c:showVal val="0"/>
          <c:showCatName val="0"/>
          <c:showSerName val="0"/>
          <c:showPercent val="0"/>
          <c:showBubbleSize val="0"/>
        </c:dLbls>
        <c:axId val="192703104"/>
        <c:axId val="192713088"/>
      </c:scatterChart>
      <c:scatterChart>
        <c:scatterStyle val="smoothMarker"/>
        <c:varyColors val="0"/>
        <c:ser>
          <c:idx val="1"/>
          <c:order val="0"/>
          <c:spPr>
            <a:ln w="50800">
              <a:solidFill>
                <a:srgbClr val="FF0000"/>
              </a:solidFill>
            </a:ln>
          </c:spPr>
          <c:marker>
            <c:symbol val="none"/>
          </c:marker>
          <c:xVal>
            <c:numRef>
              <c:f>'Вывод расчетов'!$XH$41:$AAS$41</c:f>
              <c:numCache>
                <c:formatCode>0.000</c:formatCode>
                <c:ptCount val="90"/>
                <c:pt idx="0">
                  <c:v>4.0144611712822469</c:v>
                </c:pt>
                <c:pt idx="1">
                  <c:v>5.7073457649656394</c:v>
                </c:pt>
                <c:pt idx="2">
                  <c:v>7.3917460564117032</c:v>
                </c:pt>
                <c:pt idx="3">
                  <c:v>9.0668538467428768</c:v>
                </c:pt>
                <c:pt idx="4">
                  <c:v>10.731884211246854</c:v>
                </c:pt>
                <c:pt idx="5">
                  <c:v>12.386076415765965</c:v>
                </c:pt>
                <c:pt idx="6">
                  <c:v>14.028694745230252</c:v>
                </c:pt>
                <c:pt idx="7">
                  <c:v>15.659029243907472</c:v>
                </c:pt>
                <c:pt idx="8">
                  <c:v>17.276396367393541</c:v>
                </c:pt>
                <c:pt idx="9">
                  <c:v>18.880139546798823</c:v>
                </c:pt>
                <c:pt idx="10">
                  <c:v>20.46962966599698</c:v>
                </c:pt>
                <c:pt idx="11">
                  <c:v>22.044265453191574</c:v>
                </c:pt>
                <c:pt idx="12">
                  <c:v>23.603473788418828</c:v>
                </c:pt>
                <c:pt idx="13">
                  <c:v>25.146709928942077</c:v>
                </c:pt>
                <c:pt idx="14">
                  <c:v>26.67345765480303</c:v>
                </c:pt>
                <c:pt idx="15">
                  <c:v>28.183229337075051</c:v>
                </c:pt>
                <c:pt idx="16">
                  <c:v>29.675565931616021</c:v>
                </c:pt>
                <c:pt idx="17">
                  <c:v>31.150036901339867</c:v>
                </c:pt>
                <c:pt idx="18">
                  <c:v>32.606240070218533</c:v>
                </c:pt>
                <c:pt idx="19">
                  <c:v>34.043801412389953</c:v>
                </c:pt>
                <c:pt idx="20">
                  <c:v>35.462374779881657</c:v>
                </c:pt>
                <c:pt idx="21">
                  <c:v>36.861641572567059</c:v>
                </c:pt>
                <c:pt idx="22">
                  <c:v>38.241310354050583</c:v>
                </c:pt>
                <c:pt idx="23">
                  <c:v>39.601116417232042</c:v>
                </c:pt>
                <c:pt idx="24">
                  <c:v>40.940821303329692</c:v>
                </c:pt>
                <c:pt idx="25">
                  <c:v>42.260212278147165</c:v>
                </c:pt>
                <c:pt idx="26">
                  <c:v>43.559101769353681</c:v>
                </c:pt>
                <c:pt idx="27">
                  <c:v>44.837326768510891</c:v>
                </c:pt>
                <c:pt idx="28">
                  <c:v>46.094748201525178</c:v>
                </c:pt>
                <c:pt idx="29">
                  <c:v>47.331250271132092</c:v>
                </c:pt>
                <c:pt idx="30">
                  <c:v>48.546739774933407</c:v>
                </c:pt>
                <c:pt idx="31">
                  <c:v>49.741145402406595</c:v>
                </c:pt>
                <c:pt idx="32">
                  <c:v>50.914417014194022</c:v>
                </c:pt>
                <c:pt idx="33">
                  <c:v>52.066524906856742</c:v>
                </c:pt>
                <c:pt idx="34">
                  <c:v>53.197459066146514</c:v>
                </c:pt>
                <c:pt idx="35">
                  <c:v>54.307228411710582</c:v>
                </c:pt>
                <c:pt idx="36">
                  <c:v>55.395860036000222</c:v>
                </c:pt>
                <c:pt idx="37">
                  <c:v>56.463398440004362</c:v>
                </c:pt>
                <c:pt idx="38">
                  <c:v>57.509904768278901</c:v>
                </c:pt>
                <c:pt idx="39">
                  <c:v>58.535456045587516</c:v>
                </c:pt>
                <c:pt idx="40">
                  <c:v>59.540144417316384</c:v>
                </c:pt>
                <c:pt idx="41">
                  <c:v>60.524076395670022</c:v>
                </c:pt>
                <c:pt idx="42">
                  <c:v>61.487372113503554</c:v>
                </c:pt>
                <c:pt idx="43">
                  <c:v>62.43016458749463</c:v>
                </c:pt>
                <c:pt idx="44">
                  <c:v>63.352598992211298</c:v>
                </c:pt>
                <c:pt idx="45">
                  <c:v>64.25483194648632</c:v>
                </c:pt>
                <c:pt idx="46">
                  <c:v>65.137030813369066</c:v>
                </c:pt>
                <c:pt idx="47">
                  <c:v>65.999373014788461</c:v>
                </c:pt>
                <c:pt idx="48">
                  <c:v>66.842045361931355</c:v>
                </c:pt>
                <c:pt idx="49">
                  <c:v>67.665243402213349</c:v>
                </c:pt>
                <c:pt idx="50">
                  <c:v>68.469170783599353</c:v>
                </c:pt>
                <c:pt idx="51">
                  <c:v>69.25403863691767</c:v>
                </c:pt>
                <c:pt idx="52">
                  <c:v>70.020064976701647</c:v>
                </c:pt>
                <c:pt idx="53">
                  <c:v>70.767474120991807</c:v>
                </c:pt>
                <c:pt idx="54">
                  <c:v>71.496496130434409</c:v>
                </c:pt>
                <c:pt idx="55">
                  <c:v>72.207366266922378</c:v>
                </c:pt>
                <c:pt idx="56">
                  <c:v>72.900324471941317</c:v>
                </c:pt>
                <c:pt idx="57">
                  <c:v>73.575614864703738</c:v>
                </c:pt>
                <c:pt idx="58">
                  <c:v>74.233485260083754</c:v>
                </c:pt>
                <c:pt idx="59">
                  <c:v>74.874186706297877</c:v>
                </c:pt>
                <c:pt idx="60">
                  <c:v>75.497973042215662</c:v>
                </c:pt>
                <c:pt idx="61">
                  <c:v>76.105100474130097</c:v>
                </c:pt>
                <c:pt idx="62">
                  <c:v>76.695827171765998</c:v>
                </c:pt>
                <c:pt idx="63">
                  <c:v>77.270412883259965</c:v>
                </c:pt>
                <c:pt idx="64">
                  <c:v>77.829118568805598</c:v>
                </c:pt>
                <c:pt idx="65">
                  <c:v>78.372206052620015</c:v>
                </c:pt>
                <c:pt idx="66">
                  <c:v>78.899937692858529</c:v>
                </c:pt>
                <c:pt idx="67">
                  <c:v>79.412576069074149</c:v>
                </c:pt>
                <c:pt idx="68">
                  <c:v>79.910383686797303</c:v>
                </c:pt>
                <c:pt idx="69">
                  <c:v>80.393622698789201</c:v>
                </c:pt>
                <c:pt idx="70">
                  <c:v>80.862554642506595</c:v>
                </c:pt>
                <c:pt idx="71">
                  <c:v>81.31744019330209</c:v>
                </c:pt>
                <c:pt idx="72">
                  <c:v>81.758538932872611</c:v>
                </c:pt>
                <c:pt idx="73">
                  <c:v>82.186109132461937</c:v>
                </c:pt>
                <c:pt idx="74">
                  <c:v>82.600407550316504</c:v>
                </c:pt>
                <c:pt idx="75">
                  <c:v>83.001689242891814</c:v>
                </c:pt>
                <c:pt idx="76">
                  <c:v>83.390207389303924</c:v>
                </c:pt>
                <c:pt idx="77">
                  <c:v>83.766213128523361</c:v>
                </c:pt>
                <c:pt idx="78">
                  <c:v>84.129955408809607</c:v>
                </c:pt>
                <c:pt idx="79">
                  <c:v>84.481680848889212</c:v>
                </c:pt>
                <c:pt idx="80">
                  <c:v>84.821633610385646</c:v>
                </c:pt>
                <c:pt idx="81">
                  <c:v>85.150055281016577</c:v>
                </c:pt>
                <c:pt idx="82">
                  <c:v>85.467184768080372</c:v>
                </c:pt>
                <c:pt idx="83">
                  <c:v>85.773258201764136</c:v>
                </c:pt>
                <c:pt idx="84">
                  <c:v>86.068508847814101</c:v>
                </c:pt>
                <c:pt idx="85">
                  <c:v>86.353167029119589</c:v>
                </c:pt>
                <c:pt idx="86">
                  <c:v>86.627460055773611</c:v>
                </c:pt>
                <c:pt idx="87">
                  <c:v>86.891612163182387</c:v>
                </c:pt>
                <c:pt idx="88">
                  <c:v>87.145844457810753</c:v>
                </c:pt>
                <c:pt idx="89">
                  <c:v>87.390374870160613</c:v>
                </c:pt>
              </c:numCache>
            </c:numRef>
          </c:xVal>
          <c:yVal>
            <c:numRef>
              <c:f>'Вывод расчетов'!$XH$54:$AAS$54</c:f>
              <c:numCache>
                <c:formatCode>0.00000</c:formatCode>
                <c:ptCount val="90"/>
                <c:pt idx="0">
                  <c:v>2E-3</c:v>
                </c:pt>
                <c:pt idx="1">
                  <c:v>3.0000000000000001E-3</c:v>
                </c:pt>
                <c:pt idx="2">
                  <c:v>4.0000000000000001E-3</c:v>
                </c:pt>
                <c:pt idx="3">
                  <c:v>5.0000000000000001E-3</c:v>
                </c:pt>
                <c:pt idx="4">
                  <c:v>6.0000000000000001E-3</c:v>
                </c:pt>
                <c:pt idx="5">
                  <c:v>7.0000000000000001E-3</c:v>
                </c:pt>
                <c:pt idx="6">
                  <c:v>8.0000000000000002E-3</c:v>
                </c:pt>
                <c:pt idx="7">
                  <c:v>8.9999999999999993E-3</c:v>
                </c:pt>
                <c:pt idx="8">
                  <c:v>0.01</c:v>
                </c:pt>
                <c:pt idx="9">
                  <c:v>1.0999999999999999E-2</c:v>
                </c:pt>
                <c:pt idx="10">
                  <c:v>1.2E-2</c:v>
                </c:pt>
                <c:pt idx="11">
                  <c:v>1.2999999999999999E-2</c:v>
                </c:pt>
                <c:pt idx="12">
                  <c:v>1.4E-2</c:v>
                </c:pt>
                <c:pt idx="13">
                  <c:v>1.4999999999999999E-2</c:v>
                </c:pt>
                <c:pt idx="14">
                  <c:v>1.6E-2</c:v>
                </c:pt>
                <c:pt idx="15">
                  <c:v>1.7000000000000001E-2</c:v>
                </c:pt>
                <c:pt idx="16">
                  <c:v>1.7999999999999999E-2</c:v>
                </c:pt>
                <c:pt idx="17">
                  <c:v>1.9E-2</c:v>
                </c:pt>
                <c:pt idx="18">
                  <c:v>0.02</c:v>
                </c:pt>
                <c:pt idx="19">
                  <c:v>2.1000000000000001E-2</c:v>
                </c:pt>
                <c:pt idx="20">
                  <c:v>2.1999999999999999E-2</c:v>
                </c:pt>
                <c:pt idx="21">
                  <c:v>2.3E-2</c:v>
                </c:pt>
                <c:pt idx="22">
                  <c:v>2.4E-2</c:v>
                </c:pt>
                <c:pt idx="23">
                  <c:v>2.5000000000000001E-2</c:v>
                </c:pt>
                <c:pt idx="24">
                  <c:v>2.5999999999999999E-2</c:v>
                </c:pt>
                <c:pt idx="25">
                  <c:v>2.7E-2</c:v>
                </c:pt>
                <c:pt idx="26">
                  <c:v>2.8000000000000001E-2</c:v>
                </c:pt>
                <c:pt idx="27">
                  <c:v>2.9000000000000001E-2</c:v>
                </c:pt>
                <c:pt idx="28">
                  <c:v>0.03</c:v>
                </c:pt>
                <c:pt idx="29">
                  <c:v>3.1E-2</c:v>
                </c:pt>
                <c:pt idx="30">
                  <c:v>3.2000000000000001E-2</c:v>
                </c:pt>
                <c:pt idx="31">
                  <c:v>3.3000000000000002E-2</c:v>
                </c:pt>
                <c:pt idx="32">
                  <c:v>3.4000000000000002E-2</c:v>
                </c:pt>
                <c:pt idx="33">
                  <c:v>3.5000000000000003E-2</c:v>
                </c:pt>
                <c:pt idx="34">
                  <c:v>3.5999999999999997E-2</c:v>
                </c:pt>
                <c:pt idx="35">
                  <c:v>3.6999999999999998E-2</c:v>
                </c:pt>
                <c:pt idx="36">
                  <c:v>3.7999999999999999E-2</c:v>
                </c:pt>
                <c:pt idx="37">
                  <c:v>3.9E-2</c:v>
                </c:pt>
                <c:pt idx="38">
                  <c:v>0.04</c:v>
                </c:pt>
                <c:pt idx="39">
                  <c:v>4.1000000000000002E-2</c:v>
                </c:pt>
                <c:pt idx="40">
                  <c:v>4.2000000000000003E-2</c:v>
                </c:pt>
                <c:pt idx="41">
                  <c:v>4.2999999999999997E-2</c:v>
                </c:pt>
                <c:pt idx="42">
                  <c:v>4.3999999999999997E-2</c:v>
                </c:pt>
                <c:pt idx="43">
                  <c:v>4.4999999999999998E-2</c:v>
                </c:pt>
                <c:pt idx="44">
                  <c:v>4.5999999999999999E-2</c:v>
                </c:pt>
                <c:pt idx="45">
                  <c:v>4.7E-2</c:v>
                </c:pt>
                <c:pt idx="46">
                  <c:v>4.8000000000000001E-2</c:v>
                </c:pt>
                <c:pt idx="47">
                  <c:v>4.9000000000000002E-2</c:v>
                </c:pt>
                <c:pt idx="48">
                  <c:v>0.05</c:v>
                </c:pt>
                <c:pt idx="49">
                  <c:v>5.0999999999999997E-2</c:v>
                </c:pt>
                <c:pt idx="50">
                  <c:v>5.1999999999999998E-2</c:v>
                </c:pt>
                <c:pt idx="51">
                  <c:v>5.2999999999999999E-2</c:v>
                </c:pt>
                <c:pt idx="52">
                  <c:v>5.3999999999999999E-2</c:v>
                </c:pt>
                <c:pt idx="53">
                  <c:v>5.5E-2</c:v>
                </c:pt>
                <c:pt idx="54">
                  <c:v>5.6000000000000001E-2</c:v>
                </c:pt>
                <c:pt idx="55">
                  <c:v>5.7000000000000002E-2</c:v>
                </c:pt>
                <c:pt idx="56">
                  <c:v>5.8000000000000003E-2</c:v>
                </c:pt>
                <c:pt idx="57">
                  <c:v>5.8999999999999997E-2</c:v>
                </c:pt>
                <c:pt idx="58">
                  <c:v>0.06</c:v>
                </c:pt>
                <c:pt idx="59">
                  <c:v>6.0999999999999999E-2</c:v>
                </c:pt>
                <c:pt idx="60">
                  <c:v>6.2E-2</c:v>
                </c:pt>
                <c:pt idx="61">
                  <c:v>6.3E-2</c:v>
                </c:pt>
                <c:pt idx="62">
                  <c:v>6.4000000000000001E-2</c:v>
                </c:pt>
                <c:pt idx="63">
                  <c:v>6.5000000000000002E-2</c:v>
                </c:pt>
                <c:pt idx="64">
                  <c:v>6.6000000000000003E-2</c:v>
                </c:pt>
                <c:pt idx="65">
                  <c:v>6.7000000000000004E-2</c:v>
                </c:pt>
                <c:pt idx="66">
                  <c:v>6.8000000000000005E-2</c:v>
                </c:pt>
                <c:pt idx="67">
                  <c:v>6.9000000000000006E-2</c:v>
                </c:pt>
                <c:pt idx="68">
                  <c:v>7.0000000000000007E-2</c:v>
                </c:pt>
                <c:pt idx="69">
                  <c:v>7.0999999999999994E-2</c:v>
                </c:pt>
                <c:pt idx="70">
                  <c:v>7.1999999999999995E-2</c:v>
                </c:pt>
                <c:pt idx="71">
                  <c:v>7.2999999999999995E-2</c:v>
                </c:pt>
                <c:pt idx="72">
                  <c:v>7.3999999999999996E-2</c:v>
                </c:pt>
                <c:pt idx="73">
                  <c:v>7.4999999999999997E-2</c:v>
                </c:pt>
                <c:pt idx="74">
                  <c:v>7.5999999999999998E-2</c:v>
                </c:pt>
                <c:pt idx="75">
                  <c:v>7.6999999999999999E-2</c:v>
                </c:pt>
                <c:pt idx="76">
                  <c:v>7.8E-2</c:v>
                </c:pt>
                <c:pt idx="77">
                  <c:v>7.9000000000000001E-2</c:v>
                </c:pt>
                <c:pt idx="78">
                  <c:v>0.08</c:v>
                </c:pt>
                <c:pt idx="79">
                  <c:v>8.1000000000000003E-2</c:v>
                </c:pt>
                <c:pt idx="80">
                  <c:v>8.2000000000000003E-2</c:v>
                </c:pt>
                <c:pt idx="81">
                  <c:v>8.3000000000000004E-2</c:v>
                </c:pt>
                <c:pt idx="82">
                  <c:v>8.4000000000000005E-2</c:v>
                </c:pt>
                <c:pt idx="83">
                  <c:v>8.5000000000000006E-2</c:v>
                </c:pt>
                <c:pt idx="84">
                  <c:v>8.5999999999999993E-2</c:v>
                </c:pt>
                <c:pt idx="85">
                  <c:v>8.6999999999999994E-2</c:v>
                </c:pt>
                <c:pt idx="86">
                  <c:v>8.7999999999999995E-2</c:v>
                </c:pt>
                <c:pt idx="87">
                  <c:v>8.8999999999999996E-2</c:v>
                </c:pt>
                <c:pt idx="88">
                  <c:v>0.09</c:v>
                </c:pt>
                <c:pt idx="89">
                  <c:v>9.0999999999999998E-2</c:v>
                </c:pt>
              </c:numCache>
            </c:numRef>
          </c:yVal>
          <c:smooth val="1"/>
        </c:ser>
        <c:dLbls>
          <c:showLegendKey val="0"/>
          <c:showVal val="0"/>
          <c:showCatName val="0"/>
          <c:showSerName val="0"/>
          <c:showPercent val="0"/>
          <c:showBubbleSize val="0"/>
        </c:dLbls>
        <c:axId val="192716160"/>
        <c:axId val="192714624"/>
      </c:scatterChart>
      <c:valAx>
        <c:axId val="192703104"/>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lgn="ctr">
              <a:defRPr/>
            </a:pPr>
            <a:endParaRPr lang="ru-RU"/>
          </a:p>
        </c:txPr>
        <c:crossAx val="192713088"/>
        <c:crosses val="autoZero"/>
        <c:crossBetween val="midCat"/>
      </c:valAx>
      <c:valAx>
        <c:axId val="192713088"/>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2703104"/>
        <c:crosses val="autoZero"/>
        <c:crossBetween val="midCat"/>
      </c:valAx>
      <c:valAx>
        <c:axId val="192714624"/>
        <c:scaling>
          <c:orientation val="minMax"/>
        </c:scaling>
        <c:delete val="0"/>
        <c:axPos val="r"/>
        <c:numFmt formatCode="0.00000" sourceLinked="1"/>
        <c:majorTickMark val="out"/>
        <c:minorTickMark val="none"/>
        <c:tickLblPos val="nextTo"/>
        <c:crossAx val="192716160"/>
        <c:crosses val="max"/>
        <c:crossBetween val="midCat"/>
      </c:valAx>
      <c:valAx>
        <c:axId val="192716160"/>
        <c:scaling>
          <c:orientation val="minMax"/>
        </c:scaling>
        <c:delete val="1"/>
        <c:axPos val="b"/>
        <c:numFmt formatCode="0.000" sourceLinked="1"/>
        <c:majorTickMark val="out"/>
        <c:minorTickMark val="none"/>
        <c:tickLblPos val="nextTo"/>
        <c:crossAx val="192714624"/>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pt idx="53">
                  <c:v>57.449947500300027</c:v>
                </c:pt>
              </c:numCache>
            </c:numRef>
          </c:xVal>
          <c:yVal>
            <c:numRef>
              <c:f>'Вывод расчетов'!$XG$55:$ZH$55</c:f>
              <c:numCache>
                <c:formatCode>0.000</c:formatCode>
                <c:ptCount val="54"/>
                <c:pt idx="0">
                  <c:v>8.9249740631828223E-3</c:v>
                </c:pt>
                <c:pt idx="1">
                  <c:v>0.4240103358680154</c:v>
                </c:pt>
                <c:pt idx="2">
                  <c:v>0.58965225473394178</c:v>
                </c:pt>
                <c:pt idx="3">
                  <c:v>0.6777387466326581</c:v>
                </c:pt>
                <c:pt idx="4">
                  <c:v>0.73174835139927463</c:v>
                </c:pt>
                <c:pt idx="5">
                  <c:v>0.76778802149124414</c:v>
                </c:pt>
                <c:pt idx="6">
                  <c:v>0.79320176580789226</c:v>
                </c:pt>
                <c:pt idx="7">
                  <c:v>0.8118153736564474</c:v>
                </c:pt>
                <c:pt idx="8">
                  <c:v>0.82581726601204408</c:v>
                </c:pt>
                <c:pt idx="9">
                  <c:v>0.83654945599109953</c:v>
                </c:pt>
                <c:pt idx="10">
                  <c:v>0.8448804958784405</c:v>
                </c:pt>
                <c:pt idx="11">
                  <c:v>0.85139725224222595</c:v>
                </c:pt>
                <c:pt idx="12">
                  <c:v>0.85651048070959557</c:v>
                </c:pt>
                <c:pt idx="13">
                  <c:v>0.86051624436545127</c:v>
                </c:pt>
                <c:pt idx="14">
                  <c:v>0.86363331305163071</c:v>
                </c:pt>
                <c:pt idx="15">
                  <c:v>0.86602682904834394</c:v>
                </c:pt>
                <c:pt idx="16">
                  <c:v>0.86782378204845601</c:v>
                </c:pt>
                <c:pt idx="17">
                  <c:v>0.86912341949477601</c:v>
                </c:pt>
                <c:pt idx="18">
                  <c:v>0.87000442558576718</c:v>
                </c:pt>
                <c:pt idx="19">
                  <c:v>0.8705299812739683</c:v>
                </c:pt>
                <c:pt idx="20">
                  <c:v>0.87075140058350575</c:v>
                </c:pt>
                <c:pt idx="21">
                  <c:v>0.87071078954228964</c:v>
                </c:pt>
                <c:pt idx="22">
                  <c:v>0.87044302101660498</c:v>
                </c:pt>
                <c:pt idx="23">
                  <c:v>0.86997722230760199</c:v>
                </c:pt>
                <c:pt idx="24">
                  <c:v>0.86933791019442963</c:v>
                </c:pt>
                <c:pt idx="25">
                  <c:v>0.86854586718310089</c:v>
                </c:pt>
                <c:pt idx="26">
                  <c:v>0.86761882527080791</c:v>
                </c:pt>
                <c:pt idx="27">
                  <c:v>0.86657200480636454</c:v>
                </c:pt>
                <c:pt idx="28">
                  <c:v>0.86541854304591248</c:v>
                </c:pt>
                <c:pt idx="29">
                  <c:v>0.86416983787410107</c:v>
                </c:pt>
                <c:pt idx="30">
                  <c:v>0.86283582565491657</c:v>
                </c:pt>
                <c:pt idx="31">
                  <c:v>0.86142520748187901</c:v>
                </c:pt>
                <c:pt idx="32">
                  <c:v>0.85994563467082341</c:v>
                </c:pt>
                <c:pt idx="33">
                  <c:v>0.85840386181055695</c:v>
                </c:pt>
                <c:pt idx="34">
                  <c:v>0.85680587380293705</c:v>
                </c:pt>
                <c:pt idx="35">
                  <c:v>0.85515699190698968</c:v>
                </c:pt>
                <c:pt idx="36">
                  <c:v>0.85346196272650898</c:v>
                </c:pt>
                <c:pt idx="37">
                  <c:v>0.85172503325794713</c:v>
                </c:pt>
                <c:pt idx="38">
                  <c:v>0.84995001448110463</c:v>
                </c:pt>
                <c:pt idx="39">
                  <c:v>0.84814033548243184</c:v>
                </c:pt>
                <c:pt idx="40">
                  <c:v>0.84629908971539902</c:v>
                </c:pt>
                <c:pt idx="41">
                  <c:v>0.84442907469900197</c:v>
                </c:pt>
                <c:pt idx="42">
                  <c:v>0.8425328262151266</c:v>
                </c:pt>
                <c:pt idx="43">
                  <c:v>0.84061264787397205</c:v>
                </c:pt>
                <c:pt idx="44">
                  <c:v>0.83867063676324838</c:v>
                </c:pt>
                <c:pt idx="45">
                  <c:v>0.83670870577321343</c:v>
                </c:pt>
                <c:pt idx="46">
                  <c:v>0.83472860308948649</c:v>
                </c:pt>
                <c:pt idx="47">
                  <c:v>0.8327319292641</c:v>
                </c:pt>
                <c:pt idx="48">
                  <c:v>0.83072015220865314</c:v>
                </c:pt>
                <c:pt idx="49">
                  <c:v>0.8286946203987382</c:v>
                </c:pt>
                <c:pt idx="50">
                  <c:v>0.82665657453372532</c:v>
                </c:pt>
                <c:pt idx="51">
                  <c:v>0.82460715785865057</c:v>
                </c:pt>
                <c:pt idx="52">
                  <c:v>0.82254742532392455</c:v>
                </c:pt>
                <c:pt idx="53">
                  <c:v>0.82047835173269013</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2.0651700483787394E-2</c:v>
                </c:pt>
                <c:pt idx="1">
                  <c:v>1.7021730295644919</c:v>
                </c:pt>
                <c:pt idx="2">
                  <c:v>3.3653492988582032</c:v>
                </c:pt>
                <c:pt idx="3">
                  <c:v>5.0096727076993606</c:v>
                </c:pt>
                <c:pt idx="4">
                  <c:v>6.6346553547322715</c:v>
                </c:pt>
                <c:pt idx="5">
                  <c:v>8.2398121454263435</c:v>
                </c:pt>
                <c:pt idx="6">
                  <c:v>9.824657684417053</c:v>
                </c:pt>
                <c:pt idx="7">
                  <c:v>11.388710066511337</c:v>
                </c:pt>
                <c:pt idx="8">
                  <c:v>12.931496718606315</c:v>
                </c:pt>
                <c:pt idx="9">
                  <c:v>14.452559982629676</c:v>
                </c:pt>
                <c:pt idx="10">
                  <c:v>15.951461662553545</c:v>
                </c:pt>
                <c:pt idx="11">
                  <c:v>17.42778645204578</c:v>
                </c:pt>
                <c:pt idx="12">
                  <c:v>18.881144400203048</c:v>
                </c:pt>
                <c:pt idx="13">
                  <c:v>20.311172618388543</c:v>
                </c:pt>
                <c:pt idx="14">
                  <c:v>21.717536408280584</c:v>
                </c:pt>
                <c:pt idx="15">
                  <c:v>23.099929952544347</c:v>
                </c:pt>
                <c:pt idx="16">
                  <c:v>24.458076673639471</c:v>
                </c:pt>
                <c:pt idx="17">
                  <c:v>25.791729337928793</c:v>
                </c:pt>
                <c:pt idx="18">
                  <c:v>27.100669961325643</c:v>
                </c:pt>
                <c:pt idx="19">
                  <c:v>28.384709557741854</c:v>
                </c:pt>
                <c:pt idx="20">
                  <c:v>29.643687761025284</c:v>
                </c:pt>
                <c:pt idx="21">
                  <c:v>30.87747234363534</c:v>
                </c:pt>
                <c:pt idx="22">
                  <c:v>32.085958650056547</c:v>
                </c:pt>
                <c:pt idx="23">
                  <c:v>33.269068959219865</c:v>
                </c:pt>
                <c:pt idx="24">
                  <c:v>34.426751787522825</c:v>
                </c:pt>
                <c:pt idx="25">
                  <c:v>35.558981142088861</c:v>
                </c:pt>
                <c:pt idx="26">
                  <c:v>36.665755732461015</c:v>
                </c:pt>
                <c:pt idx="27">
                  <c:v>37.747098147833277</c:v>
                </c:pt>
                <c:pt idx="28">
                  <c:v>38.803054006078185</c:v>
                </c:pt>
                <c:pt idx="29">
                  <c:v>39.833691080159525</c:v>
                </c:pt>
                <c:pt idx="30">
                  <c:v>40.83909840697175</c:v>
                </c:pt>
                <c:pt idx="31">
                  <c:v>41.819385383190799</c:v>
                </c:pt>
                <c:pt idx="32">
                  <c:v>42.774680852326249</c:v>
                </c:pt>
                <c:pt idx="33">
                  <c:v>43.705132186817281</c:v>
                </c:pt>
                <c:pt idx="34">
                  <c:v>44.610904368701782</c:v>
                </c:pt>
                <c:pt idx="35">
                  <c:v>45.492179072101074</c:v>
                </c:pt>
                <c:pt idx="36">
                  <c:v>46.349153750495347</c:v>
                </c:pt>
                <c:pt idx="37">
                  <c:v>47.182040731514874</c:v>
                </c:pt>
                <c:pt idx="38">
                  <c:v>47.991066321734088</c:v>
                </c:pt>
                <c:pt idx="39">
                  <c:v>48.776469923730772</c:v>
                </c:pt>
                <c:pt idx="40">
                  <c:v>49.538503167456469</c:v>
                </c:pt>
                <c:pt idx="41">
                  <c:v>50.27742905775942</c:v>
                </c:pt>
                <c:pt idx="42">
                  <c:v>50.993521139704093</c:v>
                </c:pt>
                <c:pt idx="43">
                  <c:v>51.687062683144454</c:v>
                </c:pt>
                <c:pt idx="44">
                  <c:v>52.35834588782852</c:v>
                </c:pt>
                <c:pt idx="45">
                  <c:v>53.007671110142503</c:v>
                </c:pt>
                <c:pt idx="46">
                  <c:v>53.635346112440232</c:v>
                </c:pt>
                <c:pt idx="47">
                  <c:v>54.241685335751953</c:v>
                </c:pt>
                <c:pt idx="48">
                  <c:v>54.827009196520748</c:v>
                </c:pt>
                <c:pt idx="49">
                  <c:v>55.391643407880942</c:v>
                </c:pt>
                <c:pt idx="50">
                  <c:v>55.935918325864442</c:v>
                </c:pt>
                <c:pt idx="51">
                  <c:v>56.460168320802417</c:v>
                </c:pt>
                <c:pt idx="52">
                  <c:v>56.964731174080221</c:v>
                </c:pt>
              </c:numCache>
            </c:numRef>
          </c:xVal>
          <c:yVal>
            <c:numRef>
              <c:f>'Вывод расчетов'!$XG$57:$ZT$57</c:f>
              <c:numCache>
                <c:formatCode>0.000</c:formatCode>
                <c:ptCount val="66"/>
                <c:pt idx="0">
                  <c:v>0.21058635131497128</c:v>
                </c:pt>
                <c:pt idx="1">
                  <c:v>0.34871383700377057</c:v>
                </c:pt>
                <c:pt idx="2">
                  <c:v>0.46490376175624959</c:v>
                </c:pt>
                <c:pt idx="3">
                  <c:v>0.55845951648995018</c:v>
                </c:pt>
                <c:pt idx="4">
                  <c:v>0.6318977023955662</c:v>
                </c:pt>
                <c:pt idx="5">
                  <c:v>0.68888801981452941</c:v>
                </c:pt>
                <c:pt idx="6">
                  <c:v>0.73302225943596211</c:v>
                </c:pt>
                <c:pt idx="7">
                  <c:v>0.76732084817088442</c:v>
                </c:pt>
                <c:pt idx="8">
                  <c:v>0.79414787678492949</c:v>
                </c:pt>
                <c:pt idx="9">
                  <c:v>0.81529106729980427</c:v>
                </c:pt>
                <c:pt idx="10">
                  <c:v>0.83208268502088434</c:v>
                </c:pt>
                <c:pt idx="11">
                  <c:v>0.84551212708939794</c:v>
                </c:pt>
                <c:pt idx="12">
                  <c:v>0.85631628301025509</c:v>
                </c:pt>
                <c:pt idx="13">
                  <c:v>0.86504755470701544</c:v>
                </c:pt>
                <c:pt idx="14">
                  <c:v>0.87212357229618087</c:v>
                </c:pt>
                <c:pt idx="15">
                  <c:v>0.87786308595460893</c:v>
                </c:pt>
                <c:pt idx="16">
                  <c:v>0.88251180012223873</c:v>
                </c:pt>
                <c:pt idx="17">
                  <c:v>0.88626101161145576</c:v>
                </c:pt>
                <c:pt idx="18">
                  <c:v>0.88926112893147191</c:v>
                </c:pt>
                <c:pt idx="19">
                  <c:v>0.89163154919036558</c:v>
                </c:pt>
                <c:pt idx="20">
                  <c:v>0.89346793281937675</c:v>
                </c:pt>
                <c:pt idx="21">
                  <c:v>0.89484760790918627</c:v>
                </c:pt>
                <c:pt idx="22">
                  <c:v>0.89583362026715907</c:v>
                </c:pt>
                <c:pt idx="23">
                  <c:v>0.89647779502337555</c:v>
                </c:pt>
                <c:pt idx="24">
                  <c:v>0.89682307078203827</c:v>
                </c:pt>
                <c:pt idx="25">
                  <c:v>0.89690529389864659</c:v>
                </c:pt>
                <c:pt idx="26">
                  <c:v>0.89675460875576152</c:v>
                </c:pt>
                <c:pt idx="27">
                  <c:v>0.89639654324730322</c:v>
                </c:pt>
                <c:pt idx="28">
                  <c:v>0.89585286249539764</c:v>
                </c:pt>
                <c:pt idx="29">
                  <c:v>0.895142244978128</c:v>
                </c:pt>
                <c:pt idx="30">
                  <c:v>0.89428082157847444</c:v>
                </c:pt>
                <c:pt idx="31">
                  <c:v>0.89328260807508186</c:v>
                </c:pt>
                <c:pt idx="32">
                  <c:v>0.89215985423855837</c:v>
                </c:pt>
                <c:pt idx="33">
                  <c:v>0.89092332723841816</c:v>
                </c:pt>
                <c:pt idx="34">
                  <c:v>0.88958254298617268</c:v>
                </c:pt>
                <c:pt idx="35">
                  <c:v>0.8881459559695174</c:v>
                </c:pt>
                <c:pt idx="36">
                  <c:v>0.8866211158056635</c:v>
                </c:pt>
                <c:pt idx="37">
                  <c:v>0.8850147969668517</c:v>
                </c:pt>
                <c:pt idx="38">
                  <c:v>0.88333310676844079</c:v>
                </c:pt>
                <c:pt idx="39">
                  <c:v>0.88158157565745865</c:v>
                </c:pt>
                <c:pt idx="40">
                  <c:v>0.87976523302173759</c:v>
                </c:pt>
                <c:pt idx="41">
                  <c:v>0.8778886711007684</c:v>
                </c:pt>
                <c:pt idx="42">
                  <c:v>0.8759560990773736</c:v>
                </c:pt>
                <c:pt idx="43">
                  <c:v>0.87397138903278848</c:v>
                </c:pt>
                <c:pt idx="44">
                  <c:v>0.87193811513299657</c:v>
                </c:pt>
                <c:pt idx="45">
                  <c:v>0.86985958716308576</c:v>
                </c:pt>
                <c:pt idx="46">
                  <c:v>0.86773887932519056</c:v>
                </c:pt>
                <c:pt idx="47">
                  <c:v>0.86557885505360466</c:v>
                </c:pt>
                <c:pt idx="48">
                  <c:v>0.86338218846967674</c:v>
                </c:pt>
                <c:pt idx="49">
                  <c:v>0.86115138299278493</c:v>
                </c:pt>
                <c:pt idx="50">
                  <c:v>0.85888878753699871</c:v>
                </c:pt>
                <c:pt idx="51">
                  <c:v>0.85659661065211434</c:v>
                </c:pt>
                <c:pt idx="52">
                  <c:v>0.85427693290949502</c:v>
                </c:pt>
                <c:pt idx="53">
                  <c:v>0.85193171778511978</c:v>
                </c:pt>
                <c:pt idx="54">
                  <c:v>0.84956282125253069</c:v>
                </c:pt>
                <c:pt idx="55">
                  <c:v>0.84717200026540296</c:v>
                </c:pt>
                <c:pt idx="56">
                  <c:v>0.84476092028201788</c:v>
                </c:pt>
                <c:pt idx="57">
                  <c:v>0.84233116196100633</c:v>
                </c:pt>
                <c:pt idx="58">
                  <c:v>0.83988422713853295</c:v>
                </c:pt>
                <c:pt idx="59">
                  <c:v>0.83742154418096981</c:v>
                </c:pt>
                <c:pt idx="60">
                  <c:v>0.83494447279353612</c:v>
                </c:pt>
                <c:pt idx="61">
                  <c:v>0.83245430835390566</c:v>
                </c:pt>
                <c:pt idx="62">
                  <c:v>0.82995228583008973</c:v>
                </c:pt>
                <c:pt idx="63">
                  <c:v>0.82743958333365775</c:v>
                </c:pt>
                <c:pt idx="64">
                  <c:v>0.82491732535235562</c:v>
                </c:pt>
                <c:pt idx="65">
                  <c:v>0.82238658570021506</c:v>
                </c:pt>
              </c:numCache>
            </c:numRef>
          </c:yVal>
          <c:smooth val="1"/>
        </c:ser>
        <c:dLbls>
          <c:showLegendKey val="0"/>
          <c:showVal val="0"/>
          <c:showCatName val="0"/>
          <c:showSerName val="0"/>
          <c:showPercent val="0"/>
          <c:showBubbleSize val="0"/>
        </c:dLbls>
        <c:axId val="192424576"/>
        <c:axId val="192442752"/>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2445824"/>
        <c:axId val="192444288"/>
      </c:scatterChart>
      <c:valAx>
        <c:axId val="192424576"/>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2442752"/>
        <c:crosses val="autoZero"/>
        <c:crossBetween val="midCat"/>
      </c:valAx>
      <c:valAx>
        <c:axId val="19244275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424576"/>
        <c:crosses val="autoZero"/>
        <c:crossBetween val="midCat"/>
      </c:valAx>
      <c:valAx>
        <c:axId val="192444288"/>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2445824"/>
        <c:crosses val="max"/>
        <c:crossBetween val="midCat"/>
      </c:valAx>
      <c:valAx>
        <c:axId val="192445824"/>
        <c:scaling>
          <c:orientation val="minMax"/>
        </c:scaling>
        <c:delete val="1"/>
        <c:axPos val="b"/>
        <c:numFmt formatCode="0.00" sourceLinked="1"/>
        <c:majorTickMark val="out"/>
        <c:minorTickMark val="none"/>
        <c:tickLblPos val="nextTo"/>
        <c:crossAx val="192444288"/>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'[1]Вывод расчетов'!$YB$54:$YH$54</c:f>
              <c:numCache>
                <c:formatCode>General</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2.3139227450508346</c:v>
                </c:pt>
                <c:pt idx="1">
                  <c:v>4.0144611712822469</c:v>
                </c:pt>
                <c:pt idx="2">
                  <c:v>5.7073457649656394</c:v>
                </c:pt>
                <c:pt idx="3">
                  <c:v>7.3917460564117032</c:v>
                </c:pt>
                <c:pt idx="4">
                  <c:v>9.0668538467428768</c:v>
                </c:pt>
                <c:pt idx="5">
                  <c:v>10.731884211246854</c:v>
                </c:pt>
                <c:pt idx="6">
                  <c:v>12.386076415765965</c:v>
                </c:pt>
                <c:pt idx="7">
                  <c:v>14.028694745230252</c:v>
                </c:pt>
                <c:pt idx="8">
                  <c:v>15.659029243907472</c:v>
                </c:pt>
                <c:pt idx="9">
                  <c:v>17.276396367393541</c:v>
                </c:pt>
                <c:pt idx="10">
                  <c:v>18.880139546798823</c:v>
                </c:pt>
                <c:pt idx="11">
                  <c:v>20.46962966599698</c:v>
                </c:pt>
                <c:pt idx="12">
                  <c:v>22.044265453191574</c:v>
                </c:pt>
                <c:pt idx="13">
                  <c:v>23.603473788418828</c:v>
                </c:pt>
                <c:pt idx="14">
                  <c:v>25.146709928942077</c:v>
                </c:pt>
                <c:pt idx="15">
                  <c:v>26.67345765480303</c:v>
                </c:pt>
                <c:pt idx="16">
                  <c:v>28.183229337075051</c:v>
                </c:pt>
                <c:pt idx="17">
                  <c:v>29.675565931616021</c:v>
                </c:pt>
                <c:pt idx="18">
                  <c:v>31.150036901339867</c:v>
                </c:pt>
                <c:pt idx="19">
                  <c:v>32.606240070218533</c:v>
                </c:pt>
                <c:pt idx="20">
                  <c:v>34.043801412389953</c:v>
                </c:pt>
                <c:pt idx="21">
                  <c:v>35.462374779881657</c:v>
                </c:pt>
                <c:pt idx="22">
                  <c:v>36.861641572567059</c:v>
                </c:pt>
                <c:pt idx="23">
                  <c:v>38.241310354050583</c:v>
                </c:pt>
                <c:pt idx="24">
                  <c:v>39.601116417232042</c:v>
                </c:pt>
                <c:pt idx="25">
                  <c:v>40.940821303329692</c:v>
                </c:pt>
                <c:pt idx="26">
                  <c:v>42.260212278147165</c:v>
                </c:pt>
                <c:pt idx="27">
                  <c:v>43.559101769353681</c:v>
                </c:pt>
                <c:pt idx="28">
                  <c:v>44.837326768510891</c:v>
                </c:pt>
                <c:pt idx="29">
                  <c:v>46.094748201525178</c:v>
                </c:pt>
                <c:pt idx="30">
                  <c:v>47.331250271132092</c:v>
                </c:pt>
                <c:pt idx="31">
                  <c:v>48.546739774933407</c:v>
                </c:pt>
                <c:pt idx="32">
                  <c:v>49.741145402406595</c:v>
                </c:pt>
                <c:pt idx="33">
                  <c:v>50.914417014194022</c:v>
                </c:pt>
                <c:pt idx="34">
                  <c:v>52.066524906856742</c:v>
                </c:pt>
                <c:pt idx="35">
                  <c:v>53.197459066146514</c:v>
                </c:pt>
                <c:pt idx="36">
                  <c:v>54.307228411710582</c:v>
                </c:pt>
                <c:pt idx="37">
                  <c:v>55.395860036000222</c:v>
                </c:pt>
                <c:pt idx="38">
                  <c:v>56.463398440004362</c:v>
                </c:pt>
                <c:pt idx="39">
                  <c:v>57.509904768278901</c:v>
                </c:pt>
                <c:pt idx="40">
                  <c:v>58.535456045587516</c:v>
                </c:pt>
                <c:pt idx="41">
                  <c:v>59.540144417316384</c:v>
                </c:pt>
                <c:pt idx="42">
                  <c:v>60.524076395670022</c:v>
                </c:pt>
                <c:pt idx="43">
                  <c:v>61.487372113503554</c:v>
                </c:pt>
                <c:pt idx="44">
                  <c:v>62.43016458749463</c:v>
                </c:pt>
                <c:pt idx="45">
                  <c:v>63.352598992211298</c:v>
                </c:pt>
                <c:pt idx="46">
                  <c:v>64.25483194648632</c:v>
                </c:pt>
                <c:pt idx="47">
                  <c:v>65.137030813369066</c:v>
                </c:pt>
                <c:pt idx="48">
                  <c:v>65.999373014788461</c:v>
                </c:pt>
                <c:pt idx="49">
                  <c:v>66.842045361931355</c:v>
                </c:pt>
                <c:pt idx="50">
                  <c:v>67.665243402213349</c:v>
                </c:pt>
                <c:pt idx="51">
                  <c:v>68.469170783599353</c:v>
                </c:pt>
                <c:pt idx="52">
                  <c:v>69.25403863691767</c:v>
                </c:pt>
                <c:pt idx="53">
                  <c:v>70.020064976701647</c:v>
                </c:pt>
                <c:pt idx="54">
                  <c:v>70.767474120991807</c:v>
                </c:pt>
                <c:pt idx="55">
                  <c:v>71.496496130434409</c:v>
                </c:pt>
                <c:pt idx="56">
                  <c:v>72.207366266922378</c:v>
                </c:pt>
                <c:pt idx="57">
                  <c:v>72.900324471941317</c:v>
                </c:pt>
                <c:pt idx="58">
                  <c:v>73.575614864703738</c:v>
                </c:pt>
                <c:pt idx="59">
                  <c:v>74.233485260083754</c:v>
                </c:pt>
                <c:pt idx="60">
                  <c:v>74.874186706297877</c:v>
                </c:pt>
                <c:pt idx="61">
                  <c:v>75.497973042215662</c:v>
                </c:pt>
                <c:pt idx="62">
                  <c:v>76.105100474130097</c:v>
                </c:pt>
                <c:pt idx="63">
                  <c:v>76.695827171765998</c:v>
                </c:pt>
                <c:pt idx="64">
                  <c:v>77.270412883259965</c:v>
                </c:pt>
                <c:pt idx="65">
                  <c:v>77.829118568805598</c:v>
                </c:pt>
                <c:pt idx="66">
                  <c:v>78.372206052620015</c:v>
                </c:pt>
                <c:pt idx="67">
                  <c:v>78.899937692858529</c:v>
                </c:pt>
                <c:pt idx="68">
                  <c:v>79.412576069074149</c:v>
                </c:pt>
                <c:pt idx="69">
                  <c:v>79.910383686797303</c:v>
                </c:pt>
                <c:pt idx="70">
                  <c:v>80.393622698789201</c:v>
                </c:pt>
                <c:pt idx="71">
                  <c:v>80.862554642506595</c:v>
                </c:pt>
                <c:pt idx="72">
                  <c:v>81.31744019330209</c:v>
                </c:pt>
                <c:pt idx="73">
                  <c:v>81.758538932872611</c:v>
                </c:pt>
                <c:pt idx="74">
                  <c:v>82.186109132461937</c:v>
                </c:pt>
                <c:pt idx="75">
                  <c:v>82.600407550316504</c:v>
                </c:pt>
                <c:pt idx="76">
                  <c:v>83.001689242891814</c:v>
                </c:pt>
                <c:pt idx="77">
                  <c:v>83.390207389303924</c:v>
                </c:pt>
                <c:pt idx="78">
                  <c:v>83.766213128523361</c:v>
                </c:pt>
                <c:pt idx="79">
                  <c:v>84.129955408809607</c:v>
                </c:pt>
                <c:pt idx="80">
                  <c:v>84.481680848889212</c:v>
                </c:pt>
                <c:pt idx="81">
                  <c:v>84.821633610385646</c:v>
                </c:pt>
                <c:pt idx="82">
                  <c:v>85.150055281016577</c:v>
                </c:pt>
                <c:pt idx="83">
                  <c:v>85.467184768080372</c:v>
                </c:pt>
                <c:pt idx="84">
                  <c:v>85.773258201764136</c:v>
                </c:pt>
                <c:pt idx="85">
                  <c:v>86.068508847814101</c:v>
                </c:pt>
                <c:pt idx="86">
                  <c:v>86.353167029119589</c:v>
                </c:pt>
                <c:pt idx="87">
                  <c:v>86.627460055773611</c:v>
                </c:pt>
                <c:pt idx="88">
                  <c:v>86.891612163182387</c:v>
                </c:pt>
                <c:pt idx="89">
                  <c:v>87.145844457810753</c:v>
                </c:pt>
                <c:pt idx="90">
                  <c:v>87.390374870160613</c:v>
                </c:pt>
              </c:numCache>
            </c:numRef>
          </c:xVal>
          <c:yVal>
            <c:numRef>
              <c:f>'Вывод расчетов'!$XG$37:$AAS$37</c:f>
              <c:numCache>
                <c:formatCode>0.000</c:formatCode>
                <c:ptCount val="91"/>
                <c:pt idx="0">
                  <c:v>16.648484249881566</c:v>
                </c:pt>
                <c:pt idx="1">
                  <c:v>17.442717439742584</c:v>
                </c:pt>
                <c:pt idx="2">
                  <c:v>18.600610050161688</c:v>
                </c:pt>
                <c:pt idx="3">
                  <c:v>20.054480058607748</c:v>
                </c:pt>
                <c:pt idx="4">
                  <c:v>21.740318553888457</c:v>
                </c:pt>
                <c:pt idx="5">
                  <c:v>23.603880682203066</c:v>
                </c:pt>
                <c:pt idx="6">
                  <c:v>25.601927099145268</c:v>
                </c:pt>
                <c:pt idx="7">
                  <c:v>27.701056408804934</c:v>
                </c:pt>
                <c:pt idx="8">
                  <c:v>29.875798422783792</c:v>
                </c:pt>
                <c:pt idx="9">
                  <c:v>32.106764298435166</c:v>
                </c:pt>
                <c:pt idx="10">
                  <c:v>34.379121877636827</c:v>
                </c:pt>
                <c:pt idx="11">
                  <c:v>36.681425859367344</c:v>
                </c:pt>
                <c:pt idx="12">
                  <c:v>39.004749605357468</c:v>
                </c:pt>
                <c:pt idx="13">
                  <c:v>41.342049785314337</c:v>
                </c:pt>
                <c:pt idx="14">
                  <c:v>43.687703050609414</c:v>
                </c:pt>
                <c:pt idx="15">
                  <c:v>46.037167328954382</c:v>
                </c:pt>
                <c:pt idx="16">
                  <c:v>48.386732762119628</c:v>
                </c:pt>
                <c:pt idx="17">
                  <c:v>50.733337126623866</c:v>
                </c:pt>
                <c:pt idx="18">
                  <c:v>53.074427828417761</c:v>
                </c:pt>
                <c:pt idx="19">
                  <c:v>55.407857753178163</c:v>
                </c:pt>
                <c:pt idx="20">
                  <c:v>57.731805918016796</c:v>
                </c:pt>
                <c:pt idx="21">
                  <c:v>60.044716445240191</c:v>
                </c:pt>
                <c:pt idx="22">
                  <c:v>62.345251189602557</c:v>
                </c:pt>
                <c:pt idx="23">
                  <c:v>64.632252629088541</c:v>
                </c:pt>
                <c:pt idx="24">
                  <c:v>66.904714537437826</c:v>
                </c:pt>
                <c:pt idx="25">
                  <c:v>69.161758606251681</c:v>
                </c:pt>
                <c:pt idx="26">
                  <c:v>71.402615652794054</c:v>
                </c:pt>
                <c:pt idx="27">
                  <c:v>73.626610389847485</c:v>
                </c:pt>
                <c:pt idx="28">
                  <c:v>75.833148983214727</c:v>
                </c:pt>
                <c:pt idx="29">
                  <c:v>78.021708806486899</c:v>
                </c:pt>
                <c:pt idx="30">
                  <c:v>80.191829939661005</c:v>
                </c:pt>
                <c:pt idx="31">
                  <c:v>82.343108060908534</c:v>
                </c:pt>
                <c:pt idx="32">
                  <c:v>84.475188458408169</c:v>
                </c:pt>
                <c:pt idx="33">
                  <c:v>86.587760948219127</c:v>
                </c:pt>
                <c:pt idx="34">
                  <c:v>88.680555529431416</c:v>
                </c:pt>
                <c:pt idx="35">
                  <c:v>90.753338642741042</c:v>
                </c:pt>
                <c:pt idx="36">
                  <c:v>92.805909925698487</c:v>
                </c:pt>
                <c:pt idx="37">
                  <c:v>94.838099379044309</c:v>
                </c:pt>
                <c:pt idx="38">
                  <c:v>96.849764875169299</c:v>
                </c:pt>
                <c:pt idx="39">
                  <c:v>98.840789952867823</c:v>
                </c:pt>
                <c:pt idx="40">
                  <c:v>100.81108185297595</c:v>
                </c:pt>
                <c:pt idx="41">
                  <c:v>102.76056975780466</c:v>
                </c:pt>
                <c:pt idx="42">
                  <c:v>104.68920320394426</c:v>
                </c:pt>
                <c:pt idx="43">
                  <c:v>106.59695064338631</c:v>
                </c:pt>
                <c:pt idx="44">
                  <c:v>108.48379813224817</c:v>
                </c:pt>
                <c:pt idx="45">
                  <c:v>110.34974812991149</c:v>
                </c:pt>
                <c:pt idx="46">
                  <c:v>112.19481839425571</c:v>
                </c:pt>
                <c:pt idx="47">
                  <c:v>114.01904096101693</c:v>
                </c:pt>
                <c:pt idx="48">
                  <c:v>115.82246119722781</c:v>
                </c:pt>
                <c:pt idx="49">
                  <c:v>117.60513692028191</c:v>
                </c:pt>
                <c:pt idx="50">
                  <c:v>119.36713757547243</c:v>
                </c:pt>
                <c:pt idx="51">
                  <c:v>121.10854346593995</c:v>
                </c:pt>
                <c:pt idx="52">
                  <c:v>122.82944502986371</c:v>
                </c:pt>
                <c:pt idx="53">
                  <c:v>124.5299421604773</c:v>
                </c:pt>
                <c:pt idx="54">
                  <c:v>126.21014356511542</c:v>
                </c:pt>
                <c:pt idx="55">
                  <c:v>127.87016616001827</c:v>
                </c:pt>
                <c:pt idx="56">
                  <c:v>129.51013449805856</c:v>
                </c:pt>
                <c:pt idx="57">
                  <c:v>131.13018022692151</c:v>
                </c:pt>
                <c:pt idx="58">
                  <c:v>132.7304415755776</c:v>
                </c:pt>
                <c:pt idx="59">
                  <c:v>134.311062867147</c:v>
                </c:pt>
                <c:pt idx="60">
                  <c:v>135.87219405647511</c:v>
                </c:pt>
                <c:pt idx="61">
                  <c:v>137.41399029092383</c:v>
                </c:pt>
                <c:pt idx="62">
                  <c:v>138.93661149304103</c:v>
                </c:pt>
                <c:pt idx="63">
                  <c:v>140.44022196390503</c:v>
                </c:pt>
                <c:pt idx="64">
                  <c:v>141.92499000605477</c:v>
                </c:pt>
                <c:pt idx="65">
                  <c:v>143.39108756501435</c:v>
                </c:pt>
                <c:pt idx="66">
                  <c:v>144.83868988850435</c:v>
                </c:pt>
                <c:pt idx="67">
                  <c:v>146.26797520250426</c:v>
                </c:pt>
                <c:pt idx="68">
                  <c:v>147.67912440339285</c:v>
                </c:pt>
                <c:pt idx="69">
                  <c:v>149.07232076544642</c:v>
                </c:pt>
                <c:pt idx="70">
                  <c:v>150.44774966302339</c:v>
                </c:pt>
                <c:pt idx="71">
                  <c:v>151.80559830680306</c:v>
                </c:pt>
                <c:pt idx="72">
                  <c:v>153.14605549348366</c:v>
                </c:pt>
                <c:pt idx="73">
                  <c:v>154.46931136837648</c:v>
                </c:pt>
                <c:pt idx="74">
                  <c:v>155.77555720036119</c:v>
                </c:pt>
                <c:pt idx="75">
                  <c:v>157.06498516869314</c:v>
                </c:pt>
                <c:pt idx="76">
                  <c:v>158.33778816117689</c:v>
                </c:pt>
                <c:pt idx="77">
                  <c:v>159.59415958324001</c:v>
                </c:pt>
                <c:pt idx="78">
                  <c:v>160.83429317746177</c:v>
                </c:pt>
                <c:pt idx="79">
                  <c:v>162.05838285312785</c:v>
                </c:pt>
                <c:pt idx="80">
                  <c:v>163.26662252539933</c:v>
                </c:pt>
                <c:pt idx="81">
                  <c:v>164.45920596369839</c:v>
                </c:pt>
                <c:pt idx="82">
                  <c:v>165.63632664892995</c:v>
                </c:pt>
                <c:pt idx="83">
                  <c:v>166.79817763916819</c:v>
                </c:pt>
                <c:pt idx="84">
                  <c:v>167.94495144345362</c:v>
                </c:pt>
                <c:pt idx="85">
                  <c:v>169.07683990335656</c:v>
                </c:pt>
                <c:pt idx="86">
                  <c:v>170.19403408197417</c:v>
                </c:pt>
                <c:pt idx="87">
                  <c:v>171.29672416004226</c:v>
                </c:pt>
                <c:pt idx="88">
                  <c:v>172.38509933884976</c:v>
                </c:pt>
                <c:pt idx="89">
                  <c:v>173.45934774965855</c:v>
                </c:pt>
                <c:pt idx="90">
                  <c:v>174.51965636933934</c:v>
                </c:pt>
              </c:numCache>
            </c:numRef>
          </c:yVal>
          <c:smooth val="1"/>
        </c:ser>
        <c:dLbls>
          <c:showLegendKey val="0"/>
          <c:showVal val="0"/>
          <c:showCatName val="0"/>
          <c:showSerName val="0"/>
          <c:showPercent val="0"/>
          <c:showBubbleSize val="0"/>
        </c:dLbls>
        <c:axId val="192470016"/>
        <c:axId val="192488192"/>
      </c:scatterChart>
      <c:scatterChart>
        <c:scatterStyle val="smoothMarker"/>
        <c:varyColors val="0"/>
        <c:ser>
          <c:idx val="1"/>
          <c:order val="0"/>
          <c:spPr>
            <a:ln w="50800">
              <a:solidFill>
                <a:srgbClr val="FF0000"/>
              </a:solidFill>
            </a:ln>
          </c:spPr>
          <c:marker>
            <c:symbol val="none"/>
          </c:marker>
          <c:xVal>
            <c:numRef>
              <c:f>'Вывод расчетов'!$XG$41:$AAS$41</c:f>
              <c:numCache>
                <c:formatCode>0.000</c:formatCode>
                <c:ptCount val="91"/>
                <c:pt idx="0">
                  <c:v>2.3139227450508346</c:v>
                </c:pt>
                <c:pt idx="1">
                  <c:v>4.0144611712822469</c:v>
                </c:pt>
                <c:pt idx="2">
                  <c:v>5.7073457649656394</c:v>
                </c:pt>
                <c:pt idx="3">
                  <c:v>7.3917460564117032</c:v>
                </c:pt>
                <c:pt idx="4">
                  <c:v>9.0668538467428768</c:v>
                </c:pt>
                <c:pt idx="5">
                  <c:v>10.731884211246854</c:v>
                </c:pt>
                <c:pt idx="6">
                  <c:v>12.386076415765965</c:v>
                </c:pt>
                <c:pt idx="7">
                  <c:v>14.028694745230252</c:v>
                </c:pt>
                <c:pt idx="8">
                  <c:v>15.659029243907472</c:v>
                </c:pt>
                <c:pt idx="9">
                  <c:v>17.276396367393541</c:v>
                </c:pt>
                <c:pt idx="10">
                  <c:v>18.880139546798823</c:v>
                </c:pt>
                <c:pt idx="11">
                  <c:v>20.46962966599698</c:v>
                </c:pt>
                <c:pt idx="12">
                  <c:v>22.044265453191574</c:v>
                </c:pt>
                <c:pt idx="13">
                  <c:v>23.603473788418828</c:v>
                </c:pt>
                <c:pt idx="14">
                  <c:v>25.146709928942077</c:v>
                </c:pt>
                <c:pt idx="15">
                  <c:v>26.67345765480303</c:v>
                </c:pt>
                <c:pt idx="16">
                  <c:v>28.183229337075051</c:v>
                </c:pt>
                <c:pt idx="17">
                  <c:v>29.675565931616021</c:v>
                </c:pt>
                <c:pt idx="18">
                  <c:v>31.150036901339867</c:v>
                </c:pt>
                <c:pt idx="19">
                  <c:v>32.606240070218533</c:v>
                </c:pt>
                <c:pt idx="20">
                  <c:v>34.043801412389953</c:v>
                </c:pt>
                <c:pt idx="21">
                  <c:v>35.462374779881657</c:v>
                </c:pt>
                <c:pt idx="22">
                  <c:v>36.861641572567059</c:v>
                </c:pt>
                <c:pt idx="23">
                  <c:v>38.241310354050583</c:v>
                </c:pt>
                <c:pt idx="24">
                  <c:v>39.601116417232042</c:v>
                </c:pt>
                <c:pt idx="25">
                  <c:v>40.940821303329692</c:v>
                </c:pt>
                <c:pt idx="26">
                  <c:v>42.260212278147165</c:v>
                </c:pt>
                <c:pt idx="27">
                  <c:v>43.559101769353681</c:v>
                </c:pt>
                <c:pt idx="28">
                  <c:v>44.837326768510891</c:v>
                </c:pt>
                <c:pt idx="29">
                  <c:v>46.094748201525178</c:v>
                </c:pt>
                <c:pt idx="30">
                  <c:v>47.331250271132092</c:v>
                </c:pt>
                <c:pt idx="31">
                  <c:v>48.546739774933407</c:v>
                </c:pt>
                <c:pt idx="32">
                  <c:v>49.741145402406595</c:v>
                </c:pt>
                <c:pt idx="33">
                  <c:v>50.914417014194022</c:v>
                </c:pt>
                <c:pt idx="34">
                  <c:v>52.066524906856742</c:v>
                </c:pt>
                <c:pt idx="35">
                  <c:v>53.197459066146514</c:v>
                </c:pt>
                <c:pt idx="36">
                  <c:v>54.307228411710582</c:v>
                </c:pt>
                <c:pt idx="37">
                  <c:v>55.395860036000222</c:v>
                </c:pt>
                <c:pt idx="38">
                  <c:v>56.463398440004362</c:v>
                </c:pt>
                <c:pt idx="39">
                  <c:v>57.509904768278901</c:v>
                </c:pt>
                <c:pt idx="40">
                  <c:v>58.535456045587516</c:v>
                </c:pt>
                <c:pt idx="41">
                  <c:v>59.540144417316384</c:v>
                </c:pt>
                <c:pt idx="42">
                  <c:v>60.524076395670022</c:v>
                </c:pt>
                <c:pt idx="43">
                  <c:v>61.487372113503554</c:v>
                </c:pt>
                <c:pt idx="44">
                  <c:v>62.43016458749463</c:v>
                </c:pt>
                <c:pt idx="45">
                  <c:v>63.352598992211298</c:v>
                </c:pt>
                <c:pt idx="46">
                  <c:v>64.25483194648632</c:v>
                </c:pt>
                <c:pt idx="47">
                  <c:v>65.137030813369066</c:v>
                </c:pt>
                <c:pt idx="48">
                  <c:v>65.999373014788461</c:v>
                </c:pt>
                <c:pt idx="49">
                  <c:v>66.842045361931355</c:v>
                </c:pt>
                <c:pt idx="50">
                  <c:v>67.665243402213349</c:v>
                </c:pt>
                <c:pt idx="51">
                  <c:v>68.469170783599353</c:v>
                </c:pt>
                <c:pt idx="52">
                  <c:v>69.25403863691767</c:v>
                </c:pt>
                <c:pt idx="53">
                  <c:v>70.020064976701647</c:v>
                </c:pt>
                <c:pt idx="54">
                  <c:v>70.767474120991807</c:v>
                </c:pt>
                <c:pt idx="55">
                  <c:v>71.496496130434409</c:v>
                </c:pt>
                <c:pt idx="56">
                  <c:v>72.207366266922378</c:v>
                </c:pt>
                <c:pt idx="57">
                  <c:v>72.900324471941317</c:v>
                </c:pt>
                <c:pt idx="58">
                  <c:v>73.575614864703738</c:v>
                </c:pt>
                <c:pt idx="59">
                  <c:v>74.233485260083754</c:v>
                </c:pt>
                <c:pt idx="60">
                  <c:v>74.874186706297877</c:v>
                </c:pt>
                <c:pt idx="61">
                  <c:v>75.497973042215662</c:v>
                </c:pt>
                <c:pt idx="62">
                  <c:v>76.105100474130097</c:v>
                </c:pt>
                <c:pt idx="63">
                  <c:v>76.695827171765998</c:v>
                </c:pt>
                <c:pt idx="64">
                  <c:v>77.270412883259965</c:v>
                </c:pt>
                <c:pt idx="65">
                  <c:v>77.829118568805598</c:v>
                </c:pt>
                <c:pt idx="66">
                  <c:v>78.372206052620015</c:v>
                </c:pt>
                <c:pt idx="67">
                  <c:v>78.899937692858529</c:v>
                </c:pt>
                <c:pt idx="68">
                  <c:v>79.412576069074149</c:v>
                </c:pt>
                <c:pt idx="69">
                  <c:v>79.910383686797303</c:v>
                </c:pt>
                <c:pt idx="70">
                  <c:v>80.393622698789201</c:v>
                </c:pt>
                <c:pt idx="71">
                  <c:v>80.862554642506595</c:v>
                </c:pt>
                <c:pt idx="72">
                  <c:v>81.31744019330209</c:v>
                </c:pt>
                <c:pt idx="73">
                  <c:v>81.758538932872611</c:v>
                </c:pt>
                <c:pt idx="74">
                  <c:v>82.186109132461937</c:v>
                </c:pt>
                <c:pt idx="75">
                  <c:v>82.600407550316504</c:v>
                </c:pt>
                <c:pt idx="76">
                  <c:v>83.001689242891814</c:v>
                </c:pt>
                <c:pt idx="77">
                  <c:v>83.390207389303924</c:v>
                </c:pt>
                <c:pt idx="78">
                  <c:v>83.766213128523361</c:v>
                </c:pt>
                <c:pt idx="79">
                  <c:v>84.129955408809607</c:v>
                </c:pt>
                <c:pt idx="80">
                  <c:v>84.481680848889212</c:v>
                </c:pt>
                <c:pt idx="81">
                  <c:v>84.821633610385646</c:v>
                </c:pt>
                <c:pt idx="82">
                  <c:v>85.150055281016577</c:v>
                </c:pt>
                <c:pt idx="83">
                  <c:v>85.467184768080372</c:v>
                </c:pt>
                <c:pt idx="84">
                  <c:v>85.773258201764136</c:v>
                </c:pt>
                <c:pt idx="85">
                  <c:v>86.068508847814101</c:v>
                </c:pt>
                <c:pt idx="86">
                  <c:v>86.353167029119589</c:v>
                </c:pt>
                <c:pt idx="87">
                  <c:v>86.627460055773611</c:v>
                </c:pt>
                <c:pt idx="88">
                  <c:v>86.891612163182387</c:v>
                </c:pt>
                <c:pt idx="89">
                  <c:v>87.145844457810753</c:v>
                </c:pt>
                <c:pt idx="90">
                  <c:v>87.390374870160613</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2495616"/>
        <c:axId val="192489728"/>
      </c:scatterChart>
      <c:valAx>
        <c:axId val="192470016"/>
        <c:scaling>
          <c:orientation val="minMax"/>
        </c:scaling>
        <c:delete val="0"/>
        <c:axPos val="b"/>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2488192"/>
        <c:crosses val="autoZero"/>
        <c:crossBetween val="midCat"/>
      </c:valAx>
      <c:valAx>
        <c:axId val="192488192"/>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2470016"/>
        <c:crosses val="autoZero"/>
        <c:crossBetween val="midCat"/>
      </c:valAx>
      <c:valAx>
        <c:axId val="192489728"/>
        <c:scaling>
          <c:orientation val="minMax"/>
        </c:scaling>
        <c:delete val="0"/>
        <c:axPos val="r"/>
        <c:numFmt formatCode="0.00000" sourceLinked="1"/>
        <c:majorTickMark val="out"/>
        <c:minorTickMark val="none"/>
        <c:tickLblPos val="nextTo"/>
        <c:crossAx val="192495616"/>
        <c:crosses val="max"/>
        <c:crossBetween val="midCat"/>
      </c:valAx>
      <c:valAx>
        <c:axId val="192495616"/>
        <c:scaling>
          <c:orientation val="minMax"/>
        </c:scaling>
        <c:delete val="1"/>
        <c:axPos val="b"/>
        <c:numFmt formatCode="0.000" sourceLinked="1"/>
        <c:majorTickMark val="out"/>
        <c:minorTickMark val="none"/>
        <c:tickLblPos val="nextTo"/>
        <c:crossAx val="192489728"/>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192511360"/>
        <c:axId val="193000576"/>
      </c:lineChart>
      <c:catAx>
        <c:axId val="192511360"/>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193000576"/>
        <c:crosses val="autoZero"/>
        <c:auto val="1"/>
        <c:lblAlgn val="ctr"/>
        <c:lblOffset val="100"/>
        <c:tickLblSkip val="4"/>
        <c:tickMarkSkip val="4"/>
        <c:noMultiLvlLbl val="0"/>
      </c:catAx>
      <c:valAx>
        <c:axId val="193000576"/>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192511360"/>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ru-RU"/>
        </a:p>
      </c:txPr>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204979584"/>
        <c:axId val="154879104"/>
      </c:lineChart>
      <c:catAx>
        <c:axId val="204979584"/>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154879104"/>
        <c:crosses val="autoZero"/>
        <c:auto val="1"/>
        <c:lblAlgn val="ctr"/>
        <c:lblOffset val="100"/>
        <c:tickLblSkip val="4"/>
        <c:tickMarkSkip val="4"/>
        <c:noMultiLvlLbl val="0"/>
      </c:catAx>
      <c:valAx>
        <c:axId val="154879104"/>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204979584"/>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2175098319263"/>
          <c:y val="0.1603581655188516"/>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расчетов'!$QW$249:$RI$249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расчетов'!$QW$250:$RI$250</c:f>
              <c:numCache>
                <c:formatCode>0.00000</c:formatCode>
                <c:ptCount val="13"/>
              </c:numCache>
            </c:numRef>
          </c:val>
          <c:smooth val="0"/>
        </c:ser>
        <c:dLbls>
          <c:showLegendKey val="0"/>
          <c:showVal val="0"/>
          <c:showCatName val="0"/>
          <c:showSerName val="0"/>
          <c:showPercent val="0"/>
          <c:showBubbleSize val="0"/>
        </c:dLbls>
        <c:marker val="1"/>
        <c:smooth val="0"/>
        <c:axId val="225360128"/>
        <c:axId val="225517568"/>
      </c:lineChart>
      <c:catAx>
        <c:axId val="225360128"/>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5517568"/>
        <c:crosses val="autoZero"/>
        <c:auto val="1"/>
        <c:lblAlgn val="ctr"/>
        <c:lblOffset val="100"/>
        <c:tickLblSkip val="15"/>
        <c:tickMarkSkip val="15"/>
        <c:noMultiLvlLbl val="0"/>
      </c:catAx>
      <c:valAx>
        <c:axId val="225517568"/>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5360128"/>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расчетов'!$QW$260:$AGK$260</c:f>
              <c:numCache>
                <c:formatCode>0.00000</c:formatCode>
                <c:ptCount val="405"/>
                <c:pt idx="299">
                  <c:v>-4.0625000000000001E-2</c:v>
                </c:pt>
                <c:pt idx="301">
                  <c:v>0.96499999999999997</c:v>
                </c:pt>
                <c:pt idx="303" formatCode="0">
                  <c:v>33</c:v>
                </c:pt>
                <c:pt idx="304">
                  <c:v>0.93316015624999993</c:v>
                </c:pt>
                <c:pt idx="306">
                  <c:v>0.78375000000000006</c:v>
                </c:pt>
                <c:pt idx="309">
                  <c:v>-0.1</c:v>
                </c:pt>
                <c:pt idx="311">
                  <c:v>1.06</c:v>
                </c:pt>
                <c:pt idx="313" formatCode="0">
                  <c:v>83</c:v>
                </c:pt>
                <c:pt idx="314">
                  <c:v>0.86287500000000006</c:v>
                </c:pt>
                <c:pt idx="316">
                  <c:v>1.9712499999999999</c:v>
                </c:pt>
                <c:pt idx="319">
                  <c:v>-0.12</c:v>
                </c:pt>
                <c:pt idx="321">
                  <c:v>1.06</c:v>
                </c:pt>
                <c:pt idx="323" formatCode="0">
                  <c:v>133</c:v>
                </c:pt>
                <c:pt idx="324">
                  <c:v>0.68095000000000006</c:v>
                </c:pt>
                <c:pt idx="326">
                  <c:v>3.1587499999999999</c:v>
                </c:pt>
                <c:pt idx="329">
                  <c:v>-0.08</c:v>
                </c:pt>
                <c:pt idx="331">
                  <c:v>0.9</c:v>
                </c:pt>
                <c:pt idx="333" formatCode="0">
                  <c:v>183</c:v>
                </c:pt>
                <c:pt idx="334">
                  <c:v>0.55230000000000001</c:v>
                </c:pt>
                <c:pt idx="336">
                  <c:v>4.3462500000000004</c:v>
                </c:pt>
                <c:pt idx="339">
                  <c:v>-5.8823529411764698E-2</c:v>
                </c:pt>
                <c:pt idx="341">
                  <c:v>0.79411764705882304</c:v>
                </c:pt>
                <c:pt idx="343" formatCode="0">
                  <c:v>233</c:v>
                </c:pt>
                <c:pt idx="344">
                  <c:v>0.46860294117647011</c:v>
                </c:pt>
                <c:pt idx="346">
                  <c:v>5.5337500000000004</c:v>
                </c:pt>
                <c:pt idx="349">
                  <c:v>-5.8823529411764698E-2</c:v>
                </c:pt>
                <c:pt idx="351">
                  <c:v>0.79411764705882304</c:v>
                </c:pt>
                <c:pt idx="353" formatCode="0">
                  <c:v>283</c:v>
                </c:pt>
                <c:pt idx="354">
                  <c:v>0.39874999999999955</c:v>
                </c:pt>
                <c:pt idx="356">
                  <c:v>6.7212500000000004</c:v>
                </c:pt>
                <c:pt idx="359">
                  <c:v>-3.5714285714285698E-2</c:v>
                </c:pt>
                <c:pt idx="361">
                  <c:v>0.63928571428571401</c:v>
                </c:pt>
                <c:pt idx="363" formatCode="0">
                  <c:v>333</c:v>
                </c:pt>
                <c:pt idx="364">
                  <c:v>0.35683035714285699</c:v>
                </c:pt>
                <c:pt idx="366">
                  <c:v>7.9087500000000004</c:v>
                </c:pt>
                <c:pt idx="369">
                  <c:v>-3.5714285714285698E-2</c:v>
                </c:pt>
                <c:pt idx="371">
                  <c:v>0.63928571428571401</c:v>
                </c:pt>
                <c:pt idx="373" formatCode="0">
                  <c:v>383</c:v>
                </c:pt>
                <c:pt idx="374">
                  <c:v>0.31441964285714274</c:v>
                </c:pt>
                <c:pt idx="376">
                  <c:v>9.0962499999999995</c:v>
                </c:pt>
              </c:numCache>
            </c:numRef>
          </c:val>
          <c:smooth val="0"/>
        </c:ser>
        <c:ser>
          <c:idx val="1"/>
          <c:order val="1"/>
          <c:tx>
            <c:v>η</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расчетов'!$QW$259:$AGK$259</c:f>
              <c:numCache>
                <c:formatCode>0.00000</c:formatCode>
                <c:ptCount val="405"/>
                <c:pt idx="299">
                  <c:v>-4.0625000000000001E-2</c:v>
                </c:pt>
                <c:pt idx="301">
                  <c:v>0.96499999999999997</c:v>
                </c:pt>
                <c:pt idx="303" formatCode="0">
                  <c:v>32</c:v>
                </c:pt>
                <c:pt idx="304">
                  <c:v>0.93412499999999998</c:v>
                </c:pt>
                <c:pt idx="306">
                  <c:v>0.76</c:v>
                </c:pt>
                <c:pt idx="309">
                  <c:v>-0.1</c:v>
                </c:pt>
                <c:pt idx="311">
                  <c:v>1.06</c:v>
                </c:pt>
                <c:pt idx="313" formatCode="0">
                  <c:v>82</c:v>
                </c:pt>
                <c:pt idx="314">
                  <c:v>0.86525000000000007</c:v>
                </c:pt>
                <c:pt idx="316">
                  <c:v>1.9475</c:v>
                </c:pt>
                <c:pt idx="319">
                  <c:v>-0.12</c:v>
                </c:pt>
                <c:pt idx="321">
                  <c:v>1.06</c:v>
                </c:pt>
                <c:pt idx="323" formatCode="0">
                  <c:v>132</c:v>
                </c:pt>
                <c:pt idx="324">
                  <c:v>0.68379999999999996</c:v>
                </c:pt>
                <c:pt idx="326">
                  <c:v>3.1350000000000002</c:v>
                </c:pt>
                <c:pt idx="329">
                  <c:v>-0.08</c:v>
                </c:pt>
                <c:pt idx="331">
                  <c:v>0.9</c:v>
                </c:pt>
                <c:pt idx="333" formatCode="0">
                  <c:v>182</c:v>
                </c:pt>
                <c:pt idx="334">
                  <c:v>0.55420000000000003</c:v>
                </c:pt>
                <c:pt idx="336">
                  <c:v>4.3224999999999998</c:v>
                </c:pt>
                <c:pt idx="339">
                  <c:v>-5.8823529411764698E-2</c:v>
                </c:pt>
                <c:pt idx="341">
                  <c:v>0.79411764705882304</c:v>
                </c:pt>
                <c:pt idx="343" formatCode="0">
                  <c:v>232</c:v>
                </c:pt>
                <c:pt idx="344">
                  <c:v>0.46999999999999958</c:v>
                </c:pt>
                <c:pt idx="346">
                  <c:v>5.51</c:v>
                </c:pt>
                <c:pt idx="349">
                  <c:v>-5.8823529411764698E-2</c:v>
                </c:pt>
                <c:pt idx="351">
                  <c:v>0.79411764705882304</c:v>
                </c:pt>
                <c:pt idx="353" formatCode="0">
                  <c:v>282</c:v>
                </c:pt>
                <c:pt idx="354">
                  <c:v>0.40014705882352897</c:v>
                </c:pt>
                <c:pt idx="356">
                  <c:v>6.6974999999999998</c:v>
                </c:pt>
                <c:pt idx="359">
                  <c:v>-3.5714285714285698E-2</c:v>
                </c:pt>
                <c:pt idx="361">
                  <c:v>0.63928571428571401</c:v>
                </c:pt>
                <c:pt idx="363" formatCode="0">
                  <c:v>332</c:v>
                </c:pt>
                <c:pt idx="364">
                  <c:v>0.35767857142857129</c:v>
                </c:pt>
                <c:pt idx="366">
                  <c:v>7.8849999999999998</c:v>
                </c:pt>
                <c:pt idx="369">
                  <c:v>-3.5714285714285698E-2</c:v>
                </c:pt>
                <c:pt idx="371">
                  <c:v>0.63928571428571401</c:v>
                </c:pt>
                <c:pt idx="373" formatCode="0">
                  <c:v>382</c:v>
                </c:pt>
                <c:pt idx="374">
                  <c:v>0.31526785714285704</c:v>
                </c:pt>
                <c:pt idx="376">
                  <c:v>9.0724999999999998</c:v>
                </c:pt>
              </c:numCache>
            </c:numRef>
          </c:val>
          <c:smooth val="0"/>
        </c:ser>
        <c:dLbls>
          <c:showLegendKey val="0"/>
          <c:showVal val="0"/>
          <c:showCatName val="0"/>
          <c:showSerName val="0"/>
          <c:showPercent val="0"/>
          <c:showBubbleSize val="0"/>
        </c:dLbls>
        <c:marker val="1"/>
        <c:smooth val="0"/>
        <c:axId val="225546624"/>
        <c:axId val="225548544"/>
      </c:lineChart>
      <c:catAx>
        <c:axId val="225546624"/>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5548544"/>
        <c:crosses val="autoZero"/>
        <c:auto val="1"/>
        <c:lblAlgn val="ctr"/>
        <c:lblOffset val="100"/>
        <c:tickLblSkip val="28"/>
        <c:tickMarkSkip val="28"/>
        <c:noMultiLvlLbl val="0"/>
      </c:catAx>
      <c:valAx>
        <c:axId val="225548544"/>
        <c:scaling>
          <c:orientation val="minMax"/>
        </c:scaling>
        <c:delete val="0"/>
        <c:axPos val="l"/>
        <c:majorGridlines>
          <c:spPr>
            <a:ln w="28575">
              <a:solidFill>
                <a:schemeClr val="tx1"/>
              </a:solidFill>
            </a:ln>
          </c:spPr>
        </c:majorGridlines>
        <c:numFmt formatCode="\О\с\н\о\в\н\о\й"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5546624"/>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ru-RU"/>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272.png"/><Relationship Id="rId18" Type="http://schemas.openxmlformats.org/officeDocument/2006/relationships/image" Target="../media/image277.png"/><Relationship Id="rId26" Type="http://schemas.openxmlformats.org/officeDocument/2006/relationships/image" Target="../media/image285.png"/><Relationship Id="rId39" Type="http://schemas.openxmlformats.org/officeDocument/2006/relationships/image" Target="../media/image298.png"/><Relationship Id="rId21" Type="http://schemas.openxmlformats.org/officeDocument/2006/relationships/image" Target="../media/image280.png"/><Relationship Id="rId34" Type="http://schemas.openxmlformats.org/officeDocument/2006/relationships/image" Target="../media/image293.png"/><Relationship Id="rId42" Type="http://schemas.openxmlformats.org/officeDocument/2006/relationships/image" Target="../media/image301.png"/><Relationship Id="rId47" Type="http://schemas.openxmlformats.org/officeDocument/2006/relationships/image" Target="../media/image306.png"/><Relationship Id="rId50" Type="http://schemas.openxmlformats.org/officeDocument/2006/relationships/image" Target="../media/image309.png"/><Relationship Id="rId55" Type="http://schemas.openxmlformats.org/officeDocument/2006/relationships/image" Target="../media/image314.png"/><Relationship Id="rId63" Type="http://schemas.openxmlformats.org/officeDocument/2006/relationships/image" Target="../media/image318.png"/><Relationship Id="rId68" Type="http://schemas.openxmlformats.org/officeDocument/2006/relationships/chart" Target="../charts/chart6.xml"/><Relationship Id="rId7" Type="http://schemas.openxmlformats.org/officeDocument/2006/relationships/image" Target="../media/image266.png"/><Relationship Id="rId71" Type="http://schemas.openxmlformats.org/officeDocument/2006/relationships/chart" Target="../charts/chart9.xml"/><Relationship Id="rId2" Type="http://schemas.openxmlformats.org/officeDocument/2006/relationships/image" Target="../media/image261.png"/><Relationship Id="rId16" Type="http://schemas.openxmlformats.org/officeDocument/2006/relationships/image" Target="../media/image275.png"/><Relationship Id="rId29" Type="http://schemas.openxmlformats.org/officeDocument/2006/relationships/image" Target="../media/image288.png"/><Relationship Id="rId11" Type="http://schemas.openxmlformats.org/officeDocument/2006/relationships/image" Target="../media/image270.png"/><Relationship Id="rId24" Type="http://schemas.openxmlformats.org/officeDocument/2006/relationships/image" Target="../media/image283.png"/><Relationship Id="rId32" Type="http://schemas.openxmlformats.org/officeDocument/2006/relationships/image" Target="../media/image291.jpeg"/><Relationship Id="rId37" Type="http://schemas.openxmlformats.org/officeDocument/2006/relationships/image" Target="../media/image296.png"/><Relationship Id="rId40" Type="http://schemas.openxmlformats.org/officeDocument/2006/relationships/image" Target="../media/image299.png"/><Relationship Id="rId45" Type="http://schemas.openxmlformats.org/officeDocument/2006/relationships/image" Target="../media/image304.png"/><Relationship Id="rId53" Type="http://schemas.openxmlformats.org/officeDocument/2006/relationships/image" Target="../media/image312.png"/><Relationship Id="rId58" Type="http://schemas.openxmlformats.org/officeDocument/2006/relationships/chart" Target="../charts/chart1.xml"/><Relationship Id="rId66" Type="http://schemas.openxmlformats.org/officeDocument/2006/relationships/image" Target="../media/image321.png"/><Relationship Id="rId74" Type="http://schemas.openxmlformats.org/officeDocument/2006/relationships/image" Target="../media/image324.jpeg"/><Relationship Id="rId5" Type="http://schemas.openxmlformats.org/officeDocument/2006/relationships/image" Target="../media/image264.png"/><Relationship Id="rId15" Type="http://schemas.openxmlformats.org/officeDocument/2006/relationships/image" Target="../media/image274.png"/><Relationship Id="rId23" Type="http://schemas.openxmlformats.org/officeDocument/2006/relationships/image" Target="../media/image282.png"/><Relationship Id="rId28" Type="http://schemas.openxmlformats.org/officeDocument/2006/relationships/image" Target="../media/image287.png"/><Relationship Id="rId36" Type="http://schemas.openxmlformats.org/officeDocument/2006/relationships/image" Target="../media/image295.jpeg"/><Relationship Id="rId49" Type="http://schemas.openxmlformats.org/officeDocument/2006/relationships/image" Target="../media/image308.png"/><Relationship Id="rId57" Type="http://schemas.openxmlformats.org/officeDocument/2006/relationships/image" Target="../media/image316.png"/><Relationship Id="rId61" Type="http://schemas.openxmlformats.org/officeDocument/2006/relationships/image" Target="../media/image317.png"/><Relationship Id="rId10" Type="http://schemas.openxmlformats.org/officeDocument/2006/relationships/image" Target="../media/image269.png"/><Relationship Id="rId19" Type="http://schemas.openxmlformats.org/officeDocument/2006/relationships/image" Target="../media/image278.png"/><Relationship Id="rId31" Type="http://schemas.openxmlformats.org/officeDocument/2006/relationships/image" Target="../media/image290.png"/><Relationship Id="rId44" Type="http://schemas.openxmlformats.org/officeDocument/2006/relationships/image" Target="../media/image303.png"/><Relationship Id="rId52" Type="http://schemas.openxmlformats.org/officeDocument/2006/relationships/image" Target="../media/image311.png"/><Relationship Id="rId60" Type="http://schemas.openxmlformats.org/officeDocument/2006/relationships/chart" Target="../charts/chart3.xml"/><Relationship Id="rId65" Type="http://schemas.openxmlformats.org/officeDocument/2006/relationships/image" Target="../media/image320.png"/><Relationship Id="rId73" Type="http://schemas.openxmlformats.org/officeDocument/2006/relationships/image" Target="../media/image323.jpeg"/><Relationship Id="rId4" Type="http://schemas.openxmlformats.org/officeDocument/2006/relationships/image" Target="../media/image263.png"/><Relationship Id="rId9" Type="http://schemas.openxmlformats.org/officeDocument/2006/relationships/image" Target="../media/image268.png"/><Relationship Id="rId14" Type="http://schemas.openxmlformats.org/officeDocument/2006/relationships/image" Target="../media/image273.png"/><Relationship Id="rId22" Type="http://schemas.openxmlformats.org/officeDocument/2006/relationships/image" Target="../media/image281.png"/><Relationship Id="rId27" Type="http://schemas.openxmlformats.org/officeDocument/2006/relationships/image" Target="../media/image286.png"/><Relationship Id="rId30" Type="http://schemas.openxmlformats.org/officeDocument/2006/relationships/image" Target="../media/image289.png"/><Relationship Id="rId35" Type="http://schemas.openxmlformats.org/officeDocument/2006/relationships/image" Target="../media/image294.png"/><Relationship Id="rId43" Type="http://schemas.openxmlformats.org/officeDocument/2006/relationships/image" Target="../media/image302.png"/><Relationship Id="rId48" Type="http://schemas.openxmlformats.org/officeDocument/2006/relationships/image" Target="../media/image307.png"/><Relationship Id="rId56" Type="http://schemas.openxmlformats.org/officeDocument/2006/relationships/image" Target="../media/image315.png"/><Relationship Id="rId64" Type="http://schemas.openxmlformats.org/officeDocument/2006/relationships/image" Target="../media/image319.png"/><Relationship Id="rId69" Type="http://schemas.openxmlformats.org/officeDocument/2006/relationships/chart" Target="../charts/chart7.xml"/><Relationship Id="rId8" Type="http://schemas.openxmlformats.org/officeDocument/2006/relationships/image" Target="../media/image267.png"/><Relationship Id="rId51" Type="http://schemas.openxmlformats.org/officeDocument/2006/relationships/image" Target="../media/image310.png"/><Relationship Id="rId72" Type="http://schemas.openxmlformats.org/officeDocument/2006/relationships/image" Target="../media/image322.jpeg"/><Relationship Id="rId3" Type="http://schemas.openxmlformats.org/officeDocument/2006/relationships/image" Target="../media/image262.png"/><Relationship Id="rId12" Type="http://schemas.openxmlformats.org/officeDocument/2006/relationships/image" Target="../media/image271.png"/><Relationship Id="rId17" Type="http://schemas.openxmlformats.org/officeDocument/2006/relationships/image" Target="../media/image276.png"/><Relationship Id="rId25" Type="http://schemas.openxmlformats.org/officeDocument/2006/relationships/image" Target="../media/image284.png"/><Relationship Id="rId33" Type="http://schemas.openxmlformats.org/officeDocument/2006/relationships/image" Target="../media/image292.png"/><Relationship Id="rId38" Type="http://schemas.openxmlformats.org/officeDocument/2006/relationships/image" Target="../media/image297.png"/><Relationship Id="rId46" Type="http://schemas.openxmlformats.org/officeDocument/2006/relationships/image" Target="../media/image305.png"/><Relationship Id="rId59" Type="http://schemas.openxmlformats.org/officeDocument/2006/relationships/chart" Target="../charts/chart2.xml"/><Relationship Id="rId67" Type="http://schemas.openxmlformats.org/officeDocument/2006/relationships/chart" Target="../charts/chart5.xml"/><Relationship Id="rId20" Type="http://schemas.openxmlformats.org/officeDocument/2006/relationships/image" Target="../media/image279.png"/><Relationship Id="rId41" Type="http://schemas.openxmlformats.org/officeDocument/2006/relationships/image" Target="../media/image300.png"/><Relationship Id="rId54" Type="http://schemas.openxmlformats.org/officeDocument/2006/relationships/image" Target="../media/image313.png"/><Relationship Id="rId62" Type="http://schemas.openxmlformats.org/officeDocument/2006/relationships/chart" Target="../charts/chart4.xml"/><Relationship Id="rId70" Type="http://schemas.openxmlformats.org/officeDocument/2006/relationships/chart" Target="../charts/chart8.xml"/><Relationship Id="rId75" Type="http://schemas.openxmlformats.org/officeDocument/2006/relationships/image" Target="../media/image325.jpeg"/><Relationship Id="rId1" Type="http://schemas.openxmlformats.org/officeDocument/2006/relationships/image" Target="../media/image260.jpeg"/><Relationship Id="rId6"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261.png"/><Relationship Id="rId18" Type="http://schemas.openxmlformats.org/officeDocument/2006/relationships/image" Target="../media/image370.png"/><Relationship Id="rId26" Type="http://schemas.openxmlformats.org/officeDocument/2006/relationships/image" Target="../media/image378.emf"/><Relationship Id="rId39" Type="http://schemas.openxmlformats.org/officeDocument/2006/relationships/image" Target="../media/image391.png"/><Relationship Id="rId21" Type="http://schemas.openxmlformats.org/officeDocument/2006/relationships/image" Target="../media/image373.emf"/><Relationship Id="rId34" Type="http://schemas.openxmlformats.org/officeDocument/2006/relationships/image" Target="../media/image386.png"/><Relationship Id="rId42" Type="http://schemas.openxmlformats.org/officeDocument/2006/relationships/image" Target="../media/image394.png"/><Relationship Id="rId47" Type="http://schemas.openxmlformats.org/officeDocument/2006/relationships/image" Target="../media/image399.png"/><Relationship Id="rId50" Type="http://schemas.openxmlformats.org/officeDocument/2006/relationships/image" Target="../media/image402.png"/><Relationship Id="rId55" Type="http://schemas.openxmlformats.org/officeDocument/2006/relationships/image" Target="../media/image405.jpeg"/><Relationship Id="rId63" Type="http://schemas.openxmlformats.org/officeDocument/2006/relationships/image" Target="../media/image411.png"/><Relationship Id="rId7" Type="http://schemas.openxmlformats.org/officeDocument/2006/relationships/image" Target="../media/image360.jpeg"/><Relationship Id="rId2" Type="http://schemas.openxmlformats.org/officeDocument/2006/relationships/image" Target="../media/image355.png"/><Relationship Id="rId16" Type="http://schemas.openxmlformats.org/officeDocument/2006/relationships/image" Target="../media/image368.png"/><Relationship Id="rId20" Type="http://schemas.openxmlformats.org/officeDocument/2006/relationships/image" Target="../media/image372.emf"/><Relationship Id="rId29" Type="http://schemas.openxmlformats.org/officeDocument/2006/relationships/image" Target="../media/image381.png"/><Relationship Id="rId41" Type="http://schemas.openxmlformats.org/officeDocument/2006/relationships/image" Target="../media/image393.png"/><Relationship Id="rId54" Type="http://schemas.openxmlformats.org/officeDocument/2006/relationships/image" Target="../media/image263.png"/><Relationship Id="rId62" Type="http://schemas.openxmlformats.org/officeDocument/2006/relationships/image" Target="../media/image410.jpeg"/><Relationship Id="rId1" Type="http://schemas.openxmlformats.org/officeDocument/2006/relationships/image" Target="../media/image354.png"/><Relationship Id="rId6" Type="http://schemas.openxmlformats.org/officeDocument/2006/relationships/image" Target="../media/image359.jpeg"/><Relationship Id="rId11" Type="http://schemas.openxmlformats.org/officeDocument/2006/relationships/image" Target="../media/image364.png"/><Relationship Id="rId24" Type="http://schemas.openxmlformats.org/officeDocument/2006/relationships/image" Target="../media/image376.emf"/><Relationship Id="rId32" Type="http://schemas.openxmlformats.org/officeDocument/2006/relationships/image" Target="../media/image384.png"/><Relationship Id="rId37" Type="http://schemas.openxmlformats.org/officeDocument/2006/relationships/image" Target="../media/image389.png"/><Relationship Id="rId40" Type="http://schemas.openxmlformats.org/officeDocument/2006/relationships/image" Target="../media/image392.png"/><Relationship Id="rId45" Type="http://schemas.openxmlformats.org/officeDocument/2006/relationships/image" Target="../media/image397.emf"/><Relationship Id="rId53" Type="http://schemas.openxmlformats.org/officeDocument/2006/relationships/image" Target="../media/image404.png"/><Relationship Id="rId58" Type="http://schemas.openxmlformats.org/officeDocument/2006/relationships/image" Target="../media/image406.jpeg"/><Relationship Id="rId5" Type="http://schemas.openxmlformats.org/officeDocument/2006/relationships/image" Target="../media/image358.png"/><Relationship Id="rId15" Type="http://schemas.openxmlformats.org/officeDocument/2006/relationships/image" Target="../media/image367.png"/><Relationship Id="rId23" Type="http://schemas.openxmlformats.org/officeDocument/2006/relationships/image" Target="../media/image375.emf"/><Relationship Id="rId28" Type="http://schemas.openxmlformats.org/officeDocument/2006/relationships/image" Target="../media/image380.png"/><Relationship Id="rId36" Type="http://schemas.openxmlformats.org/officeDocument/2006/relationships/image" Target="../media/image388.png"/><Relationship Id="rId49" Type="http://schemas.openxmlformats.org/officeDocument/2006/relationships/image" Target="../media/image401.png"/><Relationship Id="rId57" Type="http://schemas.openxmlformats.org/officeDocument/2006/relationships/chart" Target="../charts/chart11.xml"/><Relationship Id="rId61" Type="http://schemas.openxmlformats.org/officeDocument/2006/relationships/image" Target="../media/image409.jpeg"/><Relationship Id="rId10" Type="http://schemas.openxmlformats.org/officeDocument/2006/relationships/image" Target="../media/image363.png"/><Relationship Id="rId19" Type="http://schemas.openxmlformats.org/officeDocument/2006/relationships/image" Target="../media/image371.png"/><Relationship Id="rId31" Type="http://schemas.openxmlformats.org/officeDocument/2006/relationships/image" Target="../media/image383.png"/><Relationship Id="rId44" Type="http://schemas.openxmlformats.org/officeDocument/2006/relationships/image" Target="../media/image396.png"/><Relationship Id="rId52" Type="http://schemas.openxmlformats.org/officeDocument/2006/relationships/image" Target="../media/image403.png"/><Relationship Id="rId60" Type="http://schemas.openxmlformats.org/officeDocument/2006/relationships/image" Target="../media/image408.jpeg"/><Relationship Id="rId65" Type="http://schemas.openxmlformats.org/officeDocument/2006/relationships/image" Target="../media/image262.png"/><Relationship Id="rId4" Type="http://schemas.openxmlformats.org/officeDocument/2006/relationships/image" Target="../media/image357.png"/><Relationship Id="rId9" Type="http://schemas.openxmlformats.org/officeDocument/2006/relationships/image" Target="../media/image362.jpeg"/><Relationship Id="rId14" Type="http://schemas.openxmlformats.org/officeDocument/2006/relationships/image" Target="../media/image366.png"/><Relationship Id="rId22" Type="http://schemas.openxmlformats.org/officeDocument/2006/relationships/image" Target="../media/image374.emf"/><Relationship Id="rId27" Type="http://schemas.openxmlformats.org/officeDocument/2006/relationships/image" Target="../media/image379.png"/><Relationship Id="rId30" Type="http://schemas.openxmlformats.org/officeDocument/2006/relationships/image" Target="../media/image382.png"/><Relationship Id="rId35" Type="http://schemas.openxmlformats.org/officeDocument/2006/relationships/image" Target="../media/image387.png"/><Relationship Id="rId43" Type="http://schemas.openxmlformats.org/officeDocument/2006/relationships/image" Target="../media/image395.png"/><Relationship Id="rId48" Type="http://schemas.openxmlformats.org/officeDocument/2006/relationships/image" Target="../media/image400.png"/><Relationship Id="rId56" Type="http://schemas.openxmlformats.org/officeDocument/2006/relationships/chart" Target="../charts/chart10.xml"/><Relationship Id="rId64" Type="http://schemas.openxmlformats.org/officeDocument/2006/relationships/image" Target="../media/image412.png"/><Relationship Id="rId8" Type="http://schemas.openxmlformats.org/officeDocument/2006/relationships/image" Target="../media/image361.emf"/><Relationship Id="rId51" Type="http://schemas.openxmlformats.org/officeDocument/2006/relationships/image" Target="../media/image260.jpeg"/><Relationship Id="rId3" Type="http://schemas.openxmlformats.org/officeDocument/2006/relationships/image" Target="../media/image356.jpeg"/><Relationship Id="rId12" Type="http://schemas.openxmlformats.org/officeDocument/2006/relationships/image" Target="../media/image365.png"/><Relationship Id="rId17" Type="http://schemas.openxmlformats.org/officeDocument/2006/relationships/image" Target="../media/image369.png"/><Relationship Id="rId25" Type="http://schemas.openxmlformats.org/officeDocument/2006/relationships/image" Target="../media/image377.emf"/><Relationship Id="rId33" Type="http://schemas.openxmlformats.org/officeDocument/2006/relationships/image" Target="../media/image385.png"/><Relationship Id="rId38" Type="http://schemas.openxmlformats.org/officeDocument/2006/relationships/image" Target="../media/image390.png"/><Relationship Id="rId46" Type="http://schemas.openxmlformats.org/officeDocument/2006/relationships/image" Target="../media/image398.png"/><Relationship Id="rId59" Type="http://schemas.openxmlformats.org/officeDocument/2006/relationships/image" Target="../media/image407.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22.jpeg"/><Relationship Id="rId3" Type="http://schemas.openxmlformats.org/officeDocument/2006/relationships/image" Target="../media/image417.jpeg"/><Relationship Id="rId7" Type="http://schemas.openxmlformats.org/officeDocument/2006/relationships/image" Target="../media/image421.jpeg"/><Relationship Id="rId2" Type="http://schemas.openxmlformats.org/officeDocument/2006/relationships/image" Target="../media/image416.jpeg"/><Relationship Id="rId1" Type="http://schemas.openxmlformats.org/officeDocument/2006/relationships/image" Target="../media/image415.jpeg"/><Relationship Id="rId6" Type="http://schemas.openxmlformats.org/officeDocument/2006/relationships/image" Target="../media/image420.jpeg"/><Relationship Id="rId5" Type="http://schemas.openxmlformats.org/officeDocument/2006/relationships/image" Target="../media/image419.png"/><Relationship Id="rId4" Type="http://schemas.openxmlformats.org/officeDocument/2006/relationships/image" Target="../media/image418.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430.emf"/><Relationship Id="rId13" Type="http://schemas.openxmlformats.org/officeDocument/2006/relationships/image" Target="../media/image435.png"/><Relationship Id="rId18" Type="http://schemas.openxmlformats.org/officeDocument/2006/relationships/image" Target="../media/image374.emf"/><Relationship Id="rId3" Type="http://schemas.openxmlformats.org/officeDocument/2006/relationships/image" Target="../media/image425.emf"/><Relationship Id="rId7" Type="http://schemas.openxmlformats.org/officeDocument/2006/relationships/image" Target="../media/image429.emf"/><Relationship Id="rId12" Type="http://schemas.openxmlformats.org/officeDocument/2006/relationships/image" Target="../media/image434.emf"/><Relationship Id="rId17" Type="http://schemas.openxmlformats.org/officeDocument/2006/relationships/image" Target="../media/image437.png"/><Relationship Id="rId2" Type="http://schemas.openxmlformats.org/officeDocument/2006/relationships/image" Target="../media/image424.emf"/><Relationship Id="rId16" Type="http://schemas.openxmlformats.org/officeDocument/2006/relationships/image" Target="../media/image436.png"/><Relationship Id="rId20" Type="http://schemas.openxmlformats.org/officeDocument/2006/relationships/image" Target="../media/image438.jpeg"/><Relationship Id="rId1" Type="http://schemas.openxmlformats.org/officeDocument/2006/relationships/image" Target="../media/image423.jpeg"/><Relationship Id="rId6" Type="http://schemas.openxmlformats.org/officeDocument/2006/relationships/image" Target="../media/image428.emf"/><Relationship Id="rId11" Type="http://schemas.openxmlformats.org/officeDocument/2006/relationships/image" Target="../media/image433.png"/><Relationship Id="rId5" Type="http://schemas.openxmlformats.org/officeDocument/2006/relationships/image" Target="../media/image427.emf"/><Relationship Id="rId15" Type="http://schemas.openxmlformats.org/officeDocument/2006/relationships/image" Target="../media/image417.jpeg"/><Relationship Id="rId10" Type="http://schemas.openxmlformats.org/officeDocument/2006/relationships/image" Target="../media/image432.emf"/><Relationship Id="rId19" Type="http://schemas.openxmlformats.org/officeDocument/2006/relationships/image" Target="../media/image372.emf"/><Relationship Id="rId4" Type="http://schemas.openxmlformats.org/officeDocument/2006/relationships/image" Target="../media/image426.emf"/><Relationship Id="rId9" Type="http://schemas.openxmlformats.org/officeDocument/2006/relationships/image" Target="../media/image431.emf"/><Relationship Id="rId14" Type="http://schemas.openxmlformats.org/officeDocument/2006/relationships/image" Target="../media/image415.jpeg"/></Relationships>
</file>

<file path=xl/drawings/_rels/drawing1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1" Type="http://schemas.openxmlformats.org/officeDocument/2006/relationships/image" Target="../media/image1.emf"/><Relationship Id="rId6" Type="http://schemas.openxmlformats.org/officeDocument/2006/relationships/image" Target="../media/image6.emf"/><Relationship Id="rId212" Type="http://schemas.openxmlformats.org/officeDocument/2006/relationships/image" Target="../media/image212.emf"/><Relationship Id="rId233" Type="http://schemas.openxmlformats.org/officeDocument/2006/relationships/image" Target="../media/image233.emf"/><Relationship Id="rId238" Type="http://schemas.openxmlformats.org/officeDocument/2006/relationships/image" Target="../media/image238.emf"/><Relationship Id="rId254" Type="http://schemas.openxmlformats.org/officeDocument/2006/relationships/image" Target="../media/image254.emf"/><Relationship Id="rId259" Type="http://schemas.openxmlformats.org/officeDocument/2006/relationships/image" Target="../media/image259.emf"/><Relationship Id="rId23" Type="http://schemas.openxmlformats.org/officeDocument/2006/relationships/image" Target="../media/image2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119" Type="http://schemas.openxmlformats.org/officeDocument/2006/relationships/image" Target="../media/image119.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0" Type="http://schemas.openxmlformats.org/officeDocument/2006/relationships/image" Target="../media/image130.emf"/><Relationship Id="rId135" Type="http://schemas.openxmlformats.org/officeDocument/2006/relationships/image" Target="../media/image135.emf"/><Relationship Id="rId151" Type="http://schemas.openxmlformats.org/officeDocument/2006/relationships/image" Target="../media/image151.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172" Type="http://schemas.openxmlformats.org/officeDocument/2006/relationships/image" Target="../media/image172.emf"/><Relationship Id="rId193" Type="http://schemas.openxmlformats.org/officeDocument/2006/relationships/image" Target="../media/image193.emf"/><Relationship Id="rId202" Type="http://schemas.openxmlformats.org/officeDocument/2006/relationships/image" Target="../media/image202.emf"/><Relationship Id="rId207" Type="http://schemas.openxmlformats.org/officeDocument/2006/relationships/image" Target="../media/image207.emf"/><Relationship Id="rId223" Type="http://schemas.openxmlformats.org/officeDocument/2006/relationships/image" Target="../media/image223.emf"/><Relationship Id="rId228" Type="http://schemas.openxmlformats.org/officeDocument/2006/relationships/image" Target="../media/image228.emf"/><Relationship Id="rId244" Type="http://schemas.openxmlformats.org/officeDocument/2006/relationships/image" Target="../media/image244.emf"/><Relationship Id="rId249" Type="http://schemas.openxmlformats.org/officeDocument/2006/relationships/image" Target="../media/image24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162" Type="http://schemas.openxmlformats.org/officeDocument/2006/relationships/image" Target="../media/image162.emf"/><Relationship Id="rId183" Type="http://schemas.openxmlformats.org/officeDocument/2006/relationships/image" Target="../media/image183.emf"/><Relationship Id="rId213" Type="http://schemas.openxmlformats.org/officeDocument/2006/relationships/image" Target="../media/image213.emf"/><Relationship Id="rId218" Type="http://schemas.openxmlformats.org/officeDocument/2006/relationships/image" Target="../media/image218.emf"/><Relationship Id="rId234" Type="http://schemas.openxmlformats.org/officeDocument/2006/relationships/image" Target="../media/image234.emf"/><Relationship Id="rId239" Type="http://schemas.openxmlformats.org/officeDocument/2006/relationships/image" Target="../media/image239.emf"/><Relationship Id="rId2" Type="http://schemas.openxmlformats.org/officeDocument/2006/relationships/image" Target="../media/image2.emf"/><Relationship Id="rId29" Type="http://schemas.openxmlformats.org/officeDocument/2006/relationships/image" Target="../media/image29.emf"/><Relationship Id="rId250" Type="http://schemas.openxmlformats.org/officeDocument/2006/relationships/image" Target="../media/image250.emf"/><Relationship Id="rId255" Type="http://schemas.openxmlformats.org/officeDocument/2006/relationships/image" Target="../media/image255.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199" Type="http://schemas.openxmlformats.org/officeDocument/2006/relationships/image" Target="../media/image199.emf"/><Relationship Id="rId203" Type="http://schemas.openxmlformats.org/officeDocument/2006/relationships/image" Target="../media/image203.emf"/><Relationship Id="rId208" Type="http://schemas.openxmlformats.org/officeDocument/2006/relationships/image" Target="../media/image208.emf"/><Relationship Id="rId229" Type="http://schemas.openxmlformats.org/officeDocument/2006/relationships/image" Target="../media/image229.emf"/><Relationship Id="rId19" Type="http://schemas.openxmlformats.org/officeDocument/2006/relationships/image" Target="../media/image19.emf"/><Relationship Id="rId224" Type="http://schemas.openxmlformats.org/officeDocument/2006/relationships/image" Target="../media/image224.emf"/><Relationship Id="rId240" Type="http://schemas.openxmlformats.org/officeDocument/2006/relationships/image" Target="../media/image240.emf"/><Relationship Id="rId245" Type="http://schemas.openxmlformats.org/officeDocument/2006/relationships/image" Target="../media/image245.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189" Type="http://schemas.openxmlformats.org/officeDocument/2006/relationships/image" Target="../media/image189.emf"/><Relationship Id="rId219" Type="http://schemas.openxmlformats.org/officeDocument/2006/relationships/image" Target="../media/image219.emf"/><Relationship Id="rId3" Type="http://schemas.openxmlformats.org/officeDocument/2006/relationships/image" Target="../media/image3.emf"/><Relationship Id="rId214" Type="http://schemas.openxmlformats.org/officeDocument/2006/relationships/image" Target="../media/image214.emf"/><Relationship Id="rId230" Type="http://schemas.openxmlformats.org/officeDocument/2006/relationships/image" Target="../media/image230.emf"/><Relationship Id="rId235" Type="http://schemas.openxmlformats.org/officeDocument/2006/relationships/image" Target="../media/image235.emf"/><Relationship Id="rId251" Type="http://schemas.openxmlformats.org/officeDocument/2006/relationships/image" Target="../media/image251.emf"/><Relationship Id="rId256" Type="http://schemas.openxmlformats.org/officeDocument/2006/relationships/image" Target="../media/image256.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33.emf"/><Relationship Id="rId13" Type="http://schemas.openxmlformats.org/officeDocument/2006/relationships/image" Target="../media/image338.emf"/><Relationship Id="rId18" Type="http://schemas.openxmlformats.org/officeDocument/2006/relationships/image" Target="../media/image343.emf"/><Relationship Id="rId26" Type="http://schemas.openxmlformats.org/officeDocument/2006/relationships/image" Target="../media/image351.emf"/><Relationship Id="rId3" Type="http://schemas.openxmlformats.org/officeDocument/2006/relationships/image" Target="../media/image328.emf"/><Relationship Id="rId21" Type="http://schemas.openxmlformats.org/officeDocument/2006/relationships/image" Target="../media/image346.emf"/><Relationship Id="rId7" Type="http://schemas.openxmlformats.org/officeDocument/2006/relationships/image" Target="../media/image332.emf"/><Relationship Id="rId12" Type="http://schemas.openxmlformats.org/officeDocument/2006/relationships/image" Target="../media/image337.emf"/><Relationship Id="rId17" Type="http://schemas.openxmlformats.org/officeDocument/2006/relationships/image" Target="../media/image342.emf"/><Relationship Id="rId25" Type="http://schemas.openxmlformats.org/officeDocument/2006/relationships/image" Target="../media/image350.emf"/><Relationship Id="rId2" Type="http://schemas.openxmlformats.org/officeDocument/2006/relationships/image" Target="../media/image327.emf"/><Relationship Id="rId16" Type="http://schemas.openxmlformats.org/officeDocument/2006/relationships/image" Target="../media/image341.emf"/><Relationship Id="rId20" Type="http://schemas.openxmlformats.org/officeDocument/2006/relationships/image" Target="../media/image345.emf"/><Relationship Id="rId1" Type="http://schemas.openxmlformats.org/officeDocument/2006/relationships/image" Target="../media/image326.wmf"/><Relationship Id="rId6" Type="http://schemas.openxmlformats.org/officeDocument/2006/relationships/image" Target="../media/image331.emf"/><Relationship Id="rId11" Type="http://schemas.openxmlformats.org/officeDocument/2006/relationships/image" Target="../media/image336.wmf"/><Relationship Id="rId24" Type="http://schemas.openxmlformats.org/officeDocument/2006/relationships/image" Target="../media/image349.emf"/><Relationship Id="rId5" Type="http://schemas.openxmlformats.org/officeDocument/2006/relationships/image" Target="../media/image330.emf"/><Relationship Id="rId15" Type="http://schemas.openxmlformats.org/officeDocument/2006/relationships/image" Target="../media/image340.emf"/><Relationship Id="rId23" Type="http://schemas.openxmlformats.org/officeDocument/2006/relationships/image" Target="../media/image348.emf"/><Relationship Id="rId28" Type="http://schemas.openxmlformats.org/officeDocument/2006/relationships/image" Target="../media/image353.emf"/><Relationship Id="rId10" Type="http://schemas.openxmlformats.org/officeDocument/2006/relationships/image" Target="../media/image335.wmf"/><Relationship Id="rId19" Type="http://schemas.openxmlformats.org/officeDocument/2006/relationships/image" Target="../media/image344.emf"/><Relationship Id="rId4" Type="http://schemas.openxmlformats.org/officeDocument/2006/relationships/image" Target="../media/image329.emf"/><Relationship Id="rId9" Type="http://schemas.openxmlformats.org/officeDocument/2006/relationships/image" Target="../media/image334.wmf"/><Relationship Id="rId14" Type="http://schemas.openxmlformats.org/officeDocument/2006/relationships/image" Target="../media/image339.emf"/><Relationship Id="rId22" Type="http://schemas.openxmlformats.org/officeDocument/2006/relationships/image" Target="../media/image347.emf"/><Relationship Id="rId27" Type="http://schemas.openxmlformats.org/officeDocument/2006/relationships/image" Target="../media/image352.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14.emf"/><Relationship Id="rId1" Type="http://schemas.openxmlformats.org/officeDocument/2006/relationships/image" Target="../media/image413.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39.emf"/><Relationship Id="rId1" Type="http://schemas.openxmlformats.org/officeDocument/2006/relationships/image" Target="../media/image10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208</xdr:col>
          <xdr:colOff>304800</xdr:colOff>
          <xdr:row>102</xdr:row>
          <xdr:rowOff>161925</xdr:rowOff>
        </xdr:from>
        <xdr:to>
          <xdr:col>210</xdr:col>
          <xdr:colOff>133350</xdr:colOff>
          <xdr:row>103</xdr:row>
          <xdr:rowOff>428625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171450</xdr:colOff>
          <xdr:row>106</xdr:row>
          <xdr:rowOff>171450</xdr:rowOff>
        </xdr:from>
        <xdr:to>
          <xdr:col>208</xdr:col>
          <xdr:colOff>152400</xdr:colOff>
          <xdr:row>107</xdr:row>
          <xdr:rowOff>342900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276225</xdr:colOff>
          <xdr:row>19</xdr:row>
          <xdr:rowOff>95250</xdr:rowOff>
        </xdr:from>
        <xdr:to>
          <xdr:col>93</xdr:col>
          <xdr:colOff>9525</xdr:colOff>
          <xdr:row>20</xdr:row>
          <xdr:rowOff>361950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28575</xdr:colOff>
          <xdr:row>40</xdr:row>
          <xdr:rowOff>352425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70</xdr:row>
          <xdr:rowOff>190500</xdr:rowOff>
        </xdr:from>
        <xdr:to>
          <xdr:col>99</xdr:col>
          <xdr:colOff>266700</xdr:colOff>
          <xdr:row>71</xdr:row>
          <xdr:rowOff>390525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95250</xdr:colOff>
          <xdr:row>74</xdr:row>
          <xdr:rowOff>142875</xdr:rowOff>
        </xdr:from>
        <xdr:to>
          <xdr:col>93</xdr:col>
          <xdr:colOff>209550</xdr:colOff>
          <xdr:row>75</xdr:row>
          <xdr:rowOff>371475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94</xdr:row>
          <xdr:rowOff>180975</xdr:rowOff>
        </xdr:from>
        <xdr:to>
          <xdr:col>99</xdr:col>
          <xdr:colOff>38100</xdr:colOff>
          <xdr:row>95</xdr:row>
          <xdr:rowOff>314325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304800</xdr:colOff>
          <xdr:row>98</xdr:row>
          <xdr:rowOff>161925</xdr:rowOff>
        </xdr:from>
        <xdr:to>
          <xdr:col>102</xdr:col>
          <xdr:colOff>581025</xdr:colOff>
          <xdr:row>99</xdr:row>
          <xdr:rowOff>304800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161925</xdr:colOff>
          <xdr:row>102</xdr:row>
          <xdr:rowOff>142875</xdr:rowOff>
        </xdr:from>
        <xdr:to>
          <xdr:col>103</xdr:col>
          <xdr:colOff>171450</xdr:colOff>
          <xdr:row>103</xdr:row>
          <xdr:rowOff>438150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219075</xdr:colOff>
          <xdr:row>110</xdr:row>
          <xdr:rowOff>123825</xdr:rowOff>
        </xdr:from>
        <xdr:to>
          <xdr:col>204</xdr:col>
          <xdr:colOff>104775</xdr:colOff>
          <xdr:row>111</xdr:row>
          <xdr:rowOff>295275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400050</xdr:colOff>
          <xdr:row>114</xdr:row>
          <xdr:rowOff>180975</xdr:rowOff>
        </xdr:from>
        <xdr:to>
          <xdr:col>205</xdr:col>
          <xdr:colOff>66675</xdr:colOff>
          <xdr:row>115</xdr:row>
          <xdr:rowOff>342900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304800</xdr:colOff>
          <xdr:row>19</xdr:row>
          <xdr:rowOff>342900</xdr:rowOff>
        </xdr:from>
        <xdr:to>
          <xdr:col>205</xdr:col>
          <xdr:colOff>47625</xdr:colOff>
          <xdr:row>20</xdr:row>
          <xdr:rowOff>171450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23</xdr:row>
          <xdr:rowOff>133350</xdr:rowOff>
        </xdr:from>
        <xdr:to>
          <xdr:col>204</xdr:col>
          <xdr:colOff>276225</xdr:colOff>
          <xdr:row>24</xdr:row>
          <xdr:rowOff>438150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266700</xdr:colOff>
          <xdr:row>19</xdr:row>
          <xdr:rowOff>238125</xdr:rowOff>
        </xdr:from>
        <xdr:to>
          <xdr:col>308</xdr:col>
          <xdr:colOff>133350</xdr:colOff>
          <xdr:row>20</xdr:row>
          <xdr:rowOff>304800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200025</xdr:colOff>
          <xdr:row>44</xdr:row>
          <xdr:rowOff>190500</xdr:rowOff>
        </xdr:from>
        <xdr:to>
          <xdr:col>308</xdr:col>
          <xdr:colOff>76200</xdr:colOff>
          <xdr:row>45</xdr:row>
          <xdr:rowOff>314325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238125</xdr:colOff>
          <xdr:row>63</xdr:row>
          <xdr:rowOff>85725</xdr:rowOff>
        </xdr:from>
        <xdr:to>
          <xdr:col>306</xdr:col>
          <xdr:colOff>114300</xdr:colOff>
          <xdr:row>64</xdr:row>
          <xdr:rowOff>419100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190500</xdr:colOff>
          <xdr:row>71</xdr:row>
          <xdr:rowOff>104775</xdr:rowOff>
        </xdr:from>
        <xdr:to>
          <xdr:col>308</xdr:col>
          <xdr:colOff>152400</xdr:colOff>
          <xdr:row>72</xdr:row>
          <xdr:rowOff>447675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0</xdr:colOff>
          <xdr:row>14</xdr:row>
          <xdr:rowOff>152400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200025</xdr:colOff>
          <xdr:row>37</xdr:row>
          <xdr:rowOff>361950</xdr:rowOff>
        </xdr:from>
        <xdr:to>
          <xdr:col>274</xdr:col>
          <xdr:colOff>85725</xdr:colOff>
          <xdr:row>38</xdr:row>
          <xdr:rowOff>200025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83</xdr:row>
          <xdr:rowOff>457200</xdr:rowOff>
        </xdr:from>
        <xdr:to>
          <xdr:col>277</xdr:col>
          <xdr:colOff>200025</xdr:colOff>
          <xdr:row>85</xdr:row>
          <xdr:rowOff>219075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285750</xdr:colOff>
          <xdr:row>29</xdr:row>
          <xdr:rowOff>238125</xdr:rowOff>
        </xdr:from>
        <xdr:to>
          <xdr:col>305</xdr:col>
          <xdr:colOff>76200</xdr:colOff>
          <xdr:row>30</xdr:row>
          <xdr:rowOff>123825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60</xdr:row>
          <xdr:rowOff>285750</xdr:rowOff>
        </xdr:from>
        <xdr:to>
          <xdr:col>269</xdr:col>
          <xdr:colOff>133350</xdr:colOff>
          <xdr:row>61</xdr:row>
          <xdr:rowOff>190500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238125</xdr:colOff>
          <xdr:row>71</xdr:row>
          <xdr:rowOff>371475</xdr:rowOff>
        </xdr:from>
        <xdr:to>
          <xdr:col>272</xdr:col>
          <xdr:colOff>228600</xdr:colOff>
          <xdr:row>72</xdr:row>
          <xdr:rowOff>295275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342900</xdr:colOff>
          <xdr:row>92</xdr:row>
          <xdr:rowOff>95250</xdr:rowOff>
        </xdr:from>
        <xdr:to>
          <xdr:col>307</xdr:col>
          <xdr:colOff>228600</xdr:colOff>
          <xdr:row>93</xdr:row>
          <xdr:rowOff>400050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219075</xdr:colOff>
          <xdr:row>26</xdr:row>
          <xdr:rowOff>314325</xdr:rowOff>
        </xdr:from>
        <xdr:to>
          <xdr:col>361</xdr:col>
          <xdr:colOff>0</xdr:colOff>
          <xdr:row>27</xdr:row>
          <xdr:rowOff>190500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58</xdr:row>
          <xdr:rowOff>123825</xdr:rowOff>
        </xdr:from>
        <xdr:to>
          <xdr:col>364</xdr:col>
          <xdr:colOff>28575</xdr:colOff>
          <xdr:row>59</xdr:row>
          <xdr:rowOff>352425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78</xdr:row>
          <xdr:rowOff>409575</xdr:rowOff>
        </xdr:from>
        <xdr:to>
          <xdr:col>366</xdr:col>
          <xdr:colOff>76200</xdr:colOff>
          <xdr:row>80</xdr:row>
          <xdr:rowOff>190500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xdr:col>
          <xdr:colOff>228600</xdr:colOff>
          <xdr:row>32</xdr:row>
          <xdr:rowOff>152400</xdr:rowOff>
        </xdr:from>
        <xdr:to>
          <xdr:col>152</xdr:col>
          <xdr:colOff>19050</xdr:colOff>
          <xdr:row>33</xdr:row>
          <xdr:rowOff>457200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314325</xdr:colOff>
          <xdr:row>82</xdr:row>
          <xdr:rowOff>47625</xdr:rowOff>
        </xdr:from>
        <xdr:to>
          <xdr:col>103</xdr:col>
          <xdr:colOff>0</xdr:colOff>
          <xdr:row>83</xdr:row>
          <xdr:rowOff>152400</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428625</xdr:colOff>
          <xdr:row>82</xdr:row>
          <xdr:rowOff>95250</xdr:rowOff>
        </xdr:from>
        <xdr:to>
          <xdr:col>107</xdr:col>
          <xdr:colOff>142875</xdr:colOff>
          <xdr:row>83</xdr:row>
          <xdr:rowOff>447675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238125</xdr:colOff>
          <xdr:row>179</xdr:row>
          <xdr:rowOff>200025</xdr:rowOff>
        </xdr:from>
        <xdr:to>
          <xdr:col>450</xdr:col>
          <xdr:colOff>66675</xdr:colOff>
          <xdr:row>180</xdr:row>
          <xdr:rowOff>333375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400050</xdr:colOff>
          <xdr:row>183</xdr:row>
          <xdr:rowOff>276225</xdr:rowOff>
        </xdr:from>
        <xdr:to>
          <xdr:col>452</xdr:col>
          <xdr:colOff>495300</xdr:colOff>
          <xdr:row>185</xdr:row>
          <xdr:rowOff>190500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188</xdr:row>
          <xdr:rowOff>209550</xdr:rowOff>
        </xdr:from>
        <xdr:to>
          <xdr:col>453</xdr:col>
          <xdr:colOff>552450</xdr:colOff>
          <xdr:row>189</xdr:row>
          <xdr:rowOff>276225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561975</xdr:colOff>
          <xdr:row>17</xdr:row>
          <xdr:rowOff>123825</xdr:rowOff>
        </xdr:from>
        <xdr:to>
          <xdr:col>517</xdr:col>
          <xdr:colOff>428625</xdr:colOff>
          <xdr:row>18</xdr:row>
          <xdr:rowOff>400050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371475</xdr:colOff>
          <xdr:row>21</xdr:row>
          <xdr:rowOff>95250</xdr:rowOff>
        </xdr:from>
        <xdr:to>
          <xdr:col>517</xdr:col>
          <xdr:colOff>419100</xdr:colOff>
          <xdr:row>22</xdr:row>
          <xdr:rowOff>381000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179</xdr:row>
          <xdr:rowOff>200025</xdr:rowOff>
        </xdr:from>
        <xdr:to>
          <xdr:col>897</xdr:col>
          <xdr:colOff>552450</xdr:colOff>
          <xdr:row>181</xdr:row>
          <xdr:rowOff>209550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14</xdr:row>
          <xdr:rowOff>152400</xdr:rowOff>
        </xdr:from>
        <xdr:to>
          <xdr:col>1191</xdr:col>
          <xdr:colOff>476250</xdr:colOff>
          <xdr:row>15</xdr:row>
          <xdr:rowOff>428625</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xdr:col>
          <xdr:colOff>247650</xdr:colOff>
          <xdr:row>55</xdr:row>
          <xdr:rowOff>161925</xdr:rowOff>
        </xdr:from>
        <xdr:to>
          <xdr:col>1157</xdr:col>
          <xdr:colOff>114300</xdr:colOff>
          <xdr:row>56</xdr:row>
          <xdr:rowOff>152400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56</xdr:row>
          <xdr:rowOff>314325</xdr:rowOff>
        </xdr:from>
        <xdr:to>
          <xdr:col>1191</xdr:col>
          <xdr:colOff>0</xdr:colOff>
          <xdr:row>57</xdr:row>
          <xdr:rowOff>219075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0</xdr:colOff>
          <xdr:row>82</xdr:row>
          <xdr:rowOff>257175</xdr:rowOff>
        </xdr:from>
        <xdr:to>
          <xdr:col>1197</xdr:col>
          <xdr:colOff>0</xdr:colOff>
          <xdr:row>84</xdr:row>
          <xdr:rowOff>266700</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295275</xdr:colOff>
          <xdr:row>97</xdr:row>
          <xdr:rowOff>200025</xdr:rowOff>
        </xdr:from>
        <xdr:to>
          <xdr:col>1194</xdr:col>
          <xdr:colOff>38100</xdr:colOff>
          <xdr:row>99</xdr:row>
          <xdr:rowOff>295275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457200</xdr:colOff>
          <xdr:row>116</xdr:row>
          <xdr:rowOff>66675</xdr:rowOff>
        </xdr:from>
        <xdr:to>
          <xdr:col>1205</xdr:col>
          <xdr:colOff>133350</xdr:colOff>
          <xdr:row>118</xdr:row>
          <xdr:rowOff>19050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1226</xdr:col>
          <xdr:colOff>285750</xdr:colOff>
          <xdr:row>130</xdr:row>
          <xdr:rowOff>95250</xdr:rowOff>
        </xdr:from>
        <xdr:to>
          <xdr:col>1229</xdr:col>
          <xdr:colOff>76200</xdr:colOff>
          <xdr:row>131</xdr:row>
          <xdr:rowOff>409575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400050</xdr:colOff>
          <xdr:row>61</xdr:row>
          <xdr:rowOff>238125</xdr:rowOff>
        </xdr:from>
        <xdr:to>
          <xdr:col>1199</xdr:col>
          <xdr:colOff>276225</xdr:colOff>
          <xdr:row>62</xdr:row>
          <xdr:rowOff>228600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314325</xdr:colOff>
          <xdr:row>65</xdr:row>
          <xdr:rowOff>219075</xdr:rowOff>
        </xdr:from>
        <xdr:to>
          <xdr:col>1200</xdr:col>
          <xdr:colOff>104775</xdr:colOff>
          <xdr:row>66</xdr:row>
          <xdr:rowOff>152400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266700</xdr:colOff>
          <xdr:row>142</xdr:row>
          <xdr:rowOff>390525</xdr:rowOff>
        </xdr:from>
        <xdr:to>
          <xdr:col>1196</xdr:col>
          <xdr:colOff>504825</xdr:colOff>
          <xdr:row>143</xdr:row>
          <xdr:rowOff>400050</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371475</xdr:colOff>
          <xdr:row>198</xdr:row>
          <xdr:rowOff>238125</xdr:rowOff>
        </xdr:from>
        <xdr:to>
          <xdr:col>1196</xdr:col>
          <xdr:colOff>228600</xdr:colOff>
          <xdr:row>199</xdr:row>
          <xdr:rowOff>228600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295275</xdr:colOff>
          <xdr:row>194</xdr:row>
          <xdr:rowOff>180975</xdr:rowOff>
        </xdr:from>
        <xdr:to>
          <xdr:col>1198</xdr:col>
          <xdr:colOff>219075</xdr:colOff>
          <xdr:row>195</xdr:row>
          <xdr:rowOff>171450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107</xdr:row>
          <xdr:rowOff>142875</xdr:rowOff>
        </xdr:from>
        <xdr:to>
          <xdr:col>1192</xdr:col>
          <xdr:colOff>600075</xdr:colOff>
          <xdr:row>108</xdr:row>
          <xdr:rowOff>247650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257175</xdr:colOff>
          <xdr:row>164</xdr:row>
          <xdr:rowOff>533400</xdr:rowOff>
        </xdr:from>
        <xdr:to>
          <xdr:col>1189</xdr:col>
          <xdr:colOff>495300</xdr:colOff>
          <xdr:row>166</xdr:row>
          <xdr:rowOff>419100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168</xdr:row>
          <xdr:rowOff>476250</xdr:rowOff>
        </xdr:from>
        <xdr:to>
          <xdr:col>1190</xdr:col>
          <xdr:colOff>9525</xdr:colOff>
          <xdr:row>170</xdr:row>
          <xdr:rowOff>390525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1188</xdr:col>
          <xdr:colOff>504825</xdr:colOff>
          <xdr:row>228</xdr:row>
          <xdr:rowOff>0</xdr:rowOff>
        </xdr:from>
        <xdr:to>
          <xdr:col>1190</xdr:col>
          <xdr:colOff>133350</xdr:colOff>
          <xdr:row>229</xdr:row>
          <xdr:rowOff>209550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371475</xdr:colOff>
          <xdr:row>220</xdr:row>
          <xdr:rowOff>257175</xdr:rowOff>
        </xdr:from>
        <xdr:to>
          <xdr:col>1193</xdr:col>
          <xdr:colOff>457200</xdr:colOff>
          <xdr:row>221</xdr:row>
          <xdr:rowOff>209550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102</xdr:row>
          <xdr:rowOff>171450</xdr:rowOff>
        </xdr:from>
        <xdr:to>
          <xdr:col>1192</xdr:col>
          <xdr:colOff>238125</xdr:colOff>
          <xdr:row>103</xdr:row>
          <xdr:rowOff>123825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123825</xdr:colOff>
          <xdr:row>186</xdr:row>
          <xdr:rowOff>85725</xdr:rowOff>
        </xdr:from>
        <xdr:to>
          <xdr:col>1189</xdr:col>
          <xdr:colOff>76200</xdr:colOff>
          <xdr:row>187</xdr:row>
          <xdr:rowOff>276225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152400</xdr:colOff>
          <xdr:row>177</xdr:row>
          <xdr:rowOff>28575</xdr:rowOff>
        </xdr:from>
        <xdr:to>
          <xdr:col>1207</xdr:col>
          <xdr:colOff>95250</xdr:colOff>
          <xdr:row>178</xdr:row>
          <xdr:rowOff>85725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1206</xdr:col>
          <xdr:colOff>523875</xdr:colOff>
          <xdr:row>139</xdr:row>
          <xdr:rowOff>266700</xdr:rowOff>
        </xdr:from>
        <xdr:to>
          <xdr:col>1221</xdr:col>
          <xdr:colOff>123825</xdr:colOff>
          <xdr:row>141</xdr:row>
          <xdr:rowOff>19050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152400</xdr:colOff>
          <xdr:row>118</xdr:row>
          <xdr:rowOff>361950</xdr:rowOff>
        </xdr:from>
        <xdr:to>
          <xdr:col>206</xdr:col>
          <xdr:colOff>219075</xdr:colOff>
          <xdr:row>119</xdr:row>
          <xdr:rowOff>247650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323850</xdr:colOff>
          <xdr:row>23</xdr:row>
          <xdr:rowOff>114300</xdr:rowOff>
        </xdr:from>
        <xdr:to>
          <xdr:col>93</xdr:col>
          <xdr:colOff>76200</xdr:colOff>
          <xdr:row>24</xdr:row>
          <xdr:rowOff>457200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361950</xdr:colOff>
          <xdr:row>53</xdr:row>
          <xdr:rowOff>142875</xdr:rowOff>
        </xdr:from>
        <xdr:to>
          <xdr:col>104</xdr:col>
          <xdr:colOff>0</xdr:colOff>
          <xdr:row>54</xdr:row>
          <xdr:rowOff>409575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xdr:col>
          <xdr:colOff>123825</xdr:colOff>
          <xdr:row>110</xdr:row>
          <xdr:rowOff>228600</xdr:rowOff>
        </xdr:from>
        <xdr:to>
          <xdr:col>105</xdr:col>
          <xdr:colOff>219075</xdr:colOff>
          <xdr:row>111</xdr:row>
          <xdr:rowOff>180975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161925</xdr:colOff>
          <xdr:row>86</xdr:row>
          <xdr:rowOff>238125</xdr:rowOff>
        </xdr:from>
        <xdr:to>
          <xdr:col>311</xdr:col>
          <xdr:colOff>485775</xdr:colOff>
          <xdr:row>87</xdr:row>
          <xdr:rowOff>133350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266700</xdr:colOff>
          <xdr:row>86</xdr:row>
          <xdr:rowOff>323850</xdr:rowOff>
        </xdr:from>
        <xdr:to>
          <xdr:col>725</xdr:col>
          <xdr:colOff>171450</xdr:colOff>
          <xdr:row>87</xdr:row>
          <xdr:rowOff>200025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323850</xdr:colOff>
          <xdr:row>138</xdr:row>
          <xdr:rowOff>247650</xdr:rowOff>
        </xdr:from>
        <xdr:to>
          <xdr:col>727</xdr:col>
          <xdr:colOff>171450</xdr:colOff>
          <xdr:row>140</xdr:row>
          <xdr:rowOff>228600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22</xdr:row>
          <xdr:rowOff>390525</xdr:rowOff>
        </xdr:from>
        <xdr:to>
          <xdr:col>727</xdr:col>
          <xdr:colOff>247650</xdr:colOff>
          <xdr:row>23</xdr:row>
          <xdr:rowOff>228600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152400</xdr:colOff>
          <xdr:row>24</xdr:row>
          <xdr:rowOff>247650</xdr:rowOff>
        </xdr:from>
        <xdr:to>
          <xdr:col>727</xdr:col>
          <xdr:colOff>171450</xdr:colOff>
          <xdr:row>25</xdr:row>
          <xdr:rowOff>142875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26</xdr:row>
          <xdr:rowOff>314325</xdr:rowOff>
        </xdr:from>
        <xdr:to>
          <xdr:col>727</xdr:col>
          <xdr:colOff>76200</xdr:colOff>
          <xdr:row>27</xdr:row>
          <xdr:rowOff>190500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28</xdr:row>
          <xdr:rowOff>266700</xdr:rowOff>
        </xdr:from>
        <xdr:to>
          <xdr:col>727</xdr:col>
          <xdr:colOff>247650</xdr:colOff>
          <xdr:row>29</xdr:row>
          <xdr:rowOff>133350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32</xdr:row>
          <xdr:rowOff>333375</xdr:rowOff>
        </xdr:from>
        <xdr:to>
          <xdr:col>728</xdr:col>
          <xdr:colOff>38100</xdr:colOff>
          <xdr:row>33</xdr:row>
          <xdr:rowOff>152400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34</xdr:row>
          <xdr:rowOff>390525</xdr:rowOff>
        </xdr:from>
        <xdr:to>
          <xdr:col>728</xdr:col>
          <xdr:colOff>104775</xdr:colOff>
          <xdr:row>35</xdr:row>
          <xdr:rowOff>219075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36</xdr:row>
          <xdr:rowOff>200025</xdr:rowOff>
        </xdr:from>
        <xdr:to>
          <xdr:col>727</xdr:col>
          <xdr:colOff>238125</xdr:colOff>
          <xdr:row>37</xdr:row>
          <xdr:rowOff>123825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161925</xdr:colOff>
          <xdr:row>38</xdr:row>
          <xdr:rowOff>342900</xdr:rowOff>
        </xdr:from>
        <xdr:to>
          <xdr:col>726</xdr:col>
          <xdr:colOff>219075</xdr:colOff>
          <xdr:row>39</xdr:row>
          <xdr:rowOff>161925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171450</xdr:colOff>
          <xdr:row>40</xdr:row>
          <xdr:rowOff>295275</xdr:rowOff>
        </xdr:from>
        <xdr:to>
          <xdr:col>728</xdr:col>
          <xdr:colOff>0</xdr:colOff>
          <xdr:row>41</xdr:row>
          <xdr:rowOff>114300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180975</xdr:colOff>
          <xdr:row>42</xdr:row>
          <xdr:rowOff>257175</xdr:rowOff>
        </xdr:from>
        <xdr:to>
          <xdr:col>727</xdr:col>
          <xdr:colOff>514350</xdr:colOff>
          <xdr:row>43</xdr:row>
          <xdr:rowOff>76200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133350</xdr:colOff>
          <xdr:row>44</xdr:row>
          <xdr:rowOff>342900</xdr:rowOff>
        </xdr:from>
        <xdr:to>
          <xdr:col>727</xdr:col>
          <xdr:colOff>219075</xdr:colOff>
          <xdr:row>45</xdr:row>
          <xdr:rowOff>123825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50</xdr:row>
          <xdr:rowOff>409575</xdr:rowOff>
        </xdr:from>
        <xdr:to>
          <xdr:col>727</xdr:col>
          <xdr:colOff>323850</xdr:colOff>
          <xdr:row>51</xdr:row>
          <xdr:rowOff>266700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54</xdr:row>
          <xdr:rowOff>400050</xdr:rowOff>
        </xdr:from>
        <xdr:to>
          <xdr:col>727</xdr:col>
          <xdr:colOff>342900</xdr:colOff>
          <xdr:row>55</xdr:row>
          <xdr:rowOff>247650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56</xdr:row>
          <xdr:rowOff>438150</xdr:rowOff>
        </xdr:from>
        <xdr:to>
          <xdr:col>727</xdr:col>
          <xdr:colOff>323850</xdr:colOff>
          <xdr:row>57</xdr:row>
          <xdr:rowOff>247650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20</xdr:row>
          <xdr:rowOff>352425</xdr:rowOff>
        </xdr:from>
        <xdr:to>
          <xdr:col>727</xdr:col>
          <xdr:colOff>371475</xdr:colOff>
          <xdr:row>21</xdr:row>
          <xdr:rowOff>219075</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30</xdr:row>
          <xdr:rowOff>361950</xdr:rowOff>
        </xdr:from>
        <xdr:to>
          <xdr:col>727</xdr:col>
          <xdr:colOff>76200</xdr:colOff>
          <xdr:row>31</xdr:row>
          <xdr:rowOff>152400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48</xdr:row>
          <xdr:rowOff>180975</xdr:rowOff>
        </xdr:from>
        <xdr:to>
          <xdr:col>728</xdr:col>
          <xdr:colOff>19050</xdr:colOff>
          <xdr:row>49</xdr:row>
          <xdr:rowOff>428625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409575</xdr:colOff>
          <xdr:row>86</xdr:row>
          <xdr:rowOff>314325</xdr:rowOff>
        </xdr:from>
        <xdr:to>
          <xdr:col>1191</xdr:col>
          <xdr:colOff>381000</xdr:colOff>
          <xdr:row>88</xdr:row>
          <xdr:rowOff>142875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28575</xdr:colOff>
          <xdr:row>238</xdr:row>
          <xdr:rowOff>47625</xdr:rowOff>
        </xdr:from>
        <xdr:to>
          <xdr:col>1189</xdr:col>
          <xdr:colOff>0</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1194</xdr:col>
          <xdr:colOff>66675</xdr:colOff>
          <xdr:row>231</xdr:row>
          <xdr:rowOff>314325</xdr:rowOff>
        </xdr:from>
        <xdr:to>
          <xdr:col>1195</xdr:col>
          <xdr:colOff>19050</xdr:colOff>
          <xdr:row>232</xdr:row>
          <xdr:rowOff>323850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133350</xdr:colOff>
          <xdr:row>232</xdr:row>
          <xdr:rowOff>219075</xdr:rowOff>
        </xdr:from>
        <xdr:to>
          <xdr:col>1193</xdr:col>
          <xdr:colOff>0</xdr:colOff>
          <xdr:row>233</xdr:row>
          <xdr:rowOff>190500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333375</xdr:colOff>
          <xdr:row>125</xdr:row>
          <xdr:rowOff>66675</xdr:rowOff>
        </xdr:from>
        <xdr:to>
          <xdr:col>1198</xdr:col>
          <xdr:colOff>571500</xdr:colOff>
          <xdr:row>126</xdr:row>
          <xdr:rowOff>428625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123825</xdr:colOff>
          <xdr:row>129</xdr:row>
          <xdr:rowOff>95250</xdr:rowOff>
        </xdr:from>
        <xdr:to>
          <xdr:col>1196</xdr:col>
          <xdr:colOff>0</xdr:colOff>
          <xdr:row>130</xdr:row>
          <xdr:rowOff>390525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438150</xdr:colOff>
          <xdr:row>18</xdr:row>
          <xdr:rowOff>419100</xdr:rowOff>
        </xdr:from>
        <xdr:to>
          <xdr:col>725</xdr:col>
          <xdr:colOff>123825</xdr:colOff>
          <xdr:row>19</xdr:row>
          <xdr:rowOff>209550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581025</xdr:colOff>
          <xdr:row>22</xdr:row>
          <xdr:rowOff>476250</xdr:rowOff>
        </xdr:from>
        <xdr:to>
          <xdr:col>592</xdr:col>
          <xdr:colOff>276225</xdr:colOff>
          <xdr:row>23</xdr:row>
          <xdr:rowOff>295275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257175</xdr:colOff>
          <xdr:row>36</xdr:row>
          <xdr:rowOff>428625</xdr:rowOff>
        </xdr:from>
        <xdr:to>
          <xdr:col>592</xdr:col>
          <xdr:colOff>285750</xdr:colOff>
          <xdr:row>37</xdr:row>
          <xdr:rowOff>238125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38</xdr:row>
          <xdr:rowOff>419100</xdr:rowOff>
        </xdr:from>
        <xdr:to>
          <xdr:col>592</xdr:col>
          <xdr:colOff>581025</xdr:colOff>
          <xdr:row>39</xdr:row>
          <xdr:rowOff>209550</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552450</xdr:colOff>
          <xdr:row>40</xdr:row>
          <xdr:rowOff>323850</xdr:rowOff>
        </xdr:from>
        <xdr:to>
          <xdr:col>592</xdr:col>
          <xdr:colOff>523875</xdr:colOff>
          <xdr:row>41</xdr:row>
          <xdr:rowOff>114300</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504825</xdr:colOff>
          <xdr:row>42</xdr:row>
          <xdr:rowOff>438150</xdr:rowOff>
        </xdr:from>
        <xdr:to>
          <xdr:col>592</xdr:col>
          <xdr:colOff>504825</xdr:colOff>
          <xdr:row>43</xdr:row>
          <xdr:rowOff>228600</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xdr:twoCellAnchor>
    <xdr:from>
      <xdr:col>171</xdr:col>
      <xdr:colOff>598778</xdr:colOff>
      <xdr:row>89</xdr:row>
      <xdr:rowOff>244616</xdr:rowOff>
    </xdr:from>
    <xdr:to>
      <xdr:col>185</xdr:col>
      <xdr:colOff>380570</xdr:colOff>
      <xdr:row>102</xdr:row>
      <xdr:rowOff>491400</xdr:rowOff>
    </xdr:to>
    <xdr:pic>
      <xdr:nvPicPr>
        <xdr:cNvPr id="304" name="Рисунок 303" descr="9,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756903" y="55346741"/>
          <a:ext cx="9783042" cy="829540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149</xdr:col>
          <xdr:colOff>161925</xdr:colOff>
          <xdr:row>75</xdr:row>
          <xdr:rowOff>323850</xdr:rowOff>
        </xdr:from>
        <xdr:to>
          <xdr:col>153</xdr:col>
          <xdr:colOff>57150</xdr:colOff>
          <xdr:row>76</xdr:row>
          <xdr:rowOff>209550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79</xdr:row>
          <xdr:rowOff>361950</xdr:rowOff>
        </xdr:from>
        <xdr:to>
          <xdr:col>157</xdr:col>
          <xdr:colOff>123825</xdr:colOff>
          <xdr:row>80</xdr:row>
          <xdr:rowOff>219075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361950</xdr:colOff>
          <xdr:row>126</xdr:row>
          <xdr:rowOff>104775</xdr:rowOff>
        </xdr:from>
        <xdr:to>
          <xdr:col>204</xdr:col>
          <xdr:colOff>304800</xdr:colOff>
          <xdr:row>127</xdr:row>
          <xdr:rowOff>352425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209550</xdr:colOff>
          <xdr:row>75</xdr:row>
          <xdr:rowOff>257175</xdr:rowOff>
        </xdr:from>
        <xdr:to>
          <xdr:col>310</xdr:col>
          <xdr:colOff>0</xdr:colOff>
          <xdr:row>77</xdr:row>
          <xdr:rowOff>342900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485775</xdr:colOff>
          <xdr:row>31</xdr:row>
          <xdr:rowOff>95250</xdr:rowOff>
        </xdr:from>
        <xdr:to>
          <xdr:col>273</xdr:col>
          <xdr:colOff>552450</xdr:colOff>
          <xdr:row>32</xdr:row>
          <xdr:rowOff>438150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209550</xdr:colOff>
          <xdr:row>22</xdr:row>
          <xdr:rowOff>333375</xdr:rowOff>
        </xdr:from>
        <xdr:to>
          <xdr:col>276</xdr:col>
          <xdr:colOff>95250</xdr:colOff>
          <xdr:row>24</xdr:row>
          <xdr:rowOff>247650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381000</xdr:colOff>
          <xdr:row>52</xdr:row>
          <xdr:rowOff>342900</xdr:rowOff>
        </xdr:from>
        <xdr:to>
          <xdr:col>309</xdr:col>
          <xdr:colOff>514350</xdr:colOff>
          <xdr:row>54</xdr:row>
          <xdr:rowOff>57150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238125</xdr:colOff>
          <xdr:row>15</xdr:row>
          <xdr:rowOff>247650</xdr:rowOff>
        </xdr:from>
        <xdr:to>
          <xdr:col>308</xdr:col>
          <xdr:colOff>190500</xdr:colOff>
          <xdr:row>16</xdr:row>
          <xdr:rowOff>314325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27</xdr:row>
          <xdr:rowOff>123825</xdr:rowOff>
        </xdr:from>
        <xdr:to>
          <xdr:col>277</xdr:col>
          <xdr:colOff>47625</xdr:colOff>
          <xdr:row>28</xdr:row>
          <xdr:rowOff>400050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66</xdr:row>
          <xdr:rowOff>209550</xdr:rowOff>
        </xdr:from>
        <xdr:to>
          <xdr:col>156</xdr:col>
          <xdr:colOff>438150</xdr:colOff>
          <xdr:row>67</xdr:row>
          <xdr:rowOff>390525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39</xdr:row>
          <xdr:rowOff>142875</xdr:rowOff>
        </xdr:from>
        <xdr:to>
          <xdr:col>212</xdr:col>
          <xdr:colOff>152400</xdr:colOff>
          <xdr:row>40</xdr:row>
          <xdr:rowOff>314325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314325</xdr:colOff>
          <xdr:row>35</xdr:row>
          <xdr:rowOff>228600</xdr:rowOff>
        </xdr:from>
        <xdr:to>
          <xdr:col>210</xdr:col>
          <xdr:colOff>0</xdr:colOff>
          <xdr:row>36</xdr:row>
          <xdr:rowOff>161925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142875</xdr:colOff>
          <xdr:row>48</xdr:row>
          <xdr:rowOff>209550</xdr:rowOff>
        </xdr:from>
        <xdr:to>
          <xdr:col>310</xdr:col>
          <xdr:colOff>571500</xdr:colOff>
          <xdr:row>49</xdr:row>
          <xdr:rowOff>180975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68</xdr:row>
          <xdr:rowOff>152400</xdr:rowOff>
        </xdr:from>
        <xdr:to>
          <xdr:col>213</xdr:col>
          <xdr:colOff>533400</xdr:colOff>
          <xdr:row>69</xdr:row>
          <xdr:rowOff>457200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77</xdr:row>
          <xdr:rowOff>238125</xdr:rowOff>
        </xdr:from>
        <xdr:to>
          <xdr:col>213</xdr:col>
          <xdr:colOff>514350</xdr:colOff>
          <xdr:row>80</xdr:row>
          <xdr:rowOff>190500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219075</xdr:colOff>
          <xdr:row>48</xdr:row>
          <xdr:rowOff>285750</xdr:rowOff>
        </xdr:from>
        <xdr:to>
          <xdr:col>155</xdr:col>
          <xdr:colOff>381000</xdr:colOff>
          <xdr:row>50</xdr:row>
          <xdr:rowOff>209550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285750</xdr:colOff>
          <xdr:row>83</xdr:row>
          <xdr:rowOff>257175</xdr:rowOff>
        </xdr:from>
        <xdr:to>
          <xdr:col>155</xdr:col>
          <xdr:colOff>28575</xdr:colOff>
          <xdr:row>84</xdr:row>
          <xdr:rowOff>190500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87</xdr:row>
          <xdr:rowOff>190500</xdr:rowOff>
        </xdr:from>
        <xdr:to>
          <xdr:col>159</xdr:col>
          <xdr:colOff>495300</xdr:colOff>
          <xdr:row>88</xdr:row>
          <xdr:rowOff>438150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247650</xdr:colOff>
          <xdr:row>130</xdr:row>
          <xdr:rowOff>342900</xdr:rowOff>
        </xdr:from>
        <xdr:to>
          <xdr:col>206</xdr:col>
          <xdr:colOff>0</xdr:colOff>
          <xdr:row>131</xdr:row>
          <xdr:rowOff>171450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212</xdr:col>
          <xdr:colOff>342900</xdr:colOff>
          <xdr:row>88</xdr:row>
          <xdr:rowOff>361950</xdr:rowOff>
        </xdr:from>
        <xdr:to>
          <xdr:col>223</xdr:col>
          <xdr:colOff>28575</xdr:colOff>
          <xdr:row>90</xdr:row>
          <xdr:rowOff>133350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97</xdr:row>
          <xdr:rowOff>447675</xdr:rowOff>
        </xdr:from>
        <xdr:to>
          <xdr:col>220</xdr:col>
          <xdr:colOff>600075</xdr:colOff>
          <xdr:row>99</xdr:row>
          <xdr:rowOff>114300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72</xdr:row>
          <xdr:rowOff>352425</xdr:rowOff>
        </xdr:from>
        <xdr:to>
          <xdr:col>221</xdr:col>
          <xdr:colOff>152400</xdr:colOff>
          <xdr:row>74</xdr:row>
          <xdr:rowOff>180975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122</xdr:row>
          <xdr:rowOff>238125</xdr:rowOff>
        </xdr:from>
        <xdr:to>
          <xdr:col>206</xdr:col>
          <xdr:colOff>47625</xdr:colOff>
          <xdr:row>123</xdr:row>
          <xdr:rowOff>180975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38100</xdr:colOff>
          <xdr:row>29</xdr:row>
          <xdr:rowOff>19050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83</xdr:row>
          <xdr:rowOff>352425</xdr:rowOff>
        </xdr:from>
        <xdr:to>
          <xdr:col>214</xdr:col>
          <xdr:colOff>114300</xdr:colOff>
          <xdr:row>85</xdr:row>
          <xdr:rowOff>152400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295275</xdr:colOff>
          <xdr:row>33</xdr:row>
          <xdr:rowOff>419100</xdr:rowOff>
        </xdr:from>
        <xdr:to>
          <xdr:col>306</xdr:col>
          <xdr:colOff>95250</xdr:colOff>
          <xdr:row>35</xdr:row>
          <xdr:rowOff>142875</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419100</xdr:colOff>
          <xdr:row>27</xdr:row>
          <xdr:rowOff>238125</xdr:rowOff>
        </xdr:from>
        <xdr:to>
          <xdr:col>206</xdr:col>
          <xdr:colOff>0</xdr:colOff>
          <xdr:row>28</xdr:row>
          <xdr:rowOff>247650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333375</xdr:colOff>
          <xdr:row>66</xdr:row>
          <xdr:rowOff>381000</xdr:rowOff>
        </xdr:from>
        <xdr:to>
          <xdr:col>274</xdr:col>
          <xdr:colOff>38100</xdr:colOff>
          <xdr:row>68</xdr:row>
          <xdr:rowOff>133350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xdr:col>
          <xdr:colOff>333375</xdr:colOff>
          <xdr:row>106</xdr:row>
          <xdr:rowOff>95250</xdr:rowOff>
        </xdr:from>
        <xdr:to>
          <xdr:col>108</xdr:col>
          <xdr:colOff>142875</xdr:colOff>
          <xdr:row>107</xdr:row>
          <xdr:rowOff>428625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209550</xdr:colOff>
          <xdr:row>78</xdr:row>
          <xdr:rowOff>333375</xdr:rowOff>
        </xdr:from>
        <xdr:to>
          <xdr:col>97</xdr:col>
          <xdr:colOff>85725</xdr:colOff>
          <xdr:row>79</xdr:row>
          <xdr:rowOff>209550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90</xdr:row>
          <xdr:rowOff>171450</xdr:rowOff>
        </xdr:from>
        <xdr:to>
          <xdr:col>101</xdr:col>
          <xdr:colOff>133350</xdr:colOff>
          <xdr:row>91</xdr:row>
          <xdr:rowOff>409575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333375</xdr:colOff>
          <xdr:row>98</xdr:row>
          <xdr:rowOff>123825</xdr:rowOff>
        </xdr:from>
        <xdr:to>
          <xdr:col>309</xdr:col>
          <xdr:colOff>9525</xdr:colOff>
          <xdr:row>99</xdr:row>
          <xdr:rowOff>333375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24</xdr:row>
          <xdr:rowOff>381000</xdr:rowOff>
        </xdr:from>
        <xdr:to>
          <xdr:col>592</xdr:col>
          <xdr:colOff>400050</xdr:colOff>
          <xdr:row>25</xdr:row>
          <xdr:rowOff>219075</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30</xdr:row>
          <xdr:rowOff>333375</xdr:rowOff>
        </xdr:from>
        <xdr:to>
          <xdr:col>365</xdr:col>
          <xdr:colOff>0</xdr:colOff>
          <xdr:row>31</xdr:row>
          <xdr:rowOff>190500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228600</xdr:colOff>
          <xdr:row>34</xdr:row>
          <xdr:rowOff>381000</xdr:rowOff>
        </xdr:from>
        <xdr:to>
          <xdr:col>365</xdr:col>
          <xdr:colOff>38100</xdr:colOff>
          <xdr:row>35</xdr:row>
          <xdr:rowOff>228600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52</xdr:row>
          <xdr:rowOff>47625</xdr:rowOff>
        </xdr:from>
        <xdr:to>
          <xdr:col>364</xdr:col>
          <xdr:colOff>66675</xdr:colOff>
          <xdr:row>53</xdr:row>
          <xdr:rowOff>371475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219075</xdr:colOff>
          <xdr:row>22</xdr:row>
          <xdr:rowOff>123825</xdr:rowOff>
        </xdr:from>
        <xdr:to>
          <xdr:col>363</xdr:col>
          <xdr:colOff>228600</xdr:colOff>
          <xdr:row>23</xdr:row>
          <xdr:rowOff>352425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123825</xdr:colOff>
          <xdr:row>68</xdr:row>
          <xdr:rowOff>123825</xdr:rowOff>
        </xdr:from>
        <xdr:to>
          <xdr:col>364</xdr:col>
          <xdr:colOff>238125</xdr:colOff>
          <xdr:row>69</xdr:row>
          <xdr:rowOff>438150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200025</xdr:colOff>
          <xdr:row>85</xdr:row>
          <xdr:rowOff>114300</xdr:rowOff>
        </xdr:from>
        <xdr:to>
          <xdr:col>366</xdr:col>
          <xdr:colOff>47625</xdr:colOff>
          <xdr:row>86</xdr:row>
          <xdr:rowOff>428625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91</xdr:row>
          <xdr:rowOff>161925</xdr:rowOff>
        </xdr:from>
        <xdr:to>
          <xdr:col>365</xdr:col>
          <xdr:colOff>0</xdr:colOff>
          <xdr:row>92</xdr:row>
          <xdr:rowOff>400050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349</xdr:col>
          <xdr:colOff>361950</xdr:colOff>
          <xdr:row>100</xdr:row>
          <xdr:rowOff>104775</xdr:rowOff>
        </xdr:from>
        <xdr:to>
          <xdr:col>357</xdr:col>
          <xdr:colOff>552450</xdr:colOff>
          <xdr:row>101</xdr:row>
          <xdr:rowOff>400050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403</xdr:col>
          <xdr:colOff>209550</xdr:colOff>
          <xdr:row>122</xdr:row>
          <xdr:rowOff>304800</xdr:rowOff>
        </xdr:from>
        <xdr:to>
          <xdr:col>408</xdr:col>
          <xdr:colOff>85725</xdr:colOff>
          <xdr:row>123</xdr:row>
          <xdr:rowOff>285750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42</xdr:row>
          <xdr:rowOff>142875</xdr:rowOff>
        </xdr:from>
        <xdr:to>
          <xdr:col>366</xdr:col>
          <xdr:colOff>0</xdr:colOff>
          <xdr:row>43</xdr:row>
          <xdr:rowOff>419100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366</xdr:col>
          <xdr:colOff>161925</xdr:colOff>
          <xdr:row>122</xdr:row>
          <xdr:rowOff>238125</xdr:rowOff>
        </xdr:from>
        <xdr:to>
          <xdr:col>371</xdr:col>
          <xdr:colOff>561975</xdr:colOff>
          <xdr:row>123</xdr:row>
          <xdr:rowOff>190500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377</xdr:col>
          <xdr:colOff>0</xdr:colOff>
          <xdr:row>128</xdr:row>
          <xdr:rowOff>295275</xdr:rowOff>
        </xdr:from>
        <xdr:to>
          <xdr:col>381</xdr:col>
          <xdr:colOff>561975</xdr:colOff>
          <xdr:row>129</xdr:row>
          <xdr:rowOff>142875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136</xdr:row>
          <xdr:rowOff>285750</xdr:rowOff>
        </xdr:from>
        <xdr:to>
          <xdr:col>371</xdr:col>
          <xdr:colOff>295275</xdr:colOff>
          <xdr:row>138</xdr:row>
          <xdr:rowOff>257175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295275</xdr:colOff>
          <xdr:row>228</xdr:row>
          <xdr:rowOff>352425</xdr:rowOff>
        </xdr:from>
        <xdr:to>
          <xdr:col>363</xdr:col>
          <xdr:colOff>466725</xdr:colOff>
          <xdr:row>230</xdr:row>
          <xdr:rowOff>342900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215</xdr:row>
          <xdr:rowOff>352425</xdr:rowOff>
        </xdr:from>
        <xdr:to>
          <xdr:col>364</xdr:col>
          <xdr:colOff>571500</xdr:colOff>
          <xdr:row>217</xdr:row>
          <xdr:rowOff>180975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141</xdr:row>
          <xdr:rowOff>381000</xdr:rowOff>
        </xdr:from>
        <xdr:to>
          <xdr:col>366</xdr:col>
          <xdr:colOff>552450</xdr:colOff>
          <xdr:row>143</xdr:row>
          <xdr:rowOff>266700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304800</xdr:colOff>
          <xdr:row>240</xdr:row>
          <xdr:rowOff>285750</xdr:rowOff>
        </xdr:from>
        <xdr:to>
          <xdr:col>365</xdr:col>
          <xdr:colOff>361950</xdr:colOff>
          <xdr:row>242</xdr:row>
          <xdr:rowOff>266700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365</xdr:col>
          <xdr:colOff>209550</xdr:colOff>
          <xdr:row>150</xdr:row>
          <xdr:rowOff>314325</xdr:rowOff>
        </xdr:from>
        <xdr:to>
          <xdr:col>374</xdr:col>
          <xdr:colOff>447675</xdr:colOff>
          <xdr:row>152</xdr:row>
          <xdr:rowOff>200025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209550</xdr:colOff>
          <xdr:row>199</xdr:row>
          <xdr:rowOff>238125</xdr:rowOff>
        </xdr:from>
        <xdr:to>
          <xdr:col>361</xdr:col>
          <xdr:colOff>371475</xdr:colOff>
          <xdr:row>200</xdr:row>
          <xdr:rowOff>342900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150</xdr:col>
          <xdr:colOff>295275</xdr:colOff>
          <xdr:row>70</xdr:row>
          <xdr:rowOff>238125</xdr:rowOff>
        </xdr:from>
        <xdr:to>
          <xdr:col>161</xdr:col>
          <xdr:colOff>257175</xdr:colOff>
          <xdr:row>72</xdr:row>
          <xdr:rowOff>238125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219075</xdr:colOff>
          <xdr:row>47</xdr:row>
          <xdr:rowOff>257175</xdr:rowOff>
        </xdr:from>
        <xdr:to>
          <xdr:col>206</xdr:col>
          <xdr:colOff>171450</xdr:colOff>
          <xdr:row>49</xdr:row>
          <xdr:rowOff>200025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233</xdr:row>
          <xdr:rowOff>238125</xdr:rowOff>
        </xdr:from>
        <xdr:to>
          <xdr:col>368</xdr:col>
          <xdr:colOff>571500</xdr:colOff>
          <xdr:row>235</xdr:row>
          <xdr:rowOff>200025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306</xdr:col>
          <xdr:colOff>228600</xdr:colOff>
          <xdr:row>104</xdr:row>
          <xdr:rowOff>504825</xdr:rowOff>
        </xdr:from>
        <xdr:to>
          <xdr:col>309</xdr:col>
          <xdr:colOff>38100</xdr:colOff>
          <xdr:row>106</xdr:row>
          <xdr:rowOff>257175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285750</xdr:colOff>
          <xdr:row>42</xdr:row>
          <xdr:rowOff>314325</xdr:rowOff>
        </xdr:from>
        <xdr:to>
          <xdr:col>521</xdr:col>
          <xdr:colOff>19050</xdr:colOff>
          <xdr:row>43</xdr:row>
          <xdr:rowOff>219075</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238125</xdr:colOff>
          <xdr:row>156</xdr:row>
          <xdr:rowOff>266700</xdr:rowOff>
        </xdr:from>
        <xdr:to>
          <xdr:col>374</xdr:col>
          <xdr:colOff>295275</xdr:colOff>
          <xdr:row>158</xdr:row>
          <xdr:rowOff>247650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400050</xdr:colOff>
          <xdr:row>61</xdr:row>
          <xdr:rowOff>142875</xdr:rowOff>
        </xdr:from>
        <xdr:to>
          <xdr:col>895</xdr:col>
          <xdr:colOff>133350</xdr:colOff>
          <xdr:row>62</xdr:row>
          <xdr:rowOff>390525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890</xdr:col>
          <xdr:colOff>352425</xdr:colOff>
          <xdr:row>66</xdr:row>
          <xdr:rowOff>142875</xdr:rowOff>
        </xdr:from>
        <xdr:to>
          <xdr:col>892</xdr:col>
          <xdr:colOff>85725</xdr:colOff>
          <xdr:row>67</xdr:row>
          <xdr:rowOff>390525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164</xdr:col>
          <xdr:colOff>85725</xdr:colOff>
          <xdr:row>63</xdr:row>
          <xdr:rowOff>9525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257175</xdr:colOff>
          <xdr:row>313</xdr:row>
          <xdr:rowOff>257175</xdr:rowOff>
        </xdr:from>
        <xdr:to>
          <xdr:col>900</xdr:col>
          <xdr:colOff>38100</xdr:colOff>
          <xdr:row>314</xdr:row>
          <xdr:rowOff>219075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309</xdr:row>
          <xdr:rowOff>333375</xdr:rowOff>
        </xdr:from>
        <xdr:to>
          <xdr:col>899</xdr:col>
          <xdr:colOff>0</xdr:colOff>
          <xdr:row>310</xdr:row>
          <xdr:rowOff>323850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304</xdr:row>
          <xdr:rowOff>238125</xdr:rowOff>
        </xdr:from>
        <xdr:to>
          <xdr:col>898</xdr:col>
          <xdr:colOff>476250</xdr:colOff>
          <xdr:row>306</xdr:row>
          <xdr:rowOff>257175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293</xdr:row>
          <xdr:rowOff>152400</xdr:rowOff>
        </xdr:from>
        <xdr:to>
          <xdr:col>893</xdr:col>
          <xdr:colOff>114300</xdr:colOff>
          <xdr:row>294</xdr:row>
          <xdr:rowOff>447675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190500</xdr:colOff>
          <xdr:row>99</xdr:row>
          <xdr:rowOff>228600</xdr:rowOff>
        </xdr:from>
        <xdr:to>
          <xdr:col>898</xdr:col>
          <xdr:colOff>9525</xdr:colOff>
          <xdr:row>100</xdr:row>
          <xdr:rowOff>219075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200025</xdr:colOff>
          <xdr:row>108</xdr:row>
          <xdr:rowOff>285750</xdr:rowOff>
        </xdr:from>
        <xdr:to>
          <xdr:col>899</xdr:col>
          <xdr:colOff>0</xdr:colOff>
          <xdr:row>109</xdr:row>
          <xdr:rowOff>266700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114</xdr:row>
          <xdr:rowOff>342900</xdr:rowOff>
        </xdr:from>
        <xdr:to>
          <xdr:col>897</xdr:col>
          <xdr:colOff>28575</xdr:colOff>
          <xdr:row>116</xdr:row>
          <xdr:rowOff>152400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304800</xdr:colOff>
          <xdr:row>118</xdr:row>
          <xdr:rowOff>304800</xdr:rowOff>
        </xdr:from>
        <xdr:to>
          <xdr:col>729</xdr:col>
          <xdr:colOff>542925</xdr:colOff>
          <xdr:row>119</xdr:row>
          <xdr:rowOff>304800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247650</xdr:colOff>
          <xdr:row>125</xdr:row>
          <xdr:rowOff>257175</xdr:rowOff>
        </xdr:from>
        <xdr:to>
          <xdr:col>730</xdr:col>
          <xdr:colOff>38100</xdr:colOff>
          <xdr:row>127</xdr:row>
          <xdr:rowOff>238125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257175</xdr:colOff>
          <xdr:row>325</xdr:row>
          <xdr:rowOff>295275</xdr:rowOff>
        </xdr:from>
        <xdr:to>
          <xdr:col>896</xdr:col>
          <xdr:colOff>95250</xdr:colOff>
          <xdr:row>327</xdr:row>
          <xdr:rowOff>152400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320</xdr:row>
          <xdr:rowOff>276225</xdr:rowOff>
        </xdr:from>
        <xdr:to>
          <xdr:col>898</xdr:col>
          <xdr:colOff>0</xdr:colOff>
          <xdr:row>322</xdr:row>
          <xdr:rowOff>219075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552450</xdr:colOff>
          <xdr:row>232</xdr:row>
          <xdr:rowOff>238125</xdr:rowOff>
        </xdr:from>
        <xdr:to>
          <xdr:col>898</xdr:col>
          <xdr:colOff>333375</xdr:colOff>
          <xdr:row>233</xdr:row>
          <xdr:rowOff>190500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747</xdr:col>
      <xdr:colOff>461096</xdr:colOff>
      <xdr:row>84</xdr:row>
      <xdr:rowOff>424296</xdr:rowOff>
    </xdr:from>
    <xdr:to>
      <xdr:col>760</xdr:col>
      <xdr:colOff>452437</xdr:colOff>
      <xdr:row>103</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750</xdr:col>
      <xdr:colOff>333374</xdr:colOff>
      <xdr:row>106</xdr:row>
      <xdr:rowOff>313894</xdr:rowOff>
    </xdr:from>
    <xdr:to>
      <xdr:col>761</xdr:col>
      <xdr:colOff>65464</xdr:colOff>
      <xdr:row>114</xdr:row>
      <xdr:rowOff>452439</xdr:rowOff>
    </xdr:to>
    <xdr:pic>
      <xdr:nvPicPr>
        <xdr:cNvPr id="302" name="Рисунок 301" descr="Рисунок_2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0496124" y="87610519"/>
          <a:ext cx="6542465" cy="5091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722</xdr:col>
          <xdr:colOff>228600</xdr:colOff>
          <xdr:row>141</xdr:row>
          <xdr:rowOff>200025</xdr:rowOff>
        </xdr:from>
        <xdr:to>
          <xdr:col>730</xdr:col>
          <xdr:colOff>123825</xdr:colOff>
          <xdr:row>143</xdr:row>
          <xdr:rowOff>352425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381000</xdr:colOff>
          <xdr:row>191</xdr:row>
          <xdr:rowOff>342900</xdr:rowOff>
        </xdr:from>
        <xdr:to>
          <xdr:col>898</xdr:col>
          <xdr:colOff>76200</xdr:colOff>
          <xdr:row>192</xdr:row>
          <xdr:rowOff>314325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533400</xdr:colOff>
          <xdr:row>174</xdr:row>
          <xdr:rowOff>209550</xdr:rowOff>
        </xdr:from>
        <xdr:to>
          <xdr:col>897</xdr:col>
          <xdr:colOff>419100</xdr:colOff>
          <xdr:row>176</xdr:row>
          <xdr:rowOff>219075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79</xdr:row>
          <xdr:rowOff>381000</xdr:rowOff>
        </xdr:from>
        <xdr:to>
          <xdr:col>728</xdr:col>
          <xdr:colOff>142875</xdr:colOff>
          <xdr:row>80</xdr:row>
          <xdr:rowOff>381000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276225</xdr:colOff>
          <xdr:row>95</xdr:row>
          <xdr:rowOff>295275</xdr:rowOff>
        </xdr:from>
        <xdr:to>
          <xdr:col>726</xdr:col>
          <xdr:colOff>0</xdr:colOff>
          <xdr:row>96</xdr:row>
          <xdr:rowOff>219075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751</xdr:col>
      <xdr:colOff>311727</xdr:colOff>
      <xdr:row>117</xdr:row>
      <xdr:rowOff>242455</xdr:rowOff>
    </xdr:from>
    <xdr:to>
      <xdr:col>761</xdr:col>
      <xdr:colOff>416982</xdr:colOff>
      <xdr:row>126</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6661977" y="13244080"/>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945</xdr:col>
          <xdr:colOff>266700</xdr:colOff>
          <xdr:row>208</xdr:row>
          <xdr:rowOff>142875</xdr:rowOff>
        </xdr:from>
        <xdr:to>
          <xdr:col>956</xdr:col>
          <xdr:colOff>257175</xdr:colOff>
          <xdr:row>210</xdr:row>
          <xdr:rowOff>276225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352425</xdr:colOff>
          <xdr:row>77</xdr:row>
          <xdr:rowOff>142875</xdr:rowOff>
        </xdr:from>
        <xdr:to>
          <xdr:col>893</xdr:col>
          <xdr:colOff>190500</xdr:colOff>
          <xdr:row>78</xdr:row>
          <xdr:rowOff>457200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219075</xdr:colOff>
          <xdr:row>50</xdr:row>
          <xdr:rowOff>142875</xdr:rowOff>
        </xdr:from>
        <xdr:to>
          <xdr:col>893</xdr:col>
          <xdr:colOff>228600</xdr:colOff>
          <xdr:row>51</xdr:row>
          <xdr:rowOff>390525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257175</xdr:colOff>
          <xdr:row>56</xdr:row>
          <xdr:rowOff>190500</xdr:rowOff>
        </xdr:from>
        <xdr:to>
          <xdr:col>276</xdr:col>
          <xdr:colOff>95250</xdr:colOff>
          <xdr:row>57</xdr:row>
          <xdr:rowOff>428625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238125</xdr:colOff>
          <xdr:row>20</xdr:row>
          <xdr:rowOff>209550</xdr:rowOff>
        </xdr:from>
        <xdr:to>
          <xdr:col>902</xdr:col>
          <xdr:colOff>447675</xdr:colOff>
          <xdr:row>21</xdr:row>
          <xdr:rowOff>200025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243</xdr:row>
          <xdr:rowOff>257175</xdr:rowOff>
        </xdr:from>
        <xdr:to>
          <xdr:col>897</xdr:col>
          <xdr:colOff>28575</xdr:colOff>
          <xdr:row>244</xdr:row>
          <xdr:rowOff>266700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256</xdr:row>
          <xdr:rowOff>209550</xdr:rowOff>
        </xdr:from>
        <xdr:to>
          <xdr:col>896</xdr:col>
          <xdr:colOff>95250</xdr:colOff>
          <xdr:row>258</xdr:row>
          <xdr:rowOff>228600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145</xdr:row>
          <xdr:rowOff>257175</xdr:rowOff>
        </xdr:from>
        <xdr:to>
          <xdr:col>896</xdr:col>
          <xdr:colOff>28575</xdr:colOff>
          <xdr:row>147</xdr:row>
          <xdr:rowOff>161925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361950</xdr:colOff>
          <xdr:row>98</xdr:row>
          <xdr:rowOff>361950</xdr:rowOff>
        </xdr:from>
        <xdr:to>
          <xdr:col>275</xdr:col>
          <xdr:colOff>476250</xdr:colOff>
          <xdr:row>100</xdr:row>
          <xdr:rowOff>123825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131</xdr:row>
          <xdr:rowOff>352425</xdr:rowOff>
        </xdr:from>
        <xdr:to>
          <xdr:col>895</xdr:col>
          <xdr:colOff>581025</xdr:colOff>
          <xdr:row>133</xdr:row>
          <xdr:rowOff>238125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523875</xdr:colOff>
          <xdr:row>140</xdr:row>
          <xdr:rowOff>238125</xdr:rowOff>
        </xdr:from>
        <xdr:to>
          <xdr:col>898</xdr:col>
          <xdr:colOff>180975</xdr:colOff>
          <xdr:row>142</xdr:row>
          <xdr:rowOff>171450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357</xdr:col>
          <xdr:colOff>238125</xdr:colOff>
          <xdr:row>247</xdr:row>
          <xdr:rowOff>161925</xdr:rowOff>
        </xdr:from>
        <xdr:to>
          <xdr:col>362</xdr:col>
          <xdr:colOff>400050</xdr:colOff>
          <xdr:row>249</xdr:row>
          <xdr:rowOff>238125</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85</xdr:row>
          <xdr:rowOff>304800</xdr:rowOff>
        </xdr:from>
        <xdr:to>
          <xdr:col>899</xdr:col>
          <xdr:colOff>0</xdr:colOff>
          <xdr:row>87</xdr:row>
          <xdr:rowOff>171450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136</xdr:row>
          <xdr:rowOff>257175</xdr:rowOff>
        </xdr:from>
        <xdr:to>
          <xdr:col>898</xdr:col>
          <xdr:colOff>190500</xdr:colOff>
          <xdr:row>137</xdr:row>
          <xdr:rowOff>257175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125</xdr:row>
          <xdr:rowOff>342900</xdr:rowOff>
        </xdr:from>
        <xdr:to>
          <xdr:col>897</xdr:col>
          <xdr:colOff>19050</xdr:colOff>
          <xdr:row>126</xdr:row>
          <xdr:rowOff>333375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361950</xdr:colOff>
          <xdr:row>162</xdr:row>
          <xdr:rowOff>285750</xdr:rowOff>
        </xdr:from>
        <xdr:to>
          <xdr:col>730</xdr:col>
          <xdr:colOff>19050</xdr:colOff>
          <xdr:row>163</xdr:row>
          <xdr:rowOff>285750</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352425</xdr:colOff>
          <xdr:row>154</xdr:row>
          <xdr:rowOff>238125</xdr:rowOff>
        </xdr:from>
        <xdr:to>
          <xdr:col>728</xdr:col>
          <xdr:colOff>447675</xdr:colOff>
          <xdr:row>156</xdr:row>
          <xdr:rowOff>266700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169</xdr:row>
          <xdr:rowOff>114300</xdr:rowOff>
        </xdr:from>
        <xdr:to>
          <xdr:col>729</xdr:col>
          <xdr:colOff>390525</xdr:colOff>
          <xdr:row>170</xdr:row>
          <xdr:rowOff>238125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167</xdr:row>
          <xdr:rowOff>180975</xdr:rowOff>
        </xdr:from>
        <xdr:to>
          <xdr:col>729</xdr:col>
          <xdr:colOff>466725</xdr:colOff>
          <xdr:row>168</xdr:row>
          <xdr:rowOff>333375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147</xdr:row>
          <xdr:rowOff>533400</xdr:rowOff>
        </xdr:from>
        <xdr:to>
          <xdr:col>731</xdr:col>
          <xdr:colOff>171450</xdr:colOff>
          <xdr:row>149</xdr:row>
          <xdr:rowOff>295275</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447675</xdr:colOff>
          <xdr:row>211</xdr:row>
          <xdr:rowOff>295275</xdr:rowOff>
        </xdr:from>
        <xdr:to>
          <xdr:col>897</xdr:col>
          <xdr:colOff>0</xdr:colOff>
          <xdr:row>212</xdr:row>
          <xdr:rowOff>295275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150</xdr:row>
          <xdr:rowOff>161925</xdr:rowOff>
        </xdr:from>
        <xdr:to>
          <xdr:col>900</xdr:col>
          <xdr:colOff>133350</xdr:colOff>
          <xdr:row>152</xdr:row>
          <xdr:rowOff>285750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xdr:col>
          <xdr:colOff>228600</xdr:colOff>
          <xdr:row>61</xdr:row>
          <xdr:rowOff>381000</xdr:rowOff>
        </xdr:from>
        <xdr:to>
          <xdr:col>904</xdr:col>
          <xdr:colOff>581025</xdr:colOff>
          <xdr:row>63</xdr:row>
          <xdr:rowOff>171450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333375</xdr:colOff>
          <xdr:row>66</xdr:row>
          <xdr:rowOff>314325</xdr:rowOff>
        </xdr:from>
        <xdr:to>
          <xdr:col>896</xdr:col>
          <xdr:colOff>581025</xdr:colOff>
          <xdr:row>68</xdr:row>
          <xdr:rowOff>171450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276225</xdr:colOff>
          <xdr:row>273</xdr:row>
          <xdr:rowOff>209550</xdr:rowOff>
        </xdr:from>
        <xdr:to>
          <xdr:col>900</xdr:col>
          <xdr:colOff>533400</xdr:colOff>
          <xdr:row>274</xdr:row>
          <xdr:rowOff>209550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222</xdr:row>
          <xdr:rowOff>209550</xdr:rowOff>
        </xdr:from>
        <xdr:to>
          <xdr:col>898</xdr:col>
          <xdr:colOff>38100</xdr:colOff>
          <xdr:row>223</xdr:row>
          <xdr:rowOff>323850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226</xdr:row>
          <xdr:rowOff>152400</xdr:rowOff>
        </xdr:from>
        <xdr:to>
          <xdr:col>898</xdr:col>
          <xdr:colOff>0</xdr:colOff>
          <xdr:row>227</xdr:row>
          <xdr:rowOff>266700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197</xdr:row>
          <xdr:rowOff>295275</xdr:rowOff>
        </xdr:from>
        <xdr:to>
          <xdr:col>902</xdr:col>
          <xdr:colOff>247650</xdr:colOff>
          <xdr:row>199</xdr:row>
          <xdr:rowOff>114300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209550</xdr:colOff>
          <xdr:row>236</xdr:row>
          <xdr:rowOff>238125</xdr:rowOff>
        </xdr:from>
        <xdr:to>
          <xdr:col>899</xdr:col>
          <xdr:colOff>400050</xdr:colOff>
          <xdr:row>238</xdr:row>
          <xdr:rowOff>161925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277</xdr:row>
          <xdr:rowOff>295275</xdr:rowOff>
        </xdr:from>
        <xdr:to>
          <xdr:col>899</xdr:col>
          <xdr:colOff>0</xdr:colOff>
          <xdr:row>279</xdr:row>
          <xdr:rowOff>133350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590550</xdr:colOff>
          <xdr:row>167</xdr:row>
          <xdr:rowOff>238125</xdr:rowOff>
        </xdr:from>
        <xdr:to>
          <xdr:col>905</xdr:col>
          <xdr:colOff>266700</xdr:colOff>
          <xdr:row>169</xdr:row>
          <xdr:rowOff>247650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238125</xdr:colOff>
          <xdr:row>62</xdr:row>
          <xdr:rowOff>257175</xdr:rowOff>
        </xdr:from>
        <xdr:to>
          <xdr:col>97</xdr:col>
          <xdr:colOff>76200</xdr:colOff>
          <xdr:row>63</xdr:row>
          <xdr:rowOff>257175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xdr:col>
          <xdr:colOff>190500</xdr:colOff>
          <xdr:row>35</xdr:row>
          <xdr:rowOff>161925</xdr:rowOff>
        </xdr:from>
        <xdr:to>
          <xdr:col>98</xdr:col>
          <xdr:colOff>200025</xdr:colOff>
          <xdr:row>36</xdr:row>
          <xdr:rowOff>400050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48</xdr:row>
          <xdr:rowOff>114300</xdr:rowOff>
        </xdr:from>
        <xdr:to>
          <xdr:col>102</xdr:col>
          <xdr:colOff>95250</xdr:colOff>
          <xdr:row>49</xdr:row>
          <xdr:rowOff>466725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0</xdr:colOff>
          <xdr:row>177</xdr:row>
          <xdr:rowOff>257175</xdr:rowOff>
        </xdr:from>
        <xdr:to>
          <xdr:col>728</xdr:col>
          <xdr:colOff>552450</xdr:colOff>
          <xdr:row>178</xdr:row>
          <xdr:rowOff>228600</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181</xdr:row>
          <xdr:rowOff>114300</xdr:rowOff>
        </xdr:from>
        <xdr:to>
          <xdr:col>727</xdr:col>
          <xdr:colOff>38100</xdr:colOff>
          <xdr:row>182</xdr:row>
          <xdr:rowOff>114300</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95250</xdr:colOff>
          <xdr:row>183</xdr:row>
          <xdr:rowOff>304800</xdr:rowOff>
        </xdr:from>
        <xdr:to>
          <xdr:col>728</xdr:col>
          <xdr:colOff>0</xdr:colOff>
          <xdr:row>184</xdr:row>
          <xdr:rowOff>314325</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581025</xdr:colOff>
          <xdr:row>179</xdr:row>
          <xdr:rowOff>123825</xdr:rowOff>
        </xdr:from>
        <xdr:to>
          <xdr:col>728</xdr:col>
          <xdr:colOff>400050</xdr:colOff>
          <xdr:row>180</xdr:row>
          <xdr:rowOff>85725</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xdr:colOff>
          <xdr:row>196</xdr:row>
          <xdr:rowOff>228600</xdr:rowOff>
        </xdr:from>
        <xdr:to>
          <xdr:col>731</xdr:col>
          <xdr:colOff>28575</xdr:colOff>
          <xdr:row>198</xdr:row>
          <xdr:rowOff>76200</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199</xdr:row>
          <xdr:rowOff>180975</xdr:rowOff>
        </xdr:from>
        <xdr:to>
          <xdr:col>727</xdr:col>
          <xdr:colOff>514350</xdr:colOff>
          <xdr:row>201</xdr:row>
          <xdr:rowOff>200025</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38100</xdr:colOff>
          <xdr:row>205</xdr:row>
          <xdr:rowOff>361950</xdr:rowOff>
        </xdr:from>
        <xdr:to>
          <xdr:col>726</xdr:col>
          <xdr:colOff>419100</xdr:colOff>
          <xdr:row>207</xdr:row>
          <xdr:rowOff>276225</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342900</xdr:colOff>
          <xdr:row>289</xdr:row>
          <xdr:rowOff>104775</xdr:rowOff>
        </xdr:from>
        <xdr:to>
          <xdr:col>894</xdr:col>
          <xdr:colOff>76200</xdr:colOff>
          <xdr:row>290</xdr:row>
          <xdr:rowOff>390525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180975</xdr:colOff>
          <xdr:row>282</xdr:row>
          <xdr:rowOff>381000</xdr:rowOff>
        </xdr:from>
        <xdr:to>
          <xdr:col>894</xdr:col>
          <xdr:colOff>133350</xdr:colOff>
          <xdr:row>284</xdr:row>
          <xdr:rowOff>219075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299</xdr:row>
          <xdr:rowOff>361950</xdr:rowOff>
        </xdr:from>
        <xdr:to>
          <xdr:col>900</xdr:col>
          <xdr:colOff>447675</xdr:colOff>
          <xdr:row>301</xdr:row>
          <xdr:rowOff>152400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19050</xdr:colOff>
          <xdr:row>208</xdr:row>
          <xdr:rowOff>295275</xdr:rowOff>
        </xdr:from>
        <xdr:to>
          <xdr:col>733</xdr:col>
          <xdr:colOff>0</xdr:colOff>
          <xdr:row>210</xdr:row>
          <xdr:rowOff>276225</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56</xdr:row>
          <xdr:rowOff>219075</xdr:rowOff>
        </xdr:from>
        <xdr:to>
          <xdr:col>902</xdr:col>
          <xdr:colOff>333375</xdr:colOff>
          <xdr:row>58</xdr:row>
          <xdr:rowOff>200025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202</xdr:row>
          <xdr:rowOff>142875</xdr:rowOff>
        </xdr:from>
        <xdr:to>
          <xdr:col>895</xdr:col>
          <xdr:colOff>9525</xdr:colOff>
          <xdr:row>203</xdr:row>
          <xdr:rowOff>428625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104775</xdr:colOff>
          <xdr:row>97</xdr:row>
          <xdr:rowOff>400050</xdr:rowOff>
        </xdr:from>
        <xdr:to>
          <xdr:col>726</xdr:col>
          <xdr:colOff>0</xdr:colOff>
          <xdr:row>99</xdr:row>
          <xdr:rowOff>228600</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333375</xdr:colOff>
          <xdr:row>100</xdr:row>
          <xdr:rowOff>238125</xdr:rowOff>
        </xdr:from>
        <xdr:to>
          <xdr:col>729</xdr:col>
          <xdr:colOff>0</xdr:colOff>
          <xdr:row>102</xdr:row>
          <xdr:rowOff>247650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190500</xdr:colOff>
          <xdr:row>103</xdr:row>
          <xdr:rowOff>361950</xdr:rowOff>
        </xdr:from>
        <xdr:to>
          <xdr:col>729</xdr:col>
          <xdr:colOff>19050</xdr:colOff>
          <xdr:row>105</xdr:row>
          <xdr:rowOff>123825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185</xdr:row>
          <xdr:rowOff>133350</xdr:rowOff>
        </xdr:from>
        <xdr:to>
          <xdr:col>732</xdr:col>
          <xdr:colOff>104775</xdr:colOff>
          <xdr:row>187</xdr:row>
          <xdr:rowOff>200025</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130</xdr:row>
          <xdr:rowOff>276225</xdr:rowOff>
        </xdr:from>
        <xdr:to>
          <xdr:col>727</xdr:col>
          <xdr:colOff>95250</xdr:colOff>
          <xdr:row>132</xdr:row>
          <xdr:rowOff>171450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133</xdr:row>
          <xdr:rowOff>476250</xdr:rowOff>
        </xdr:from>
        <xdr:to>
          <xdr:col>729</xdr:col>
          <xdr:colOff>142875</xdr:colOff>
          <xdr:row>135</xdr:row>
          <xdr:rowOff>228600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114300</xdr:colOff>
          <xdr:row>136</xdr:row>
          <xdr:rowOff>219075</xdr:rowOff>
        </xdr:from>
        <xdr:to>
          <xdr:col>730</xdr:col>
          <xdr:colOff>28575</xdr:colOff>
          <xdr:row>137</xdr:row>
          <xdr:rowOff>352425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217</xdr:row>
          <xdr:rowOff>276225</xdr:rowOff>
        </xdr:from>
        <xdr:to>
          <xdr:col>900</xdr:col>
          <xdr:colOff>333375</xdr:colOff>
          <xdr:row>219</xdr:row>
          <xdr:rowOff>190500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249</xdr:row>
          <xdr:rowOff>209550</xdr:rowOff>
        </xdr:from>
        <xdr:to>
          <xdr:col>903</xdr:col>
          <xdr:colOff>0</xdr:colOff>
          <xdr:row>251</xdr:row>
          <xdr:rowOff>200025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194</xdr:row>
          <xdr:rowOff>247650</xdr:rowOff>
        </xdr:from>
        <xdr:to>
          <xdr:col>732</xdr:col>
          <xdr:colOff>304800</xdr:colOff>
          <xdr:row>195</xdr:row>
          <xdr:rowOff>304800</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504825</xdr:colOff>
          <xdr:row>188</xdr:row>
          <xdr:rowOff>85725</xdr:rowOff>
        </xdr:from>
        <xdr:to>
          <xdr:col>733</xdr:col>
          <xdr:colOff>171450</xdr:colOff>
          <xdr:row>190</xdr:row>
          <xdr:rowOff>200025</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106</xdr:row>
          <xdr:rowOff>428625</xdr:rowOff>
        </xdr:from>
        <xdr:to>
          <xdr:col>728</xdr:col>
          <xdr:colOff>438150</xdr:colOff>
          <xdr:row>107</xdr:row>
          <xdr:rowOff>419100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285750</xdr:colOff>
          <xdr:row>128</xdr:row>
          <xdr:rowOff>285750</xdr:rowOff>
        </xdr:from>
        <xdr:to>
          <xdr:col>728</xdr:col>
          <xdr:colOff>85725</xdr:colOff>
          <xdr:row>129</xdr:row>
          <xdr:rowOff>276225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92</xdr:row>
          <xdr:rowOff>285750</xdr:rowOff>
        </xdr:from>
        <xdr:to>
          <xdr:col>898</xdr:col>
          <xdr:colOff>0</xdr:colOff>
          <xdr:row>93</xdr:row>
          <xdr:rowOff>276225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219075</xdr:colOff>
          <xdr:row>121</xdr:row>
          <xdr:rowOff>257175</xdr:rowOff>
        </xdr:from>
        <xdr:to>
          <xdr:col>897</xdr:col>
          <xdr:colOff>57150</xdr:colOff>
          <xdr:row>122</xdr:row>
          <xdr:rowOff>257175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361950</xdr:colOff>
          <xdr:row>261</xdr:row>
          <xdr:rowOff>504825</xdr:rowOff>
        </xdr:from>
        <xdr:to>
          <xdr:col>901</xdr:col>
          <xdr:colOff>266700</xdr:colOff>
          <xdr:row>264</xdr:row>
          <xdr:rowOff>9525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268</xdr:row>
          <xdr:rowOff>428625</xdr:rowOff>
        </xdr:from>
        <xdr:to>
          <xdr:col>897</xdr:col>
          <xdr:colOff>123825</xdr:colOff>
          <xdr:row>270</xdr:row>
          <xdr:rowOff>266700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191</xdr:row>
          <xdr:rowOff>200025</xdr:rowOff>
        </xdr:from>
        <xdr:to>
          <xdr:col>727</xdr:col>
          <xdr:colOff>571500</xdr:colOff>
          <xdr:row>193</xdr:row>
          <xdr:rowOff>38100</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476250</xdr:colOff>
          <xdr:row>202</xdr:row>
          <xdr:rowOff>104775</xdr:rowOff>
        </xdr:from>
        <xdr:to>
          <xdr:col>733</xdr:col>
          <xdr:colOff>47625</xdr:colOff>
          <xdr:row>204</xdr:row>
          <xdr:rowOff>247650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48</xdr:row>
          <xdr:rowOff>209550</xdr:rowOff>
        </xdr:from>
        <xdr:to>
          <xdr:col>459</xdr:col>
          <xdr:colOff>361950</xdr:colOff>
          <xdr:row>49</xdr:row>
          <xdr:rowOff>209550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80</xdr:row>
          <xdr:rowOff>333375</xdr:rowOff>
        </xdr:from>
        <xdr:to>
          <xdr:col>454</xdr:col>
          <xdr:colOff>47625</xdr:colOff>
          <xdr:row>81</xdr:row>
          <xdr:rowOff>266700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171450</xdr:colOff>
          <xdr:row>64</xdr:row>
          <xdr:rowOff>333375</xdr:rowOff>
        </xdr:from>
        <xdr:to>
          <xdr:col>456</xdr:col>
          <xdr:colOff>76200</xdr:colOff>
          <xdr:row>66</xdr:row>
          <xdr:rowOff>200025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428625</xdr:colOff>
          <xdr:row>154</xdr:row>
          <xdr:rowOff>314325</xdr:rowOff>
        </xdr:from>
        <xdr:to>
          <xdr:col>452</xdr:col>
          <xdr:colOff>457200</xdr:colOff>
          <xdr:row>155</xdr:row>
          <xdr:rowOff>323850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485775</xdr:colOff>
          <xdr:row>134</xdr:row>
          <xdr:rowOff>276225</xdr:rowOff>
        </xdr:from>
        <xdr:to>
          <xdr:col>454</xdr:col>
          <xdr:colOff>200025</xdr:colOff>
          <xdr:row>136</xdr:row>
          <xdr:rowOff>257175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257175</xdr:colOff>
          <xdr:row>145</xdr:row>
          <xdr:rowOff>295275</xdr:rowOff>
        </xdr:from>
        <xdr:to>
          <xdr:col>454</xdr:col>
          <xdr:colOff>47625</xdr:colOff>
          <xdr:row>147</xdr:row>
          <xdr:rowOff>190500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451</xdr:col>
          <xdr:colOff>142875</xdr:colOff>
          <xdr:row>75</xdr:row>
          <xdr:rowOff>238125</xdr:rowOff>
        </xdr:from>
        <xdr:to>
          <xdr:col>463</xdr:col>
          <xdr:colOff>314325</xdr:colOff>
          <xdr:row>77</xdr:row>
          <xdr:rowOff>219075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314325</xdr:colOff>
          <xdr:row>44</xdr:row>
          <xdr:rowOff>295275</xdr:rowOff>
        </xdr:from>
        <xdr:to>
          <xdr:col>460</xdr:col>
          <xdr:colOff>104775</xdr:colOff>
          <xdr:row>45</xdr:row>
          <xdr:rowOff>295275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285750</xdr:colOff>
          <xdr:row>125</xdr:row>
          <xdr:rowOff>238125</xdr:rowOff>
        </xdr:from>
        <xdr:to>
          <xdr:col>455</xdr:col>
          <xdr:colOff>38100</xdr:colOff>
          <xdr:row>126</xdr:row>
          <xdr:rowOff>228600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119</xdr:row>
          <xdr:rowOff>238125</xdr:rowOff>
        </xdr:from>
        <xdr:to>
          <xdr:col>453</xdr:col>
          <xdr:colOff>47625</xdr:colOff>
          <xdr:row>120</xdr:row>
          <xdr:rowOff>228600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103</xdr:row>
          <xdr:rowOff>266700</xdr:rowOff>
        </xdr:from>
        <xdr:to>
          <xdr:col>453</xdr:col>
          <xdr:colOff>0</xdr:colOff>
          <xdr:row>105</xdr:row>
          <xdr:rowOff>247650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257175</xdr:colOff>
          <xdr:row>16</xdr:row>
          <xdr:rowOff>523875</xdr:rowOff>
        </xdr:from>
        <xdr:to>
          <xdr:col>466</xdr:col>
          <xdr:colOff>9525</xdr:colOff>
          <xdr:row>18</xdr:row>
          <xdr:rowOff>504825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352425</xdr:colOff>
          <xdr:row>194</xdr:row>
          <xdr:rowOff>333375</xdr:rowOff>
        </xdr:from>
        <xdr:to>
          <xdr:col>450</xdr:col>
          <xdr:colOff>38100</xdr:colOff>
          <xdr:row>196</xdr:row>
          <xdr:rowOff>276225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1056</xdr:col>
          <xdr:colOff>561975</xdr:colOff>
          <xdr:row>33</xdr:row>
          <xdr:rowOff>352425</xdr:rowOff>
        </xdr:from>
        <xdr:to>
          <xdr:col>1068</xdr:col>
          <xdr:colOff>457200</xdr:colOff>
          <xdr:row>40</xdr:row>
          <xdr:rowOff>66675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1101</xdr:col>
      <xdr:colOff>428624</xdr:colOff>
      <xdr:row>16</xdr:row>
      <xdr:rowOff>14286</xdr:rowOff>
    </xdr:from>
    <xdr:to>
      <xdr:col>1123</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1079</xdr:col>
      <xdr:colOff>47623</xdr:colOff>
      <xdr:row>15</xdr:row>
      <xdr:rowOff>585788</xdr:rowOff>
    </xdr:from>
    <xdr:to>
      <xdr:col>1099</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504825</xdr:colOff>
      <xdr:row>129</xdr:row>
      <xdr:rowOff>323851</xdr:rowOff>
    </xdr:from>
    <xdr:to>
      <xdr:col>597</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1078</xdr:col>
      <xdr:colOff>542925</xdr:colOff>
      <xdr:row>9</xdr:row>
      <xdr:rowOff>171451</xdr:rowOff>
    </xdr:from>
    <xdr:to>
      <xdr:col>1099</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1101</xdr:col>
      <xdr:colOff>423861</xdr:colOff>
      <xdr:row>9</xdr:row>
      <xdr:rowOff>328611</xdr:rowOff>
    </xdr:from>
    <xdr:to>
      <xdr:col>1122</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9062611"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604402</xdr:colOff>
      <xdr:row>124</xdr:row>
      <xdr:rowOff>323850</xdr:rowOff>
    </xdr:from>
    <xdr:to>
      <xdr:col>596</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333375</xdr:colOff>
          <xdr:row>13</xdr:row>
          <xdr:rowOff>95250</xdr:rowOff>
        </xdr:from>
        <xdr:to>
          <xdr:col>517</xdr:col>
          <xdr:colOff>561975</xdr:colOff>
          <xdr:row>14</xdr:row>
          <xdr:rowOff>447675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404</xdr:col>
      <xdr:colOff>80965</xdr:colOff>
      <xdr:row>174</xdr:row>
      <xdr:rowOff>123822</xdr:rowOff>
    </xdr:from>
    <xdr:to>
      <xdr:col>422</xdr:col>
      <xdr:colOff>428624</xdr:colOff>
      <xdr:row>184</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8969215" y="107851572"/>
          <a:ext cx="11491909" cy="631525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401</xdr:col>
      <xdr:colOff>417376</xdr:colOff>
      <xdr:row>76</xdr:row>
      <xdr:rowOff>182707</xdr:rowOff>
    </xdr:from>
    <xdr:to>
      <xdr:col>422</xdr:col>
      <xdr:colOff>362761</xdr:colOff>
      <xdr:row>96</xdr:row>
      <xdr:rowOff>425849</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7448251" y="47236207"/>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452</xdr:col>
          <xdr:colOff>257175</xdr:colOff>
          <xdr:row>25</xdr:row>
          <xdr:rowOff>285750</xdr:rowOff>
        </xdr:from>
        <xdr:to>
          <xdr:col>465</xdr:col>
          <xdr:colOff>47625</xdr:colOff>
          <xdr:row>27</xdr:row>
          <xdr:rowOff>266700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71</xdr:row>
          <xdr:rowOff>238125</xdr:rowOff>
        </xdr:from>
        <xdr:to>
          <xdr:col>460</xdr:col>
          <xdr:colOff>285750</xdr:colOff>
          <xdr:row>72</xdr:row>
          <xdr:rowOff>304800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108</xdr:row>
          <xdr:rowOff>238125</xdr:rowOff>
        </xdr:from>
        <xdr:to>
          <xdr:col>460</xdr:col>
          <xdr:colOff>161925</xdr:colOff>
          <xdr:row>109</xdr:row>
          <xdr:rowOff>304800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98</xdr:row>
          <xdr:rowOff>285750</xdr:rowOff>
        </xdr:from>
        <xdr:to>
          <xdr:col>457</xdr:col>
          <xdr:colOff>419100</xdr:colOff>
          <xdr:row>100</xdr:row>
          <xdr:rowOff>266700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574</xdr:col>
      <xdr:colOff>423861</xdr:colOff>
      <xdr:row>102</xdr:row>
      <xdr:rowOff>566739</xdr:rowOff>
    </xdr:from>
    <xdr:to>
      <xdr:col>595</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371475</xdr:colOff>
          <xdr:row>30</xdr:row>
          <xdr:rowOff>295275</xdr:rowOff>
        </xdr:from>
        <xdr:to>
          <xdr:col>517</xdr:col>
          <xdr:colOff>552450</xdr:colOff>
          <xdr:row>31</xdr:row>
          <xdr:rowOff>304800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190500</xdr:colOff>
          <xdr:row>34</xdr:row>
          <xdr:rowOff>304800</xdr:rowOff>
        </xdr:from>
        <xdr:to>
          <xdr:col>518</xdr:col>
          <xdr:colOff>142875</xdr:colOff>
          <xdr:row>35</xdr:row>
          <xdr:rowOff>200025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482</xdr:col>
          <xdr:colOff>190500</xdr:colOff>
          <xdr:row>16</xdr:row>
          <xdr:rowOff>352425</xdr:rowOff>
        </xdr:from>
        <xdr:to>
          <xdr:col>487</xdr:col>
          <xdr:colOff>0</xdr:colOff>
          <xdr:row>17</xdr:row>
          <xdr:rowOff>238125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381000</xdr:colOff>
          <xdr:row>25</xdr:row>
          <xdr:rowOff>447675</xdr:rowOff>
        </xdr:from>
        <xdr:to>
          <xdr:col>519</xdr:col>
          <xdr:colOff>495300</xdr:colOff>
          <xdr:row>27</xdr:row>
          <xdr:rowOff>200025</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199</xdr:row>
          <xdr:rowOff>295275</xdr:rowOff>
        </xdr:from>
        <xdr:to>
          <xdr:col>454</xdr:col>
          <xdr:colOff>104775</xdr:colOff>
          <xdr:row>200</xdr:row>
          <xdr:rowOff>266700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276225</xdr:colOff>
          <xdr:row>38</xdr:row>
          <xdr:rowOff>361950</xdr:rowOff>
        </xdr:from>
        <xdr:to>
          <xdr:col>516</xdr:col>
          <xdr:colOff>247650</xdr:colOff>
          <xdr:row>39</xdr:row>
          <xdr:rowOff>257175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590550</xdr:colOff>
          <xdr:row>28</xdr:row>
          <xdr:rowOff>304800</xdr:rowOff>
        </xdr:from>
        <xdr:to>
          <xdr:col>592</xdr:col>
          <xdr:colOff>485775</xdr:colOff>
          <xdr:row>29</xdr:row>
          <xdr:rowOff>123825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20</xdr:row>
          <xdr:rowOff>476250</xdr:rowOff>
        </xdr:from>
        <xdr:to>
          <xdr:col>594</xdr:col>
          <xdr:colOff>285750</xdr:colOff>
          <xdr:row>21</xdr:row>
          <xdr:rowOff>371475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26</xdr:row>
          <xdr:rowOff>428625</xdr:rowOff>
        </xdr:from>
        <xdr:to>
          <xdr:col>592</xdr:col>
          <xdr:colOff>533400</xdr:colOff>
          <xdr:row>27</xdr:row>
          <xdr:rowOff>238125</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304800</xdr:colOff>
          <xdr:row>172</xdr:row>
          <xdr:rowOff>219075</xdr:rowOff>
        </xdr:from>
        <xdr:to>
          <xdr:col>454</xdr:col>
          <xdr:colOff>9525</xdr:colOff>
          <xdr:row>173</xdr:row>
          <xdr:rowOff>419100</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32</xdr:row>
          <xdr:rowOff>361950</xdr:rowOff>
        </xdr:from>
        <xdr:to>
          <xdr:col>594</xdr:col>
          <xdr:colOff>523875</xdr:colOff>
          <xdr:row>33</xdr:row>
          <xdr:rowOff>247650</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46</xdr:row>
          <xdr:rowOff>190500</xdr:rowOff>
        </xdr:from>
        <xdr:to>
          <xdr:col>593</xdr:col>
          <xdr:colOff>447675</xdr:colOff>
          <xdr:row>47</xdr:row>
          <xdr:rowOff>438150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30</xdr:row>
          <xdr:rowOff>361950</xdr:rowOff>
        </xdr:from>
        <xdr:to>
          <xdr:col>593</xdr:col>
          <xdr:colOff>371475</xdr:colOff>
          <xdr:row>31</xdr:row>
          <xdr:rowOff>104775</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66675</xdr:colOff>
          <xdr:row>34</xdr:row>
          <xdr:rowOff>266700</xdr:rowOff>
        </xdr:from>
        <xdr:to>
          <xdr:col>594</xdr:col>
          <xdr:colOff>476250</xdr:colOff>
          <xdr:row>35</xdr:row>
          <xdr:rowOff>200025</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571500</xdr:colOff>
          <xdr:row>44</xdr:row>
          <xdr:rowOff>28575</xdr:rowOff>
        </xdr:from>
        <xdr:to>
          <xdr:col>596</xdr:col>
          <xdr:colOff>333375</xdr:colOff>
          <xdr:row>45</xdr:row>
          <xdr:rowOff>400050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118</xdr:row>
          <xdr:rowOff>257175</xdr:rowOff>
        </xdr:from>
        <xdr:to>
          <xdr:col>158</xdr:col>
          <xdr:colOff>514350</xdr:colOff>
          <xdr:row>120</xdr:row>
          <xdr:rowOff>171450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12</xdr:col>
      <xdr:colOff>499295</xdr:colOff>
      <xdr:row>86</xdr:row>
      <xdr:rowOff>293371</xdr:rowOff>
    </xdr:from>
    <xdr:to>
      <xdr:col>32</xdr:col>
      <xdr:colOff>119775</xdr:colOff>
      <xdr:row>108</xdr:row>
      <xdr:rowOff>476249</xdr:rowOff>
    </xdr:to>
    <xdr:pic>
      <xdr:nvPicPr>
        <xdr:cNvPr id="318" name="Рисунок 317"/>
        <xdr:cNvPicPr/>
      </xdr:nvPicPr>
      <xdr:blipFill>
        <a:blip xmlns:r="http://schemas.openxmlformats.org/officeDocument/2006/relationships" r:embed="rId14"/>
        <a:stretch>
          <a:fillRect/>
        </a:stretch>
      </xdr:blipFill>
      <xdr:spPr>
        <a:xfrm>
          <a:off x="7814495" y="52718971"/>
          <a:ext cx="11812480" cy="13594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107</xdr:col>
      <xdr:colOff>575830</xdr:colOff>
      <xdr:row>127</xdr:row>
      <xdr:rowOff>280530</xdr:rowOff>
    </xdr:from>
    <xdr:to>
      <xdr:col>127</xdr:col>
      <xdr:colOff>3926</xdr:colOff>
      <xdr:row>154</xdr:row>
      <xdr:rowOff>367531</xdr:rowOff>
    </xdr:to>
    <xdr:pic>
      <xdr:nvPicPr>
        <xdr:cNvPr id="3" name="Рисунок 2"/>
        <xdr:cNvPicPr>
          <a:picLocks noChangeAspect="1"/>
        </xdr:cNvPicPr>
      </xdr:nvPicPr>
      <xdr:blipFill>
        <a:blip xmlns:r="http://schemas.openxmlformats.org/officeDocument/2006/relationships" r:embed="rId15"/>
        <a:stretch>
          <a:fillRect/>
        </a:stretch>
      </xdr:blipFill>
      <xdr:spPr>
        <a:xfrm>
          <a:off x="71918080" y="72861030"/>
          <a:ext cx="12744046" cy="1551750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575662</xdr:colOff>
      <xdr:row>104</xdr:row>
      <xdr:rowOff>581023</xdr:rowOff>
    </xdr:from>
    <xdr:to>
      <xdr:col>185</xdr:col>
      <xdr:colOff>606874</xdr:colOff>
      <xdr:row>135</xdr:row>
      <xdr:rowOff>133348</xdr:rowOff>
    </xdr:to>
    <xdr:pic>
      <xdr:nvPicPr>
        <xdr:cNvPr id="319" name="Рисунок 318"/>
        <xdr:cNvPicPr/>
      </xdr:nvPicPr>
      <xdr:blipFill>
        <a:blip xmlns:r="http://schemas.openxmlformats.org/officeDocument/2006/relationships" r:embed="rId16"/>
        <a:stretch>
          <a:fillRect/>
        </a:stretch>
      </xdr:blipFill>
      <xdr:spPr>
        <a:xfrm>
          <a:off x="117733162" y="64970023"/>
          <a:ext cx="15033087" cy="1874520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361</xdr:col>
          <xdr:colOff>171450</xdr:colOff>
          <xdr:row>205</xdr:row>
          <xdr:rowOff>285750</xdr:rowOff>
        </xdr:from>
        <xdr:to>
          <xdr:col>369</xdr:col>
          <xdr:colOff>504825</xdr:colOff>
          <xdr:row>206</xdr:row>
          <xdr:rowOff>276225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editAs="oneCell">
    <xdr:from>
      <xdr:col>49</xdr:col>
      <xdr:colOff>221117</xdr:colOff>
      <xdr:row>15</xdr:row>
      <xdr:rowOff>102054</xdr:rowOff>
    </xdr:from>
    <xdr:to>
      <xdr:col>51</xdr:col>
      <xdr:colOff>177252</xdr:colOff>
      <xdr:row>16</xdr:row>
      <xdr:rowOff>342901</xdr:rowOff>
    </xdr:to>
    <xdr:pic>
      <xdr:nvPicPr>
        <xdr:cNvPr id="342" name="Picture 341"/>
        <xdr:cNvPicPr>
          <a:picLocks noChangeAspect="1"/>
        </xdr:cNvPicPr>
      </xdr:nvPicPr>
      <xdr:blipFill>
        <a:blip xmlns:r="http://schemas.openxmlformats.org/officeDocument/2006/relationships" r:embed="rId17"/>
        <a:stretch>
          <a:fillRect/>
        </a:stretch>
      </xdr:blipFill>
      <xdr:spPr>
        <a:xfrm>
          <a:off x="35273117" y="6837590"/>
          <a:ext cx="1314449" cy="891268"/>
        </a:xfrm>
        <a:prstGeom prst="rect">
          <a:avLst/>
        </a:prstGeom>
        <a:ln w="19050">
          <a:solidFill>
            <a:schemeClr val="tx1"/>
          </a:solidFill>
        </a:ln>
      </xdr:spPr>
    </xdr:pic>
    <xdr:clientData/>
  </xdr:twoCellAnchor>
  <xdr:twoCellAnchor editAs="oneCell">
    <xdr:from>
      <xdr:col>49</xdr:col>
      <xdr:colOff>380999</xdr:colOff>
      <xdr:row>48</xdr:row>
      <xdr:rowOff>333377</xdr:rowOff>
    </xdr:from>
    <xdr:to>
      <xdr:col>52</xdr:col>
      <xdr:colOff>8470</xdr:colOff>
      <xdr:row>49</xdr:row>
      <xdr:rowOff>208207</xdr:rowOff>
    </xdr:to>
    <xdr:pic>
      <xdr:nvPicPr>
        <xdr:cNvPr id="8" name="Picture 7"/>
        <xdr:cNvPicPr>
          <a:picLocks noChangeAspect="1"/>
        </xdr:cNvPicPr>
      </xdr:nvPicPr>
      <xdr:blipFill>
        <a:blip xmlns:r="http://schemas.openxmlformats.org/officeDocument/2006/relationships" r:embed="rId18"/>
        <a:stretch>
          <a:fillRect/>
        </a:stretch>
      </xdr:blipFill>
      <xdr:spPr>
        <a:xfrm>
          <a:off x="35051999" y="22002752"/>
          <a:ext cx="1577855" cy="532055"/>
        </a:xfrm>
        <a:prstGeom prst="rect">
          <a:avLst/>
        </a:prstGeom>
        <a:ln w="19050">
          <a:solidFill>
            <a:schemeClr val="tx1"/>
          </a:solidFill>
        </a:ln>
      </xdr:spPr>
    </xdr:pic>
    <xdr:clientData/>
  </xdr:twoCellAnchor>
  <xdr:twoCellAnchor editAs="oneCell">
    <xdr:from>
      <xdr:col>49</xdr:col>
      <xdr:colOff>476251</xdr:colOff>
      <xdr:row>52</xdr:row>
      <xdr:rowOff>108856</xdr:rowOff>
    </xdr:from>
    <xdr:to>
      <xdr:col>51</xdr:col>
      <xdr:colOff>228013</xdr:colOff>
      <xdr:row>53</xdr:row>
      <xdr:rowOff>369555</xdr:rowOff>
    </xdr:to>
    <xdr:pic>
      <xdr:nvPicPr>
        <xdr:cNvPr id="9" name="Picture 8"/>
        <xdr:cNvPicPr>
          <a:picLocks noChangeAspect="1"/>
        </xdr:cNvPicPr>
      </xdr:nvPicPr>
      <xdr:blipFill>
        <a:blip xmlns:r="http://schemas.openxmlformats.org/officeDocument/2006/relationships" r:embed="rId19"/>
        <a:stretch>
          <a:fillRect/>
        </a:stretch>
      </xdr:blipFill>
      <xdr:spPr>
        <a:xfrm>
          <a:off x="35528251" y="22764749"/>
          <a:ext cx="1119601" cy="911120"/>
        </a:xfrm>
        <a:prstGeom prst="rect">
          <a:avLst/>
        </a:prstGeom>
        <a:ln w="19050">
          <a:solidFill>
            <a:schemeClr val="tx1"/>
          </a:solidFill>
        </a:ln>
      </xdr:spPr>
    </xdr:pic>
    <xdr:clientData/>
  </xdr:twoCellAnchor>
  <xdr:twoCellAnchor editAs="oneCell">
    <xdr:from>
      <xdr:col>55</xdr:col>
      <xdr:colOff>353786</xdr:colOff>
      <xdr:row>56</xdr:row>
      <xdr:rowOff>163285</xdr:rowOff>
    </xdr:from>
    <xdr:to>
      <xdr:col>59</xdr:col>
      <xdr:colOff>168601</xdr:colOff>
      <xdr:row>57</xdr:row>
      <xdr:rowOff>445218</xdr:rowOff>
    </xdr:to>
    <xdr:pic>
      <xdr:nvPicPr>
        <xdr:cNvPr id="10" name="Picture 9"/>
        <xdr:cNvPicPr>
          <a:picLocks noChangeAspect="1"/>
        </xdr:cNvPicPr>
      </xdr:nvPicPr>
      <xdr:blipFill>
        <a:blip xmlns:r="http://schemas.openxmlformats.org/officeDocument/2006/relationships" r:embed="rId20"/>
        <a:stretch>
          <a:fillRect/>
        </a:stretch>
      </xdr:blipFill>
      <xdr:spPr>
        <a:xfrm>
          <a:off x="35405786" y="25268464"/>
          <a:ext cx="2605880" cy="932354"/>
        </a:xfrm>
        <a:prstGeom prst="rect">
          <a:avLst/>
        </a:prstGeom>
        <a:ln w="19050">
          <a:solidFill>
            <a:schemeClr val="tx1"/>
          </a:solidFill>
        </a:ln>
      </xdr:spPr>
    </xdr:pic>
    <xdr:clientData/>
  </xdr:twoCellAnchor>
  <xdr:twoCellAnchor editAs="oneCell">
    <xdr:from>
      <xdr:col>54</xdr:col>
      <xdr:colOff>217713</xdr:colOff>
      <xdr:row>90</xdr:row>
      <xdr:rowOff>136071</xdr:rowOff>
    </xdr:from>
    <xdr:to>
      <xdr:col>56</xdr:col>
      <xdr:colOff>180681</xdr:colOff>
      <xdr:row>91</xdr:row>
      <xdr:rowOff>391395</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35895642" y="47284821"/>
          <a:ext cx="1321280" cy="905745"/>
        </a:xfrm>
        <a:prstGeom prst="rect">
          <a:avLst/>
        </a:prstGeom>
        <a:ln w="19050">
          <a:solidFill>
            <a:schemeClr val="tx1"/>
          </a:solidFill>
        </a:ln>
      </xdr:spPr>
    </xdr:pic>
    <xdr:clientData/>
  </xdr:twoCellAnchor>
  <xdr:twoCellAnchor editAs="oneCell">
    <xdr:from>
      <xdr:col>54</xdr:col>
      <xdr:colOff>449036</xdr:colOff>
      <xdr:row>99</xdr:row>
      <xdr:rowOff>163287</xdr:rowOff>
    </xdr:from>
    <xdr:to>
      <xdr:col>55</xdr:col>
      <xdr:colOff>435018</xdr:colOff>
      <xdr:row>100</xdr:row>
      <xdr:rowOff>367124</xdr:rowOff>
    </xdr:to>
    <xdr:pic>
      <xdr:nvPicPr>
        <xdr:cNvPr id="13" name="Picture 12"/>
        <xdr:cNvPicPr>
          <a:picLocks noChangeAspect="1"/>
        </xdr:cNvPicPr>
      </xdr:nvPicPr>
      <xdr:blipFill>
        <a:blip xmlns:r="http://schemas.openxmlformats.org/officeDocument/2006/relationships" r:embed="rId22"/>
        <a:stretch>
          <a:fillRect/>
        </a:stretch>
      </xdr:blipFill>
      <xdr:spPr>
        <a:xfrm>
          <a:off x="35501036" y="54659894"/>
          <a:ext cx="749105" cy="854259"/>
        </a:xfrm>
        <a:prstGeom prst="rect">
          <a:avLst/>
        </a:prstGeom>
        <a:ln w="19050">
          <a:solidFill>
            <a:schemeClr val="tx1"/>
          </a:solidFill>
        </a:ln>
      </xdr:spPr>
    </xdr:pic>
    <xdr:clientData/>
  </xdr:twoCellAnchor>
  <xdr:twoCellAnchor editAs="oneCell">
    <xdr:from>
      <xdr:col>1218</xdr:col>
      <xdr:colOff>392547</xdr:colOff>
      <xdr:row>14</xdr:row>
      <xdr:rowOff>9900</xdr:rowOff>
    </xdr:from>
    <xdr:to>
      <xdr:col>1246</xdr:col>
      <xdr:colOff>75244</xdr:colOff>
      <xdr:row>54</xdr:row>
      <xdr:rowOff>88396</xdr:rowOff>
    </xdr:to>
    <xdr:pic>
      <xdr:nvPicPr>
        <xdr:cNvPr id="2" name="Picture 1"/>
        <xdr:cNvPicPr>
          <a:picLocks noChangeAspect="1"/>
        </xdr:cNvPicPr>
      </xdr:nvPicPr>
      <xdr:blipFill>
        <a:blip xmlns:r="http://schemas.openxmlformats.org/officeDocument/2006/relationships" r:embed="rId23"/>
        <a:stretch>
          <a:fillRect/>
        </a:stretch>
      </xdr:blipFill>
      <xdr:spPr>
        <a:xfrm>
          <a:off x="604658547" y="8677650"/>
          <a:ext cx="19062225" cy="2646274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465</xdr:col>
      <xdr:colOff>0</xdr:colOff>
      <xdr:row>140</xdr:row>
      <xdr:rowOff>0</xdr:rowOff>
    </xdr:from>
    <xdr:to>
      <xdr:col>485</xdr:col>
      <xdr:colOff>564510</xdr:colOff>
      <xdr:row>160</xdr:row>
      <xdr:rowOff>243142</xdr:rowOff>
    </xdr:to>
    <xdr:pic>
      <xdr:nvPicPr>
        <xdr:cNvPr id="323"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6654875" y="86677500"/>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374</xdr:col>
      <xdr:colOff>342901</xdr:colOff>
      <xdr:row>34</xdr:row>
      <xdr:rowOff>342897</xdr:rowOff>
    </xdr:from>
    <xdr:to>
      <xdr:col>392</xdr:col>
      <xdr:colOff>503453</xdr:colOff>
      <xdr:row>51</xdr:row>
      <xdr:rowOff>138112</xdr:rowOff>
    </xdr:to>
    <xdr:pic>
      <xdr:nvPicPr>
        <xdr:cNvPr id="4" name="Picture 3"/>
        <xdr:cNvPicPr>
          <a:picLocks noChangeAspect="1"/>
        </xdr:cNvPicPr>
      </xdr:nvPicPr>
      <xdr:blipFill>
        <a:blip xmlns:r="http://schemas.openxmlformats.org/officeDocument/2006/relationships" r:embed="rId24"/>
        <a:stretch>
          <a:fillRect/>
        </a:stretch>
      </xdr:blipFill>
      <xdr:spPr>
        <a:xfrm>
          <a:off x="230657401" y="21393147"/>
          <a:ext cx="12573628" cy="1101566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374</xdr:col>
      <xdr:colOff>404813</xdr:colOff>
      <xdr:row>54</xdr:row>
      <xdr:rowOff>428624</xdr:rowOff>
    </xdr:from>
    <xdr:to>
      <xdr:col>393</xdr:col>
      <xdr:colOff>65852</xdr:colOff>
      <xdr:row>80</xdr:row>
      <xdr:rowOff>461961</xdr:rowOff>
    </xdr:to>
    <xdr:pic>
      <xdr:nvPicPr>
        <xdr:cNvPr id="6" name="Picture 5"/>
        <xdr:cNvPicPr>
          <a:picLocks noChangeAspect="1"/>
        </xdr:cNvPicPr>
      </xdr:nvPicPr>
      <xdr:blipFill>
        <a:blip xmlns:r="http://schemas.openxmlformats.org/officeDocument/2006/relationships" r:embed="rId25"/>
        <a:stretch>
          <a:fillRect/>
        </a:stretch>
      </xdr:blipFill>
      <xdr:spPr>
        <a:xfrm>
          <a:off x="240625313" y="83391374"/>
          <a:ext cx="12796815" cy="172164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500063</xdr:colOff>
      <xdr:row>51</xdr:row>
      <xdr:rowOff>214311</xdr:rowOff>
    </xdr:from>
    <xdr:to>
      <xdr:col>944</xdr:col>
      <xdr:colOff>23811</xdr:colOff>
      <xdr:row>69</xdr:row>
      <xdr:rowOff>459119</xdr:rowOff>
    </xdr:to>
    <xdr:pic>
      <xdr:nvPicPr>
        <xdr:cNvPr id="5" name="Picture 4"/>
        <xdr:cNvPicPr>
          <a:picLocks noChangeAspect="1"/>
        </xdr:cNvPicPr>
      </xdr:nvPicPr>
      <xdr:blipFill>
        <a:blip xmlns:r="http://schemas.openxmlformats.org/officeDocument/2006/relationships" r:embed="rId26"/>
        <a:stretch>
          <a:fillRect/>
        </a:stretch>
      </xdr:blipFill>
      <xdr:spPr>
        <a:xfrm>
          <a:off x="606385313" y="31789686"/>
          <a:ext cx="10972799" cy="121701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476249</xdr:colOff>
      <xdr:row>72</xdr:row>
      <xdr:rowOff>238125</xdr:rowOff>
    </xdr:from>
    <xdr:to>
      <xdr:col>944</xdr:col>
      <xdr:colOff>38097</xdr:colOff>
      <xdr:row>95</xdr:row>
      <xdr:rowOff>364537</xdr:rowOff>
    </xdr:to>
    <xdr:pic>
      <xdr:nvPicPr>
        <xdr:cNvPr id="7" name="Picture 6"/>
        <xdr:cNvPicPr>
          <a:picLocks noChangeAspect="1"/>
        </xdr:cNvPicPr>
      </xdr:nvPicPr>
      <xdr:blipFill>
        <a:blip xmlns:r="http://schemas.openxmlformats.org/officeDocument/2006/relationships" r:embed="rId27"/>
        <a:stretch>
          <a:fillRect/>
        </a:stretch>
      </xdr:blipFill>
      <xdr:spPr>
        <a:xfrm>
          <a:off x="612433687" y="44815125"/>
          <a:ext cx="10972799" cy="153378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571500</xdr:colOff>
      <xdr:row>98</xdr:row>
      <xdr:rowOff>190499</xdr:rowOff>
    </xdr:from>
    <xdr:to>
      <xdr:col>944</xdr:col>
      <xdr:colOff>95248</xdr:colOff>
      <xdr:row>107</xdr:row>
      <xdr:rowOff>347882</xdr:rowOff>
    </xdr:to>
    <xdr:pic>
      <xdr:nvPicPr>
        <xdr:cNvPr id="14" name="Picture 13"/>
        <xdr:cNvPicPr>
          <a:picLocks noChangeAspect="1"/>
        </xdr:cNvPicPr>
      </xdr:nvPicPr>
      <xdr:blipFill>
        <a:blip xmlns:r="http://schemas.openxmlformats.org/officeDocument/2006/relationships" r:embed="rId28"/>
        <a:stretch>
          <a:fillRect/>
        </a:stretch>
      </xdr:blipFill>
      <xdr:spPr>
        <a:xfrm>
          <a:off x="612528938" y="60864749"/>
          <a:ext cx="10972799" cy="612003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60</xdr:col>
      <xdr:colOff>381000</xdr:colOff>
      <xdr:row>94</xdr:row>
      <xdr:rowOff>404812</xdr:rowOff>
    </xdr:from>
    <xdr:to>
      <xdr:col>66</xdr:col>
      <xdr:colOff>510012</xdr:colOff>
      <xdr:row>96</xdr:row>
      <xdr:rowOff>257176</xdr:rowOff>
    </xdr:to>
    <xdr:pic>
      <xdr:nvPicPr>
        <xdr:cNvPr id="16" name="Picture 15"/>
        <xdr:cNvPicPr>
          <a:picLocks noChangeAspect="1"/>
        </xdr:cNvPicPr>
      </xdr:nvPicPr>
      <xdr:blipFill>
        <a:blip xmlns:r="http://schemas.openxmlformats.org/officeDocument/2006/relationships" r:embed="rId29"/>
        <a:stretch>
          <a:fillRect/>
        </a:stretch>
      </xdr:blipFill>
      <xdr:spPr>
        <a:xfrm>
          <a:off x="37528500" y="49934812"/>
          <a:ext cx="4139037" cy="1166814"/>
        </a:xfrm>
        <a:prstGeom prst="rect">
          <a:avLst/>
        </a:prstGeom>
        <a:ln w="19050">
          <a:solidFill>
            <a:schemeClr val="tx1"/>
          </a:solidFill>
        </a:ln>
      </xdr:spPr>
    </xdr:pic>
    <xdr:clientData/>
  </xdr:twoCellAnchor>
  <mc:AlternateContent xmlns:mc="http://schemas.openxmlformats.org/markup-compatibility/2006">
    <mc:Choice xmlns:a14="http://schemas.microsoft.com/office/drawing/2010/main" Requires="a14">
      <xdr:twoCellAnchor editAs="oneCell">
        <xdr:from>
          <xdr:col>724</xdr:col>
          <xdr:colOff>171450</xdr:colOff>
          <xdr:row>46</xdr:row>
          <xdr:rowOff>133350</xdr:rowOff>
        </xdr:from>
        <xdr:to>
          <xdr:col>730</xdr:col>
          <xdr:colOff>0</xdr:colOff>
          <xdr:row>47</xdr:row>
          <xdr:rowOff>400050</xdr:rowOff>
        </xdr:to>
        <xdr:sp macro="" textlink="">
          <xdr:nvSpPr>
            <xdr:cNvPr id="21269" name="Object 2837" hidden="1">
              <a:extLst>
                <a:ext uri="{63B3BB69-23CF-44E3-9099-C40C66FF867C}">
                  <a14:compatExt spid="_x0000_s21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238125</xdr:colOff>
          <xdr:row>151</xdr:row>
          <xdr:rowOff>85725</xdr:rowOff>
        </xdr:from>
        <xdr:to>
          <xdr:col>734</xdr:col>
          <xdr:colOff>561975</xdr:colOff>
          <xdr:row>153</xdr:row>
          <xdr:rowOff>85725</xdr:rowOff>
        </xdr:to>
        <xdr:sp macro="" textlink="">
          <xdr:nvSpPr>
            <xdr:cNvPr id="21270" name="Object 2838" hidden="1">
              <a:extLst>
                <a:ext uri="{63B3BB69-23CF-44E3-9099-C40C66FF867C}">
                  <a14:compatExt spid="_x0000_s2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419100</xdr:colOff>
          <xdr:row>171</xdr:row>
          <xdr:rowOff>276225</xdr:rowOff>
        </xdr:from>
        <xdr:to>
          <xdr:col>732</xdr:col>
          <xdr:colOff>342900</xdr:colOff>
          <xdr:row>173</xdr:row>
          <xdr:rowOff>95250</xdr:rowOff>
        </xdr:to>
        <xdr:sp macro="" textlink="">
          <xdr:nvSpPr>
            <xdr:cNvPr id="21271" name="Object 2839" hidden="1">
              <a:extLst>
                <a:ext uri="{63B3BB69-23CF-44E3-9099-C40C66FF867C}">
                  <a14:compatExt spid="_x0000_s2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571500</xdr:colOff>
          <xdr:row>174</xdr:row>
          <xdr:rowOff>219075</xdr:rowOff>
        </xdr:from>
        <xdr:to>
          <xdr:col>730</xdr:col>
          <xdr:colOff>38100</xdr:colOff>
          <xdr:row>176</xdr:row>
          <xdr:rowOff>142875</xdr:rowOff>
        </xdr:to>
        <xdr:sp macro="" textlink="">
          <xdr:nvSpPr>
            <xdr:cNvPr id="21272" name="Object 2840" hidden="1">
              <a:extLst>
                <a:ext uri="{63B3BB69-23CF-44E3-9099-C40C66FF867C}">
                  <a14:compatExt spid="_x0000_s21272"/>
                </a:ext>
              </a:extLst>
            </xdr:cNvPr>
            <xdr:cNvSpPr/>
          </xdr:nvSpPr>
          <xdr:spPr>
            <a:xfrm>
              <a:off x="0" y="0"/>
              <a:ext cx="0" cy="0"/>
            </a:xfrm>
            <a:prstGeom prst="rect">
              <a:avLst/>
            </a:prstGeom>
          </xdr:spPr>
        </xdr:sp>
        <xdr:clientData/>
      </xdr:twoCellAnchor>
    </mc:Choice>
    <mc:Fallback/>
  </mc:AlternateContent>
  <xdr:twoCellAnchor editAs="oneCell">
    <xdr:from>
      <xdr:col>747</xdr:col>
      <xdr:colOff>539754</xdr:colOff>
      <xdr:row>130</xdr:row>
      <xdr:rowOff>252799</xdr:rowOff>
    </xdr:from>
    <xdr:to>
      <xdr:col>760</xdr:col>
      <xdr:colOff>266700</xdr:colOff>
      <xdr:row>147</xdr:row>
      <xdr:rowOff>285683</xdr:rowOff>
    </xdr:to>
    <xdr:pic>
      <xdr:nvPicPr>
        <xdr:cNvPr id="336" name="Picture 335" descr="Z:\home\volpol\Desktop\Documents\МГКЭИТ\KTR\TABLE_AD4A\IMG Metody\Рисунок_20_IMG.png"/>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2793954" y="58774399"/>
          <a:ext cx="9937746" cy="1108188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1197</xdr:col>
          <xdr:colOff>95250</xdr:colOff>
          <xdr:row>56</xdr:row>
          <xdr:rowOff>19050</xdr:rowOff>
        </xdr:from>
        <xdr:to>
          <xdr:col>1202</xdr:col>
          <xdr:colOff>0</xdr:colOff>
          <xdr:row>57</xdr:row>
          <xdr:rowOff>381000</xdr:rowOff>
        </xdr:to>
        <xdr:sp macro="" textlink="">
          <xdr:nvSpPr>
            <xdr:cNvPr id="21275" name="Object 2843" hidden="1">
              <a:extLst>
                <a:ext uri="{63B3BB69-23CF-44E3-9099-C40C66FF867C}">
                  <a14:compatExt spid="_x0000_s21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51</xdr:row>
          <xdr:rowOff>428625</xdr:rowOff>
        </xdr:from>
        <xdr:to>
          <xdr:col>1196</xdr:col>
          <xdr:colOff>266700</xdr:colOff>
          <xdr:row>53</xdr:row>
          <xdr:rowOff>428625</xdr:rowOff>
        </xdr:to>
        <xdr:sp macro="" textlink="">
          <xdr:nvSpPr>
            <xdr:cNvPr id="21276" name="Object 2844" hidden="1">
              <a:extLst>
                <a:ext uri="{63B3BB69-23CF-44E3-9099-C40C66FF867C}">
                  <a14:compatExt spid="_x0000_s21276"/>
                </a:ext>
              </a:extLst>
            </xdr:cNvPr>
            <xdr:cNvSpPr/>
          </xdr:nvSpPr>
          <xdr:spPr>
            <a:xfrm>
              <a:off x="0" y="0"/>
              <a:ext cx="0" cy="0"/>
            </a:xfrm>
            <a:prstGeom prst="rect">
              <a:avLst/>
            </a:prstGeom>
          </xdr:spPr>
        </xdr:sp>
        <xdr:clientData/>
      </xdr:twoCellAnchor>
    </mc:Choice>
    <mc:Fallback/>
  </mc:AlternateContent>
  <xdr:twoCellAnchor editAs="oneCell">
    <xdr:from>
      <xdr:col>748</xdr:col>
      <xdr:colOff>390526</xdr:colOff>
      <xdr:row>180</xdr:row>
      <xdr:rowOff>456716</xdr:rowOff>
    </xdr:from>
    <xdr:to>
      <xdr:col>760</xdr:col>
      <xdr:colOff>285750</xdr:colOff>
      <xdr:row>189</xdr:row>
      <xdr:rowOff>337034</xdr:rowOff>
    </xdr:to>
    <xdr:pic>
      <xdr:nvPicPr>
        <xdr:cNvPr id="335" name="Picture 334"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43544126" y="21792716"/>
          <a:ext cx="7839074" cy="574771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752</xdr:col>
      <xdr:colOff>304802</xdr:colOff>
      <xdr:row>206</xdr:row>
      <xdr:rowOff>280988</xdr:rowOff>
    </xdr:from>
    <xdr:to>
      <xdr:col>761</xdr:col>
      <xdr:colOff>289049</xdr:colOff>
      <xdr:row>218</xdr:row>
      <xdr:rowOff>362384</xdr:rowOff>
    </xdr:to>
    <xdr:pic>
      <xdr:nvPicPr>
        <xdr:cNvPr id="337" name="Picture 336" descr="9,75"/>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37371927" y="39285863"/>
          <a:ext cx="5556372" cy="751089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478959</xdr:colOff>
      <xdr:row>166</xdr:row>
      <xdr:rowOff>163192</xdr:rowOff>
    </xdr:from>
    <xdr:to>
      <xdr:col>760</xdr:col>
      <xdr:colOff>35392</xdr:colOff>
      <xdr:row>176</xdr:row>
      <xdr:rowOff>533400</xdr:rowOff>
    </xdr:to>
    <xdr:pic>
      <xdr:nvPicPr>
        <xdr:cNvPr id="338" name="Picture 337" descr="Z:\home\volpol\Desktop\Documents\МГКЭИТ\KTR\TABLE_AD4A\IMG Metody\Рисунок_22_IMG.png"/>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05545059" y="101356792"/>
          <a:ext cx="10500658" cy="68853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333374</xdr:colOff>
      <xdr:row>24</xdr:row>
      <xdr:rowOff>214313</xdr:rowOff>
    </xdr:from>
    <xdr:to>
      <xdr:col>903</xdr:col>
      <xdr:colOff>27261</xdr:colOff>
      <xdr:row>25</xdr:row>
      <xdr:rowOff>288608</xdr:rowOff>
    </xdr:to>
    <xdr:pic>
      <xdr:nvPicPr>
        <xdr:cNvPr id="15" name="Picture 14"/>
        <xdr:cNvPicPr>
          <a:picLocks noChangeAspect="1"/>
        </xdr:cNvPicPr>
      </xdr:nvPicPr>
      <xdr:blipFill>
        <a:blip xmlns:r="http://schemas.openxmlformats.org/officeDocument/2006/relationships" r:embed="rId34"/>
        <a:stretch>
          <a:fillRect/>
        </a:stretch>
      </xdr:blipFill>
      <xdr:spPr>
        <a:xfrm>
          <a:off x="585073124" y="15692438"/>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238125</xdr:colOff>
      <xdr:row>28</xdr:row>
      <xdr:rowOff>166687</xdr:rowOff>
    </xdr:from>
    <xdr:to>
      <xdr:col>903</xdr:col>
      <xdr:colOff>8212</xdr:colOff>
      <xdr:row>29</xdr:row>
      <xdr:rowOff>240982</xdr:rowOff>
    </xdr:to>
    <xdr:pic>
      <xdr:nvPicPr>
        <xdr:cNvPr id="17" name="Picture 16"/>
        <xdr:cNvPicPr>
          <a:picLocks noChangeAspect="1"/>
        </xdr:cNvPicPr>
      </xdr:nvPicPr>
      <xdr:blipFill>
        <a:blip xmlns:r="http://schemas.openxmlformats.org/officeDocument/2006/relationships" r:embed="rId35"/>
        <a:stretch>
          <a:fillRect/>
        </a:stretch>
      </xdr:blipFill>
      <xdr:spPr>
        <a:xfrm>
          <a:off x="584977875" y="18121312"/>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574</xdr:col>
      <xdr:colOff>539074</xdr:colOff>
      <xdr:row>56</xdr:row>
      <xdr:rowOff>504824</xdr:rowOff>
    </xdr:from>
    <xdr:to>
      <xdr:col>588</xdr:col>
      <xdr:colOff>280076</xdr:colOff>
      <xdr:row>72</xdr:row>
      <xdr:rowOff>238126</xdr:rowOff>
    </xdr:to>
    <xdr:pic>
      <xdr:nvPicPr>
        <xdr:cNvPr id="346" name="Picture 345" descr="9,74"/>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49230274" y="34642424"/>
          <a:ext cx="8275402" cy="9486902"/>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209050</xdr:colOff>
      <xdr:row>151</xdr:row>
      <xdr:rowOff>183100</xdr:rowOff>
    </xdr:from>
    <xdr:to>
      <xdr:col>760</xdr:col>
      <xdr:colOff>114300</xdr:colOff>
      <xdr:row>161</xdr:row>
      <xdr:rowOff>396020</xdr:rowOff>
    </xdr:to>
    <xdr:pic>
      <xdr:nvPicPr>
        <xdr:cNvPr id="348" name="Picture 347"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29163850" y="84307900"/>
          <a:ext cx="10897100" cy="67280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626</xdr:col>
      <xdr:colOff>69273</xdr:colOff>
      <xdr:row>79</xdr:row>
      <xdr:rowOff>242454</xdr:rowOff>
    </xdr:from>
    <xdr:to>
      <xdr:col>629</xdr:col>
      <xdr:colOff>680604</xdr:colOff>
      <xdr:row>80</xdr:row>
      <xdr:rowOff>445943</xdr:rowOff>
    </xdr:to>
    <xdr:pic>
      <xdr:nvPicPr>
        <xdr:cNvPr id="19" name="Picture 18"/>
        <xdr:cNvPicPr>
          <a:picLocks noChangeAspect="1"/>
        </xdr:cNvPicPr>
      </xdr:nvPicPr>
      <xdr:blipFill>
        <a:blip xmlns:r="http://schemas.openxmlformats.org/officeDocument/2006/relationships" r:embed="rId37"/>
        <a:stretch>
          <a:fillRect/>
        </a:stretch>
      </xdr:blipFill>
      <xdr:spPr>
        <a:xfrm>
          <a:off x="389676409" y="48127227"/>
          <a:ext cx="4191000" cy="8477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554182</xdr:colOff>
      <xdr:row>84</xdr:row>
      <xdr:rowOff>242455</xdr:rowOff>
    </xdr:from>
    <xdr:to>
      <xdr:col>628</xdr:col>
      <xdr:colOff>177511</xdr:colOff>
      <xdr:row>85</xdr:row>
      <xdr:rowOff>322118</xdr:rowOff>
    </xdr:to>
    <xdr:pic>
      <xdr:nvPicPr>
        <xdr:cNvPr id="343" name="Picture 342"/>
        <xdr:cNvPicPr>
          <a:picLocks noChangeAspect="1"/>
        </xdr:cNvPicPr>
      </xdr:nvPicPr>
      <xdr:blipFill>
        <a:blip xmlns:r="http://schemas.openxmlformats.org/officeDocument/2006/relationships" r:embed="rId38"/>
        <a:stretch>
          <a:fillRect/>
        </a:stretch>
      </xdr:blipFill>
      <xdr:spPr>
        <a:xfrm>
          <a:off x="387459682" y="52248955"/>
          <a:ext cx="2014104" cy="736888"/>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500062</xdr:colOff>
      <xdr:row>91</xdr:row>
      <xdr:rowOff>238125</xdr:rowOff>
    </xdr:from>
    <xdr:to>
      <xdr:col>628</xdr:col>
      <xdr:colOff>385762</xdr:colOff>
      <xdr:row>92</xdr:row>
      <xdr:rowOff>342900</xdr:rowOff>
    </xdr:to>
    <xdr:pic>
      <xdr:nvPicPr>
        <xdr:cNvPr id="21" name="Picture 20"/>
        <xdr:cNvPicPr>
          <a:picLocks noChangeAspect="1"/>
        </xdr:cNvPicPr>
      </xdr:nvPicPr>
      <xdr:blipFill>
        <a:blip xmlns:r="http://schemas.openxmlformats.org/officeDocument/2006/relationships" r:embed="rId39"/>
        <a:stretch>
          <a:fillRect/>
        </a:stretch>
      </xdr:blipFill>
      <xdr:spPr>
        <a:xfrm>
          <a:off x="387405562" y="55959375"/>
          <a:ext cx="22764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457200</xdr:colOff>
      <xdr:row>97</xdr:row>
      <xdr:rowOff>247650</xdr:rowOff>
    </xdr:from>
    <xdr:to>
      <xdr:col>628</xdr:col>
      <xdr:colOff>257175</xdr:colOff>
      <xdr:row>99</xdr:row>
      <xdr:rowOff>257175</xdr:rowOff>
    </xdr:to>
    <xdr:pic>
      <xdr:nvPicPr>
        <xdr:cNvPr id="22" name="Picture 21"/>
        <xdr:cNvPicPr>
          <a:picLocks noChangeAspect="1"/>
        </xdr:cNvPicPr>
      </xdr:nvPicPr>
      <xdr:blipFill>
        <a:blip xmlns:r="http://schemas.openxmlformats.org/officeDocument/2006/relationships" r:embed="rId40"/>
        <a:stretch>
          <a:fillRect/>
        </a:stretch>
      </xdr:blipFill>
      <xdr:spPr>
        <a:xfrm>
          <a:off x="381457200" y="59378850"/>
          <a:ext cx="2200275" cy="13049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571500</xdr:colOff>
      <xdr:row>100</xdr:row>
      <xdr:rowOff>142876</xdr:rowOff>
    </xdr:from>
    <xdr:to>
      <xdr:col>629</xdr:col>
      <xdr:colOff>561975</xdr:colOff>
      <xdr:row>102</xdr:row>
      <xdr:rowOff>342901</xdr:rowOff>
    </xdr:to>
    <xdr:pic>
      <xdr:nvPicPr>
        <xdr:cNvPr id="349" name="Picture 348"/>
        <xdr:cNvPicPr>
          <a:picLocks noChangeAspect="1"/>
        </xdr:cNvPicPr>
      </xdr:nvPicPr>
      <xdr:blipFill>
        <a:blip xmlns:r="http://schemas.openxmlformats.org/officeDocument/2006/relationships" r:embed="rId41"/>
        <a:stretch>
          <a:fillRect/>
        </a:stretch>
      </xdr:blipFill>
      <xdr:spPr>
        <a:xfrm>
          <a:off x="386262563" y="60817126"/>
          <a:ext cx="4772025" cy="15144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452438</xdr:colOff>
      <xdr:row>103</xdr:row>
      <xdr:rowOff>261937</xdr:rowOff>
    </xdr:from>
    <xdr:to>
      <xdr:col>628</xdr:col>
      <xdr:colOff>1076326</xdr:colOff>
      <xdr:row>105</xdr:row>
      <xdr:rowOff>290512</xdr:rowOff>
    </xdr:to>
    <xdr:pic>
      <xdr:nvPicPr>
        <xdr:cNvPr id="20" name="Picture 19"/>
        <xdr:cNvPicPr>
          <a:picLocks noChangeAspect="1"/>
        </xdr:cNvPicPr>
      </xdr:nvPicPr>
      <xdr:blipFill>
        <a:blip xmlns:r="http://schemas.openxmlformats.org/officeDocument/2006/relationships" r:embed="rId42"/>
        <a:stretch>
          <a:fillRect/>
        </a:stretch>
      </xdr:blipFill>
      <xdr:spPr>
        <a:xfrm>
          <a:off x="386143501" y="64031812"/>
          <a:ext cx="4210050" cy="13430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904875</xdr:colOff>
      <xdr:row>106</xdr:row>
      <xdr:rowOff>261937</xdr:rowOff>
    </xdr:from>
    <xdr:to>
      <xdr:col>628</xdr:col>
      <xdr:colOff>423863</xdr:colOff>
      <xdr:row>107</xdr:row>
      <xdr:rowOff>376237</xdr:rowOff>
    </xdr:to>
    <xdr:pic>
      <xdr:nvPicPr>
        <xdr:cNvPr id="23" name="Picture 22"/>
        <xdr:cNvPicPr>
          <a:picLocks noChangeAspect="1"/>
        </xdr:cNvPicPr>
      </xdr:nvPicPr>
      <xdr:blipFill>
        <a:blip xmlns:r="http://schemas.openxmlformats.org/officeDocument/2006/relationships" r:embed="rId43"/>
        <a:stretch>
          <a:fillRect/>
        </a:stretch>
      </xdr:blipFill>
      <xdr:spPr>
        <a:xfrm>
          <a:off x="386595938" y="65889187"/>
          <a:ext cx="31051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575</xdr:col>
      <xdr:colOff>380999</xdr:colOff>
      <xdr:row>153</xdr:row>
      <xdr:rowOff>76200</xdr:rowOff>
    </xdr:from>
    <xdr:to>
      <xdr:col>596</xdr:col>
      <xdr:colOff>209549</xdr:colOff>
      <xdr:row>166</xdr:row>
      <xdr:rowOff>429025</xdr:rowOff>
    </xdr:to>
    <xdr:pic>
      <xdr:nvPicPr>
        <xdr:cNvPr id="24" name="Picture 23"/>
        <xdr:cNvPicPr>
          <a:picLocks noChangeAspect="1"/>
        </xdr:cNvPicPr>
      </xdr:nvPicPr>
      <xdr:blipFill>
        <a:blip xmlns:r="http://schemas.openxmlformats.org/officeDocument/2006/relationships" r:embed="rId44"/>
        <a:stretch>
          <a:fillRect/>
        </a:stretch>
      </xdr:blipFill>
      <xdr:spPr>
        <a:xfrm>
          <a:off x="349681799" y="93345000"/>
          <a:ext cx="13716000" cy="88110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419099</xdr:colOff>
      <xdr:row>168</xdr:row>
      <xdr:rowOff>419100</xdr:rowOff>
    </xdr:from>
    <xdr:to>
      <xdr:col>596</xdr:col>
      <xdr:colOff>247649</xdr:colOff>
      <xdr:row>174</xdr:row>
      <xdr:rowOff>217419</xdr:rowOff>
    </xdr:to>
    <xdr:pic>
      <xdr:nvPicPr>
        <xdr:cNvPr id="25" name="Picture 24"/>
        <xdr:cNvPicPr>
          <a:picLocks noChangeAspect="1"/>
        </xdr:cNvPicPr>
      </xdr:nvPicPr>
      <xdr:blipFill>
        <a:blip xmlns:r="http://schemas.openxmlformats.org/officeDocument/2006/relationships" r:embed="rId45"/>
        <a:stretch>
          <a:fillRect/>
        </a:stretch>
      </xdr:blipFill>
      <xdr:spPr>
        <a:xfrm>
          <a:off x="349719899" y="102831900"/>
          <a:ext cx="13716000" cy="368451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457200</xdr:colOff>
      <xdr:row>175</xdr:row>
      <xdr:rowOff>342900</xdr:rowOff>
    </xdr:from>
    <xdr:to>
      <xdr:col>596</xdr:col>
      <xdr:colOff>285750</xdr:colOff>
      <xdr:row>189</xdr:row>
      <xdr:rowOff>278832</xdr:rowOff>
    </xdr:to>
    <xdr:pic>
      <xdr:nvPicPr>
        <xdr:cNvPr id="26" name="Picture 25"/>
        <xdr:cNvPicPr>
          <a:picLocks noChangeAspect="1"/>
        </xdr:cNvPicPr>
      </xdr:nvPicPr>
      <xdr:blipFill>
        <a:blip xmlns:r="http://schemas.openxmlformats.org/officeDocument/2006/relationships" r:embed="rId46"/>
        <a:stretch>
          <a:fillRect/>
        </a:stretch>
      </xdr:blipFill>
      <xdr:spPr>
        <a:xfrm>
          <a:off x="355215825" y="108689775"/>
          <a:ext cx="13935075" cy="91847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419100</xdr:colOff>
      <xdr:row>191</xdr:row>
      <xdr:rowOff>190499</xdr:rowOff>
    </xdr:from>
    <xdr:to>
      <xdr:col>596</xdr:col>
      <xdr:colOff>247650</xdr:colOff>
      <xdr:row>197</xdr:row>
      <xdr:rowOff>16427</xdr:rowOff>
    </xdr:to>
    <xdr:pic>
      <xdr:nvPicPr>
        <xdr:cNvPr id="27" name="Picture 26"/>
        <xdr:cNvPicPr>
          <a:picLocks noChangeAspect="1"/>
        </xdr:cNvPicPr>
      </xdr:nvPicPr>
      <xdr:blipFill>
        <a:blip xmlns:r="http://schemas.openxmlformats.org/officeDocument/2006/relationships" r:embed="rId47"/>
        <a:stretch>
          <a:fillRect/>
        </a:stretch>
      </xdr:blipFill>
      <xdr:spPr>
        <a:xfrm>
          <a:off x="349719900" y="116624099"/>
          <a:ext cx="13716000" cy="371212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625</xdr:col>
      <xdr:colOff>857250</xdr:colOff>
      <xdr:row>128</xdr:row>
      <xdr:rowOff>285749</xdr:rowOff>
    </xdr:from>
    <xdr:to>
      <xdr:col>628</xdr:col>
      <xdr:colOff>795338</xdr:colOff>
      <xdr:row>129</xdr:row>
      <xdr:rowOff>400049</xdr:rowOff>
    </xdr:to>
    <xdr:pic>
      <xdr:nvPicPr>
        <xdr:cNvPr id="28" name="Picture 27"/>
        <xdr:cNvPicPr>
          <a:picLocks noChangeAspect="1"/>
        </xdr:cNvPicPr>
      </xdr:nvPicPr>
      <xdr:blipFill>
        <a:blip xmlns:r="http://schemas.openxmlformats.org/officeDocument/2006/relationships" r:embed="rId48"/>
        <a:stretch>
          <a:fillRect/>
        </a:stretch>
      </xdr:blipFill>
      <xdr:spPr>
        <a:xfrm>
          <a:off x="386548313" y="77676374"/>
          <a:ext cx="35242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595313</xdr:colOff>
      <xdr:row>121</xdr:row>
      <xdr:rowOff>571499</xdr:rowOff>
    </xdr:from>
    <xdr:to>
      <xdr:col>629</xdr:col>
      <xdr:colOff>242888</xdr:colOff>
      <xdr:row>123</xdr:row>
      <xdr:rowOff>19049</xdr:rowOff>
    </xdr:to>
    <xdr:pic>
      <xdr:nvPicPr>
        <xdr:cNvPr id="29" name="Picture 28"/>
        <xdr:cNvPicPr>
          <a:picLocks noChangeAspect="1"/>
        </xdr:cNvPicPr>
      </xdr:nvPicPr>
      <xdr:blipFill>
        <a:blip xmlns:r="http://schemas.openxmlformats.org/officeDocument/2006/relationships" r:embed="rId49"/>
        <a:stretch>
          <a:fillRect/>
        </a:stretch>
      </xdr:blipFill>
      <xdr:spPr>
        <a:xfrm>
          <a:off x="445627126" y="75485624"/>
          <a:ext cx="50958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619124</xdr:colOff>
      <xdr:row>125</xdr:row>
      <xdr:rowOff>238125</xdr:rowOff>
    </xdr:from>
    <xdr:to>
      <xdr:col>628</xdr:col>
      <xdr:colOff>985837</xdr:colOff>
      <xdr:row>127</xdr:row>
      <xdr:rowOff>276225</xdr:rowOff>
    </xdr:to>
    <xdr:pic>
      <xdr:nvPicPr>
        <xdr:cNvPr id="31" name="Picture 30"/>
        <xdr:cNvPicPr>
          <a:picLocks noChangeAspect="1"/>
        </xdr:cNvPicPr>
      </xdr:nvPicPr>
      <xdr:blipFill>
        <a:blip xmlns:r="http://schemas.openxmlformats.org/officeDocument/2006/relationships" r:embed="rId50"/>
        <a:stretch>
          <a:fillRect/>
        </a:stretch>
      </xdr:blipFill>
      <xdr:spPr>
        <a:xfrm>
          <a:off x="386310187" y="75771375"/>
          <a:ext cx="3952875" cy="13525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625</xdr:col>
          <xdr:colOff>419100</xdr:colOff>
          <xdr:row>148</xdr:row>
          <xdr:rowOff>28575</xdr:rowOff>
        </xdr:from>
        <xdr:to>
          <xdr:col>629</xdr:col>
          <xdr:colOff>247650</xdr:colOff>
          <xdr:row>149</xdr:row>
          <xdr:rowOff>171450</xdr:rowOff>
        </xdr:to>
        <xdr:sp macro="" textlink="">
          <xdr:nvSpPr>
            <xdr:cNvPr id="21302" name="Object 2870" hidden="1">
              <a:extLst>
                <a:ext uri="{63B3BB69-23CF-44E3-9099-C40C66FF867C}">
                  <a14:compatExt spid="_x0000_s21302"/>
                </a:ext>
              </a:extLst>
            </xdr:cNvPr>
            <xdr:cNvSpPr/>
          </xdr:nvSpPr>
          <xdr:spPr>
            <a:xfrm>
              <a:off x="0" y="0"/>
              <a:ext cx="0" cy="0"/>
            </a:xfrm>
            <a:prstGeom prst="rect">
              <a:avLst/>
            </a:prstGeom>
          </xdr:spPr>
        </xdr:sp>
        <xdr:clientData/>
      </xdr:twoCellAnchor>
    </mc:Choice>
    <mc:Fallback/>
  </mc:AlternateContent>
  <xdr:twoCellAnchor editAs="oneCell">
    <xdr:from>
      <xdr:col>625</xdr:col>
      <xdr:colOff>595312</xdr:colOff>
      <xdr:row>154</xdr:row>
      <xdr:rowOff>214313</xdr:rowOff>
    </xdr:from>
    <xdr:to>
      <xdr:col>629</xdr:col>
      <xdr:colOff>404812</xdr:colOff>
      <xdr:row>156</xdr:row>
      <xdr:rowOff>338138</xdr:rowOff>
    </xdr:to>
    <xdr:pic>
      <xdr:nvPicPr>
        <xdr:cNvPr id="20513" name="Picture 20512"/>
        <xdr:cNvPicPr>
          <a:picLocks noChangeAspect="1"/>
        </xdr:cNvPicPr>
      </xdr:nvPicPr>
      <xdr:blipFill>
        <a:blip xmlns:r="http://schemas.openxmlformats.org/officeDocument/2006/relationships" r:embed="rId51"/>
        <a:stretch>
          <a:fillRect/>
        </a:stretch>
      </xdr:blipFill>
      <xdr:spPr>
        <a:xfrm>
          <a:off x="386286375" y="93702188"/>
          <a:ext cx="4591050" cy="14382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618</xdr:col>
      <xdr:colOff>404814</xdr:colOff>
      <xdr:row>150</xdr:row>
      <xdr:rowOff>595313</xdr:rowOff>
    </xdr:from>
    <xdr:to>
      <xdr:col>629</xdr:col>
      <xdr:colOff>1</xdr:colOff>
      <xdr:row>153</xdr:row>
      <xdr:rowOff>90488</xdr:rowOff>
    </xdr:to>
    <xdr:pic>
      <xdr:nvPicPr>
        <xdr:cNvPr id="375" name="Picture 374"/>
        <xdr:cNvPicPr>
          <a:picLocks noChangeAspect="1"/>
        </xdr:cNvPicPr>
      </xdr:nvPicPr>
      <xdr:blipFill>
        <a:blip xmlns:r="http://schemas.openxmlformats.org/officeDocument/2006/relationships" r:embed="rId52"/>
        <a:stretch>
          <a:fillRect/>
        </a:stretch>
      </xdr:blipFill>
      <xdr:spPr>
        <a:xfrm>
          <a:off x="381785814" y="91606688"/>
          <a:ext cx="9048750" cy="14668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622</xdr:col>
      <xdr:colOff>476250</xdr:colOff>
      <xdr:row>141</xdr:row>
      <xdr:rowOff>214313</xdr:rowOff>
    </xdr:from>
    <xdr:to>
      <xdr:col>629</xdr:col>
      <xdr:colOff>881062</xdr:colOff>
      <xdr:row>143</xdr:row>
      <xdr:rowOff>357188</xdr:rowOff>
    </xdr:to>
    <xdr:pic>
      <xdr:nvPicPr>
        <xdr:cNvPr id="20516" name="Picture 20515"/>
        <xdr:cNvPicPr>
          <a:picLocks noChangeAspect="1"/>
        </xdr:cNvPicPr>
      </xdr:nvPicPr>
      <xdr:blipFill>
        <a:blip xmlns:r="http://schemas.openxmlformats.org/officeDocument/2006/relationships" r:embed="rId53"/>
        <a:stretch>
          <a:fillRect/>
        </a:stretch>
      </xdr:blipFill>
      <xdr:spPr>
        <a:xfrm>
          <a:off x="384333750" y="85653563"/>
          <a:ext cx="7153275" cy="14573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833436</xdr:colOff>
      <xdr:row>138</xdr:row>
      <xdr:rowOff>214312</xdr:rowOff>
    </xdr:from>
    <xdr:to>
      <xdr:col>628</xdr:col>
      <xdr:colOff>971549</xdr:colOff>
      <xdr:row>140</xdr:row>
      <xdr:rowOff>309562</xdr:rowOff>
    </xdr:to>
    <xdr:pic>
      <xdr:nvPicPr>
        <xdr:cNvPr id="20517" name="Picture 20516"/>
        <xdr:cNvPicPr>
          <a:picLocks noChangeAspect="1"/>
        </xdr:cNvPicPr>
      </xdr:nvPicPr>
      <xdr:blipFill>
        <a:blip xmlns:r="http://schemas.openxmlformats.org/officeDocument/2006/relationships" r:embed="rId54"/>
        <a:stretch>
          <a:fillRect/>
        </a:stretch>
      </xdr:blipFill>
      <xdr:spPr>
        <a:xfrm>
          <a:off x="386524499" y="83796187"/>
          <a:ext cx="3724275" cy="14097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619125</xdr:colOff>
      <xdr:row>136</xdr:row>
      <xdr:rowOff>238125</xdr:rowOff>
    </xdr:from>
    <xdr:to>
      <xdr:col>628</xdr:col>
      <xdr:colOff>738188</xdr:colOff>
      <xdr:row>137</xdr:row>
      <xdr:rowOff>342900</xdr:rowOff>
    </xdr:to>
    <xdr:pic>
      <xdr:nvPicPr>
        <xdr:cNvPr id="20520" name="Picture 20519"/>
        <xdr:cNvPicPr>
          <a:picLocks noChangeAspect="1"/>
        </xdr:cNvPicPr>
      </xdr:nvPicPr>
      <xdr:blipFill>
        <a:blip xmlns:r="http://schemas.openxmlformats.org/officeDocument/2006/relationships" r:embed="rId55"/>
        <a:stretch>
          <a:fillRect/>
        </a:stretch>
      </xdr:blipFill>
      <xdr:spPr>
        <a:xfrm>
          <a:off x="386310188" y="82581750"/>
          <a:ext cx="3714750"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928687</xdr:colOff>
      <xdr:row>133</xdr:row>
      <xdr:rowOff>214313</xdr:rowOff>
    </xdr:from>
    <xdr:to>
      <xdr:col>628</xdr:col>
      <xdr:colOff>876300</xdr:colOff>
      <xdr:row>135</xdr:row>
      <xdr:rowOff>157163</xdr:rowOff>
    </xdr:to>
    <xdr:pic>
      <xdr:nvPicPr>
        <xdr:cNvPr id="20527" name="Picture 20526"/>
        <xdr:cNvPicPr>
          <a:picLocks noChangeAspect="1"/>
        </xdr:cNvPicPr>
      </xdr:nvPicPr>
      <xdr:blipFill>
        <a:blip xmlns:r="http://schemas.openxmlformats.org/officeDocument/2006/relationships" r:embed="rId56"/>
        <a:stretch>
          <a:fillRect/>
        </a:stretch>
      </xdr:blipFill>
      <xdr:spPr>
        <a:xfrm>
          <a:off x="386619750" y="80700563"/>
          <a:ext cx="3533775" cy="12573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722</xdr:col>
      <xdr:colOff>452437</xdr:colOff>
      <xdr:row>120</xdr:row>
      <xdr:rowOff>595312</xdr:rowOff>
    </xdr:from>
    <xdr:to>
      <xdr:col>741</xdr:col>
      <xdr:colOff>395287</xdr:colOff>
      <xdr:row>123</xdr:row>
      <xdr:rowOff>461962</xdr:rowOff>
    </xdr:to>
    <xdr:pic>
      <xdr:nvPicPr>
        <xdr:cNvPr id="20515" name="Picture 20514"/>
        <xdr:cNvPicPr>
          <a:picLocks noChangeAspect="1"/>
        </xdr:cNvPicPr>
      </xdr:nvPicPr>
      <xdr:blipFill>
        <a:blip xmlns:r="http://schemas.openxmlformats.org/officeDocument/2006/relationships" r:embed="rId57"/>
        <a:stretch>
          <a:fillRect/>
        </a:stretch>
      </xdr:blipFill>
      <xdr:spPr>
        <a:xfrm>
          <a:off x="579453375" y="74890312"/>
          <a:ext cx="14697075" cy="1838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658</xdr:col>
      <xdr:colOff>238128</xdr:colOff>
      <xdr:row>64</xdr:row>
      <xdr:rowOff>0</xdr:rowOff>
    </xdr:from>
    <xdr:to>
      <xdr:col>667</xdr:col>
      <xdr:colOff>785814</xdr:colOff>
      <xdr:row>77</xdr:row>
      <xdr:rowOff>352859</xdr:rowOff>
    </xdr:to>
    <xdr:graphicFrame macro="">
      <xdr:nvGraphicFramePr>
        <xdr:cNvPr id="365" name="Chart 3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654</xdr:col>
      <xdr:colOff>807241</xdr:colOff>
      <xdr:row>215</xdr:row>
      <xdr:rowOff>2380</xdr:rowOff>
    </xdr:from>
    <xdr:to>
      <xdr:col>662</xdr:col>
      <xdr:colOff>200024</xdr:colOff>
      <xdr:row>227</xdr:row>
      <xdr:rowOff>233362</xdr:rowOff>
    </xdr:to>
    <xdr:graphicFrame macro="">
      <xdr:nvGraphicFramePr>
        <xdr:cNvPr id="368" name="Chart 3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669</xdr:col>
      <xdr:colOff>833440</xdr:colOff>
      <xdr:row>214</xdr:row>
      <xdr:rowOff>571500</xdr:rowOff>
    </xdr:from>
    <xdr:to>
      <xdr:col>679</xdr:col>
      <xdr:colOff>1</xdr:colOff>
      <xdr:row>228</xdr:row>
      <xdr:rowOff>305234</xdr:rowOff>
    </xdr:to>
    <xdr:graphicFrame macro="">
      <xdr:nvGraphicFramePr>
        <xdr:cNvPr id="369" name="Chart 3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editAs="oneCell">
    <xdr:from>
      <xdr:col>736</xdr:col>
      <xdr:colOff>190500</xdr:colOff>
      <xdr:row>209</xdr:row>
      <xdr:rowOff>304800</xdr:rowOff>
    </xdr:from>
    <xdr:to>
      <xdr:col>740</xdr:col>
      <xdr:colOff>4953</xdr:colOff>
      <xdr:row>210</xdr:row>
      <xdr:rowOff>388620</xdr:rowOff>
    </xdr:to>
    <xdr:pic>
      <xdr:nvPicPr>
        <xdr:cNvPr id="18" name="Picture 17"/>
        <xdr:cNvPicPr>
          <a:picLocks noChangeAspect="1"/>
        </xdr:cNvPicPr>
      </xdr:nvPicPr>
      <xdr:blipFill>
        <a:blip xmlns:r="http://schemas.openxmlformats.org/officeDocument/2006/relationships" r:embed="rId61"/>
        <a:stretch>
          <a:fillRect/>
        </a:stretch>
      </xdr:blipFill>
      <xdr:spPr>
        <a:xfrm>
          <a:off x="506768100" y="127711200"/>
          <a:ext cx="2395728"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727</xdr:col>
          <xdr:colOff>238125</xdr:colOff>
          <xdr:row>26</xdr:row>
          <xdr:rowOff>523875</xdr:rowOff>
        </xdr:from>
        <xdr:to>
          <xdr:col>731</xdr:col>
          <xdr:colOff>47625</xdr:colOff>
          <xdr:row>27</xdr:row>
          <xdr:rowOff>266700</xdr:rowOff>
        </xdr:to>
        <xdr:sp macro="" textlink="">
          <xdr:nvSpPr>
            <xdr:cNvPr id="21307" name="Object 2875" hidden="1">
              <a:extLst>
                <a:ext uri="{63B3BB69-23CF-44E3-9099-C40C66FF867C}">
                  <a14:compatExt spid="_x0000_s21307"/>
                </a:ext>
              </a:extLst>
            </xdr:cNvPr>
            <xdr:cNvSpPr/>
          </xdr:nvSpPr>
          <xdr:spPr>
            <a:xfrm>
              <a:off x="0" y="0"/>
              <a:ext cx="0" cy="0"/>
            </a:xfrm>
            <a:prstGeom prst="rect">
              <a:avLst/>
            </a:prstGeom>
          </xdr:spPr>
        </xdr:sp>
        <xdr:clientData/>
      </xdr:twoCellAnchor>
    </mc:Choice>
    <mc:Fallback/>
  </mc:AlternateContent>
  <xdr:twoCellAnchor>
    <xdr:from>
      <xdr:col>631</xdr:col>
      <xdr:colOff>652463</xdr:colOff>
      <xdr:row>63</xdr:row>
      <xdr:rowOff>523875</xdr:rowOff>
    </xdr:from>
    <xdr:to>
      <xdr:col>639</xdr:col>
      <xdr:colOff>856167</xdr:colOff>
      <xdr:row>74</xdr:row>
      <xdr:rowOff>413471</xdr:rowOff>
    </xdr:to>
    <xdr:graphicFrame macro="">
      <xdr:nvGraphicFramePr>
        <xdr:cNvPr id="370"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editAs="oneCell">
    <xdr:from>
      <xdr:col>149</xdr:col>
      <xdr:colOff>381003</xdr:colOff>
      <xdr:row>92</xdr:row>
      <xdr:rowOff>261937</xdr:rowOff>
    </xdr:from>
    <xdr:to>
      <xdr:col>159</xdr:col>
      <xdr:colOff>591179</xdr:colOff>
      <xdr:row>93</xdr:row>
      <xdr:rowOff>324712</xdr:rowOff>
    </xdr:to>
    <xdr:pic>
      <xdr:nvPicPr>
        <xdr:cNvPr id="20514" name="Picture 20513"/>
        <xdr:cNvPicPr>
          <a:picLocks noChangeAspect="1"/>
        </xdr:cNvPicPr>
      </xdr:nvPicPr>
      <xdr:blipFill>
        <a:blip xmlns:r="http://schemas.openxmlformats.org/officeDocument/2006/relationships" r:embed="rId63"/>
        <a:stretch>
          <a:fillRect/>
        </a:stretch>
      </xdr:blipFill>
      <xdr:spPr>
        <a:xfrm>
          <a:off x="108251628" y="57221437"/>
          <a:ext cx="7973051"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110</xdr:col>
      <xdr:colOff>142875</xdr:colOff>
      <xdr:row>117</xdr:row>
      <xdr:rowOff>23813</xdr:rowOff>
    </xdr:from>
    <xdr:to>
      <xdr:col>118</xdr:col>
      <xdr:colOff>590550</xdr:colOff>
      <xdr:row>120</xdr:row>
      <xdr:rowOff>304999</xdr:rowOff>
    </xdr:to>
    <xdr:pic>
      <xdr:nvPicPr>
        <xdr:cNvPr id="20518" name="Picture 20517"/>
        <xdr:cNvPicPr>
          <a:picLocks noChangeAspect="1"/>
        </xdr:cNvPicPr>
      </xdr:nvPicPr>
      <xdr:blipFill>
        <a:blip xmlns:r="http://schemas.openxmlformats.org/officeDocument/2006/relationships" r:embed="rId64"/>
        <a:stretch>
          <a:fillRect/>
        </a:stretch>
      </xdr:blipFill>
      <xdr:spPr>
        <a:xfrm>
          <a:off x="73485375" y="66889313"/>
          <a:ext cx="5781675" cy="1995686"/>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428626</xdr:colOff>
      <xdr:row>100</xdr:row>
      <xdr:rowOff>309562</xdr:rowOff>
    </xdr:from>
    <xdr:to>
      <xdr:col>155</xdr:col>
      <xdr:colOff>493127</xdr:colOff>
      <xdr:row>101</xdr:row>
      <xdr:rowOff>372337</xdr:rowOff>
    </xdr:to>
    <xdr:pic>
      <xdr:nvPicPr>
        <xdr:cNvPr id="20521" name="Picture 20520"/>
        <xdr:cNvPicPr>
          <a:picLocks noChangeAspect="1"/>
        </xdr:cNvPicPr>
      </xdr:nvPicPr>
      <xdr:blipFill>
        <a:blip xmlns:r="http://schemas.openxmlformats.org/officeDocument/2006/relationships" r:embed="rId65"/>
        <a:stretch>
          <a:fillRect/>
        </a:stretch>
      </xdr:blipFill>
      <xdr:spPr>
        <a:xfrm>
          <a:off x="108299251" y="61602937"/>
          <a:ext cx="4741276"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381001</xdr:colOff>
      <xdr:row>104</xdr:row>
      <xdr:rowOff>309561</xdr:rowOff>
    </xdr:from>
    <xdr:to>
      <xdr:col>156</xdr:col>
      <xdr:colOff>371831</xdr:colOff>
      <xdr:row>105</xdr:row>
      <xdr:rowOff>372336</xdr:rowOff>
    </xdr:to>
    <xdr:pic>
      <xdr:nvPicPr>
        <xdr:cNvPr id="20523" name="Picture 20522"/>
        <xdr:cNvPicPr>
          <a:picLocks noChangeAspect="1"/>
        </xdr:cNvPicPr>
      </xdr:nvPicPr>
      <xdr:blipFill>
        <a:blip xmlns:r="http://schemas.openxmlformats.org/officeDocument/2006/relationships" r:embed="rId66"/>
        <a:stretch>
          <a:fillRect/>
        </a:stretch>
      </xdr:blipFill>
      <xdr:spPr>
        <a:xfrm>
          <a:off x="103251001" y="64698561"/>
          <a:ext cx="5439130"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226</xdr:col>
      <xdr:colOff>357188</xdr:colOff>
      <xdr:row>66</xdr:row>
      <xdr:rowOff>190500</xdr:rowOff>
    </xdr:from>
    <xdr:to>
      <xdr:col>242</xdr:col>
      <xdr:colOff>275142</xdr:colOff>
      <xdr:row>77</xdr:row>
      <xdr:rowOff>80096</xdr:rowOff>
    </xdr:to>
    <xdr:graphicFrame macro="">
      <xdr:nvGraphicFramePr>
        <xdr:cNvPr id="356" name="Chart 3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219</xdr:col>
      <xdr:colOff>0</xdr:colOff>
      <xdr:row>11</xdr:row>
      <xdr:rowOff>0</xdr:rowOff>
    </xdr:from>
    <xdr:to>
      <xdr:col>234</xdr:col>
      <xdr:colOff>537079</xdr:colOff>
      <xdr:row>21</xdr:row>
      <xdr:rowOff>508721</xdr:rowOff>
    </xdr:to>
    <xdr:graphicFrame macro="">
      <xdr:nvGraphicFramePr>
        <xdr:cNvPr id="357" name="Chart 3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644</xdr:col>
      <xdr:colOff>188117</xdr:colOff>
      <xdr:row>215</xdr:row>
      <xdr:rowOff>342900</xdr:rowOff>
    </xdr:from>
    <xdr:to>
      <xdr:col>651</xdr:col>
      <xdr:colOff>633412</xdr:colOff>
      <xdr:row>227</xdr:row>
      <xdr:rowOff>583407</xdr:rowOff>
    </xdr:to>
    <xdr:graphicFrame macro="">
      <xdr:nvGraphicFramePr>
        <xdr:cNvPr id="358"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633</xdr:col>
      <xdr:colOff>0</xdr:colOff>
      <xdr:row>216</xdr:row>
      <xdr:rowOff>376578</xdr:rowOff>
    </xdr:from>
    <xdr:to>
      <xdr:col>641</xdr:col>
      <xdr:colOff>203704</xdr:colOff>
      <xdr:row>227</xdr:row>
      <xdr:rowOff>266174</xdr:rowOff>
    </xdr:to>
    <xdr:graphicFrame macro="">
      <xdr:nvGraphicFramePr>
        <xdr:cNvPr id="359"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641</xdr:col>
      <xdr:colOff>119063</xdr:colOff>
      <xdr:row>64</xdr:row>
      <xdr:rowOff>381000</xdr:rowOff>
    </xdr:from>
    <xdr:to>
      <xdr:col>648</xdr:col>
      <xdr:colOff>559596</xdr:colOff>
      <xdr:row>77</xdr:row>
      <xdr:rowOff>2382</xdr:rowOff>
    </xdr:to>
    <xdr:graphicFrame macro="">
      <xdr:nvGraphicFramePr>
        <xdr:cNvPr id="360"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editAs="oneCell">
    <xdr:from>
      <xdr:col>585</xdr:col>
      <xdr:colOff>190500</xdr:colOff>
      <xdr:row>89</xdr:row>
      <xdr:rowOff>95250</xdr:rowOff>
    </xdr:from>
    <xdr:to>
      <xdr:col>591</xdr:col>
      <xdr:colOff>533400</xdr:colOff>
      <xdr:row>93</xdr:row>
      <xdr:rowOff>228600</xdr:rowOff>
    </xdr:to>
    <xdr:pic>
      <xdr:nvPicPr>
        <xdr:cNvPr id="361" name="Picture 360"/>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412527750" y="5434965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586</xdr:col>
      <xdr:colOff>190500</xdr:colOff>
      <xdr:row>156</xdr:row>
      <xdr:rowOff>381000</xdr:rowOff>
    </xdr:from>
    <xdr:to>
      <xdr:col>592</xdr:col>
      <xdr:colOff>533400</xdr:colOff>
      <xdr:row>160</xdr:row>
      <xdr:rowOff>514350</xdr:rowOff>
    </xdr:to>
    <xdr:pic>
      <xdr:nvPicPr>
        <xdr:cNvPr id="362" name="Picture 361"/>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413232600" y="9547860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582</xdr:col>
      <xdr:colOff>190500</xdr:colOff>
      <xdr:row>121</xdr:row>
      <xdr:rowOff>95250</xdr:rowOff>
    </xdr:from>
    <xdr:to>
      <xdr:col>588</xdr:col>
      <xdr:colOff>533400</xdr:colOff>
      <xdr:row>125</xdr:row>
      <xdr:rowOff>228600</xdr:rowOff>
    </xdr:to>
    <xdr:pic>
      <xdr:nvPicPr>
        <xdr:cNvPr id="363" name="Picture 362"/>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410413200" y="7385685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587</xdr:col>
      <xdr:colOff>95250</xdr:colOff>
      <xdr:row>93</xdr:row>
      <xdr:rowOff>0</xdr:rowOff>
    </xdr:from>
    <xdr:to>
      <xdr:col>593</xdr:col>
      <xdr:colOff>438150</xdr:colOff>
      <xdr:row>97</xdr:row>
      <xdr:rowOff>133350</xdr:rowOff>
    </xdr:to>
    <xdr:pic>
      <xdr:nvPicPr>
        <xdr:cNvPr id="364" name="Picture 363"/>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413842200" y="5669280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c:userShapes xmlns:c="http://schemas.openxmlformats.org/drawingml/2006/chart">
  <cdr:relSizeAnchor xmlns:cdr="http://schemas.openxmlformats.org/drawingml/2006/chartDrawing">
    <cdr:from>
      <cdr:x>0.10667</cdr:x>
      <cdr:y>0.03722</cdr:y>
    </cdr:from>
    <cdr:to>
      <cdr:x>0.89358</cdr:x>
      <cdr:y>0.11904</cdr:y>
    </cdr:to>
    <cdr:sp macro="" textlink="">
      <cdr:nvSpPr>
        <cdr:cNvPr id="2" name="TextBox 1"/>
        <cdr:cNvSpPr txBox="1"/>
      </cdr:nvSpPr>
      <cdr:spPr>
        <a:xfrm xmlns:a="http://schemas.openxmlformats.org/drawingml/2006/main">
          <a:off x="1384300" y="312737"/>
          <a:ext cx="10212384" cy="68738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3.xml><?xml version="1.0" encoding="utf-8"?>
<c:userShapes xmlns:c="http://schemas.openxmlformats.org/drawingml/2006/chart">
  <cdr:relSizeAnchor xmlns:cdr="http://schemas.openxmlformats.org/drawingml/2006/chartDrawing">
    <cdr:from>
      <cdr:x>0.12167</cdr:x>
      <cdr:y>0.0593</cdr:y>
    </cdr:from>
    <cdr:to>
      <cdr:x>0.81517</cdr:x>
      <cdr:y>0.11829</cdr:y>
    </cdr:to>
    <cdr:sp macro="" textlink="">
      <cdr:nvSpPr>
        <cdr:cNvPr id="2" name="TextBox 1"/>
        <cdr:cNvSpPr txBox="1"/>
      </cdr:nvSpPr>
      <cdr:spPr>
        <a:xfrm xmlns:a="http://schemas.openxmlformats.org/drawingml/2006/main">
          <a:off x="1250157" y="454821"/>
          <a:ext cx="7125807" cy="45243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endParaRPr lang="ru-RU" sz="1100" b="1" baseline="-25000">
            <a:latin typeface="Times New Roman" pitchFamily="18" charset="0"/>
            <a:cs typeface="Times New Roman"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0.13502</cdr:x>
      <cdr:y>0.03439</cdr:y>
    </cdr:from>
    <cdr:to>
      <cdr:x>0.93352</cdr:x>
      <cdr:y>0.11621</cdr:y>
    </cdr:to>
    <cdr:sp macro="" textlink="">
      <cdr:nvSpPr>
        <cdr:cNvPr id="2" name="TextBox 1"/>
        <cdr:cNvSpPr txBox="1"/>
      </cdr:nvSpPr>
      <cdr:spPr>
        <a:xfrm xmlns:a="http://schemas.openxmlformats.org/drawingml/2006/main">
          <a:off x="1527175" y="288925"/>
          <a:ext cx="9031857" cy="68741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5.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400" b="1">
              <a:latin typeface="Times New Roman" pitchFamily="18" charset="0"/>
              <a:cs typeface="Times New Roman" pitchFamily="18" charset="0"/>
            </a:rPr>
            <a:t>коэффициент</a:t>
          </a:r>
          <a:r>
            <a:rPr lang="ru-RU" sz="2000" b="1">
              <a:latin typeface="Times New Roman" pitchFamily="18" charset="0"/>
              <a:cs typeface="Times New Roman" pitchFamily="18" charset="0"/>
            </a:rPr>
            <a:t>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9.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738966</xdr:colOff>
      <xdr:row>30</xdr:row>
      <xdr:rowOff>361516</xdr:rowOff>
    </xdr:from>
    <xdr:to>
      <xdr:col>35</xdr:col>
      <xdr:colOff>1019109</xdr:colOff>
      <xdr:row>39</xdr:row>
      <xdr:rowOff>262377</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885466" y="18935266"/>
          <a:ext cx="13638956" cy="54729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298012" y="37259263"/>
          <a:ext cx="10172358" cy="1121432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xdr:col>
      <xdr:colOff>779941</xdr:colOff>
      <xdr:row>185</xdr:row>
      <xdr:rowOff>23011</xdr:rowOff>
    </xdr:from>
    <xdr:to>
      <xdr:col>17</xdr:col>
      <xdr:colOff>507844</xdr:colOff>
      <xdr:row>192</xdr:row>
      <xdr:rowOff>386730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3467241" y="112799011"/>
          <a:ext cx="1100550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404811</xdr:colOff>
      <xdr:row>445</xdr:row>
      <xdr:rowOff>158470</xdr:rowOff>
    </xdr:from>
    <xdr:to>
      <xdr:col>61</xdr:col>
      <xdr:colOff>133349</xdr:colOff>
      <xdr:row>459</xdr:row>
      <xdr:rowOff>142876</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9461061" y="275669095"/>
          <a:ext cx="14920913" cy="865215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632730</xdr:colOff>
      <xdr:row>60</xdr:row>
      <xdr:rowOff>134713</xdr:rowOff>
    </xdr:from>
    <xdr:to>
      <xdr:col>39</xdr:col>
      <xdr:colOff>726457</xdr:colOff>
      <xdr:row>70</xdr:row>
      <xdr:rowOff>306162</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2066480" y="37282213"/>
          <a:ext cx="12523852" cy="636269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508602</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390525</xdr:colOff>
          <xdr:row>23</xdr:row>
          <xdr:rowOff>133350</xdr:rowOff>
        </xdr:from>
        <xdr:to>
          <xdr:col>167</xdr:col>
          <xdr:colOff>514350</xdr:colOff>
          <xdr:row>26</xdr:row>
          <xdr:rowOff>9525</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59</xdr:row>
      <xdr:rowOff>607266</xdr:rowOff>
    </xdr:from>
    <xdr:to>
      <xdr:col>67</xdr:col>
      <xdr:colOff>640772</xdr:colOff>
      <xdr:row>75</xdr:row>
      <xdr:rowOff>365531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2168759" y="37135641"/>
          <a:ext cx="9839326" cy="9664265"/>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94628</xdr:colOff>
      <xdr:row>34</xdr:row>
      <xdr:rowOff>122772</xdr:rowOff>
    </xdr:from>
    <xdr:to>
      <xdr:col>31</xdr:col>
      <xdr:colOff>209238</xdr:colOff>
      <xdr:row>56</xdr:row>
      <xdr:rowOff>74281</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5715628" y="6599772"/>
          <a:ext cx="6101753"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28</xdr:col>
      <xdr:colOff>1137491</xdr:colOff>
      <xdr:row>120</xdr:row>
      <xdr:rowOff>170091</xdr:rowOff>
    </xdr:from>
    <xdr:to>
      <xdr:col>55</xdr:col>
      <xdr:colOff>1402826</xdr:colOff>
      <xdr:row>158</xdr:row>
      <xdr:rowOff>170090</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2300309" y="27082546"/>
          <a:ext cx="21514744"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438150</xdr:colOff>
          <xdr:row>26</xdr:row>
          <xdr:rowOff>85725</xdr:rowOff>
        </xdr:from>
        <xdr:to>
          <xdr:col>13</xdr:col>
          <xdr:colOff>219075</xdr:colOff>
          <xdr:row>32</xdr:row>
          <xdr:rowOff>114300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43</xdr:col>
      <xdr:colOff>138111</xdr:colOff>
      <xdr:row>123</xdr:row>
      <xdr:rowOff>204788</xdr:rowOff>
    </xdr:from>
    <xdr:to>
      <xdr:col>62</xdr:col>
      <xdr:colOff>331390</xdr:colOff>
      <xdr:row>139</xdr:row>
      <xdr:rowOff>128589</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6760486" y="38280976"/>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49</xdr:col>
      <xdr:colOff>130683</xdr:colOff>
      <xdr:row>60</xdr:row>
      <xdr:rowOff>88476</xdr:rowOff>
    </xdr:from>
    <xdr:to>
      <xdr:col>59</xdr:col>
      <xdr:colOff>298236</xdr:colOff>
      <xdr:row>73</xdr:row>
      <xdr:rowOff>155863</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4074319" y="18792112"/>
          <a:ext cx="7094826" cy="4119842"/>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9992555" y="7348226"/>
          <a:ext cx="3364725" cy="29965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394856</xdr:colOff>
      <xdr:row>76</xdr:row>
      <xdr:rowOff>180109</xdr:rowOff>
    </xdr:from>
    <xdr:to>
      <xdr:col>40</xdr:col>
      <xdr:colOff>69274</xdr:colOff>
      <xdr:row>86</xdr:row>
      <xdr:rowOff>274346</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20483947" y="23871382"/>
          <a:ext cx="7294418" cy="321150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29</xdr:col>
      <xdr:colOff>421961</xdr:colOff>
      <xdr:row>59</xdr:row>
      <xdr:rowOff>87458</xdr:rowOff>
    </xdr:from>
    <xdr:to>
      <xdr:col>39</xdr:col>
      <xdr:colOff>593750</xdr:colOff>
      <xdr:row>72</xdr:row>
      <xdr:rowOff>34635</xdr:rowOff>
    </xdr:to>
    <xdr:pic>
      <xdr:nvPicPr>
        <xdr:cNvPr id="22" name="Picture 21" descr="Z:\home\volpol\Рабочий стол\Documents\МГКЭИТ\KTR\XLSX_AD4_A-master\IMG Metody\image032.jpg"/>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0511052" y="18479367"/>
          <a:ext cx="7099062" cy="39996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114300</xdr:colOff>
          <xdr:row>29</xdr:row>
          <xdr:rowOff>209550</xdr:rowOff>
        </xdr:from>
        <xdr:to>
          <xdr:col>24</xdr:col>
          <xdr:colOff>209550</xdr:colOff>
          <xdr:row>34</xdr:row>
          <xdr:rowOff>85725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107</xdr:col>
      <xdr:colOff>0</xdr:colOff>
      <xdr:row>6</xdr:row>
      <xdr:rowOff>114300</xdr:rowOff>
    </xdr:from>
    <xdr:to>
      <xdr:col>119</xdr:col>
      <xdr:colOff>2161</xdr:colOff>
      <xdr:row>21</xdr:row>
      <xdr:rowOff>116498</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316</xdr:col>
      <xdr:colOff>95250</xdr:colOff>
      <xdr:row>50</xdr:row>
      <xdr:rowOff>47625</xdr:rowOff>
    </xdr:from>
    <xdr:to>
      <xdr:col>328</xdr:col>
      <xdr:colOff>212272</xdr:colOff>
      <xdr:row>65</xdr:row>
      <xdr:rowOff>48489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21</xdr:row>
          <xdr:rowOff>76200</xdr:rowOff>
        </xdr:from>
        <xdr:to>
          <xdr:col>25</xdr:col>
          <xdr:colOff>57150</xdr:colOff>
          <xdr:row>22</xdr:row>
          <xdr:rowOff>228600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040;&#1076;&#1084;&#1080;&#1085;&#1080;&#1089;&#1090;&#1088;&#1072;&#1090;&#1086;&#1088;/Downloads/XLSX_AD4_A-master/XLSX_&#1040;&#1044;_4&#1040;_Calculate_right_cha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Вывод расчетов"/>
      <sheetName val="Программные таблицы"/>
      <sheetName val="Ввод значений статус решения"/>
      <sheetName val="Корпус и обмотка"/>
      <sheetName val="Описание компонентов"/>
      <sheetName val="Excel ссылки"/>
      <sheetName val="Вывод на печать"/>
    </sheetNames>
    <sheetDataSet>
      <sheetData sheetId="0">
        <row r="54">
          <cell r="YB54">
            <v>2.1999999999999999E-2</v>
          </cell>
          <cell r="YC54">
            <v>2.3E-2</v>
          </cell>
          <cell r="YD54">
            <v>2.4E-2</v>
          </cell>
          <cell r="YE54">
            <v>2.5000000000000001E-2</v>
          </cell>
          <cell r="YF54">
            <v>2.5999999999999999E-2</v>
          </cell>
          <cell r="YG54">
            <v>2.7E-2</v>
          </cell>
          <cell r="YH54">
            <v>2.8000000000000001E-2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99" Type="http://schemas.openxmlformats.org/officeDocument/2006/relationships/oleObject" Target="../embeddings/oleObject118.bin"/><Relationship Id="rId21" Type="http://schemas.openxmlformats.org/officeDocument/2006/relationships/hyperlink" Target="../../users/volpol/Application%20Data/Microsoft/Excel/&#1052;&#1077;&#1090;&#1086;&#1076;&#1080;&#1095;&#1082;&#1072;%20&#1084;&#1086;&#1103;%202.pdf" TargetMode="External"/><Relationship Id="rId63"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24" Type="http://schemas.openxmlformats.org/officeDocument/2006/relationships/image" Target="../media/image125.emf"/><Relationship Id="rId366" Type="http://schemas.openxmlformats.org/officeDocument/2006/relationships/image" Target="../media/image146.emf"/><Relationship Id="rId531" Type="http://schemas.openxmlformats.org/officeDocument/2006/relationships/image" Target="../media/image223.emf"/><Relationship Id="rId573" Type="http://schemas.openxmlformats.org/officeDocument/2006/relationships/image" Target="../media/image244.emf"/><Relationship Id="rId170" Type="http://schemas.openxmlformats.org/officeDocument/2006/relationships/oleObject" Target="../embeddings/oleObject51.bin"/><Relationship Id="rId226" Type="http://schemas.openxmlformats.org/officeDocument/2006/relationships/oleObject" Target="../embeddings/oleObject79.bin"/><Relationship Id="rId433" Type="http://schemas.openxmlformats.org/officeDocument/2006/relationships/oleObject" Target="../embeddings/oleObject185.bin"/><Relationship Id="rId268" Type="http://schemas.openxmlformats.org/officeDocument/2006/relationships/image" Target="../media/image97.emf"/><Relationship Id="rId475" Type="http://schemas.openxmlformats.org/officeDocument/2006/relationships/oleObject" Target="../embeddings/oleObject207.bin"/><Relationship Id="rId32" Type="http://schemas.openxmlformats.org/officeDocument/2006/relationships/hyperlink" Target="../../users/volpol/Application%20Data/Microsoft/&#1052;&#1044;&#1050;%2001.02" TargetMode="External"/><Relationship Id="rId74" Type="http://schemas.openxmlformats.org/officeDocument/2006/relationships/oleObject" Target="../embeddings/oleObject3.bin"/><Relationship Id="rId128" Type="http://schemas.openxmlformats.org/officeDocument/2006/relationships/oleObject" Target="../embeddings/oleObject30.bin"/><Relationship Id="rId335" Type="http://schemas.openxmlformats.org/officeDocument/2006/relationships/oleObject" Target="../embeddings/oleObject136.bin"/><Relationship Id="rId377" Type="http://schemas.openxmlformats.org/officeDocument/2006/relationships/oleObject" Target="../embeddings/oleObject157.bin"/><Relationship Id="rId500" Type="http://schemas.openxmlformats.org/officeDocument/2006/relationships/oleObject" Target="../embeddings/oleObject223.bin"/><Relationship Id="rId542" Type="http://schemas.openxmlformats.org/officeDocument/2006/relationships/oleObject" Target="../embeddings/oleObject245.bin"/><Relationship Id="rId584" Type="http://schemas.openxmlformats.org/officeDocument/2006/relationships/oleObject" Target="../embeddings/oleObject266.bin"/><Relationship Id="rId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81" Type="http://schemas.openxmlformats.org/officeDocument/2006/relationships/image" Target="../media/image56.emf"/><Relationship Id="rId237" Type="http://schemas.openxmlformats.org/officeDocument/2006/relationships/image" Target="../media/image84.emf"/><Relationship Id="rId402" Type="http://schemas.openxmlformats.org/officeDocument/2006/relationships/image" Target="../media/image164.emf"/><Relationship Id="rId279" Type="http://schemas.openxmlformats.org/officeDocument/2006/relationships/oleObject" Target="../embeddings/oleObject108.bin"/><Relationship Id="rId444" Type="http://schemas.openxmlformats.org/officeDocument/2006/relationships/oleObject" Target="../embeddings/oleObject191.bin"/><Relationship Id="rId486" Type="http://schemas.openxmlformats.org/officeDocument/2006/relationships/oleObject" Target="../embeddings/oleObject215.bin"/><Relationship Id="rId4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290" Type="http://schemas.openxmlformats.org/officeDocument/2006/relationships/image" Target="../media/image108.emf"/><Relationship Id="rId304" Type="http://schemas.openxmlformats.org/officeDocument/2006/relationships/image" Target="../media/image115.emf"/><Relationship Id="rId346" Type="http://schemas.openxmlformats.org/officeDocument/2006/relationships/image" Target="../media/image136.emf"/><Relationship Id="rId388" Type="http://schemas.openxmlformats.org/officeDocument/2006/relationships/image" Target="../media/image157.emf"/><Relationship Id="rId511" Type="http://schemas.openxmlformats.org/officeDocument/2006/relationships/oleObject" Target="../embeddings/oleObject229.bin"/><Relationship Id="rId553" Type="http://schemas.openxmlformats.org/officeDocument/2006/relationships/image" Target="../media/image234.emf"/><Relationship Id="rId609" Type="http://schemas.openxmlformats.org/officeDocument/2006/relationships/oleObject" Target="../embeddings/oleObject281.bin"/><Relationship Id="rId85" Type="http://schemas.openxmlformats.org/officeDocument/2006/relationships/image" Target="../media/image8.emf"/><Relationship Id="rId150" Type="http://schemas.openxmlformats.org/officeDocument/2006/relationships/oleObject" Target="../embeddings/oleObject41.bin"/><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oleObject" Target="../embeddings/oleObject175.bin"/><Relationship Id="rId595" Type="http://schemas.openxmlformats.org/officeDocument/2006/relationships/image" Target="../media/image255.emf"/><Relationship Id="rId248" Type="http://schemas.openxmlformats.org/officeDocument/2006/relationships/oleObject" Target="../embeddings/oleObject91.bin"/><Relationship Id="rId455" Type="http://schemas.openxmlformats.org/officeDocument/2006/relationships/image" Target="../media/image190.emf"/><Relationship Id="rId497" Type="http://schemas.openxmlformats.org/officeDocument/2006/relationships/image" Target="../media/image207.emf"/><Relationship Id="rId12"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oleObject" Target="../embeddings/oleObject126.bin"/><Relationship Id="rId357" Type="http://schemas.openxmlformats.org/officeDocument/2006/relationships/oleObject" Target="../embeddings/oleObject147.bin"/><Relationship Id="rId522" Type="http://schemas.openxmlformats.org/officeDocument/2006/relationships/image" Target="../media/image219.emf"/><Relationship Id="rId54" Type="http://schemas.openxmlformats.org/officeDocument/2006/relationships/hyperlink" Target="../../users/volpol/Application%20Data/Microsoft/Excel/&#1052;&#1077;&#1090;&#1086;&#1076;&#1080;&#1095;&#1077;&#1089;&#1082;&#1080;&#1077;%20&#1089;&#1087;&#1088;&#1072;&#1074;&#1082;&#1080;.docx" TargetMode="External"/><Relationship Id="rId96" Type="http://schemas.openxmlformats.org/officeDocument/2006/relationships/oleObject" Target="../embeddings/oleObject14.bin"/><Relationship Id="rId161" Type="http://schemas.openxmlformats.org/officeDocument/2006/relationships/image" Target="../media/image46.emf"/><Relationship Id="rId217" Type="http://schemas.openxmlformats.org/officeDocument/2006/relationships/image" Target="../media/image74.emf"/><Relationship Id="rId399" Type="http://schemas.openxmlformats.org/officeDocument/2006/relationships/oleObject" Target="../embeddings/oleObject168.bin"/><Relationship Id="rId564" Type="http://schemas.openxmlformats.org/officeDocument/2006/relationships/oleObject" Target="../embeddings/oleObject256.bin"/><Relationship Id="rId259" Type="http://schemas.openxmlformats.org/officeDocument/2006/relationships/oleObject" Target="../embeddings/oleObject98.bin"/><Relationship Id="rId424" Type="http://schemas.openxmlformats.org/officeDocument/2006/relationships/image" Target="../media/image175.emf"/><Relationship Id="rId466" Type="http://schemas.openxmlformats.org/officeDocument/2006/relationships/oleObject" Target="../embeddings/oleObject202.bin"/><Relationship Id="rId2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270" Type="http://schemas.openxmlformats.org/officeDocument/2006/relationships/image" Target="../media/image98.emf"/><Relationship Id="rId326" Type="http://schemas.openxmlformats.org/officeDocument/2006/relationships/image" Target="../media/image126.emf"/><Relationship Id="rId533" Type="http://schemas.openxmlformats.org/officeDocument/2006/relationships/image" Target="../media/image224.emf"/><Relationship Id="rId65" Type="http://schemas.openxmlformats.org/officeDocument/2006/relationships/hyperlink" Target="../../users/volpol/Application%20Data/Microsoft/Excel/&#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image" Target="../media/image147.emf"/><Relationship Id="rId575" Type="http://schemas.openxmlformats.org/officeDocument/2006/relationships/image" Target="../media/image245.emf"/><Relationship Id="rId172" Type="http://schemas.openxmlformats.org/officeDocument/2006/relationships/oleObject" Target="../embeddings/oleObject52.bin"/><Relationship Id="rId228" Type="http://schemas.openxmlformats.org/officeDocument/2006/relationships/oleObject" Target="../embeddings/oleObject80.bin"/><Relationship Id="rId435" Type="http://schemas.openxmlformats.org/officeDocument/2006/relationships/oleObject" Target="../embeddings/oleObject186.bin"/><Relationship Id="rId477" Type="http://schemas.openxmlformats.org/officeDocument/2006/relationships/oleObject" Target="../embeddings/oleObject209.bin"/><Relationship Id="rId600" Type="http://schemas.openxmlformats.org/officeDocument/2006/relationships/oleObject" Target="../embeddings/oleObject274.bin"/><Relationship Id="rId281" Type="http://schemas.openxmlformats.org/officeDocument/2006/relationships/oleObject" Target="../embeddings/oleObject109.bin"/><Relationship Id="rId337" Type="http://schemas.openxmlformats.org/officeDocument/2006/relationships/oleObject" Target="../embeddings/oleObject137.bin"/><Relationship Id="rId502" Type="http://schemas.openxmlformats.org/officeDocument/2006/relationships/oleObject" Target="../embeddings/oleObject224.bin"/><Relationship Id="rId34" Type="http://schemas.openxmlformats.org/officeDocument/2006/relationships/hyperlink" Target="../../users/volpol/Application%20Data/Microsoft/&#1052;&#1044;&#1050;%2001.02" TargetMode="External"/><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oleObject" Target="../embeddings/oleObject158.bin"/><Relationship Id="rId544" Type="http://schemas.openxmlformats.org/officeDocument/2006/relationships/oleObject" Target="../embeddings/oleObject246.bin"/><Relationship Id="rId586" Type="http://schemas.openxmlformats.org/officeDocument/2006/relationships/oleObject" Target="../embeddings/oleObject267.bin"/><Relationship Id="rId7" Type="http://schemas.openxmlformats.org/officeDocument/2006/relationships/hyperlink" Target="../../users/volpol/Application%20Data/Microsoft/Excel/&#1055;&#1088;&#1086;&#1075;&#1088;&#1072;&#1084;&#1084;&#1072;%20XLCS%20&#1040;&#1044;%204&#1040;.txt" TargetMode="External"/><Relationship Id="rId183" Type="http://schemas.openxmlformats.org/officeDocument/2006/relationships/image" Target="../media/image57.emf"/><Relationship Id="rId239" Type="http://schemas.openxmlformats.org/officeDocument/2006/relationships/image" Target="../media/image85.emf"/><Relationship Id="rId390" Type="http://schemas.openxmlformats.org/officeDocument/2006/relationships/image" Target="../media/image158.emf"/><Relationship Id="rId404" Type="http://schemas.openxmlformats.org/officeDocument/2006/relationships/image" Target="../media/image165.emf"/><Relationship Id="rId446" Type="http://schemas.openxmlformats.org/officeDocument/2006/relationships/oleObject" Target="../embeddings/oleObject192.bin"/><Relationship Id="rId250" Type="http://schemas.openxmlformats.org/officeDocument/2006/relationships/oleObject" Target="../embeddings/oleObject93.bin"/><Relationship Id="rId292" Type="http://schemas.openxmlformats.org/officeDocument/2006/relationships/image" Target="../media/image109.emf"/><Relationship Id="rId306" Type="http://schemas.openxmlformats.org/officeDocument/2006/relationships/image" Target="../media/image116.emf"/><Relationship Id="rId488" Type="http://schemas.openxmlformats.org/officeDocument/2006/relationships/oleObject" Target="../embeddings/oleObject216.bin"/><Relationship Id="rId45" Type="http://schemas.openxmlformats.org/officeDocument/2006/relationships/hyperlink" Target="../../users/volpol/Application%20Data/Microsoft/Excel/&#1052;&#1077;&#1090;&#1086;&#1076;&#1080;&#1095;&#1082;&#1072;%20&#1084;&#1086;&#1103;%202.pdf" TargetMode="External"/><Relationship Id="rId87" Type="http://schemas.openxmlformats.org/officeDocument/2006/relationships/image" Target="../media/image9.emf"/><Relationship Id="rId110" Type="http://schemas.openxmlformats.org/officeDocument/2006/relationships/oleObject" Target="../embeddings/oleObject21.bin"/><Relationship Id="rId348" Type="http://schemas.openxmlformats.org/officeDocument/2006/relationships/image" Target="../media/image137.emf"/><Relationship Id="rId513" Type="http://schemas.openxmlformats.org/officeDocument/2006/relationships/oleObject" Target="../embeddings/oleObject230.bin"/><Relationship Id="rId555" Type="http://schemas.openxmlformats.org/officeDocument/2006/relationships/image" Target="../media/image235.emf"/><Relationship Id="rId597" Type="http://schemas.openxmlformats.org/officeDocument/2006/relationships/image" Target="../media/image256.emf"/><Relationship Id="rId152" Type="http://schemas.openxmlformats.org/officeDocument/2006/relationships/oleObject" Target="../embeddings/oleObject42.bin"/><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oleObject" Target="../embeddings/oleObject176.bin"/><Relationship Id="rId457" Type="http://schemas.openxmlformats.org/officeDocument/2006/relationships/image" Target="../media/image191.emf"/><Relationship Id="rId261" Type="http://schemas.openxmlformats.org/officeDocument/2006/relationships/oleObject" Target="../embeddings/oleObject99.bin"/><Relationship Id="rId499" Type="http://schemas.openxmlformats.org/officeDocument/2006/relationships/image" Target="../media/image208.emf"/><Relationship Id="rId14" Type="http://schemas.openxmlformats.org/officeDocument/2006/relationships/hyperlink" Target="../../users/volpol/Application%20Data/Microsoft/Excel/&#1055;&#1088;&#1086;&#1075;&#1088;&#1072;&#1084;&#1084;&#1072;%20XLCS%20&#1040;&#1044;%204&#1040;.txt" TargetMode="External"/><Relationship Id="rId56"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317" Type="http://schemas.openxmlformats.org/officeDocument/2006/relationships/oleObject" Target="../embeddings/oleObject127.bin"/><Relationship Id="rId359" Type="http://schemas.openxmlformats.org/officeDocument/2006/relationships/oleObject" Target="../embeddings/oleObject148.bin"/><Relationship Id="rId524" Type="http://schemas.openxmlformats.org/officeDocument/2006/relationships/image" Target="../media/image220.emf"/><Relationship Id="rId566" Type="http://schemas.openxmlformats.org/officeDocument/2006/relationships/oleObject" Target="../embeddings/oleObject257.bin"/><Relationship Id="rId98" Type="http://schemas.openxmlformats.org/officeDocument/2006/relationships/oleObject" Target="../embeddings/oleObject15.bin"/><Relationship Id="rId121" Type="http://schemas.openxmlformats.org/officeDocument/2006/relationships/image" Target="../media/image26.emf"/><Relationship Id="rId163" Type="http://schemas.openxmlformats.org/officeDocument/2006/relationships/image" Target="../media/image47.emf"/><Relationship Id="rId219" Type="http://schemas.openxmlformats.org/officeDocument/2006/relationships/image" Target="../media/image75.emf"/><Relationship Id="rId370" Type="http://schemas.openxmlformats.org/officeDocument/2006/relationships/image" Target="../media/image148.emf"/><Relationship Id="rId426" Type="http://schemas.openxmlformats.org/officeDocument/2006/relationships/image" Target="../media/image176.emf"/><Relationship Id="rId230" Type="http://schemas.openxmlformats.org/officeDocument/2006/relationships/oleObject" Target="../embeddings/oleObject81.bin"/><Relationship Id="rId468" Type="http://schemas.openxmlformats.org/officeDocument/2006/relationships/oleObject" Target="../embeddings/oleObject203.bin"/><Relationship Id="rId25" Type="http://schemas.openxmlformats.org/officeDocument/2006/relationships/hyperlink" Target="../../users/volpol/Application%20Data/Microsoft/Excel/&#1052;&#1077;&#1090;&#1086;&#1076;&#1080;&#1095;&#1077;&#1089;&#1082;&#1080;&#1077;%20&#1089;&#1087;&#1088;&#1072;&#1074;&#1082;&#1080;%201.pdf" TargetMode="External"/><Relationship Id="rId67" Type="http://schemas.openxmlformats.org/officeDocument/2006/relationships/printerSettings" Target="../printerSettings/printerSettings1.bin"/><Relationship Id="rId272" Type="http://schemas.openxmlformats.org/officeDocument/2006/relationships/image" Target="../media/image99.emf"/><Relationship Id="rId328" Type="http://schemas.openxmlformats.org/officeDocument/2006/relationships/image" Target="../media/image127.emf"/><Relationship Id="rId535" Type="http://schemas.openxmlformats.org/officeDocument/2006/relationships/image" Target="../media/image225.emf"/><Relationship Id="rId577" Type="http://schemas.openxmlformats.org/officeDocument/2006/relationships/image" Target="../media/image246.emf"/><Relationship Id="rId132" Type="http://schemas.openxmlformats.org/officeDocument/2006/relationships/oleObject" Target="../embeddings/oleObject32.bin"/><Relationship Id="rId174" Type="http://schemas.openxmlformats.org/officeDocument/2006/relationships/oleObject" Target="../embeddings/oleObject53.bin"/><Relationship Id="rId381" Type="http://schemas.openxmlformats.org/officeDocument/2006/relationships/oleObject" Target="../embeddings/oleObject159.bin"/><Relationship Id="rId602" Type="http://schemas.openxmlformats.org/officeDocument/2006/relationships/oleObject" Target="../embeddings/oleObject276.bin"/><Relationship Id="rId241" Type="http://schemas.openxmlformats.org/officeDocument/2006/relationships/image" Target="../media/image86.emf"/><Relationship Id="rId437" Type="http://schemas.openxmlformats.org/officeDocument/2006/relationships/oleObject" Target="../embeddings/oleObject187.bin"/><Relationship Id="rId479" Type="http://schemas.openxmlformats.org/officeDocument/2006/relationships/oleObject" Target="../embeddings/oleObject211.bin"/><Relationship Id="rId36" Type="http://schemas.openxmlformats.org/officeDocument/2006/relationships/hyperlink" Target="../../users/volpol/Application%20Data/Microsoft/&#1052;&#1044;&#1050;%2001.02" TargetMode="External"/><Relationship Id="rId283" Type="http://schemas.openxmlformats.org/officeDocument/2006/relationships/oleObject" Target="../embeddings/oleObject110.bin"/><Relationship Id="rId339" Type="http://schemas.openxmlformats.org/officeDocument/2006/relationships/oleObject" Target="../embeddings/oleObject138.bin"/><Relationship Id="rId490" Type="http://schemas.openxmlformats.org/officeDocument/2006/relationships/image" Target="../media/image204.emf"/><Relationship Id="rId504" Type="http://schemas.openxmlformats.org/officeDocument/2006/relationships/oleObject" Target="../embeddings/oleObject225.bin"/><Relationship Id="rId546" Type="http://schemas.openxmlformats.org/officeDocument/2006/relationships/oleObject" Target="../embeddings/oleObject247.bin"/><Relationship Id="rId78" Type="http://schemas.openxmlformats.org/officeDocument/2006/relationships/oleObject" Target="../embeddings/oleObject5.bin"/><Relationship Id="rId101" Type="http://schemas.openxmlformats.org/officeDocument/2006/relationships/image" Target="../media/image16.emf"/><Relationship Id="rId143" Type="http://schemas.openxmlformats.org/officeDocument/2006/relationships/image" Target="../media/image37.emf"/><Relationship Id="rId185" Type="http://schemas.openxmlformats.org/officeDocument/2006/relationships/image" Target="../media/image58.emf"/><Relationship Id="rId350" Type="http://schemas.openxmlformats.org/officeDocument/2006/relationships/image" Target="../media/image138.emf"/><Relationship Id="rId406" Type="http://schemas.openxmlformats.org/officeDocument/2006/relationships/image" Target="../media/image166.emf"/><Relationship Id="rId588" Type="http://schemas.openxmlformats.org/officeDocument/2006/relationships/oleObject" Target="../embeddings/oleObject268.bin"/><Relationship Id="rId9" Type="http://schemas.openxmlformats.org/officeDocument/2006/relationships/hyperlink" Target="../../users/volpol/Application%20Data/Microsoft/Excel/&#1052;&#1077;&#1090;&#1086;&#1076;&#1080;&#1095;&#1077;&#1089;&#1082;&#1080;&#1077;%20&#1089;&#1087;&#1088;&#1072;&#1074;&#1082;&#1080;.docx" TargetMode="External"/><Relationship Id="rId210" Type="http://schemas.openxmlformats.org/officeDocument/2006/relationships/oleObject" Target="../embeddings/oleObject71.bin"/><Relationship Id="rId392" Type="http://schemas.openxmlformats.org/officeDocument/2006/relationships/image" Target="../media/image159.emf"/><Relationship Id="rId448" Type="http://schemas.openxmlformats.org/officeDocument/2006/relationships/oleObject" Target="../embeddings/oleObject193.bin"/><Relationship Id="rId252" Type="http://schemas.openxmlformats.org/officeDocument/2006/relationships/image" Target="../media/image89.emf"/><Relationship Id="rId294" Type="http://schemas.openxmlformats.org/officeDocument/2006/relationships/image" Target="../media/image110.emf"/><Relationship Id="rId308" Type="http://schemas.openxmlformats.org/officeDocument/2006/relationships/image" Target="../media/image117.emf"/><Relationship Id="rId515" Type="http://schemas.openxmlformats.org/officeDocument/2006/relationships/oleObject" Target="../embeddings/oleObject231.bin"/><Relationship Id="rId47" Type="http://schemas.openxmlformats.org/officeDocument/2006/relationships/hyperlink" Target="../../users/volpol/Application%20Data/Microsoft/&#1052;&#1044;&#1050;%2001.02" TargetMode="External"/><Relationship Id="rId89" Type="http://schemas.openxmlformats.org/officeDocument/2006/relationships/image" Target="../media/image10.emf"/><Relationship Id="rId112" Type="http://schemas.openxmlformats.org/officeDocument/2006/relationships/oleObject" Target="../embeddings/oleObject22.bin"/><Relationship Id="rId154" Type="http://schemas.openxmlformats.org/officeDocument/2006/relationships/oleObject" Target="../embeddings/oleObject43.bin"/><Relationship Id="rId361" Type="http://schemas.openxmlformats.org/officeDocument/2006/relationships/oleObject" Target="../embeddings/oleObject149.bin"/><Relationship Id="rId557" Type="http://schemas.openxmlformats.org/officeDocument/2006/relationships/image" Target="../media/image236.emf"/><Relationship Id="rId599" Type="http://schemas.openxmlformats.org/officeDocument/2006/relationships/image" Target="../media/image257.emf"/><Relationship Id="rId196" Type="http://schemas.openxmlformats.org/officeDocument/2006/relationships/oleObject" Target="../embeddings/oleObject64.bin"/><Relationship Id="rId417" Type="http://schemas.openxmlformats.org/officeDocument/2006/relationships/oleObject" Target="../embeddings/oleObject177.bin"/><Relationship Id="rId459" Type="http://schemas.openxmlformats.org/officeDocument/2006/relationships/image" Target="../media/image192.emf"/><Relationship Id="rId16" Type="http://schemas.openxmlformats.org/officeDocument/2006/relationships/hyperlink" Target="../../users/volpol/Application%20Data/Microsoft/Excel/&#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oleObject" Target="../embeddings/oleObject100.bin"/><Relationship Id="rId319" Type="http://schemas.openxmlformats.org/officeDocument/2006/relationships/oleObject" Target="../embeddings/oleObject128.bin"/><Relationship Id="rId470" Type="http://schemas.openxmlformats.org/officeDocument/2006/relationships/oleObject" Target="../embeddings/oleObject204.bin"/><Relationship Id="rId526" Type="http://schemas.openxmlformats.org/officeDocument/2006/relationships/oleObject" Target="../embeddings/oleObject237.bin"/><Relationship Id="rId58"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image" Target="../media/image128.emf"/><Relationship Id="rId568" Type="http://schemas.openxmlformats.org/officeDocument/2006/relationships/oleObject" Target="../embeddings/oleObject258.bin"/><Relationship Id="rId165" Type="http://schemas.openxmlformats.org/officeDocument/2006/relationships/image" Target="../media/image48.emf"/><Relationship Id="rId372" Type="http://schemas.openxmlformats.org/officeDocument/2006/relationships/image" Target="../media/image149.emf"/><Relationship Id="rId428" Type="http://schemas.openxmlformats.org/officeDocument/2006/relationships/image" Target="../media/image177.emf"/><Relationship Id="rId211" Type="http://schemas.openxmlformats.org/officeDocument/2006/relationships/image" Target="../media/image71.emf"/><Relationship Id="rId232" Type="http://schemas.openxmlformats.org/officeDocument/2006/relationships/oleObject" Target="../embeddings/oleObject82.bin"/><Relationship Id="rId253" Type="http://schemas.openxmlformats.org/officeDocument/2006/relationships/oleObject" Target="../embeddings/oleObject95.bin"/><Relationship Id="rId274" Type="http://schemas.openxmlformats.org/officeDocument/2006/relationships/image" Target="../media/image100.emf"/><Relationship Id="rId295" Type="http://schemas.openxmlformats.org/officeDocument/2006/relationships/oleObject" Target="../embeddings/oleObject116.bin"/><Relationship Id="rId309" Type="http://schemas.openxmlformats.org/officeDocument/2006/relationships/oleObject" Target="../embeddings/oleObject123.bin"/><Relationship Id="rId460" Type="http://schemas.openxmlformats.org/officeDocument/2006/relationships/oleObject" Target="../embeddings/oleObject199.bin"/><Relationship Id="rId481" Type="http://schemas.openxmlformats.org/officeDocument/2006/relationships/image" Target="../media/image200.emf"/><Relationship Id="rId516" Type="http://schemas.openxmlformats.org/officeDocument/2006/relationships/image" Target="../media/image216.emf"/><Relationship Id="rId27"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4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13" Type="http://schemas.openxmlformats.org/officeDocument/2006/relationships/image" Target="../media/image22.emf"/><Relationship Id="rId134" Type="http://schemas.openxmlformats.org/officeDocument/2006/relationships/oleObject" Target="../embeddings/oleObject33.bin"/><Relationship Id="rId320" Type="http://schemas.openxmlformats.org/officeDocument/2006/relationships/image" Target="../media/image123.emf"/><Relationship Id="rId537" Type="http://schemas.openxmlformats.org/officeDocument/2006/relationships/image" Target="../media/image226.emf"/><Relationship Id="rId558" Type="http://schemas.openxmlformats.org/officeDocument/2006/relationships/oleObject" Target="../embeddings/oleObject253.bin"/><Relationship Id="rId579" Type="http://schemas.openxmlformats.org/officeDocument/2006/relationships/image" Target="../media/image247.emf"/><Relationship Id="rId80" Type="http://schemas.openxmlformats.org/officeDocument/2006/relationships/oleObject" Target="../embeddings/oleObject6.bin"/><Relationship Id="rId155" Type="http://schemas.openxmlformats.org/officeDocument/2006/relationships/image" Target="../media/image43.emf"/><Relationship Id="rId176" Type="http://schemas.openxmlformats.org/officeDocument/2006/relationships/oleObject" Target="../embeddings/oleObject54.bin"/><Relationship Id="rId197" Type="http://schemas.openxmlformats.org/officeDocument/2006/relationships/image" Target="../media/image64.emf"/><Relationship Id="rId341" Type="http://schemas.openxmlformats.org/officeDocument/2006/relationships/oleObject" Target="../embeddings/oleObject139.bin"/><Relationship Id="rId362" Type="http://schemas.openxmlformats.org/officeDocument/2006/relationships/image" Target="../media/image144.emf"/><Relationship Id="rId383" Type="http://schemas.openxmlformats.org/officeDocument/2006/relationships/oleObject" Target="../embeddings/oleObject160.bin"/><Relationship Id="rId418" Type="http://schemas.openxmlformats.org/officeDocument/2006/relationships/image" Target="../media/image172.emf"/><Relationship Id="rId439" Type="http://schemas.openxmlformats.org/officeDocument/2006/relationships/oleObject" Target="../embeddings/oleObject188.bin"/><Relationship Id="rId590" Type="http://schemas.openxmlformats.org/officeDocument/2006/relationships/oleObject" Target="../embeddings/oleObject269.bin"/><Relationship Id="rId604" Type="http://schemas.openxmlformats.org/officeDocument/2006/relationships/oleObject" Target="../embeddings/oleObject278.bin"/><Relationship Id="rId201" Type="http://schemas.openxmlformats.org/officeDocument/2006/relationships/image" Target="../media/image66.emf"/><Relationship Id="rId222" Type="http://schemas.openxmlformats.org/officeDocument/2006/relationships/oleObject" Target="../embeddings/oleObject77.bin"/><Relationship Id="rId243" Type="http://schemas.openxmlformats.org/officeDocument/2006/relationships/image" Target="../media/image87.emf"/><Relationship Id="rId264" Type="http://schemas.openxmlformats.org/officeDocument/2006/relationships/image" Target="../media/image95.emf"/><Relationship Id="rId285" Type="http://schemas.openxmlformats.org/officeDocument/2006/relationships/oleObject" Target="../embeddings/oleObject111.bin"/><Relationship Id="rId450" Type="http://schemas.openxmlformats.org/officeDocument/2006/relationships/oleObject" Target="../embeddings/oleObject194.bin"/><Relationship Id="rId471" Type="http://schemas.openxmlformats.org/officeDocument/2006/relationships/image" Target="../media/image198.emf"/><Relationship Id="rId506" Type="http://schemas.openxmlformats.org/officeDocument/2006/relationships/oleObject" Target="../embeddings/oleObject226.bin"/><Relationship Id="rId17" Type="http://schemas.openxmlformats.org/officeDocument/2006/relationships/hyperlink" Target="../../users/volpol/Application%20Data/Microsoft/Excel/&#1052;&#1077;&#1090;&#1086;&#1076;&#1080;&#1095;&#1082;&#1072;%20&#1084;&#1086;&#1103;%202.pdf" TargetMode="External"/><Relationship Id="rId3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9"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03" Type="http://schemas.openxmlformats.org/officeDocument/2006/relationships/image" Target="../media/image17.emf"/><Relationship Id="rId124" Type="http://schemas.openxmlformats.org/officeDocument/2006/relationships/oleObject" Target="../embeddings/oleObject28.bin"/><Relationship Id="rId310" Type="http://schemas.openxmlformats.org/officeDocument/2006/relationships/image" Target="../media/image118.emf"/><Relationship Id="rId492" Type="http://schemas.openxmlformats.org/officeDocument/2006/relationships/image" Target="../media/image205.emf"/><Relationship Id="rId527" Type="http://schemas.openxmlformats.org/officeDocument/2006/relationships/image" Target="../media/image221.emf"/><Relationship Id="rId548" Type="http://schemas.openxmlformats.org/officeDocument/2006/relationships/oleObject" Target="../embeddings/oleObject248.bin"/><Relationship Id="rId569" Type="http://schemas.openxmlformats.org/officeDocument/2006/relationships/image" Target="../media/image242.emf"/><Relationship Id="rId70" Type="http://schemas.openxmlformats.org/officeDocument/2006/relationships/oleObject" Target="../embeddings/oleObject1.bin"/><Relationship Id="rId91" Type="http://schemas.openxmlformats.org/officeDocument/2006/relationships/image" Target="../media/image11.emf"/><Relationship Id="rId145" Type="http://schemas.openxmlformats.org/officeDocument/2006/relationships/image" Target="../media/image38.emf"/><Relationship Id="rId166" Type="http://schemas.openxmlformats.org/officeDocument/2006/relationships/oleObject" Target="../embeddings/oleObject49.bin"/><Relationship Id="rId187" Type="http://schemas.openxmlformats.org/officeDocument/2006/relationships/image" Target="../media/image59.emf"/><Relationship Id="rId331" Type="http://schemas.openxmlformats.org/officeDocument/2006/relationships/oleObject" Target="../embeddings/oleObject134.bin"/><Relationship Id="rId352" Type="http://schemas.openxmlformats.org/officeDocument/2006/relationships/image" Target="../media/image139.emf"/><Relationship Id="rId373" Type="http://schemas.openxmlformats.org/officeDocument/2006/relationships/oleObject" Target="../embeddings/oleObject155.bin"/><Relationship Id="rId394" Type="http://schemas.openxmlformats.org/officeDocument/2006/relationships/image" Target="../media/image160.emf"/><Relationship Id="rId408" Type="http://schemas.openxmlformats.org/officeDocument/2006/relationships/image" Target="../media/image167.emf"/><Relationship Id="rId429" Type="http://schemas.openxmlformats.org/officeDocument/2006/relationships/oleObject" Target="../embeddings/oleObject183.bin"/><Relationship Id="rId580" Type="http://schemas.openxmlformats.org/officeDocument/2006/relationships/oleObject" Target="../embeddings/oleObject264.bin"/><Relationship Id="rId1" Type="http://schemas.openxmlformats.org/officeDocument/2006/relationships/hyperlink" Target="../../users/volpol/Application%20Data/Microsoft/Excel/&#1043;&#1054;&#1057;&#1058;" TargetMode="External"/><Relationship Id="rId212" Type="http://schemas.openxmlformats.org/officeDocument/2006/relationships/oleObject" Target="../embeddings/oleObject72.bin"/><Relationship Id="rId233" Type="http://schemas.openxmlformats.org/officeDocument/2006/relationships/image" Target="../media/image82.emf"/><Relationship Id="rId254" Type="http://schemas.openxmlformats.org/officeDocument/2006/relationships/image" Target="../media/image90.emf"/><Relationship Id="rId440" Type="http://schemas.openxmlformats.org/officeDocument/2006/relationships/oleObject" Target="../embeddings/oleObject189.bin"/><Relationship Id="rId28" Type="http://schemas.openxmlformats.org/officeDocument/2006/relationships/hyperlink" Target="../../users/volpol/Application%20Data/Microsoft/Excel/&#1052;&#1077;&#1090;&#1086;&#1076;&#1080;&#1095;&#1077;&#1089;&#1082;&#1080;&#1077;%20&#1089;&#1087;&#1088;&#1072;&#1074;&#1082;&#1080;.docx" TargetMode="External"/><Relationship Id="rId49" Type="http://schemas.openxmlformats.org/officeDocument/2006/relationships/hyperlink" Target="../../users/volpol/Application%20Data/Microsoft/Excel/&#1052;&#1077;&#1090;&#1086;&#1076;&#1080;&#1095;&#1077;&#1089;&#1082;&#1080;&#1077;%20&#1089;&#1087;&#1088;&#1072;&#1074;&#1082;&#1080;.docx" TargetMode="External"/><Relationship Id="rId114" Type="http://schemas.openxmlformats.org/officeDocument/2006/relationships/oleObject" Target="../embeddings/oleObject23.bin"/><Relationship Id="rId275" Type="http://schemas.openxmlformats.org/officeDocument/2006/relationships/oleObject" Target="../embeddings/oleObject106.bin"/><Relationship Id="rId296" Type="http://schemas.openxmlformats.org/officeDocument/2006/relationships/image" Target="../media/image111.emf"/><Relationship Id="rId300" Type="http://schemas.openxmlformats.org/officeDocument/2006/relationships/image" Target="../media/image113.emf"/><Relationship Id="rId461" Type="http://schemas.openxmlformats.org/officeDocument/2006/relationships/image" Target="../media/image193.emf"/><Relationship Id="rId482" Type="http://schemas.openxmlformats.org/officeDocument/2006/relationships/oleObject" Target="../embeddings/oleObject213.bin"/><Relationship Id="rId517" Type="http://schemas.openxmlformats.org/officeDocument/2006/relationships/oleObject" Target="../embeddings/oleObject232.bin"/><Relationship Id="rId538" Type="http://schemas.openxmlformats.org/officeDocument/2006/relationships/oleObject" Target="../embeddings/oleObject243.bin"/><Relationship Id="rId559" Type="http://schemas.openxmlformats.org/officeDocument/2006/relationships/image" Target="../media/image237.emf"/><Relationship Id="rId60"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1" Type="http://schemas.openxmlformats.org/officeDocument/2006/relationships/image" Target="../media/image6.emf"/><Relationship Id="rId135" Type="http://schemas.openxmlformats.org/officeDocument/2006/relationships/image" Target="../media/image33.emf"/><Relationship Id="rId156" Type="http://schemas.openxmlformats.org/officeDocument/2006/relationships/oleObject" Target="../embeddings/oleObject44.bin"/><Relationship Id="rId177" Type="http://schemas.openxmlformats.org/officeDocument/2006/relationships/image" Target="../media/image54.emf"/><Relationship Id="rId198" Type="http://schemas.openxmlformats.org/officeDocument/2006/relationships/oleObject" Target="../embeddings/oleObject65.bin"/><Relationship Id="rId321" Type="http://schemas.openxmlformats.org/officeDocument/2006/relationships/oleObject" Target="../embeddings/oleObject129.bin"/><Relationship Id="rId342" Type="http://schemas.openxmlformats.org/officeDocument/2006/relationships/image" Target="../media/image134.emf"/><Relationship Id="rId363" Type="http://schemas.openxmlformats.org/officeDocument/2006/relationships/oleObject" Target="../embeddings/oleObject150.bin"/><Relationship Id="rId384" Type="http://schemas.openxmlformats.org/officeDocument/2006/relationships/image" Target="../media/image155.emf"/><Relationship Id="rId419" Type="http://schemas.openxmlformats.org/officeDocument/2006/relationships/oleObject" Target="../embeddings/oleObject178.bin"/><Relationship Id="rId570" Type="http://schemas.openxmlformats.org/officeDocument/2006/relationships/oleObject" Target="../embeddings/oleObject259.bin"/><Relationship Id="rId591" Type="http://schemas.openxmlformats.org/officeDocument/2006/relationships/image" Target="../media/image253.emf"/><Relationship Id="rId605" Type="http://schemas.openxmlformats.org/officeDocument/2006/relationships/image" Target="../media/image258.emf"/><Relationship Id="rId202" Type="http://schemas.openxmlformats.org/officeDocument/2006/relationships/oleObject" Target="../embeddings/oleObject67.bin"/><Relationship Id="rId223" Type="http://schemas.openxmlformats.org/officeDocument/2006/relationships/image" Target="../media/image77.emf"/><Relationship Id="rId244" Type="http://schemas.openxmlformats.org/officeDocument/2006/relationships/oleObject" Target="../embeddings/oleObject88.bin"/><Relationship Id="rId430" Type="http://schemas.openxmlformats.org/officeDocument/2006/relationships/image" Target="../media/image178.emf"/><Relationship Id="rId18" Type="http://schemas.openxmlformats.org/officeDocument/2006/relationships/hyperlink" Target="../../users/volpol/Application%20Data/Microsoft/Excel/&#1055;&#1088;&#1086;&#1075;&#1088;&#1072;&#1084;&#1084;&#1072;%20XLCS%20&#1040;&#1044;%204&#1040;.txt" TargetMode="External"/><Relationship Id="rId39" Type="http://schemas.openxmlformats.org/officeDocument/2006/relationships/hyperlink" Target="../../users/volpol/Application%20Data/Microsoft/Excel/&#1052;&#1077;&#1090;&#1086;&#1076;&#1080;&#1095;&#1077;&#1089;&#1082;&#1080;&#1077;%20&#1089;&#1087;&#1088;&#1072;&#1074;&#1082;&#1080;.docx" TargetMode="External"/><Relationship Id="rId265" Type="http://schemas.openxmlformats.org/officeDocument/2006/relationships/oleObject" Target="../embeddings/oleObject101.bin"/><Relationship Id="rId286" Type="http://schemas.openxmlformats.org/officeDocument/2006/relationships/image" Target="../media/image106.emf"/><Relationship Id="rId451" Type="http://schemas.openxmlformats.org/officeDocument/2006/relationships/image" Target="../media/image188.emf"/><Relationship Id="rId472" Type="http://schemas.openxmlformats.org/officeDocument/2006/relationships/oleObject" Target="../embeddings/oleObject205.bin"/><Relationship Id="rId493" Type="http://schemas.openxmlformats.org/officeDocument/2006/relationships/oleObject" Target="../embeddings/oleObject219.bin"/><Relationship Id="rId507" Type="http://schemas.openxmlformats.org/officeDocument/2006/relationships/oleObject" Target="../embeddings/oleObject227.bin"/><Relationship Id="rId528" Type="http://schemas.openxmlformats.org/officeDocument/2006/relationships/oleObject" Target="../embeddings/oleObject238.bin"/><Relationship Id="rId549" Type="http://schemas.openxmlformats.org/officeDocument/2006/relationships/image" Target="../media/image232.emf"/><Relationship Id="rId50" Type="http://schemas.openxmlformats.org/officeDocument/2006/relationships/hyperlink" Target="../../users/volpol/Application%20Data/Microsoft/Excel/&#1052;&#1077;&#1090;&#1086;&#1076;&#1080;&#1095;&#1082;&#1072;%20&#1084;&#1086;&#1103;%202.pdf" TargetMode="External"/><Relationship Id="rId104" Type="http://schemas.openxmlformats.org/officeDocument/2006/relationships/oleObject" Target="../embeddings/oleObject18.bin"/><Relationship Id="rId125" Type="http://schemas.openxmlformats.org/officeDocument/2006/relationships/image" Target="../media/image28.emf"/><Relationship Id="rId146" Type="http://schemas.openxmlformats.org/officeDocument/2006/relationships/oleObject" Target="../embeddings/oleObject39.bin"/><Relationship Id="rId167" Type="http://schemas.openxmlformats.org/officeDocument/2006/relationships/image" Target="../media/image49.emf"/><Relationship Id="rId188" Type="http://schemas.openxmlformats.org/officeDocument/2006/relationships/oleObject" Target="../embeddings/oleObject60.bin"/><Relationship Id="rId311" Type="http://schemas.openxmlformats.org/officeDocument/2006/relationships/oleObject" Target="../embeddings/oleObject124.bin"/><Relationship Id="rId332" Type="http://schemas.openxmlformats.org/officeDocument/2006/relationships/image" Target="../media/image129.emf"/><Relationship Id="rId353" Type="http://schemas.openxmlformats.org/officeDocument/2006/relationships/oleObject" Target="../embeddings/oleObject145.bin"/><Relationship Id="rId374" Type="http://schemas.openxmlformats.org/officeDocument/2006/relationships/image" Target="../media/image150.emf"/><Relationship Id="rId395" Type="http://schemas.openxmlformats.org/officeDocument/2006/relationships/oleObject" Target="../embeddings/oleObject166.bin"/><Relationship Id="rId409" Type="http://schemas.openxmlformats.org/officeDocument/2006/relationships/oleObject" Target="../embeddings/oleObject173.bin"/><Relationship Id="rId560" Type="http://schemas.openxmlformats.org/officeDocument/2006/relationships/oleObject" Target="../embeddings/oleObject254.bin"/><Relationship Id="rId581" Type="http://schemas.openxmlformats.org/officeDocument/2006/relationships/image" Target="../media/image248.emf"/><Relationship Id="rId71" Type="http://schemas.openxmlformats.org/officeDocument/2006/relationships/image" Target="../media/image1.emf"/><Relationship Id="rId92" Type="http://schemas.openxmlformats.org/officeDocument/2006/relationships/oleObject" Target="../embeddings/oleObject12.bin"/><Relationship Id="rId213" Type="http://schemas.openxmlformats.org/officeDocument/2006/relationships/image" Target="../media/image72.emf"/><Relationship Id="rId234" Type="http://schemas.openxmlformats.org/officeDocument/2006/relationships/oleObject" Target="../embeddings/oleObject83.bin"/><Relationship Id="rId420" Type="http://schemas.openxmlformats.org/officeDocument/2006/relationships/image" Target="../media/image173.emf"/><Relationship Id="rId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users/volpol/Application%20Data/Microsoft/Excel/&#1052;&#1077;&#1090;&#1086;&#1076;&#1080;&#1095;&#1082;&#1072;%20&#1084;&#1086;&#1103;%202.pdf" TargetMode="External"/><Relationship Id="rId255" Type="http://schemas.openxmlformats.org/officeDocument/2006/relationships/oleObject" Target="../embeddings/oleObject96.bin"/><Relationship Id="rId276" Type="http://schemas.openxmlformats.org/officeDocument/2006/relationships/image" Target="../media/image101.emf"/><Relationship Id="rId297" Type="http://schemas.openxmlformats.org/officeDocument/2006/relationships/oleObject" Target="../embeddings/oleObject117.bin"/><Relationship Id="rId441" Type="http://schemas.openxmlformats.org/officeDocument/2006/relationships/image" Target="../media/image183.emf"/><Relationship Id="rId462" Type="http://schemas.openxmlformats.org/officeDocument/2006/relationships/oleObject" Target="../embeddings/oleObject200.bin"/><Relationship Id="rId483" Type="http://schemas.openxmlformats.org/officeDocument/2006/relationships/image" Target="../media/image201.emf"/><Relationship Id="rId518" Type="http://schemas.openxmlformats.org/officeDocument/2006/relationships/image" Target="../media/image217.emf"/><Relationship Id="rId539" Type="http://schemas.openxmlformats.org/officeDocument/2006/relationships/image" Target="../media/image227.emf"/><Relationship Id="rId40" Type="http://schemas.openxmlformats.org/officeDocument/2006/relationships/hyperlink" Target="../../users/volpol/Application%20Data/Microsoft/Excel/&#1052;&#1077;&#1090;&#1086;&#1076;&#1080;&#1095;&#1082;&#1072;%20&#1084;&#1086;&#1103;%202.pdf" TargetMode="External"/><Relationship Id="rId115" Type="http://schemas.openxmlformats.org/officeDocument/2006/relationships/image" Target="../media/image23.emf"/><Relationship Id="rId136" Type="http://schemas.openxmlformats.org/officeDocument/2006/relationships/oleObject" Target="../embeddings/oleObject34.bin"/><Relationship Id="rId157" Type="http://schemas.openxmlformats.org/officeDocument/2006/relationships/image" Target="../media/image44.emf"/><Relationship Id="rId178" Type="http://schemas.openxmlformats.org/officeDocument/2006/relationships/oleObject" Target="../embeddings/oleObject55.bin"/><Relationship Id="rId301" Type="http://schemas.openxmlformats.org/officeDocument/2006/relationships/oleObject" Target="../embeddings/oleObject119.bin"/><Relationship Id="rId322" Type="http://schemas.openxmlformats.org/officeDocument/2006/relationships/image" Target="../media/image124.emf"/><Relationship Id="rId343" Type="http://schemas.openxmlformats.org/officeDocument/2006/relationships/oleObject" Target="../embeddings/oleObject140.bin"/><Relationship Id="rId364" Type="http://schemas.openxmlformats.org/officeDocument/2006/relationships/image" Target="../media/image145.emf"/><Relationship Id="rId550" Type="http://schemas.openxmlformats.org/officeDocument/2006/relationships/oleObject" Target="../embeddings/oleObject249.bin"/><Relationship Id="rId61"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2" Type="http://schemas.openxmlformats.org/officeDocument/2006/relationships/oleObject" Target="../embeddings/oleObject7.bin"/><Relationship Id="rId199" Type="http://schemas.openxmlformats.org/officeDocument/2006/relationships/image" Target="../media/image65.emf"/><Relationship Id="rId203" Type="http://schemas.openxmlformats.org/officeDocument/2006/relationships/image" Target="../media/image67.emf"/><Relationship Id="rId385" Type="http://schemas.openxmlformats.org/officeDocument/2006/relationships/oleObject" Target="../embeddings/oleObject161.bin"/><Relationship Id="rId571" Type="http://schemas.openxmlformats.org/officeDocument/2006/relationships/image" Target="../media/image243.emf"/><Relationship Id="rId592" Type="http://schemas.openxmlformats.org/officeDocument/2006/relationships/oleObject" Target="../embeddings/oleObject270.bin"/><Relationship Id="rId606" Type="http://schemas.openxmlformats.org/officeDocument/2006/relationships/oleObject" Target="../embeddings/oleObject279.bin"/><Relationship Id="rId19"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45" Type="http://schemas.openxmlformats.org/officeDocument/2006/relationships/image" Target="../media/image88.emf"/><Relationship Id="rId266" Type="http://schemas.openxmlformats.org/officeDocument/2006/relationships/image" Target="../media/image96.emf"/><Relationship Id="rId287" Type="http://schemas.openxmlformats.org/officeDocument/2006/relationships/oleObject" Target="../embeddings/oleObject112.bin"/><Relationship Id="rId410" Type="http://schemas.openxmlformats.org/officeDocument/2006/relationships/image" Target="../media/image168.emf"/><Relationship Id="rId431" Type="http://schemas.openxmlformats.org/officeDocument/2006/relationships/oleObject" Target="../embeddings/oleObject184.bin"/><Relationship Id="rId452" Type="http://schemas.openxmlformats.org/officeDocument/2006/relationships/oleObject" Target="../embeddings/oleObject195.bin"/><Relationship Id="rId473" Type="http://schemas.openxmlformats.org/officeDocument/2006/relationships/image" Target="../media/image199.emf"/><Relationship Id="rId494" Type="http://schemas.openxmlformats.org/officeDocument/2006/relationships/oleObject" Target="../embeddings/oleObject220.bin"/><Relationship Id="rId508" Type="http://schemas.openxmlformats.org/officeDocument/2006/relationships/image" Target="../media/image212.emf"/><Relationship Id="rId529" Type="http://schemas.openxmlformats.org/officeDocument/2006/relationships/image" Target="../media/image222.emf"/><Relationship Id="rId30" Type="http://schemas.openxmlformats.org/officeDocument/2006/relationships/hyperlink" Target="../../users/volpol/Application%20Data/Microsoft/Excel/&#1055;&#1088;&#1086;&#1075;&#1088;&#1072;&#1084;&#1084;&#1072;%20XLCS%20&#1040;&#1044;%204&#1040;.txt" TargetMode="External"/><Relationship Id="rId105" Type="http://schemas.openxmlformats.org/officeDocument/2006/relationships/image" Target="../media/image18.emf"/><Relationship Id="rId126" Type="http://schemas.openxmlformats.org/officeDocument/2006/relationships/oleObject" Target="../embeddings/oleObject29.bin"/><Relationship Id="rId147" Type="http://schemas.openxmlformats.org/officeDocument/2006/relationships/image" Target="../media/image39.emf"/><Relationship Id="rId168" Type="http://schemas.openxmlformats.org/officeDocument/2006/relationships/oleObject" Target="../embeddings/oleObject50.bin"/><Relationship Id="rId312" Type="http://schemas.openxmlformats.org/officeDocument/2006/relationships/image" Target="../media/image119.emf"/><Relationship Id="rId333" Type="http://schemas.openxmlformats.org/officeDocument/2006/relationships/oleObject" Target="../embeddings/oleObject135.bin"/><Relationship Id="rId354" Type="http://schemas.openxmlformats.org/officeDocument/2006/relationships/image" Target="../media/image140.emf"/><Relationship Id="rId540" Type="http://schemas.openxmlformats.org/officeDocument/2006/relationships/oleObject" Target="../embeddings/oleObject244.bin"/><Relationship Id="rId51" Type="http://schemas.openxmlformats.org/officeDocument/2006/relationships/hyperlink" Target="../../users/volpol/Application%20Data/Microsoft/Excel/&#1055;&#1088;&#1086;&#1075;&#1088;&#1072;&#1084;&#1084;&#1072;%20XLCS%20&#1040;&#1044;%204&#1040;.txt" TargetMode="External"/><Relationship Id="rId72" Type="http://schemas.openxmlformats.org/officeDocument/2006/relationships/oleObject" Target="../embeddings/oleObject2.bin"/><Relationship Id="rId93" Type="http://schemas.openxmlformats.org/officeDocument/2006/relationships/image" Target="../media/image12.emf"/><Relationship Id="rId189" Type="http://schemas.openxmlformats.org/officeDocument/2006/relationships/image" Target="../media/image60.emf"/><Relationship Id="rId375" Type="http://schemas.openxmlformats.org/officeDocument/2006/relationships/oleObject" Target="../embeddings/oleObject156.bin"/><Relationship Id="rId396" Type="http://schemas.openxmlformats.org/officeDocument/2006/relationships/image" Target="../media/image161.emf"/><Relationship Id="rId561" Type="http://schemas.openxmlformats.org/officeDocument/2006/relationships/image" Target="../media/image238.emf"/><Relationship Id="rId582" Type="http://schemas.openxmlformats.org/officeDocument/2006/relationships/oleObject" Target="../embeddings/oleObject265.bin"/><Relationship Id="rId3" Type="http://schemas.openxmlformats.org/officeDocument/2006/relationships/hyperlink" Target="../../users/volpol/Application%20Data/Microsoft/Excel/&#1043;&#1054;&#1057;&#1058;/&#1043;&#1054;&#1057;&#1058;%208338-75.docx" TargetMode="External"/><Relationship Id="rId214" Type="http://schemas.openxmlformats.org/officeDocument/2006/relationships/oleObject" Target="../embeddings/oleObject73.bin"/><Relationship Id="rId235" Type="http://schemas.openxmlformats.org/officeDocument/2006/relationships/image" Target="../media/image83.emf"/><Relationship Id="rId256" Type="http://schemas.openxmlformats.org/officeDocument/2006/relationships/image" Target="../media/image91.emf"/><Relationship Id="rId277" Type="http://schemas.openxmlformats.org/officeDocument/2006/relationships/oleObject" Target="../embeddings/oleObject107.bin"/><Relationship Id="rId298" Type="http://schemas.openxmlformats.org/officeDocument/2006/relationships/image" Target="../media/image112.emf"/><Relationship Id="rId400" Type="http://schemas.openxmlformats.org/officeDocument/2006/relationships/image" Target="../media/image163.emf"/><Relationship Id="rId421" Type="http://schemas.openxmlformats.org/officeDocument/2006/relationships/oleObject" Target="../embeddings/oleObject179.bin"/><Relationship Id="rId442" Type="http://schemas.openxmlformats.org/officeDocument/2006/relationships/oleObject" Target="../embeddings/oleObject190.bin"/><Relationship Id="rId463" Type="http://schemas.openxmlformats.org/officeDocument/2006/relationships/image" Target="../media/image194.emf"/><Relationship Id="rId484" Type="http://schemas.openxmlformats.org/officeDocument/2006/relationships/oleObject" Target="../embeddings/oleObject214.bin"/><Relationship Id="rId519" Type="http://schemas.openxmlformats.org/officeDocument/2006/relationships/oleObject" Target="../embeddings/oleObject233.bin"/><Relationship Id="rId116" Type="http://schemas.openxmlformats.org/officeDocument/2006/relationships/oleObject" Target="../embeddings/oleObject24.bin"/><Relationship Id="rId137" Type="http://schemas.openxmlformats.org/officeDocument/2006/relationships/image" Target="../media/image34.emf"/><Relationship Id="rId158" Type="http://schemas.openxmlformats.org/officeDocument/2006/relationships/oleObject" Target="../embeddings/oleObject45.bin"/><Relationship Id="rId302" Type="http://schemas.openxmlformats.org/officeDocument/2006/relationships/image" Target="../media/image114.emf"/><Relationship Id="rId323" Type="http://schemas.openxmlformats.org/officeDocument/2006/relationships/oleObject" Target="../embeddings/oleObject130.bin"/><Relationship Id="rId344" Type="http://schemas.openxmlformats.org/officeDocument/2006/relationships/image" Target="../media/image135.emf"/><Relationship Id="rId530" Type="http://schemas.openxmlformats.org/officeDocument/2006/relationships/oleObject" Target="../embeddings/oleObject239.bin"/><Relationship Id="rId20" Type="http://schemas.openxmlformats.org/officeDocument/2006/relationships/hyperlink" Target="../../users/volpol/Application%20Data/Microsoft/Excel/&#1052;&#1077;&#1090;&#1086;&#1076;&#1080;&#1095;&#1077;&#1089;&#1082;&#1080;&#1077;%20&#1089;&#1087;&#1088;&#1072;&#1074;&#1082;&#1080;.docx" TargetMode="External"/><Relationship Id="rId41" Type="http://schemas.openxmlformats.org/officeDocument/2006/relationships/hyperlink" Target="../../users/volpol/Application%20Data/Microsoft/Excel/&#1055;&#1088;&#1086;&#1075;&#1088;&#1072;&#1084;&#1084;&#1072;%20XLCS%20&#1040;&#1044;%204&#1040;.txt" TargetMode="External"/><Relationship Id="rId6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3" Type="http://schemas.openxmlformats.org/officeDocument/2006/relationships/image" Target="../media/image7.emf"/><Relationship Id="rId179" Type="http://schemas.openxmlformats.org/officeDocument/2006/relationships/image" Target="../media/image55.emf"/><Relationship Id="rId365" Type="http://schemas.openxmlformats.org/officeDocument/2006/relationships/oleObject" Target="../embeddings/oleObject151.bin"/><Relationship Id="rId386" Type="http://schemas.openxmlformats.org/officeDocument/2006/relationships/image" Target="../media/image156.emf"/><Relationship Id="rId551" Type="http://schemas.openxmlformats.org/officeDocument/2006/relationships/image" Target="../media/image233.emf"/><Relationship Id="rId572" Type="http://schemas.openxmlformats.org/officeDocument/2006/relationships/oleObject" Target="../embeddings/oleObject260.bin"/><Relationship Id="rId593" Type="http://schemas.openxmlformats.org/officeDocument/2006/relationships/image" Target="../media/image254.emf"/><Relationship Id="rId607" Type="http://schemas.openxmlformats.org/officeDocument/2006/relationships/image" Target="../media/image259.emf"/><Relationship Id="rId190" Type="http://schemas.openxmlformats.org/officeDocument/2006/relationships/oleObject" Target="../embeddings/oleObject61.bin"/><Relationship Id="rId204" Type="http://schemas.openxmlformats.org/officeDocument/2006/relationships/oleObject" Target="../embeddings/oleObject68.bin"/><Relationship Id="rId225" Type="http://schemas.openxmlformats.org/officeDocument/2006/relationships/image" Target="../media/image78.emf"/><Relationship Id="rId246" Type="http://schemas.openxmlformats.org/officeDocument/2006/relationships/oleObject" Target="../embeddings/oleObject89.bin"/><Relationship Id="rId267" Type="http://schemas.openxmlformats.org/officeDocument/2006/relationships/oleObject" Target="../embeddings/oleObject102.bin"/><Relationship Id="rId288" Type="http://schemas.openxmlformats.org/officeDocument/2006/relationships/image" Target="../media/image107.emf"/><Relationship Id="rId411" Type="http://schemas.openxmlformats.org/officeDocument/2006/relationships/oleObject" Target="../embeddings/oleObject174.bin"/><Relationship Id="rId432" Type="http://schemas.openxmlformats.org/officeDocument/2006/relationships/image" Target="../media/image179.emf"/><Relationship Id="rId453" Type="http://schemas.openxmlformats.org/officeDocument/2006/relationships/image" Target="../media/image189.emf"/><Relationship Id="rId474" Type="http://schemas.openxmlformats.org/officeDocument/2006/relationships/oleObject" Target="../embeddings/oleObject206.bin"/><Relationship Id="rId509" Type="http://schemas.openxmlformats.org/officeDocument/2006/relationships/oleObject" Target="../embeddings/oleObject228.bin"/><Relationship Id="rId106" Type="http://schemas.openxmlformats.org/officeDocument/2006/relationships/oleObject" Target="../embeddings/oleObject19.bin"/><Relationship Id="rId127" Type="http://schemas.openxmlformats.org/officeDocument/2006/relationships/image" Target="../media/image29.emf"/><Relationship Id="rId313" Type="http://schemas.openxmlformats.org/officeDocument/2006/relationships/oleObject" Target="../embeddings/oleObject125.bin"/><Relationship Id="rId495" Type="http://schemas.openxmlformats.org/officeDocument/2006/relationships/image" Target="../media/image206.emf"/><Relationship Id="rId10" Type="http://schemas.openxmlformats.org/officeDocument/2006/relationships/hyperlink" Target="../../users/volpol/Application%20Data/Microsoft/Excel/&#1052;&#1077;&#1090;&#1086;&#1076;&#1080;&#1095;&#1077;&#1089;&#1082;&#1080;&#1077;%20&#1089;&#1087;&#1088;&#1072;&#1074;&#1082;&#1080;%201.pdf" TargetMode="External"/><Relationship Id="rId31" Type="http://schemas.openxmlformats.org/officeDocument/2006/relationships/hyperlink" Target="../../users/volpol/Application%20Data/Microsoft/&#1052;&#1044;&#1050;%2001.02" TargetMode="External"/><Relationship Id="rId52" Type="http://schemas.openxmlformats.org/officeDocument/2006/relationships/hyperlink" Target="../../users/volpol/Application%20Data/Microsoft/&#1052;&#1044;&#1050;%2001.02" TargetMode="External"/><Relationship Id="rId73" Type="http://schemas.openxmlformats.org/officeDocument/2006/relationships/image" Target="../media/image2.emf"/><Relationship Id="rId94" Type="http://schemas.openxmlformats.org/officeDocument/2006/relationships/oleObject" Target="../embeddings/oleObject13.bin"/><Relationship Id="rId148" Type="http://schemas.openxmlformats.org/officeDocument/2006/relationships/oleObject" Target="../embeddings/oleObject40.bin"/><Relationship Id="rId169" Type="http://schemas.openxmlformats.org/officeDocument/2006/relationships/image" Target="../media/image50.emf"/><Relationship Id="rId334" Type="http://schemas.openxmlformats.org/officeDocument/2006/relationships/image" Target="../media/image130.emf"/><Relationship Id="rId355" Type="http://schemas.openxmlformats.org/officeDocument/2006/relationships/oleObject" Target="../embeddings/oleObject146.bin"/><Relationship Id="rId376" Type="http://schemas.openxmlformats.org/officeDocument/2006/relationships/image" Target="../media/image151.emf"/><Relationship Id="rId397" Type="http://schemas.openxmlformats.org/officeDocument/2006/relationships/oleObject" Target="../embeddings/oleObject167.bin"/><Relationship Id="rId520" Type="http://schemas.openxmlformats.org/officeDocument/2006/relationships/image" Target="../media/image218.emf"/><Relationship Id="rId541" Type="http://schemas.openxmlformats.org/officeDocument/2006/relationships/image" Target="../media/image228.emf"/><Relationship Id="rId562" Type="http://schemas.openxmlformats.org/officeDocument/2006/relationships/oleObject" Target="../embeddings/oleObject255.bin"/><Relationship Id="rId583" Type="http://schemas.openxmlformats.org/officeDocument/2006/relationships/image" Target="../media/image249.emf"/><Relationship Id="rId4" Type="http://schemas.openxmlformats.org/officeDocument/2006/relationships/hyperlink" Target="../../users/volpol/Application%20Data/Microsoft/&#1052;&#1044;&#1050;%2001.02" TargetMode="External"/><Relationship Id="rId180" Type="http://schemas.openxmlformats.org/officeDocument/2006/relationships/oleObject" Target="../embeddings/oleObject56.bin"/><Relationship Id="rId215" Type="http://schemas.openxmlformats.org/officeDocument/2006/relationships/image" Target="../media/image73.emf"/><Relationship Id="rId236" Type="http://schemas.openxmlformats.org/officeDocument/2006/relationships/oleObject" Target="../embeddings/oleObject84.bin"/><Relationship Id="rId257" Type="http://schemas.openxmlformats.org/officeDocument/2006/relationships/oleObject" Target="../embeddings/oleObject97.bin"/><Relationship Id="rId278" Type="http://schemas.openxmlformats.org/officeDocument/2006/relationships/image" Target="../media/image102.emf"/><Relationship Id="rId401" Type="http://schemas.openxmlformats.org/officeDocument/2006/relationships/oleObject" Target="../embeddings/oleObject169.bin"/><Relationship Id="rId422" Type="http://schemas.openxmlformats.org/officeDocument/2006/relationships/image" Target="../media/image174.emf"/><Relationship Id="rId443" Type="http://schemas.openxmlformats.org/officeDocument/2006/relationships/image" Target="../media/image184.emf"/><Relationship Id="rId464" Type="http://schemas.openxmlformats.org/officeDocument/2006/relationships/oleObject" Target="../embeddings/oleObject201.bin"/><Relationship Id="rId303" Type="http://schemas.openxmlformats.org/officeDocument/2006/relationships/oleObject" Target="../embeddings/oleObject120.bin"/><Relationship Id="rId485" Type="http://schemas.openxmlformats.org/officeDocument/2006/relationships/image" Target="../media/image202.emf"/><Relationship Id="rId42" Type="http://schemas.openxmlformats.org/officeDocument/2006/relationships/hyperlink" Target="../../users/volpol/Application%20Data/Microsof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oleObject" Target="../embeddings/oleObject141.bin"/><Relationship Id="rId387" Type="http://schemas.openxmlformats.org/officeDocument/2006/relationships/oleObject" Target="../embeddings/oleObject162.bin"/><Relationship Id="rId510" Type="http://schemas.openxmlformats.org/officeDocument/2006/relationships/image" Target="../media/image213.emf"/><Relationship Id="rId552" Type="http://schemas.openxmlformats.org/officeDocument/2006/relationships/oleObject" Target="../embeddings/oleObject250.bin"/><Relationship Id="rId594" Type="http://schemas.openxmlformats.org/officeDocument/2006/relationships/oleObject" Target="../embeddings/oleObject271.bin"/><Relationship Id="rId608" Type="http://schemas.openxmlformats.org/officeDocument/2006/relationships/oleObject" Target="../embeddings/oleObject280.bin"/><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oleObject" Target="../embeddings/oleObject90.bin"/><Relationship Id="rId412" Type="http://schemas.openxmlformats.org/officeDocument/2006/relationships/image" Target="../media/image169.emf"/><Relationship Id="rId107" Type="http://schemas.openxmlformats.org/officeDocument/2006/relationships/image" Target="../media/image19.emf"/><Relationship Id="rId289" Type="http://schemas.openxmlformats.org/officeDocument/2006/relationships/oleObject" Target="../embeddings/oleObject113.bin"/><Relationship Id="rId454" Type="http://schemas.openxmlformats.org/officeDocument/2006/relationships/oleObject" Target="../embeddings/oleObject196.bin"/><Relationship Id="rId496" Type="http://schemas.openxmlformats.org/officeDocument/2006/relationships/oleObject" Target="../embeddings/oleObject221.bin"/><Relationship Id="rId11" Type="http://schemas.openxmlformats.org/officeDocument/2006/relationships/hyperlink" Target="../../users/volpol/Application%20Data/Microsoft/Excel/&#1055;&#1088;&#1086;&#1075;&#1088;&#1072;&#1084;&#1084;&#1072;%20XLCS%20&#1040;&#1044;%204&#1040;.txt" TargetMode="External"/><Relationship Id="rId5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image" Target="../media/image120.emf"/><Relationship Id="rId356" Type="http://schemas.openxmlformats.org/officeDocument/2006/relationships/image" Target="../media/image141.emf"/><Relationship Id="rId398" Type="http://schemas.openxmlformats.org/officeDocument/2006/relationships/image" Target="../media/image162.emf"/><Relationship Id="rId521" Type="http://schemas.openxmlformats.org/officeDocument/2006/relationships/oleObject" Target="../embeddings/oleObject234.bin"/><Relationship Id="rId563" Type="http://schemas.openxmlformats.org/officeDocument/2006/relationships/image" Target="../media/image239.emf"/><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oleObject" Target="../embeddings/oleObject180.bin"/><Relationship Id="rId258" Type="http://schemas.openxmlformats.org/officeDocument/2006/relationships/image" Target="../media/image92.emf"/><Relationship Id="rId465" Type="http://schemas.openxmlformats.org/officeDocument/2006/relationships/image" Target="../media/image195.emf"/><Relationship Id="rId22" Type="http://schemas.openxmlformats.org/officeDocument/2006/relationships/hyperlink" Target="../../users/volpol/Application%20Data/Microsoft/Excel/&#1055;&#1088;&#1086;&#1075;&#1088;&#1072;&#1084;&#1084;&#1072;%20XLCS%20&#1040;&#1044;%204&#1040;.txt" TargetMode="External"/><Relationship Id="rId64" Type="http://schemas.openxmlformats.org/officeDocument/2006/relationships/hyperlink" Target="../../users/volpol/Application%20Data/Microsoft/Excel/&#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oleObject" Target="../embeddings/oleObject131.bin"/><Relationship Id="rId367" Type="http://schemas.openxmlformats.org/officeDocument/2006/relationships/oleObject" Target="../embeddings/oleObject152.bin"/><Relationship Id="rId532" Type="http://schemas.openxmlformats.org/officeDocument/2006/relationships/oleObject" Target="../embeddings/oleObject240.bin"/><Relationship Id="rId574" Type="http://schemas.openxmlformats.org/officeDocument/2006/relationships/oleObject" Target="../embeddings/oleObject261.bin"/><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oleObject" Target="../embeddings/oleObject103.bin"/><Relationship Id="rId434" Type="http://schemas.openxmlformats.org/officeDocument/2006/relationships/image" Target="../media/image180.emf"/><Relationship Id="rId476" Type="http://schemas.openxmlformats.org/officeDocument/2006/relationships/oleObject" Target="../embeddings/oleObject208.bin"/><Relationship Id="rId33" Type="http://schemas.openxmlformats.org/officeDocument/2006/relationships/hyperlink" Target="../../users/volpol/Application%20Data/Microsoft/&#1052;&#1044;&#1050;%2001.02" TargetMode="External"/><Relationship Id="rId129" Type="http://schemas.openxmlformats.org/officeDocument/2006/relationships/image" Target="../media/image30.emf"/><Relationship Id="rId280" Type="http://schemas.openxmlformats.org/officeDocument/2006/relationships/image" Target="../media/image103.emf"/><Relationship Id="rId336" Type="http://schemas.openxmlformats.org/officeDocument/2006/relationships/image" Target="../media/image131.emf"/><Relationship Id="rId501" Type="http://schemas.openxmlformats.org/officeDocument/2006/relationships/image" Target="../media/image209.emf"/><Relationship Id="rId543" Type="http://schemas.openxmlformats.org/officeDocument/2006/relationships/image" Target="../media/image229.emf"/><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image" Target="../media/image152.emf"/><Relationship Id="rId403" Type="http://schemas.openxmlformats.org/officeDocument/2006/relationships/oleObject" Target="../embeddings/oleObject170.bin"/><Relationship Id="rId585" Type="http://schemas.openxmlformats.org/officeDocument/2006/relationships/image" Target="../media/image250.emf"/><Relationship Id="rId6" Type="http://schemas.openxmlformats.org/officeDocument/2006/relationships/hyperlink" Target="../../users/volpol/Application%20Data/Microsoft/Excel/&#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image" Target="../media/image203.emf"/><Relationship Id="rId291" Type="http://schemas.openxmlformats.org/officeDocument/2006/relationships/oleObject" Target="../embeddings/oleObject114.bin"/><Relationship Id="rId305" Type="http://schemas.openxmlformats.org/officeDocument/2006/relationships/oleObject" Target="../embeddings/oleObject121.bin"/><Relationship Id="rId347" Type="http://schemas.openxmlformats.org/officeDocument/2006/relationships/oleObject" Target="../embeddings/oleObject142.bin"/><Relationship Id="rId512" Type="http://schemas.openxmlformats.org/officeDocument/2006/relationships/image" Target="../media/image214.emf"/><Relationship Id="rId44" Type="http://schemas.openxmlformats.org/officeDocument/2006/relationships/hyperlink" Target="../../users/volpol/Application%20Data/Microsoft/Excel/&#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oleObject" Target="../embeddings/oleObject163.bin"/><Relationship Id="rId554" Type="http://schemas.openxmlformats.org/officeDocument/2006/relationships/oleObject" Target="../embeddings/oleObject251.bin"/><Relationship Id="rId596" Type="http://schemas.openxmlformats.org/officeDocument/2006/relationships/oleObject" Target="../embeddings/oleObject272.bin"/><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oleObject" Target="../embeddings/oleObject92.bin"/><Relationship Id="rId414" Type="http://schemas.openxmlformats.org/officeDocument/2006/relationships/image" Target="../media/image170.emf"/><Relationship Id="rId456" Type="http://schemas.openxmlformats.org/officeDocument/2006/relationships/oleObject" Target="../embeddings/oleObject197.bin"/><Relationship Id="rId498" Type="http://schemas.openxmlformats.org/officeDocument/2006/relationships/oleObject" Target="../embeddings/oleObject222.bin"/><Relationship Id="rId13" Type="http://schemas.openxmlformats.org/officeDocument/2006/relationships/hyperlink" Target="../../users/volpol/Application%20Data/Microsoft/Excel/&#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image" Target="../media/image93.emf"/><Relationship Id="rId316" Type="http://schemas.openxmlformats.org/officeDocument/2006/relationships/image" Target="../media/image121.emf"/><Relationship Id="rId523" Type="http://schemas.openxmlformats.org/officeDocument/2006/relationships/oleObject" Target="../embeddings/oleObject235.bin"/><Relationship Id="rId55" Type="http://schemas.openxmlformats.org/officeDocument/2006/relationships/hyperlink" Target="../../users/volpol/Application%20Data/Microsoft/Excel/&#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image" Target="../media/image142.emf"/><Relationship Id="rId565" Type="http://schemas.openxmlformats.org/officeDocument/2006/relationships/image" Target="../media/image240.emf"/><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oleObject" Target="../embeddings/oleObject181.bin"/><Relationship Id="rId467" Type="http://schemas.openxmlformats.org/officeDocument/2006/relationships/image" Target="../media/image196.emf"/><Relationship Id="rId271" Type="http://schemas.openxmlformats.org/officeDocument/2006/relationships/oleObject" Target="../embeddings/oleObject104.bin"/><Relationship Id="rId24" Type="http://schemas.openxmlformats.org/officeDocument/2006/relationships/hyperlink" Target="../../users/volpol/Application%20Data/Microsoft/Excel/&#1052;&#1077;&#1090;&#1086;&#1076;&#1080;&#1095;&#1077;&#1089;&#1082;&#1080;&#1077;%20&#1089;&#1087;&#1088;&#1072;&#1074;&#1082;&#1080;.docx" TargetMode="External"/><Relationship Id="rId66" Type="http://schemas.openxmlformats.org/officeDocument/2006/relationships/hyperlink" Target="../../users/volpol/Application%20Data/Microsoft/Excel/&#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oleObject" Target="../embeddings/oleObject132.bin"/><Relationship Id="rId369" Type="http://schemas.openxmlformats.org/officeDocument/2006/relationships/oleObject" Target="../embeddings/oleObject153.bin"/><Relationship Id="rId534" Type="http://schemas.openxmlformats.org/officeDocument/2006/relationships/oleObject" Target="../embeddings/oleObject241.bin"/><Relationship Id="rId576" Type="http://schemas.openxmlformats.org/officeDocument/2006/relationships/oleObject" Target="../embeddings/oleObject262.bin"/><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image" Target="../media/image153.emf"/><Relationship Id="rId436" Type="http://schemas.openxmlformats.org/officeDocument/2006/relationships/image" Target="../media/image181.emf"/><Relationship Id="rId601" Type="http://schemas.openxmlformats.org/officeDocument/2006/relationships/oleObject" Target="../embeddings/oleObject275.bin"/><Relationship Id="rId240" Type="http://schemas.openxmlformats.org/officeDocument/2006/relationships/oleObject" Target="../embeddings/oleObject86.bin"/><Relationship Id="rId478" Type="http://schemas.openxmlformats.org/officeDocument/2006/relationships/oleObject" Target="../embeddings/oleObject210.bin"/><Relationship Id="rId35" Type="http://schemas.openxmlformats.org/officeDocument/2006/relationships/hyperlink" Target="../../users/volpol/Application%20Data/Microsof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image" Target="../media/image104.emf"/><Relationship Id="rId338" Type="http://schemas.openxmlformats.org/officeDocument/2006/relationships/image" Target="../media/image132.emf"/><Relationship Id="rId503" Type="http://schemas.openxmlformats.org/officeDocument/2006/relationships/image" Target="../media/image210.emf"/><Relationship Id="rId545" Type="http://schemas.openxmlformats.org/officeDocument/2006/relationships/image" Target="../media/image230.emf"/><Relationship Id="rId587" Type="http://schemas.openxmlformats.org/officeDocument/2006/relationships/image" Target="../media/image251.emf"/><Relationship Id="rId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oleObject" Target="../embeddings/oleObject164.bin"/><Relationship Id="rId405" Type="http://schemas.openxmlformats.org/officeDocument/2006/relationships/oleObject" Target="../embeddings/oleObject171.bin"/><Relationship Id="rId447" Type="http://schemas.openxmlformats.org/officeDocument/2006/relationships/image" Target="../media/image186.emf"/><Relationship Id="rId251" Type="http://schemas.openxmlformats.org/officeDocument/2006/relationships/oleObject" Target="../embeddings/oleObject94.bin"/><Relationship Id="rId489" Type="http://schemas.openxmlformats.org/officeDocument/2006/relationships/oleObject" Target="../embeddings/oleObject217.bin"/><Relationship Id="rId46" Type="http://schemas.openxmlformats.org/officeDocument/2006/relationships/hyperlink" Target="../../users/volpol/Application%20Data/Microsoft/Excel/&#1055;&#1088;&#1086;&#1075;&#1088;&#1072;&#1084;&#1084;&#1072;%20XLCS%20&#1040;&#1044;%204&#1040;.txt" TargetMode="External"/><Relationship Id="rId293" Type="http://schemas.openxmlformats.org/officeDocument/2006/relationships/oleObject" Target="../embeddings/oleObject115.bin"/><Relationship Id="rId307" Type="http://schemas.openxmlformats.org/officeDocument/2006/relationships/oleObject" Target="../embeddings/oleObject122.bin"/><Relationship Id="rId349" Type="http://schemas.openxmlformats.org/officeDocument/2006/relationships/oleObject" Target="../embeddings/oleObject143.bin"/><Relationship Id="rId514" Type="http://schemas.openxmlformats.org/officeDocument/2006/relationships/image" Target="../media/image215.emf"/><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image" Target="../media/image143.emf"/><Relationship Id="rId416" Type="http://schemas.openxmlformats.org/officeDocument/2006/relationships/image" Target="../media/image171.emf"/><Relationship Id="rId598" Type="http://schemas.openxmlformats.org/officeDocument/2006/relationships/oleObject" Target="../embeddings/oleObject273.bin"/><Relationship Id="rId220" Type="http://schemas.openxmlformats.org/officeDocument/2006/relationships/oleObject" Target="../embeddings/oleObject76.bin"/><Relationship Id="rId458" Type="http://schemas.openxmlformats.org/officeDocument/2006/relationships/oleObject" Target="../embeddings/oleObject198.bin"/><Relationship Id="rId1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7"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image" Target="../media/image94.emf"/><Relationship Id="rId318" Type="http://schemas.openxmlformats.org/officeDocument/2006/relationships/image" Target="../media/image122.emf"/><Relationship Id="rId525" Type="http://schemas.openxmlformats.org/officeDocument/2006/relationships/oleObject" Target="../embeddings/oleObject236.bin"/><Relationship Id="rId567" Type="http://schemas.openxmlformats.org/officeDocument/2006/relationships/image" Target="../media/image241.emf"/><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oleObject" Target="../embeddings/oleObject154.bin"/><Relationship Id="rId427" Type="http://schemas.openxmlformats.org/officeDocument/2006/relationships/oleObject" Target="../embeddings/oleObject182.bin"/><Relationship Id="rId469" Type="http://schemas.openxmlformats.org/officeDocument/2006/relationships/image" Target="../media/image197.emf"/><Relationship Id="rId26" Type="http://schemas.openxmlformats.org/officeDocument/2006/relationships/hyperlink" Target="../../users/volpol/Application%20Data/Microsoft/Excel/&#1055;&#1088;&#1086;&#1075;&#1088;&#1072;&#1084;&#1084;&#1072;%20XLCS%20&#1040;&#1044;%204&#1040;.txt" TargetMode="External"/><Relationship Id="rId231" Type="http://schemas.openxmlformats.org/officeDocument/2006/relationships/image" Target="../media/image81.emf"/><Relationship Id="rId273" Type="http://schemas.openxmlformats.org/officeDocument/2006/relationships/oleObject" Target="../embeddings/oleObject105.bin"/><Relationship Id="rId329" Type="http://schemas.openxmlformats.org/officeDocument/2006/relationships/oleObject" Target="../embeddings/oleObject133.bin"/><Relationship Id="rId480" Type="http://schemas.openxmlformats.org/officeDocument/2006/relationships/oleObject" Target="../embeddings/oleObject212.bin"/><Relationship Id="rId536" Type="http://schemas.openxmlformats.org/officeDocument/2006/relationships/oleObject" Target="../embeddings/oleObject242.bin"/><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image" Target="../media/image133.emf"/><Relationship Id="rId578" Type="http://schemas.openxmlformats.org/officeDocument/2006/relationships/oleObject" Target="../embeddings/oleObject263.bin"/><Relationship Id="rId200" Type="http://schemas.openxmlformats.org/officeDocument/2006/relationships/oleObject" Target="../embeddings/oleObject66.bin"/><Relationship Id="rId382" Type="http://schemas.openxmlformats.org/officeDocument/2006/relationships/image" Target="../media/image154.emf"/><Relationship Id="rId438" Type="http://schemas.openxmlformats.org/officeDocument/2006/relationships/image" Target="../media/image182.emf"/><Relationship Id="rId603" Type="http://schemas.openxmlformats.org/officeDocument/2006/relationships/oleObject" Target="../embeddings/oleObject277.bin"/><Relationship Id="rId242" Type="http://schemas.openxmlformats.org/officeDocument/2006/relationships/oleObject" Target="../embeddings/oleObject87.bin"/><Relationship Id="rId284" Type="http://schemas.openxmlformats.org/officeDocument/2006/relationships/image" Target="../media/image105.emf"/><Relationship Id="rId491" Type="http://schemas.openxmlformats.org/officeDocument/2006/relationships/oleObject" Target="../embeddings/oleObject218.bin"/><Relationship Id="rId505" Type="http://schemas.openxmlformats.org/officeDocument/2006/relationships/image" Target="../media/image211.emf"/><Relationship Id="rId37" Type="http://schemas.openxmlformats.org/officeDocument/2006/relationships/hyperlink" Target="../../users/volpol/Application%20Data/Microsof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image" Target="../media/image231.emf"/><Relationship Id="rId589" Type="http://schemas.openxmlformats.org/officeDocument/2006/relationships/image" Target="../media/image252.emf"/><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oleObject" Target="../embeddings/oleObject144.bin"/><Relationship Id="rId393" Type="http://schemas.openxmlformats.org/officeDocument/2006/relationships/oleObject" Target="../embeddings/oleObject165.bin"/><Relationship Id="rId407" Type="http://schemas.openxmlformats.org/officeDocument/2006/relationships/oleObject" Target="../embeddings/oleObject172.bin"/><Relationship Id="rId449" Type="http://schemas.openxmlformats.org/officeDocument/2006/relationships/image" Target="../media/image187.emf"/></Relationships>
</file>

<file path=xl/worksheets/_rels/sheet2.xml.rels><?xml version="1.0" encoding="UTF-8" standalone="yes"?>
<Relationships xmlns="http://schemas.openxmlformats.org/package/2006/relationships"><Relationship Id="rId13" Type="http://schemas.openxmlformats.org/officeDocument/2006/relationships/hyperlink" Target="../../users/volpol/Application%20Data/Microsoft/Excel/&#1052;&#1077;&#1090;&#1086;&#1076;&#1080;&#1095;&#1082;&#1072;%20&#1084;&#1086;&#1103;%202.pdf" TargetMode="External"/><Relationship Id="rId18" Type="http://schemas.openxmlformats.org/officeDocument/2006/relationships/hyperlink" Target="../../users/volpol/Application%20Data/Microsoft/Excel/&#1043;&#1054;&#1057;&#1058;/GOST-31605-2012-Mashiny-elektricheskie.pdf" TargetMode="External"/><Relationship Id="rId26" Type="http://schemas.openxmlformats.org/officeDocument/2006/relationships/image" Target="../media/image327.emf"/><Relationship Id="rId39" Type="http://schemas.openxmlformats.org/officeDocument/2006/relationships/oleObject" Target="../embeddings/oleObject290.bin"/><Relationship Id="rId21" Type="http://schemas.openxmlformats.org/officeDocument/2006/relationships/drawing" Target="../drawings/drawing11.xml"/><Relationship Id="rId34" Type="http://schemas.openxmlformats.org/officeDocument/2006/relationships/image" Target="../media/image331.emf"/><Relationship Id="rId42" Type="http://schemas.openxmlformats.org/officeDocument/2006/relationships/image" Target="../media/image334.wmf"/><Relationship Id="rId47" Type="http://schemas.openxmlformats.org/officeDocument/2006/relationships/image" Target="../media/image336.wmf"/><Relationship Id="rId50" Type="http://schemas.openxmlformats.org/officeDocument/2006/relationships/oleObject" Target="../embeddings/oleObject297.bin"/><Relationship Id="rId55" Type="http://schemas.openxmlformats.org/officeDocument/2006/relationships/oleObject" Target="../embeddings/oleObject300.bin"/><Relationship Id="rId63" Type="http://schemas.openxmlformats.org/officeDocument/2006/relationships/oleObject" Target="../embeddings/oleObject304.bin"/><Relationship Id="rId68" Type="http://schemas.openxmlformats.org/officeDocument/2006/relationships/image" Target="../media/image346.emf"/><Relationship Id="rId76" Type="http://schemas.openxmlformats.org/officeDocument/2006/relationships/image" Target="../media/image350.emf"/><Relationship Id="rId7" Type="http://schemas.openxmlformats.org/officeDocument/2006/relationships/hyperlink" Target="../../users/volpol/Application%20Data/Microsoft/Excel/&#1043;&#1054;&#1057;&#1058;/&#1043;&#1054;&#1057;&#1058;%2031606-2012_&#1042;2_269KB.pdf" TargetMode="External"/><Relationship Id="rId71" Type="http://schemas.openxmlformats.org/officeDocument/2006/relationships/oleObject" Target="../embeddings/oleObject308.bin"/><Relationship Id="rId2" Type="http://schemas.openxmlformats.org/officeDocument/2006/relationships/hyperlink" Target="../../users/volpol/Application%20Data/Microsoft/Excel/&#1043;&#1054;&#1057;&#1058;/&#1043;&#1054;&#1057;&#1058;%2013267-1973.pdf" TargetMode="External"/><Relationship Id="rId16" Type="http://schemas.openxmlformats.org/officeDocument/2006/relationships/hyperlink" Target="../../users/volpol/Application%20Data/Microsoft/Excel/&#1043;&#1054;&#1057;&#1058;/GOST-31605-2012-Mashiny-elektricheskie.pdf" TargetMode="External"/><Relationship Id="rId29" Type="http://schemas.openxmlformats.org/officeDocument/2006/relationships/oleObject" Target="../embeddings/oleObject285.bin"/><Relationship Id="rId11" Type="http://schemas.openxmlformats.org/officeDocument/2006/relationships/hyperlink" Target="../../users/volpol/Application%20Data/Microsoft/Excel/&#1052;&#1077;&#1090;&#1086;&#1076;&#1080;&#1095;&#1082;&#1072;%20&#1084;&#1086;&#1103;%202.pdf" TargetMode="External"/><Relationship Id="rId24" Type="http://schemas.openxmlformats.org/officeDocument/2006/relationships/image" Target="../media/image326.wmf"/><Relationship Id="rId32" Type="http://schemas.openxmlformats.org/officeDocument/2006/relationships/image" Target="../media/image330.emf"/><Relationship Id="rId37" Type="http://schemas.openxmlformats.org/officeDocument/2006/relationships/oleObject" Target="../embeddings/oleObject289.bin"/><Relationship Id="rId40" Type="http://schemas.openxmlformats.org/officeDocument/2006/relationships/oleObject" Target="../embeddings/oleObject291.bin"/><Relationship Id="rId45" Type="http://schemas.openxmlformats.org/officeDocument/2006/relationships/image" Target="../media/image335.wmf"/><Relationship Id="rId53" Type="http://schemas.openxmlformats.org/officeDocument/2006/relationships/oleObject" Target="../embeddings/oleObject299.bin"/><Relationship Id="rId58" Type="http://schemas.openxmlformats.org/officeDocument/2006/relationships/image" Target="../media/image341.emf"/><Relationship Id="rId66" Type="http://schemas.openxmlformats.org/officeDocument/2006/relationships/image" Target="../media/image345.emf"/><Relationship Id="rId74" Type="http://schemas.openxmlformats.org/officeDocument/2006/relationships/image" Target="../media/image349.emf"/><Relationship Id="rId79" Type="http://schemas.openxmlformats.org/officeDocument/2006/relationships/oleObject" Target="../embeddings/oleObject312.bin"/><Relationship Id="rId5" Type="http://schemas.openxmlformats.org/officeDocument/2006/relationships/hyperlink" Target="../../users/volpol/Application%20Data/Microsoft/Excel/&#1043;&#1054;&#1057;&#1058;" TargetMode="External"/><Relationship Id="rId61" Type="http://schemas.openxmlformats.org/officeDocument/2006/relationships/oleObject" Target="../embeddings/oleObject303.bin"/><Relationship Id="rId82" Type="http://schemas.openxmlformats.org/officeDocument/2006/relationships/image" Target="../media/image353.emf"/><Relationship Id="rId10" Type="http://schemas.openxmlformats.org/officeDocument/2006/relationships/hyperlink" Target="../../users/volpol/Application%20Data/Microsoft/Excel/&#1052;&#1077;&#1090;&#1086;&#1076;&#1080;&#1095;&#1077;&#1089;&#1082;&#1080;&#1077;%20&#1089;&#1087;&#1088;&#1072;&#1074;&#1082;&#1080;.docx" TargetMode="External"/><Relationship Id="rId19" Type="http://schemas.openxmlformats.org/officeDocument/2006/relationships/hyperlink" Target="../../users/volpol/Application%20Data/Microsoft/Excel/&#1043;&#1054;&#1057;&#1058;/&#1043;&#1054;&#1057;&#1058;%2031606-2012_&#1042;1_463KB.pdf" TargetMode="External"/><Relationship Id="rId31" Type="http://schemas.openxmlformats.org/officeDocument/2006/relationships/oleObject" Target="../embeddings/oleObject286.bin"/><Relationship Id="rId44" Type="http://schemas.openxmlformats.org/officeDocument/2006/relationships/oleObject" Target="../embeddings/oleObject294.bin"/><Relationship Id="rId52" Type="http://schemas.openxmlformats.org/officeDocument/2006/relationships/oleObject" Target="../embeddings/oleObject298.bin"/><Relationship Id="rId60" Type="http://schemas.openxmlformats.org/officeDocument/2006/relationships/image" Target="../media/image342.emf"/><Relationship Id="rId65" Type="http://schemas.openxmlformats.org/officeDocument/2006/relationships/oleObject" Target="../embeddings/oleObject305.bin"/><Relationship Id="rId73" Type="http://schemas.openxmlformats.org/officeDocument/2006/relationships/oleObject" Target="../embeddings/oleObject309.bin"/><Relationship Id="rId78" Type="http://schemas.openxmlformats.org/officeDocument/2006/relationships/image" Target="../media/image351.emf"/><Relationship Id="rId81" Type="http://schemas.openxmlformats.org/officeDocument/2006/relationships/oleObject" Target="../embeddings/oleObject313.bin"/><Relationship Id="rId4" Type="http://schemas.openxmlformats.org/officeDocument/2006/relationships/hyperlink" Target="../../users/volpol/Application%20Data/Microsoft/Excel/&#1043;&#1054;&#1057;&#1058;/&#1043;&#1054;&#1057;&#1058;%2031606-2012_&#1042;2_269KB.pdf" TargetMode="External"/><Relationship Id="rId9" Type="http://schemas.openxmlformats.org/officeDocument/2006/relationships/hyperlink" Target="../../users/volpol/Application%20Data/Microsoft/Excel/&#1043;&#1054;&#1057;&#1058;/&#1043;&#1054;&#1057;&#1058;%2031606-2012_&#1042;1_463KB.pdf" TargetMode="External"/><Relationship Id="rId14" Type="http://schemas.openxmlformats.org/officeDocument/2006/relationships/hyperlink" Target="../../users/volpol/Application%20Data/Microsoft/Excel/&#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284.bin"/><Relationship Id="rId30" Type="http://schemas.openxmlformats.org/officeDocument/2006/relationships/image" Target="../media/image329.emf"/><Relationship Id="rId35" Type="http://schemas.openxmlformats.org/officeDocument/2006/relationships/oleObject" Target="../embeddings/oleObject288.bin"/><Relationship Id="rId43" Type="http://schemas.openxmlformats.org/officeDocument/2006/relationships/oleObject" Target="../embeddings/oleObject293.bin"/><Relationship Id="rId48" Type="http://schemas.openxmlformats.org/officeDocument/2006/relationships/oleObject" Target="../embeddings/oleObject296.bin"/><Relationship Id="rId56" Type="http://schemas.openxmlformats.org/officeDocument/2006/relationships/image" Target="../media/image340.emf"/><Relationship Id="rId64" Type="http://schemas.openxmlformats.org/officeDocument/2006/relationships/image" Target="../media/image344.emf"/><Relationship Id="rId69" Type="http://schemas.openxmlformats.org/officeDocument/2006/relationships/oleObject" Target="../embeddings/oleObject307.bin"/><Relationship Id="rId77" Type="http://schemas.openxmlformats.org/officeDocument/2006/relationships/oleObject" Target="../embeddings/oleObject311.bin"/><Relationship Id="rId8" Type="http://schemas.openxmlformats.org/officeDocument/2006/relationships/hyperlink" Target="../../users/volpol/Application%20Data/Microsoft/Excel/&#1043;&#1054;&#1057;&#1058;/&#1043;&#1054;&#1057;&#1058;%2031606-2012_&#1042;1_463KB.pdf" TargetMode="External"/><Relationship Id="rId51" Type="http://schemas.openxmlformats.org/officeDocument/2006/relationships/image" Target="../media/image338.emf"/><Relationship Id="rId72" Type="http://schemas.openxmlformats.org/officeDocument/2006/relationships/image" Target="../media/image348.emf"/><Relationship Id="rId80" Type="http://schemas.openxmlformats.org/officeDocument/2006/relationships/image" Target="../media/image352.emf"/><Relationship Id="rId3" Type="http://schemas.openxmlformats.org/officeDocument/2006/relationships/hyperlink" Target="../../users/volpol/Application%20Data/Microsoft/Excel/&#1043;&#1054;&#1057;&#1058;/&#1043;&#1054;&#1057;&#1058;%2013267-1973.pdf" TargetMode="External"/><Relationship Id="rId12" Type="http://schemas.openxmlformats.org/officeDocument/2006/relationships/hyperlink" Target="../../users/volpol/Application%20Data/Microsoft/Excel/&#1052;&#1077;&#1090;&#1086;&#1076;&#1080;&#1095;&#1077;&#1089;&#1082;&#1080;&#1077;%20&#1089;&#1087;&#1088;&#1072;&#1074;&#1082;&#1080;.docx" TargetMode="External"/><Relationship Id="rId17" Type="http://schemas.openxmlformats.org/officeDocument/2006/relationships/hyperlink" Target="../../users/volpol/Application%20Data/Microsoft/Excel/&#1043;&#1054;&#1057;&#1058;/GOST-31605-2012-Mashiny-elektricheskie.pdf" TargetMode="External"/><Relationship Id="rId25" Type="http://schemas.openxmlformats.org/officeDocument/2006/relationships/oleObject" Target="../embeddings/oleObject283.bin"/><Relationship Id="rId33" Type="http://schemas.openxmlformats.org/officeDocument/2006/relationships/oleObject" Target="../embeddings/oleObject287.bin"/><Relationship Id="rId38" Type="http://schemas.openxmlformats.org/officeDocument/2006/relationships/image" Target="../media/image333.emf"/><Relationship Id="rId46" Type="http://schemas.openxmlformats.org/officeDocument/2006/relationships/oleObject" Target="../embeddings/oleObject295.bin"/><Relationship Id="rId59" Type="http://schemas.openxmlformats.org/officeDocument/2006/relationships/oleObject" Target="../embeddings/oleObject302.bin"/><Relationship Id="rId67" Type="http://schemas.openxmlformats.org/officeDocument/2006/relationships/oleObject" Target="../embeddings/oleObject306.bin"/><Relationship Id="rId20" Type="http://schemas.openxmlformats.org/officeDocument/2006/relationships/printerSettings" Target="../printerSettings/printerSettings2.bin"/><Relationship Id="rId41" Type="http://schemas.openxmlformats.org/officeDocument/2006/relationships/oleObject" Target="../embeddings/oleObject292.bin"/><Relationship Id="rId54" Type="http://schemas.openxmlformats.org/officeDocument/2006/relationships/image" Target="../media/image339.emf"/><Relationship Id="rId62" Type="http://schemas.openxmlformats.org/officeDocument/2006/relationships/image" Target="../media/image343.emf"/><Relationship Id="rId70" Type="http://schemas.openxmlformats.org/officeDocument/2006/relationships/image" Target="../media/image347.emf"/><Relationship Id="rId75" Type="http://schemas.openxmlformats.org/officeDocument/2006/relationships/oleObject" Target="../embeddings/oleObject310.bin"/><Relationship Id="rId1" Type="http://schemas.openxmlformats.org/officeDocument/2006/relationships/hyperlink" Target="../../users/volpol/Application%20Data/Microsoft/Excel/&#1043;&#1054;&#1057;&#1058;" TargetMode="External"/><Relationship Id="rId6" Type="http://schemas.openxmlformats.org/officeDocument/2006/relationships/hyperlink" Target="../../users/volpol/Application%20Data/Microsoft/Excel/&#1043;&#1054;&#1057;&#1058;" TargetMode="External"/><Relationship Id="rId15" Type="http://schemas.openxmlformats.org/officeDocument/2006/relationships/hyperlink" Target="../../users/volpol/Application%20Data/Microsoft/&#1052;&#1044;&#1050;%2001.02" TargetMode="External"/><Relationship Id="rId23" Type="http://schemas.openxmlformats.org/officeDocument/2006/relationships/oleObject" Target="../embeddings/oleObject282.bin"/><Relationship Id="rId28" Type="http://schemas.openxmlformats.org/officeDocument/2006/relationships/image" Target="../media/image328.emf"/><Relationship Id="rId36" Type="http://schemas.openxmlformats.org/officeDocument/2006/relationships/image" Target="../media/image332.emf"/><Relationship Id="rId49" Type="http://schemas.openxmlformats.org/officeDocument/2006/relationships/image" Target="../media/image337.emf"/><Relationship Id="rId57" Type="http://schemas.openxmlformats.org/officeDocument/2006/relationships/oleObject" Target="../embeddings/oleObject30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414.emf"/><Relationship Id="rId2" Type="http://schemas.openxmlformats.org/officeDocument/2006/relationships/drawing" Target="../drawings/drawing12.xml"/><Relationship Id="rId1" Type="http://schemas.openxmlformats.org/officeDocument/2006/relationships/printerSettings" Target="../printerSettings/printerSettings4.bin"/><Relationship Id="rId6" Type="http://schemas.openxmlformats.org/officeDocument/2006/relationships/oleObject" Target="../embeddings/oleObject315.bin"/><Relationship Id="rId5" Type="http://schemas.openxmlformats.org/officeDocument/2006/relationships/image" Target="../media/image413.emf"/><Relationship Id="rId4" Type="http://schemas.openxmlformats.org/officeDocument/2006/relationships/oleObject" Target="../embeddings/oleObject31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39.emf"/><Relationship Id="rId2" Type="http://schemas.openxmlformats.org/officeDocument/2006/relationships/drawing" Target="../drawings/drawing15.xml"/><Relationship Id="rId1" Type="http://schemas.openxmlformats.org/officeDocument/2006/relationships/printerSettings" Target="../printerSettings/printerSettings7.bin"/><Relationship Id="rId6" Type="http://schemas.openxmlformats.org/officeDocument/2006/relationships/oleObject" Target="../embeddings/oleObject317.bin"/><Relationship Id="rId5" Type="http://schemas.openxmlformats.org/officeDocument/2006/relationships/image" Target="../media/image103.emf"/><Relationship Id="rId4" Type="http://schemas.openxmlformats.org/officeDocument/2006/relationships/oleObject" Target="../embeddings/oleObject3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BBN396"/>
  <sheetViews>
    <sheetView tabSelected="1" topLeftCell="C1" zoomScale="25" zoomScaleNormal="25" zoomScalePageLayoutView="40" workbookViewId="0">
      <selection activeCell="FN34" sqref="FN34"/>
    </sheetView>
  </sheetViews>
  <sheetFormatPr defaultColWidth="9.25" defaultRowHeight="48" customHeight="1"/>
  <cols>
    <col min="1" max="7" width="9.25" style="1"/>
    <col min="8" max="8" width="9.25" style="3"/>
    <col min="9" max="10" width="9.25" style="1"/>
    <col min="11" max="11" width="9.25" style="6"/>
    <col min="12" max="13" width="9.25" style="3"/>
    <col min="14" max="48" width="9.25" style="1"/>
    <col min="49" max="50" width="9.25" style="8"/>
    <col min="51" max="221" width="9.25" style="1"/>
    <col min="222" max="222" width="9.25" style="210"/>
    <col min="223" max="601" width="9.25" style="1"/>
    <col min="602" max="602" width="9.25" style="1" customWidth="1"/>
    <col min="603" max="624" width="9.25" style="1"/>
    <col min="625" max="625" width="9" style="1" customWidth="1"/>
    <col min="626" max="722" width="18.25" style="1" customWidth="1"/>
    <col min="723" max="775" width="9.25" style="1"/>
    <col min="776" max="776" width="9.25" style="1" customWidth="1"/>
    <col min="777" max="838" width="9.25" style="1"/>
    <col min="839" max="866" width="9.25" style="1" customWidth="1"/>
    <col min="867" max="900" width="9.25" style="1"/>
    <col min="901" max="905" width="9.25" style="1" customWidth="1"/>
    <col min="906" max="906" width="9.25" style="1"/>
    <col min="907" max="907" width="9.25" style="1" customWidth="1"/>
    <col min="908" max="1022" width="9.25" style="1"/>
    <col min="1023" max="1023" width="9.25" style="1" customWidth="1"/>
    <col min="1024" max="16384" width="9.25" style="1"/>
  </cols>
  <sheetData>
    <row r="1" spans="4:1297" ht="48" customHeight="1">
      <c r="BA1" s="130"/>
      <c r="BB1" s="130"/>
      <c r="BC1" s="130"/>
      <c r="BD1" s="130"/>
      <c r="BE1" s="130"/>
      <c r="BF1" s="130"/>
      <c r="BG1" s="130"/>
      <c r="WI1" s="130"/>
      <c r="WJ1" s="130"/>
      <c r="WK1" s="130"/>
      <c r="WL1" s="130"/>
      <c r="WM1" s="130"/>
      <c r="WN1" s="130"/>
      <c r="WO1" s="130"/>
      <c r="WP1" s="653"/>
      <c r="WQ1" s="653"/>
      <c r="WR1" s="653"/>
      <c r="WS1" s="653"/>
      <c r="WT1" s="653"/>
      <c r="WU1" s="653"/>
      <c r="WV1" s="653"/>
      <c r="WW1" s="130"/>
      <c r="WX1" s="130"/>
      <c r="WY1" s="130"/>
      <c r="WZ1" s="130"/>
      <c r="XA1" s="130"/>
      <c r="XB1" s="653"/>
      <c r="XC1" s="653"/>
      <c r="XD1" s="653"/>
      <c r="XE1" s="653"/>
      <c r="XF1" s="653"/>
      <c r="XG1" s="653"/>
      <c r="XH1" s="653"/>
      <c r="XI1" s="653"/>
      <c r="XJ1" s="653"/>
      <c r="XK1" s="653"/>
      <c r="XL1" s="653"/>
      <c r="XM1" s="653"/>
      <c r="XN1" s="653"/>
      <c r="XO1" s="653"/>
      <c r="XP1" s="653"/>
      <c r="XQ1" s="653"/>
      <c r="XR1" s="653"/>
      <c r="XS1" s="653"/>
      <c r="XT1" s="653"/>
      <c r="XU1" s="653"/>
      <c r="XV1" s="653"/>
      <c r="XW1" s="653"/>
      <c r="XX1" s="653"/>
      <c r="XY1" s="653"/>
      <c r="XZ1" s="653"/>
      <c r="YA1" s="653"/>
      <c r="YB1" s="653"/>
      <c r="YC1" s="653"/>
      <c r="YD1" s="653"/>
      <c r="YE1" s="653"/>
      <c r="YF1" s="653"/>
      <c r="YG1" s="653"/>
      <c r="YH1" s="653"/>
      <c r="YI1" s="653"/>
      <c r="YJ1" s="653"/>
      <c r="YK1" s="653"/>
      <c r="YL1" s="653"/>
      <c r="YM1" s="653"/>
      <c r="YN1" s="653"/>
      <c r="YO1" s="653"/>
      <c r="YP1" s="653"/>
      <c r="YQ1" s="653"/>
      <c r="YR1" s="653"/>
      <c r="YS1" s="653"/>
      <c r="YT1" s="653"/>
      <c r="YU1" s="653"/>
    </row>
    <row r="2" spans="4:1297" ht="48" customHeight="1">
      <c r="N2" s="67" t="s">
        <v>439</v>
      </c>
      <c r="P2" s="67" t="s">
        <v>439</v>
      </c>
      <c r="AK2" s="484"/>
      <c r="AL2" s="856" t="s">
        <v>0</v>
      </c>
      <c r="AM2" s="856"/>
      <c r="AN2" s="856"/>
      <c r="AO2" s="856"/>
      <c r="AP2" s="856"/>
      <c r="AQ2" s="484"/>
      <c r="BC2" s="130"/>
      <c r="BD2" s="130"/>
      <c r="BE2" s="130"/>
      <c r="BF2" s="130"/>
      <c r="BG2" s="130"/>
      <c r="BK2" s="76" t="s">
        <v>439</v>
      </c>
      <c r="BM2" s="957" t="s">
        <v>443</v>
      </c>
      <c r="BN2" s="957"/>
      <c r="BO2" s="957"/>
      <c r="BP2" s="957"/>
      <c r="BQ2" s="957"/>
      <c r="BR2" s="957"/>
      <c r="BS2" s="957"/>
      <c r="BT2" s="75" t="s">
        <v>442</v>
      </c>
      <c r="RF2" s="906" t="s">
        <v>436</v>
      </c>
      <c r="RG2" s="907"/>
      <c r="RH2" s="908"/>
      <c r="RS2" s="130"/>
      <c r="RT2" s="130"/>
      <c r="WJ2" s="130"/>
      <c r="WK2" s="130"/>
      <c r="WL2" s="130"/>
      <c r="WM2" s="130"/>
      <c r="WN2" s="130"/>
      <c r="WO2" s="130"/>
      <c r="WP2" s="653"/>
      <c r="WY2" s="130"/>
      <c r="WZ2" s="130"/>
      <c r="XA2" s="130"/>
      <c r="XB2" s="653"/>
      <c r="XC2" s="653"/>
      <c r="XD2" s="653"/>
      <c r="XE2" s="653"/>
      <c r="XF2" s="653"/>
      <c r="XG2" s="653"/>
      <c r="XH2" s="653"/>
      <c r="XI2" s="653"/>
      <c r="XJ2" s="653"/>
      <c r="XK2" s="653"/>
      <c r="XL2" s="653"/>
      <c r="XM2" s="653"/>
      <c r="XN2" s="653"/>
      <c r="XO2" s="653"/>
      <c r="XP2" s="653"/>
      <c r="XQ2" s="653"/>
      <c r="XR2" s="653"/>
      <c r="XS2" s="653"/>
      <c r="XT2" s="653"/>
      <c r="XU2" s="653"/>
      <c r="XV2" s="653"/>
      <c r="XW2" s="653"/>
      <c r="XX2" s="653"/>
      <c r="XY2" s="653"/>
      <c r="XZ2" s="653"/>
      <c r="YA2" s="653"/>
      <c r="YB2" s="653"/>
      <c r="YC2" s="653"/>
      <c r="YD2" s="653"/>
      <c r="YE2" s="653"/>
      <c r="YF2" s="653"/>
      <c r="YG2" s="653"/>
      <c r="YH2" s="653"/>
      <c r="YI2" s="653"/>
      <c r="YJ2" s="653"/>
      <c r="YK2" s="653"/>
      <c r="YL2" s="653"/>
      <c r="YM2" s="653"/>
      <c r="YN2" s="653"/>
      <c r="YO2" s="653"/>
      <c r="YP2" s="653"/>
      <c r="YQ2" s="653"/>
      <c r="YR2" s="653"/>
      <c r="YS2" s="653"/>
      <c r="YT2" s="653"/>
      <c r="YU2" s="653"/>
      <c r="AHB2" s="653"/>
      <c r="AHC2" s="653"/>
      <c r="AHD2" s="653"/>
      <c r="AHE2" s="653"/>
      <c r="AHF2" s="653"/>
      <c r="AHG2" s="653"/>
      <c r="AHH2" s="653"/>
      <c r="AII2" s="1292"/>
      <c r="AIJ2" s="1293"/>
      <c r="AIK2" s="1292"/>
      <c r="AIL2" s="1293"/>
      <c r="AIM2" s="1292"/>
      <c r="AIN2" s="1293"/>
      <c r="AIO2" s="1313"/>
      <c r="AIP2" s="1313"/>
      <c r="AIQ2" s="1313"/>
      <c r="AIR2" s="1313"/>
      <c r="AIS2" s="1313"/>
      <c r="AIT2" s="1313"/>
      <c r="AIU2" s="1313"/>
      <c r="AIV2" s="1313"/>
    </row>
    <row r="3" spans="4:1297" ht="48" customHeight="1" thickBot="1">
      <c r="AI3" s="130"/>
      <c r="AJ3" s="130"/>
      <c r="BM3" s="1287" t="s">
        <v>635</v>
      </c>
      <c r="BN3" s="1287"/>
      <c r="BO3" s="1287"/>
      <c r="BP3" s="1287"/>
      <c r="BQ3" s="1287"/>
      <c r="BR3" s="1287"/>
      <c r="BS3" s="1287"/>
      <c r="BT3" s="75" t="s">
        <v>442</v>
      </c>
      <c r="BX3" s="847"/>
      <c r="BZ3" s="159"/>
      <c r="CA3" s="160"/>
      <c r="CB3" s="161"/>
      <c r="DM3" s="76" t="s">
        <v>439</v>
      </c>
      <c r="DO3" s="957" t="s">
        <v>443</v>
      </c>
      <c r="DP3" s="957"/>
      <c r="DQ3" s="957"/>
      <c r="DR3" s="957"/>
      <c r="DS3" s="957"/>
      <c r="DT3" s="957"/>
      <c r="DU3" s="957"/>
      <c r="DV3" s="75" t="s">
        <v>442</v>
      </c>
      <c r="FW3" s="957" t="s">
        <v>443</v>
      </c>
      <c r="FX3" s="957"/>
      <c r="FY3" s="957"/>
      <c r="FZ3" s="957"/>
      <c r="GA3" s="957"/>
      <c r="GB3" s="957"/>
      <c r="GC3" s="957"/>
      <c r="GD3" s="75" t="s">
        <v>442</v>
      </c>
      <c r="II3" s="957" t="s">
        <v>443</v>
      </c>
      <c r="IJ3" s="957"/>
      <c r="IK3" s="957"/>
      <c r="IL3" s="957"/>
      <c r="IM3" s="957"/>
      <c r="IN3" s="957"/>
      <c r="IO3" s="957"/>
      <c r="IP3" s="75" t="s">
        <v>442</v>
      </c>
      <c r="LS3" s="957" t="s">
        <v>443</v>
      </c>
      <c r="LT3" s="957"/>
      <c r="LU3" s="957"/>
      <c r="LV3" s="957"/>
      <c r="LW3" s="957"/>
      <c r="LX3" s="957"/>
      <c r="LY3" s="957"/>
      <c r="LZ3" s="75" t="s">
        <v>442</v>
      </c>
      <c r="OY3" s="957" t="s">
        <v>443</v>
      </c>
      <c r="OZ3" s="957"/>
      <c r="PA3" s="957"/>
      <c r="PB3" s="957"/>
      <c r="PC3" s="957"/>
      <c r="PD3" s="957"/>
      <c r="PE3" s="957"/>
      <c r="PF3" s="75" t="s">
        <v>442</v>
      </c>
      <c r="RF3" s="826"/>
      <c r="RG3" s="945"/>
      <c r="RH3" s="946"/>
      <c r="RR3" s="76" t="s">
        <v>439</v>
      </c>
      <c r="RS3" s="130"/>
      <c r="RT3" s="130"/>
      <c r="SM3" s="957" t="s">
        <v>443</v>
      </c>
      <c r="SN3" s="957"/>
      <c r="SO3" s="957"/>
      <c r="SP3" s="957"/>
      <c r="SQ3" s="957"/>
      <c r="SR3" s="957"/>
      <c r="SS3" s="957"/>
      <c r="ST3" s="75" t="s">
        <v>442</v>
      </c>
      <c r="WO3" s="130"/>
      <c r="WP3" s="653"/>
      <c r="WY3" s="130"/>
      <c r="WZ3" s="130"/>
      <c r="XA3" s="130"/>
      <c r="XB3" s="653"/>
      <c r="XC3" s="653"/>
      <c r="XD3" s="653"/>
      <c r="XE3" s="653"/>
      <c r="XF3" s="653"/>
      <c r="XG3" s="653"/>
      <c r="XH3" s="653"/>
      <c r="XI3" s="653"/>
      <c r="XJ3" s="653"/>
      <c r="XK3" s="653"/>
      <c r="XL3" s="653"/>
      <c r="XM3" s="653"/>
      <c r="XN3" s="653"/>
      <c r="XO3" s="653"/>
      <c r="XP3" s="653"/>
      <c r="XQ3" s="653"/>
      <c r="XR3" s="653"/>
      <c r="XS3" s="653"/>
      <c r="XT3" s="653"/>
      <c r="XU3" s="653"/>
      <c r="XV3" s="653"/>
      <c r="XW3" s="653"/>
      <c r="XX3" s="653"/>
      <c r="XY3" s="653"/>
      <c r="XZ3" s="653"/>
      <c r="YA3" s="653"/>
      <c r="YB3" s="653"/>
      <c r="YC3" s="653"/>
      <c r="YD3" s="653"/>
      <c r="YE3" s="653"/>
      <c r="YF3" s="653"/>
      <c r="YG3" s="653"/>
      <c r="YH3" s="653"/>
      <c r="YI3" s="653"/>
      <c r="YJ3" s="653"/>
      <c r="YK3" s="653"/>
      <c r="YL3" s="653"/>
      <c r="YM3" s="653"/>
      <c r="YN3" s="653"/>
      <c r="YO3" s="653"/>
      <c r="YP3" s="653"/>
      <c r="YQ3" s="653"/>
      <c r="YR3" s="653"/>
      <c r="YS3" s="653"/>
      <c r="YT3" s="653"/>
      <c r="YU3" s="653"/>
      <c r="AGM3" s="957" t="s">
        <v>443</v>
      </c>
      <c r="AGN3" s="957"/>
      <c r="AGO3" s="957"/>
      <c r="AGP3" s="957"/>
      <c r="AGQ3" s="957"/>
      <c r="AGR3" s="957"/>
      <c r="AGS3" s="957"/>
      <c r="AGT3" s="75" t="s">
        <v>442</v>
      </c>
      <c r="AHB3" s="653"/>
      <c r="AHC3" s="653"/>
      <c r="AHD3" s="653"/>
      <c r="AHE3" s="653"/>
      <c r="AHF3" s="653"/>
      <c r="AHG3" s="653"/>
      <c r="AHH3" s="653"/>
      <c r="AII3" s="1294"/>
      <c r="AIJ3" s="1295"/>
      <c r="AIK3" s="1294"/>
      <c r="AIL3" s="1295"/>
      <c r="AIM3" s="1294"/>
      <c r="AIN3" s="1295"/>
      <c r="AIO3" s="1313"/>
      <c r="AIP3" s="1313"/>
      <c r="AIQ3" s="1313"/>
      <c r="AIR3" s="1313"/>
      <c r="AIS3" s="1313"/>
      <c r="AIT3" s="1313"/>
      <c r="AIU3" s="1313"/>
      <c r="AIV3" s="1313"/>
      <c r="ALI3" s="957" t="s">
        <v>443</v>
      </c>
      <c r="ALJ3" s="957"/>
      <c r="ALK3" s="957"/>
      <c r="ALL3" s="957"/>
      <c r="ALM3" s="957"/>
      <c r="ALN3" s="957"/>
      <c r="ALO3" s="957"/>
      <c r="ALP3" s="75" t="s">
        <v>442</v>
      </c>
      <c r="AOH3" s="130"/>
      <c r="AOI3" s="130"/>
      <c r="AOJ3" s="130"/>
      <c r="AQB3" s="130"/>
      <c r="AQC3" s="130"/>
      <c r="AQD3" s="130"/>
      <c r="AQE3" s="130"/>
      <c r="AQF3" s="130"/>
    </row>
    <row r="4" spans="4:1297" ht="48" customHeight="1" thickBot="1">
      <c r="D4" s="957" t="s">
        <v>443</v>
      </c>
      <c r="E4" s="957"/>
      <c r="F4" s="957"/>
      <c r="G4" s="957"/>
      <c r="H4" s="957"/>
      <c r="I4" s="957"/>
      <c r="J4" s="957"/>
      <c r="K4" s="75" t="s">
        <v>442</v>
      </c>
      <c r="N4" s="131" t="s">
        <v>423</v>
      </c>
      <c r="O4" s="131" t="s">
        <v>424</v>
      </c>
      <c r="P4" s="131" t="s">
        <v>425</v>
      </c>
      <c r="Q4" s="131" t="s">
        <v>426</v>
      </c>
      <c r="R4" s="131" t="s">
        <v>427</v>
      </c>
      <c r="S4" s="131" t="s">
        <v>428</v>
      </c>
      <c r="W4" s="76" t="s">
        <v>439</v>
      </c>
      <c r="X4" s="1549" t="s">
        <v>827</v>
      </c>
      <c r="Y4" s="1549"/>
      <c r="Z4" s="1549"/>
      <c r="AA4" s="1549"/>
      <c r="AB4" s="1549"/>
      <c r="AJ4" s="130"/>
      <c r="AK4" s="130"/>
      <c r="AL4" s="130"/>
      <c r="AM4" s="130"/>
      <c r="AN4" s="130"/>
      <c r="AO4" s="130"/>
      <c r="AP4" s="920" t="s">
        <v>111</v>
      </c>
      <c r="AQ4" s="921"/>
      <c r="AR4" s="916" t="s">
        <v>704</v>
      </c>
      <c r="AS4" s="917"/>
      <c r="AT4" s="906" t="s">
        <v>447</v>
      </c>
      <c r="AU4" s="907"/>
      <c r="AV4" s="907"/>
      <c r="AW4" s="908"/>
      <c r="BM4" s="1287" t="s">
        <v>635</v>
      </c>
      <c r="BN4" s="1287"/>
      <c r="BO4" s="1287"/>
      <c r="BP4" s="1287"/>
      <c r="BQ4" s="1287"/>
      <c r="BR4" s="1287"/>
      <c r="BS4" s="1287"/>
      <c r="BT4" s="75" t="s">
        <v>440</v>
      </c>
      <c r="BX4" s="1554"/>
      <c r="BZ4" s="162"/>
      <c r="CA4" s="158"/>
      <c r="CB4" s="163"/>
      <c r="DO4" s="1287" t="s">
        <v>635</v>
      </c>
      <c r="DP4" s="1287"/>
      <c r="DQ4" s="1287"/>
      <c r="DR4" s="1287"/>
      <c r="DS4" s="1287"/>
      <c r="DT4" s="1287"/>
      <c r="DU4" s="1287"/>
      <c r="DV4" s="75" t="s">
        <v>442</v>
      </c>
      <c r="FU4" s="76" t="s">
        <v>439</v>
      </c>
      <c r="FW4" s="1287" t="s">
        <v>635</v>
      </c>
      <c r="FX4" s="1287"/>
      <c r="FY4" s="1287"/>
      <c r="FZ4" s="1287"/>
      <c r="GA4" s="1287"/>
      <c r="GB4" s="1287"/>
      <c r="GC4" s="1287"/>
      <c r="GD4" s="75" t="s">
        <v>442</v>
      </c>
      <c r="IG4" s="76" t="s">
        <v>439</v>
      </c>
      <c r="II4" s="1287" t="s">
        <v>635</v>
      </c>
      <c r="IJ4" s="1287"/>
      <c r="IK4" s="1287"/>
      <c r="IL4" s="1287"/>
      <c r="IM4" s="1287"/>
      <c r="IN4" s="1287"/>
      <c r="IO4" s="1287"/>
      <c r="IP4" s="75" t="s">
        <v>442</v>
      </c>
      <c r="LQ4" s="76" t="s">
        <v>439</v>
      </c>
      <c r="LS4" s="1287" t="s">
        <v>635</v>
      </c>
      <c r="LT4" s="1287"/>
      <c r="LU4" s="1287"/>
      <c r="LV4" s="1287"/>
      <c r="LW4" s="1287"/>
      <c r="LX4" s="1287"/>
      <c r="LY4" s="1287"/>
      <c r="LZ4" s="75" t="s">
        <v>442</v>
      </c>
      <c r="MZ4" s="130"/>
      <c r="NA4" s="130"/>
      <c r="NB4" s="130"/>
      <c r="NC4" s="130"/>
      <c r="OW4" s="76" t="s">
        <v>439</v>
      </c>
      <c r="OY4" s="1287" t="s">
        <v>635</v>
      </c>
      <c r="OZ4" s="1287"/>
      <c r="PA4" s="1287"/>
      <c r="PB4" s="1287"/>
      <c r="PC4" s="1287"/>
      <c r="PD4" s="1287"/>
      <c r="PE4" s="1287"/>
      <c r="PF4" s="75" t="s">
        <v>442</v>
      </c>
      <c r="RF4" s="828"/>
      <c r="RG4" s="949"/>
      <c r="RH4" s="950"/>
      <c r="RS4" s="130"/>
      <c r="RT4" s="130"/>
      <c r="SA4" s="513"/>
      <c r="SM4" s="1287" t="s">
        <v>635</v>
      </c>
      <c r="SN4" s="1287"/>
      <c r="SO4" s="1287"/>
      <c r="SP4" s="1287"/>
      <c r="SQ4" s="1287"/>
      <c r="SR4" s="1287"/>
      <c r="SS4" s="1287"/>
      <c r="ST4" s="75" t="s">
        <v>442</v>
      </c>
      <c r="WA4" s="1183" t="s">
        <v>726</v>
      </c>
      <c r="WB4" s="1184"/>
      <c r="ABQ4" s="653"/>
      <c r="ABR4" s="653"/>
      <c r="ABS4" s="653"/>
      <c r="ABT4" s="653"/>
      <c r="ABU4" s="653"/>
      <c r="ABV4" s="653"/>
      <c r="ABW4" s="653"/>
      <c r="ABX4" s="653"/>
      <c r="ABY4" s="653"/>
      <c r="ABZ4" s="653"/>
      <c r="ACA4" s="653"/>
      <c r="ACB4" s="653"/>
      <c r="ACC4" s="653"/>
      <c r="ACD4" s="653"/>
      <c r="ACE4" s="653"/>
      <c r="ACF4" s="653"/>
      <c r="ACG4" s="653"/>
      <c r="ACH4" s="653"/>
      <c r="ACI4" s="653"/>
      <c r="ACJ4" s="653"/>
      <c r="ACK4" s="653"/>
      <c r="ACL4" s="653"/>
      <c r="ACM4" s="653"/>
      <c r="ACN4" s="653"/>
      <c r="ACO4" s="653"/>
      <c r="ACP4" s="653"/>
      <c r="ACQ4" s="653"/>
      <c r="ACR4" s="653"/>
      <c r="ACS4" s="653"/>
      <c r="ACT4" s="653"/>
      <c r="ACU4" s="653"/>
      <c r="ACV4" s="653"/>
      <c r="ACW4" s="653"/>
      <c r="ACX4" s="653"/>
      <c r="ACY4" s="653"/>
      <c r="ACZ4" s="653"/>
      <c r="ADA4" s="653"/>
      <c r="ADB4" s="653"/>
      <c r="ADC4" s="653"/>
      <c r="ADD4" s="653"/>
      <c r="ADE4" s="653"/>
      <c r="ADF4" s="653"/>
      <c r="ADG4" s="653"/>
      <c r="ADH4" s="653"/>
      <c r="ADI4" s="653"/>
      <c r="ADJ4" s="653"/>
      <c r="ADK4" s="653"/>
      <c r="ADL4" s="653"/>
      <c r="ADM4" s="653"/>
      <c r="ADN4" s="653"/>
      <c r="AGK4" s="76" t="s">
        <v>439</v>
      </c>
      <c r="AGM4" s="1287" t="s">
        <v>635</v>
      </c>
      <c r="AGN4" s="1287"/>
      <c r="AGO4" s="1287"/>
      <c r="AGP4" s="1287"/>
      <c r="AGQ4" s="1287"/>
      <c r="AGR4" s="1287"/>
      <c r="AGS4" s="1287"/>
      <c r="AGT4" s="75" t="s">
        <v>442</v>
      </c>
      <c r="AHB4" s="653"/>
      <c r="AHC4" s="653"/>
      <c r="AHD4" s="653"/>
      <c r="AHE4" s="653"/>
      <c r="AHF4" s="653"/>
      <c r="AHG4" s="653"/>
      <c r="AHH4" s="653"/>
      <c r="AII4" s="1292"/>
      <c r="AIJ4" s="1293"/>
      <c r="AIK4" s="1292"/>
      <c r="AIL4" s="1293"/>
      <c r="AIM4" s="1292"/>
      <c r="AIN4" s="1293"/>
      <c r="AIO4" s="1313"/>
      <c r="AIP4" s="1313"/>
      <c r="AIQ4" s="1313"/>
      <c r="AIR4" s="1313"/>
      <c r="AIS4" s="1313"/>
      <c r="AIT4" s="1313"/>
      <c r="AIU4" s="1313"/>
      <c r="AIV4" s="1313"/>
      <c r="AJH4" s="1051" t="s">
        <v>436</v>
      </c>
      <c r="AJI4" s="1051"/>
      <c r="AJJ4" s="1051"/>
      <c r="AJK4" s="1051"/>
      <c r="AJL4" s="1051"/>
      <c r="AJM4" s="1051"/>
      <c r="AJN4" s="1051"/>
      <c r="AJO4" s="1051"/>
      <c r="AJP4" s="1051"/>
      <c r="AJQ4" s="1051"/>
      <c r="AJR4" s="1051"/>
      <c r="AJS4" s="1051"/>
      <c r="AJU4" s="906" t="s">
        <v>436</v>
      </c>
      <c r="AJV4" s="907"/>
      <c r="AJW4" s="907"/>
      <c r="AJX4" s="907"/>
      <c r="AJY4" s="907"/>
      <c r="AJZ4" s="907"/>
      <c r="AKA4" s="907"/>
      <c r="AKB4" s="907"/>
      <c r="AKC4" s="908"/>
      <c r="AKE4" s="906" t="s">
        <v>436</v>
      </c>
      <c r="AKF4" s="907"/>
      <c r="AKG4" s="907"/>
      <c r="AKH4" s="907"/>
      <c r="AKI4" s="907"/>
      <c r="AKJ4" s="908"/>
      <c r="AKL4" s="1051" t="s">
        <v>436</v>
      </c>
      <c r="AKM4" s="1051"/>
      <c r="AKN4" s="1051"/>
      <c r="AKO4" s="1051"/>
      <c r="AKP4" s="1051"/>
      <c r="AKR4" s="906" t="s">
        <v>436</v>
      </c>
      <c r="AKS4" s="907"/>
      <c r="AKT4" s="907"/>
      <c r="AKU4" s="908"/>
      <c r="ALG4" s="76" t="s">
        <v>439</v>
      </c>
      <c r="ALI4" s="1287" t="s">
        <v>635</v>
      </c>
      <c r="ALJ4" s="1287"/>
      <c r="ALK4" s="1287"/>
      <c r="ALL4" s="1287"/>
      <c r="ALM4" s="1287"/>
      <c r="ALN4" s="1287"/>
      <c r="ALO4" s="1287"/>
      <c r="ALP4" s="75" t="s">
        <v>442</v>
      </c>
      <c r="AMH4" s="906" t="s">
        <v>436</v>
      </c>
      <c r="AMI4" s="907"/>
      <c r="AMJ4" s="907"/>
      <c r="AMK4" s="907"/>
      <c r="AML4" s="907"/>
      <c r="AMM4" s="908"/>
      <c r="AMO4" s="1051" t="s">
        <v>436</v>
      </c>
      <c r="AMP4" s="1051"/>
      <c r="AMQ4" s="1051"/>
      <c r="AMR4" s="1051"/>
      <c r="AMS4" s="1051"/>
      <c r="AMU4" s="1051" t="s">
        <v>436</v>
      </c>
      <c r="AMV4" s="1051"/>
      <c r="AMW4" s="1051"/>
      <c r="AMX4" s="1051"/>
      <c r="AMZ4" s="906" t="s">
        <v>436</v>
      </c>
      <c r="ANA4" s="907"/>
      <c r="ANB4" s="908"/>
      <c r="ANZ4" s="488" t="s">
        <v>829</v>
      </c>
      <c r="AOB4" s="491"/>
      <c r="AOC4" s="492"/>
      <c r="AOE4" s="488" t="s">
        <v>739</v>
      </c>
      <c r="AOG4" s="490"/>
      <c r="AOH4" s="130"/>
      <c r="AOI4" s="130"/>
      <c r="AOJ4" s="130"/>
      <c r="AOL4" s="1549">
        <v>0</v>
      </c>
      <c r="AOM4" s="1549"/>
      <c r="AON4" s="1549">
        <v>1</v>
      </c>
      <c r="AOO4" s="1549"/>
      <c r="APH4" s="130"/>
      <c r="API4" s="130"/>
      <c r="APJ4" s="130"/>
      <c r="APK4" s="130"/>
      <c r="APL4" s="130"/>
      <c r="APM4" s="130"/>
      <c r="APN4" s="130"/>
      <c r="APO4" s="130"/>
      <c r="APP4" s="130"/>
      <c r="APQ4" s="130"/>
      <c r="AQB4" s="130"/>
      <c r="AQC4" s="130"/>
      <c r="AQD4" s="130"/>
      <c r="AQE4" s="130"/>
      <c r="AQF4" s="130"/>
      <c r="AQV4" s="653"/>
      <c r="AQW4" s="653"/>
      <c r="AQX4" s="653"/>
      <c r="AQY4" s="653"/>
      <c r="AQZ4" s="653"/>
      <c r="ARA4" s="653"/>
      <c r="ARB4" s="653"/>
      <c r="ARC4" s="653"/>
      <c r="ARD4" s="653"/>
      <c r="ARE4" s="653"/>
      <c r="ARF4" s="653"/>
      <c r="ARG4" s="653"/>
      <c r="ARH4" s="653"/>
      <c r="ARI4" s="653"/>
      <c r="ARJ4" s="653"/>
      <c r="ARK4" s="653"/>
      <c r="ARL4" s="653"/>
      <c r="ARM4" s="653"/>
      <c r="ARN4" s="653"/>
      <c r="ARO4" s="653"/>
      <c r="AVK4" s="957" t="s">
        <v>443</v>
      </c>
      <c r="AVL4" s="957"/>
      <c r="AVM4" s="957"/>
      <c r="AVN4" s="957"/>
      <c r="AVO4" s="957"/>
      <c r="AVP4" s="957"/>
      <c r="AVQ4" s="957"/>
      <c r="AVR4" s="75" t="s">
        <v>442</v>
      </c>
    </row>
    <row r="5" spans="4:1297" ht="48" customHeight="1" thickBot="1">
      <c r="D5" s="1287" t="s">
        <v>635</v>
      </c>
      <c r="E5" s="1287"/>
      <c r="F5" s="1287"/>
      <c r="G5" s="1287"/>
      <c r="H5" s="1287"/>
      <c r="I5" s="1287"/>
      <c r="J5" s="1287"/>
      <c r="K5" s="75" t="s">
        <v>442</v>
      </c>
      <c r="N5" s="131" t="s">
        <v>429</v>
      </c>
      <c r="O5" s="131" t="s">
        <v>430</v>
      </c>
      <c r="P5" s="131" t="s">
        <v>53</v>
      </c>
      <c r="Q5" s="131" t="s">
        <v>431</v>
      </c>
      <c r="R5" s="131" t="s">
        <v>432</v>
      </c>
      <c r="S5" s="131" t="s">
        <v>433</v>
      </c>
      <c r="AJ5" s="1711" t="s">
        <v>1</v>
      </c>
      <c r="AK5" s="1711"/>
      <c r="AL5" s="1711"/>
      <c r="AM5" s="1711"/>
      <c r="AN5" s="1711"/>
      <c r="AO5" s="1711"/>
      <c r="AP5" s="1743">
        <v>30000</v>
      </c>
      <c r="AQ5" s="1743"/>
      <c r="AR5" s="856" t="s">
        <v>3</v>
      </c>
      <c r="AS5" s="856"/>
      <c r="AT5" s="493"/>
      <c r="AU5" s="1718" t="s">
        <v>1648</v>
      </c>
      <c r="AV5" s="1719"/>
      <c r="AW5" s="493"/>
      <c r="BM5" s="1287" t="s">
        <v>715</v>
      </c>
      <c r="BN5" s="1287"/>
      <c r="BO5" s="1287"/>
      <c r="BP5" s="1287"/>
      <c r="BQ5" s="1287"/>
      <c r="BR5" s="1287"/>
      <c r="BS5" s="1287"/>
      <c r="BT5" s="75" t="s">
        <v>714</v>
      </c>
      <c r="BZ5" s="164"/>
      <c r="CA5" s="165"/>
      <c r="CB5" s="166"/>
      <c r="CJ5" s="124"/>
      <c r="DO5" s="1287" t="s">
        <v>635</v>
      </c>
      <c r="DP5" s="1287"/>
      <c r="DQ5" s="1287"/>
      <c r="DR5" s="1287"/>
      <c r="DS5" s="1287"/>
      <c r="DT5" s="1287"/>
      <c r="DU5" s="1287"/>
      <c r="DV5" s="75" t="s">
        <v>440</v>
      </c>
      <c r="FW5" s="1287" t="s">
        <v>635</v>
      </c>
      <c r="FX5" s="1287"/>
      <c r="FY5" s="1287"/>
      <c r="FZ5" s="1287"/>
      <c r="GA5" s="1287"/>
      <c r="GB5" s="1287"/>
      <c r="GC5" s="1287"/>
      <c r="GD5" s="75" t="s">
        <v>440</v>
      </c>
      <c r="II5" s="1287" t="s">
        <v>635</v>
      </c>
      <c r="IJ5" s="1287"/>
      <c r="IK5" s="1287"/>
      <c r="IL5" s="1287"/>
      <c r="IM5" s="1287"/>
      <c r="IN5" s="1287"/>
      <c r="IO5" s="1287"/>
      <c r="IP5" s="75" t="s">
        <v>440</v>
      </c>
      <c r="LS5" s="1287" t="s">
        <v>635</v>
      </c>
      <c r="LT5" s="1287"/>
      <c r="LU5" s="1287"/>
      <c r="LV5" s="1287"/>
      <c r="LW5" s="1287"/>
      <c r="LX5" s="1287"/>
      <c r="LY5" s="1287"/>
      <c r="LZ5" s="75" t="s">
        <v>440</v>
      </c>
      <c r="MZ5" s="130"/>
      <c r="NA5" s="130"/>
      <c r="NB5" s="130"/>
      <c r="NC5" s="130"/>
      <c r="OY5" s="1287" t="s">
        <v>635</v>
      </c>
      <c r="OZ5" s="1287"/>
      <c r="PA5" s="1287"/>
      <c r="PB5" s="1287"/>
      <c r="PC5" s="1287"/>
      <c r="PD5" s="1287"/>
      <c r="PE5" s="1287"/>
      <c r="PF5" s="75" t="s">
        <v>440</v>
      </c>
      <c r="SM5" s="1287" t="s">
        <v>635</v>
      </c>
      <c r="SN5" s="1287"/>
      <c r="SO5" s="1287"/>
      <c r="SP5" s="1287"/>
      <c r="SQ5" s="1287"/>
      <c r="SR5" s="1287"/>
      <c r="SS5" s="1287"/>
      <c r="ST5" s="75" t="s">
        <v>440</v>
      </c>
      <c r="WA5" s="1185"/>
      <c r="WB5" s="1186"/>
      <c r="YV5" s="653"/>
      <c r="YW5" s="653"/>
      <c r="YX5" s="653"/>
      <c r="YY5" s="653"/>
      <c r="YZ5" s="653"/>
      <c r="ZA5" s="653"/>
      <c r="ZB5" s="653"/>
      <c r="ZC5" s="653"/>
      <c r="ZD5" s="653"/>
      <c r="ZE5" s="653"/>
      <c r="ZF5" s="653"/>
      <c r="ZG5" s="653"/>
      <c r="ABQ5" s="653"/>
      <c r="ABR5" s="653"/>
      <c r="ABS5" s="653"/>
      <c r="ABT5" s="653"/>
      <c r="ABU5" s="653"/>
      <c r="ABV5" s="653"/>
      <c r="ABW5" s="653"/>
      <c r="ABX5" s="653"/>
      <c r="ABY5" s="653"/>
      <c r="ABZ5" s="653"/>
      <c r="ACA5" s="653"/>
      <c r="ACB5" s="653"/>
      <c r="ACC5" s="653"/>
      <c r="ACD5" s="653"/>
      <c r="ACE5" s="653"/>
      <c r="ACF5" s="653"/>
      <c r="ACG5" s="653"/>
      <c r="ACH5" s="653"/>
      <c r="ACI5" s="653"/>
      <c r="ACJ5" s="653"/>
      <c r="ACK5" s="653"/>
      <c r="ACL5" s="653"/>
      <c r="ACM5" s="653"/>
      <c r="ACN5" s="653"/>
      <c r="ACO5" s="653"/>
      <c r="ACP5" s="653"/>
      <c r="ACQ5" s="653"/>
      <c r="ACR5" s="653"/>
      <c r="ACS5" s="653"/>
      <c r="ACT5" s="653"/>
      <c r="ACU5" s="653"/>
      <c r="ACV5" s="653"/>
      <c r="ACW5" s="653"/>
      <c r="ACX5" s="653"/>
      <c r="ACY5" s="653"/>
      <c r="ACZ5" s="653"/>
      <c r="ADA5" s="653"/>
      <c r="ADB5" s="653"/>
      <c r="ADC5" s="653"/>
      <c r="ADD5" s="653"/>
      <c r="ADE5" s="653"/>
      <c r="ADF5" s="653"/>
      <c r="ADG5" s="653"/>
      <c r="ADH5" s="653"/>
      <c r="ADI5" s="653"/>
      <c r="ADJ5" s="653"/>
      <c r="ADK5" s="653"/>
      <c r="ADL5" s="653"/>
      <c r="ADM5" s="653"/>
      <c r="ADN5" s="653"/>
      <c r="AGM5" s="1287" t="s">
        <v>635</v>
      </c>
      <c r="AGN5" s="1287"/>
      <c r="AGO5" s="1287"/>
      <c r="AGP5" s="1287"/>
      <c r="AGQ5" s="1287"/>
      <c r="AGR5" s="1287"/>
      <c r="AGS5" s="1287"/>
      <c r="AGT5" s="75" t="s">
        <v>440</v>
      </c>
      <c r="AHB5" s="653"/>
      <c r="AHC5" s="653"/>
      <c r="AHD5" s="653"/>
      <c r="AHE5" s="653"/>
      <c r="AHF5" s="653"/>
      <c r="AHG5" s="653"/>
      <c r="AHH5" s="653"/>
      <c r="AII5" s="1294"/>
      <c r="AIJ5" s="1295"/>
      <c r="AIK5" s="1294"/>
      <c r="AIL5" s="1295"/>
      <c r="AIM5" s="1294"/>
      <c r="AIN5" s="1295"/>
      <c r="AIO5" s="1313"/>
      <c r="AIP5" s="1313"/>
      <c r="AIQ5" s="1313"/>
      <c r="AIR5" s="1313"/>
      <c r="AIS5" s="1313"/>
      <c r="AIT5" s="1313"/>
      <c r="AIU5" s="1313"/>
      <c r="AIV5" s="1313"/>
      <c r="AIX5" s="73"/>
      <c r="AIY5" s="73"/>
      <c r="AIZ5" s="72"/>
      <c r="AJA5" s="72"/>
      <c r="AJB5" s="73"/>
      <c r="AJC5" s="73"/>
      <c r="AJD5" s="72"/>
      <c r="AJE5" s="72"/>
      <c r="AJH5" s="1052"/>
      <c r="AJI5" s="1052"/>
      <c r="AJJ5" s="1052"/>
      <c r="AJK5" s="1052"/>
      <c r="AJL5" s="1052"/>
      <c r="AJM5" s="1052"/>
      <c r="AJN5" s="1052"/>
      <c r="AJO5" s="1052"/>
      <c r="AJP5" s="1052"/>
      <c r="AJQ5" s="1052"/>
      <c r="AJR5" s="1052"/>
      <c r="AJS5" s="1052"/>
      <c r="AJU5" s="826"/>
      <c r="AJV5" s="945"/>
      <c r="AJW5" s="945"/>
      <c r="AJX5" s="945"/>
      <c r="AJY5" s="945"/>
      <c r="AJZ5" s="945"/>
      <c r="AKA5" s="945"/>
      <c r="AKB5" s="945"/>
      <c r="AKC5" s="946"/>
      <c r="AKD5" s="211"/>
      <c r="AKE5" s="826"/>
      <c r="AKF5" s="945"/>
      <c r="AKG5" s="945"/>
      <c r="AKH5" s="945"/>
      <c r="AKI5" s="945"/>
      <c r="AKJ5" s="946"/>
      <c r="AKL5" s="1052"/>
      <c r="AKM5" s="1052"/>
      <c r="AKN5" s="1052"/>
      <c r="AKO5" s="1052"/>
      <c r="AKP5" s="1052"/>
      <c r="AKR5" s="826"/>
      <c r="AKS5" s="945"/>
      <c r="AKT5" s="945"/>
      <c r="AKU5" s="946"/>
      <c r="ALI5" s="1287" t="s">
        <v>635</v>
      </c>
      <c r="ALJ5" s="1287"/>
      <c r="ALK5" s="1287"/>
      <c r="ALL5" s="1287"/>
      <c r="ALM5" s="1287"/>
      <c r="ALN5" s="1287"/>
      <c r="ALO5" s="1287"/>
      <c r="ALP5" s="75" t="s">
        <v>440</v>
      </c>
      <c r="AMH5" s="826"/>
      <c r="AMI5" s="945"/>
      <c r="AMJ5" s="945"/>
      <c r="AMK5" s="945"/>
      <c r="AML5" s="945"/>
      <c r="AMM5" s="946"/>
      <c r="AMO5" s="1052"/>
      <c r="AMP5" s="1052"/>
      <c r="AMQ5" s="1052"/>
      <c r="AMR5" s="1052"/>
      <c r="AMS5" s="1052"/>
      <c r="AMU5" s="827"/>
      <c r="AMV5" s="947"/>
      <c r="AMW5" s="947"/>
      <c r="AMX5" s="948"/>
      <c r="AMZ5" s="826"/>
      <c r="ANA5" s="945"/>
      <c r="ANB5" s="946"/>
      <c r="AOH5" s="130"/>
      <c r="AOI5" s="130"/>
      <c r="AOJ5" s="130"/>
      <c r="AOL5" s="1549">
        <v>1.1000000000000001</v>
      </c>
      <c r="AOM5" s="1549"/>
      <c r="AON5" s="1549">
        <v>0.8</v>
      </c>
      <c r="AOO5" s="1549"/>
      <c r="APH5" s="130"/>
      <c r="API5" s="130"/>
      <c r="APJ5" s="130"/>
      <c r="APK5" s="130"/>
      <c r="APL5" s="130"/>
      <c r="APM5" s="130"/>
      <c r="APN5" s="130"/>
      <c r="APO5" s="130"/>
      <c r="APP5" s="130"/>
      <c r="APQ5" s="130"/>
      <c r="AQB5" s="130"/>
      <c r="AQC5" s="130"/>
      <c r="AQD5" s="130"/>
      <c r="AQE5" s="130"/>
      <c r="AQF5" s="130"/>
      <c r="AQL5" s="130"/>
      <c r="AQM5" s="130"/>
      <c r="AQN5" s="130"/>
      <c r="AQO5" s="130"/>
      <c r="AQP5" s="130"/>
      <c r="AQQ5" s="130"/>
      <c r="AQR5" s="130"/>
      <c r="AQV5" s="653"/>
      <c r="AQW5" s="653"/>
      <c r="AQX5" s="653"/>
      <c r="AQY5" s="653"/>
      <c r="AQZ5" s="653"/>
      <c r="ARA5" s="653"/>
      <c r="ARB5" s="653"/>
      <c r="ARC5" s="653"/>
      <c r="ARD5" s="653"/>
      <c r="ARE5" s="653"/>
      <c r="ARF5" s="653"/>
      <c r="ARG5" s="653"/>
      <c r="ARH5" s="653"/>
      <c r="ARI5" s="653"/>
      <c r="ARJ5" s="653"/>
      <c r="ARK5" s="653"/>
      <c r="ARL5" s="653"/>
      <c r="ARM5" s="653"/>
      <c r="AVI5" s="76" t="s">
        <v>439</v>
      </c>
      <c r="AVK5" s="1287" t="s">
        <v>635</v>
      </c>
      <c r="AVL5" s="1287"/>
      <c r="AVM5" s="1287"/>
      <c r="AVN5" s="1287"/>
      <c r="AVO5" s="1287"/>
      <c r="AVP5" s="1287"/>
      <c r="AVQ5" s="1287"/>
      <c r="AVR5" s="75" t="s">
        <v>442</v>
      </c>
    </row>
    <row r="6" spans="4:1297" ht="48" customHeight="1" thickBot="1">
      <c r="D6" s="1287" t="s">
        <v>635</v>
      </c>
      <c r="E6" s="1287"/>
      <c r="F6" s="1287"/>
      <c r="G6" s="1287"/>
      <c r="H6" s="1287"/>
      <c r="I6" s="1287"/>
      <c r="J6" s="1287"/>
      <c r="K6" s="75" t="s">
        <v>440</v>
      </c>
      <c r="N6" s="131" t="s">
        <v>725</v>
      </c>
      <c r="O6" s="131" t="s">
        <v>899</v>
      </c>
      <c r="P6" s="131" t="s">
        <v>987</v>
      </c>
      <c r="Q6" s="131" t="s">
        <v>1065</v>
      </c>
      <c r="R6" s="131" t="s">
        <v>1545</v>
      </c>
      <c r="S6" s="131" t="s">
        <v>1650</v>
      </c>
      <c r="U6" s="62" t="s">
        <v>439</v>
      </c>
      <c r="V6" s="61" t="s">
        <v>442</v>
      </c>
      <c r="AJ6" s="1711" t="s">
        <v>1366</v>
      </c>
      <c r="AK6" s="1711"/>
      <c r="AL6" s="1711"/>
      <c r="AM6" s="1711"/>
      <c r="AN6" s="1711"/>
      <c r="AO6" s="1711"/>
      <c r="AP6" s="1743">
        <v>1500</v>
      </c>
      <c r="AQ6" s="1743"/>
      <c r="AR6" s="856" t="s">
        <v>4</v>
      </c>
      <c r="AS6" s="856"/>
      <c r="AT6" s="493"/>
      <c r="AU6" s="1718" t="s">
        <v>1570</v>
      </c>
      <c r="AV6" s="1719"/>
      <c r="AW6" s="493"/>
      <c r="BM6" s="957" t="s">
        <v>443</v>
      </c>
      <c r="BN6" s="957"/>
      <c r="BO6" s="957"/>
      <c r="BP6" s="957"/>
      <c r="BQ6" s="957"/>
      <c r="BR6" s="957"/>
      <c r="BS6" s="957"/>
      <c r="BT6" s="75" t="s">
        <v>440</v>
      </c>
      <c r="DO6" s="1287" t="s">
        <v>715</v>
      </c>
      <c r="DP6" s="1287"/>
      <c r="DQ6" s="1287"/>
      <c r="DR6" s="1287"/>
      <c r="DS6" s="1287"/>
      <c r="DT6" s="1287"/>
      <c r="DU6" s="1287"/>
      <c r="DV6" s="75" t="s">
        <v>714</v>
      </c>
      <c r="FW6" s="1287" t="s">
        <v>715</v>
      </c>
      <c r="FX6" s="1287"/>
      <c r="FY6" s="1287"/>
      <c r="FZ6" s="1287"/>
      <c r="GA6" s="1287"/>
      <c r="GB6" s="1287"/>
      <c r="GC6" s="1287"/>
      <c r="GD6" s="75" t="s">
        <v>714</v>
      </c>
      <c r="HH6" s="906" t="s">
        <v>436</v>
      </c>
      <c r="HI6" s="907"/>
      <c r="HJ6" s="907"/>
      <c r="HK6" s="907"/>
      <c r="HL6" s="907"/>
      <c r="HM6" s="908"/>
      <c r="HO6" s="1051" t="s">
        <v>436</v>
      </c>
      <c r="HP6" s="1051"/>
      <c r="HQ6" s="1051"/>
      <c r="HR6" s="1051"/>
      <c r="HS6" s="1051"/>
      <c r="HU6" s="1051" t="s">
        <v>436</v>
      </c>
      <c r="HV6" s="1051"/>
      <c r="HW6" s="1051"/>
      <c r="HX6" s="1051"/>
      <c r="HZ6" s="906" t="s">
        <v>436</v>
      </c>
      <c r="IA6" s="907"/>
      <c r="IB6" s="908"/>
      <c r="II6" s="1287" t="s">
        <v>715</v>
      </c>
      <c r="IJ6" s="1287"/>
      <c r="IK6" s="1287"/>
      <c r="IL6" s="1287"/>
      <c r="IM6" s="1287"/>
      <c r="IN6" s="1287"/>
      <c r="IO6" s="1287"/>
      <c r="IP6" s="75" t="s">
        <v>714</v>
      </c>
      <c r="JS6" s="906" t="s">
        <v>436</v>
      </c>
      <c r="JT6" s="907"/>
      <c r="JU6" s="907"/>
      <c r="JV6" s="907"/>
      <c r="JW6" s="907"/>
      <c r="JX6" s="907"/>
      <c r="JY6" s="907"/>
      <c r="JZ6" s="908"/>
      <c r="KB6" s="1051" t="s">
        <v>436</v>
      </c>
      <c r="KC6" s="1051"/>
      <c r="KD6" s="1051"/>
      <c r="KE6" s="1051"/>
      <c r="KF6" s="1051"/>
      <c r="KH6" s="1051" t="s">
        <v>436</v>
      </c>
      <c r="KI6" s="1051"/>
      <c r="KJ6" s="1051"/>
      <c r="KK6" s="1051"/>
      <c r="KM6" s="906" t="s">
        <v>436</v>
      </c>
      <c r="KN6" s="907"/>
      <c r="KO6" s="908"/>
      <c r="LS6" s="1287" t="s">
        <v>715</v>
      </c>
      <c r="LT6" s="1287"/>
      <c r="LU6" s="1287"/>
      <c r="LV6" s="1287"/>
      <c r="LW6" s="1287"/>
      <c r="LX6" s="1287"/>
      <c r="LY6" s="1287"/>
      <c r="LZ6" s="75" t="s">
        <v>714</v>
      </c>
      <c r="MZ6" s="130"/>
      <c r="NA6" s="130"/>
      <c r="NB6" s="130"/>
      <c r="NC6" s="130"/>
      <c r="NG6" s="906" t="s">
        <v>436</v>
      </c>
      <c r="NH6" s="907"/>
      <c r="NI6" s="907"/>
      <c r="NJ6" s="907"/>
      <c r="NK6" s="907"/>
      <c r="NL6" s="908"/>
      <c r="NN6" s="906" t="s">
        <v>436</v>
      </c>
      <c r="NO6" s="907"/>
      <c r="NP6" s="907"/>
      <c r="NQ6" s="907"/>
      <c r="NR6" s="908"/>
      <c r="NT6" s="1051" t="s">
        <v>436</v>
      </c>
      <c r="NU6" s="1051"/>
      <c r="NV6" s="1051"/>
      <c r="NW6" s="1051"/>
      <c r="NY6" s="906" t="s">
        <v>436</v>
      </c>
      <c r="NZ6" s="907"/>
      <c r="OA6" s="908"/>
      <c r="OY6" s="1287" t="s">
        <v>715</v>
      </c>
      <c r="OZ6" s="1287"/>
      <c r="PA6" s="1287"/>
      <c r="PB6" s="1287"/>
      <c r="PC6" s="1287"/>
      <c r="PD6" s="1287"/>
      <c r="PE6" s="1287"/>
      <c r="PF6" s="75" t="s">
        <v>714</v>
      </c>
      <c r="QP6" s="906" t="s">
        <v>436</v>
      </c>
      <c r="QQ6" s="907"/>
      <c r="QR6" s="907"/>
      <c r="QS6" s="907"/>
      <c r="QT6" s="907"/>
      <c r="QU6" s="908"/>
      <c r="QW6" s="1051" t="s">
        <v>436</v>
      </c>
      <c r="QX6" s="1051"/>
      <c r="QY6" s="1051"/>
      <c r="QZ6" s="1051"/>
      <c r="RA6" s="1051"/>
      <c r="RB6" s="1051"/>
      <c r="RC6" s="1051"/>
      <c r="RD6" s="1051"/>
      <c r="RF6" s="1051" t="s">
        <v>436</v>
      </c>
      <c r="RG6" s="1051"/>
      <c r="RH6" s="1051"/>
      <c r="RI6" s="1051"/>
      <c r="SM6" s="1287" t="s">
        <v>715</v>
      </c>
      <c r="SN6" s="1287"/>
      <c r="SO6" s="1287"/>
      <c r="SP6" s="1287"/>
      <c r="SQ6" s="1287"/>
      <c r="SR6" s="1287"/>
      <c r="SS6" s="1287"/>
      <c r="ST6" s="75" t="s">
        <v>714</v>
      </c>
      <c r="TF6" s="906" t="s">
        <v>436</v>
      </c>
      <c r="TG6" s="907"/>
      <c r="TH6" s="907"/>
      <c r="TI6" s="907"/>
      <c r="TJ6" s="907"/>
      <c r="TK6" s="908"/>
      <c r="TM6" s="1051" t="s">
        <v>436</v>
      </c>
      <c r="TN6" s="1051"/>
      <c r="TO6" s="1051"/>
      <c r="TP6" s="1051"/>
      <c r="TQ6" s="1051"/>
      <c r="TS6" s="1051" t="s">
        <v>436</v>
      </c>
      <c r="TT6" s="1051"/>
      <c r="TU6" s="1051"/>
      <c r="TV6" s="1051"/>
      <c r="TX6" s="906" t="s">
        <v>436</v>
      </c>
      <c r="TY6" s="907"/>
      <c r="TZ6" s="908"/>
      <c r="ZA6" s="653"/>
      <c r="ZB6" s="653"/>
      <c r="ZC6" s="653"/>
      <c r="ZD6" s="653"/>
      <c r="ZE6" s="653"/>
      <c r="ZF6" s="653"/>
      <c r="ZG6" s="653"/>
      <c r="ABQ6" s="653"/>
      <c r="ABR6" s="653"/>
      <c r="ABS6" s="653"/>
      <c r="ABT6" s="653"/>
      <c r="ABU6" s="653"/>
      <c r="ABV6" s="653"/>
      <c r="ABW6" s="653"/>
      <c r="ABX6" s="653"/>
      <c r="ABY6" s="653"/>
      <c r="ABZ6" s="653"/>
      <c r="ACA6" s="653"/>
      <c r="ACB6" s="653"/>
      <c r="ACC6" s="653"/>
      <c r="ACD6" s="653"/>
      <c r="ACE6" s="653"/>
      <c r="ACF6" s="653"/>
      <c r="ACG6" s="653"/>
      <c r="ACH6" s="653"/>
      <c r="ACI6" s="653"/>
      <c r="ACJ6" s="653"/>
      <c r="ACK6" s="653"/>
      <c r="ACL6" s="653"/>
      <c r="ACM6" s="653"/>
      <c r="ACN6" s="653"/>
      <c r="ACO6" s="653"/>
      <c r="ACP6" s="653"/>
      <c r="ACQ6" s="653"/>
      <c r="ACR6" s="653"/>
      <c r="ACS6" s="653"/>
      <c r="ACT6" s="653"/>
      <c r="ACU6" s="653"/>
      <c r="ACV6" s="653"/>
      <c r="ACW6" s="653"/>
      <c r="ACX6" s="653"/>
      <c r="ACY6" s="653"/>
      <c r="ACZ6" s="653"/>
      <c r="ADA6" s="653"/>
      <c r="ADB6" s="653"/>
      <c r="ADC6" s="653"/>
      <c r="ADD6" s="653"/>
      <c r="ADE6" s="653"/>
      <c r="ADF6" s="653"/>
      <c r="ADG6" s="653"/>
      <c r="ADH6" s="653"/>
      <c r="ADI6" s="653"/>
      <c r="ADJ6" s="653"/>
      <c r="ADK6" s="653"/>
      <c r="ADL6" s="653"/>
      <c r="ADM6" s="653"/>
      <c r="ADN6" s="653"/>
      <c r="AGM6" s="1287" t="s">
        <v>715</v>
      </c>
      <c r="AGN6" s="1287"/>
      <c r="AGO6" s="1287"/>
      <c r="AGP6" s="1287"/>
      <c r="AGQ6" s="1287"/>
      <c r="AGR6" s="1287"/>
      <c r="AGS6" s="1287"/>
      <c r="AGT6" s="75" t="s">
        <v>714</v>
      </c>
      <c r="AHB6" s="653"/>
      <c r="AHC6" s="653"/>
      <c r="AHD6" s="653"/>
      <c r="AHE6" s="653"/>
      <c r="AHF6" s="653"/>
      <c r="AHG6" s="653"/>
      <c r="AHH6" s="653"/>
      <c r="AII6" s="1292"/>
      <c r="AIJ6" s="1293"/>
      <c r="AIK6" s="1292"/>
      <c r="AIL6" s="1293"/>
      <c r="AIM6" s="1292"/>
      <c r="AIN6" s="1293"/>
      <c r="AIO6" s="1313"/>
      <c r="AIP6" s="1313"/>
      <c r="AIQ6" s="1313"/>
      <c r="AIR6" s="1313"/>
      <c r="AIS6" s="1313"/>
      <c r="AIT6" s="1313"/>
      <c r="AIX6" s="73"/>
      <c r="AIY6" s="72"/>
      <c r="AIZ6" s="72"/>
      <c r="AJA6" s="73"/>
      <c r="AJB6" s="73"/>
      <c r="AJC6" s="72"/>
      <c r="AJD6" s="72"/>
      <c r="AJE6" s="73"/>
      <c r="AJH6" s="1052"/>
      <c r="AJI6" s="1052"/>
      <c r="AJJ6" s="1052"/>
      <c r="AJK6" s="1052"/>
      <c r="AJL6" s="1052"/>
      <c r="AJM6" s="1052"/>
      <c r="AJN6" s="1052"/>
      <c r="AJO6" s="1052"/>
      <c r="AJP6" s="1052"/>
      <c r="AJQ6" s="1052"/>
      <c r="AJR6" s="1052"/>
      <c r="AJS6" s="1052"/>
      <c r="AJU6" s="827"/>
      <c r="AJV6" s="947"/>
      <c r="AJW6" s="947"/>
      <c r="AJX6" s="947"/>
      <c r="AJY6" s="947"/>
      <c r="AJZ6" s="947"/>
      <c r="AKA6" s="947"/>
      <c r="AKB6" s="947"/>
      <c r="AKC6" s="948"/>
      <c r="AKE6" s="827"/>
      <c r="AKF6" s="947"/>
      <c r="AKG6" s="947"/>
      <c r="AKH6" s="947"/>
      <c r="AKI6" s="947"/>
      <c r="AKJ6" s="948"/>
      <c r="AKL6" s="1052"/>
      <c r="AKM6" s="1052"/>
      <c r="AKN6" s="1052"/>
      <c r="AKO6" s="1052"/>
      <c r="AKP6" s="1052"/>
      <c r="AKR6" s="827"/>
      <c r="AKS6" s="947"/>
      <c r="AKT6" s="947"/>
      <c r="AKU6" s="948"/>
      <c r="ALI6" s="1287" t="s">
        <v>715</v>
      </c>
      <c r="ALJ6" s="1287"/>
      <c r="ALK6" s="1287"/>
      <c r="ALL6" s="1287"/>
      <c r="ALM6" s="1287"/>
      <c r="ALN6" s="1287"/>
      <c r="ALO6" s="1287"/>
      <c r="ALP6" s="75" t="s">
        <v>714</v>
      </c>
      <c r="AMH6" s="828"/>
      <c r="AMI6" s="949"/>
      <c r="AMJ6" s="949"/>
      <c r="AMK6" s="949"/>
      <c r="AML6" s="949"/>
      <c r="AMM6" s="950"/>
      <c r="AMO6" s="1053"/>
      <c r="AMP6" s="1053"/>
      <c r="AMQ6" s="1053"/>
      <c r="AMR6" s="1053"/>
      <c r="AMS6" s="1053"/>
      <c r="AMU6" s="828"/>
      <c r="AMV6" s="949"/>
      <c r="AMW6" s="949"/>
      <c r="AMX6" s="950"/>
      <c r="AMZ6" s="828"/>
      <c r="ANA6" s="949"/>
      <c r="ANB6" s="950"/>
      <c r="AOH6" s="130"/>
      <c r="AOI6" s="130"/>
      <c r="AOJ6" s="130"/>
      <c r="AOL6" s="1549">
        <v>2.2000000000000002</v>
      </c>
      <c r="AOM6" s="1549"/>
      <c r="AON6" s="1549">
        <v>0.7</v>
      </c>
      <c r="AOO6" s="1549"/>
      <c r="APH6" s="130"/>
      <c r="API6" s="130"/>
      <c r="APJ6" s="130"/>
      <c r="APK6" s="130"/>
      <c r="APL6" s="130"/>
      <c r="APM6" s="130"/>
      <c r="APN6" s="130"/>
      <c r="APO6" s="130"/>
      <c r="APP6" s="130"/>
      <c r="APQ6" s="130"/>
      <c r="AQB6" s="130"/>
      <c r="AQC6" s="130"/>
      <c r="AQD6" s="130"/>
      <c r="AQE6" s="130"/>
      <c r="AQF6" s="130"/>
      <c r="AQL6" s="130"/>
      <c r="AQM6" s="130"/>
      <c r="AQN6" s="130"/>
      <c r="AQO6" s="130"/>
      <c r="AQV6" s="653"/>
      <c r="AQW6" s="653"/>
      <c r="AQX6" s="653"/>
      <c r="AQY6" s="653"/>
      <c r="AQZ6" s="653"/>
      <c r="ARA6" s="653"/>
      <c r="ARB6" s="653"/>
      <c r="ARC6" s="653"/>
      <c r="ARD6" s="653"/>
      <c r="ARE6" s="653"/>
      <c r="ARF6" s="653"/>
      <c r="ARG6" s="653"/>
      <c r="ARH6" s="653"/>
      <c r="ARI6" s="653"/>
      <c r="ARJ6" s="653"/>
      <c r="ARK6" s="653"/>
      <c r="ARL6" s="653"/>
      <c r="ARM6" s="653"/>
      <c r="ARN6" s="653"/>
      <c r="ARO6" s="653"/>
      <c r="ARQ6" s="653"/>
      <c r="ARR6" s="653"/>
      <c r="ARS6" s="653"/>
      <c r="ART6" s="653"/>
      <c r="ARU6" s="653"/>
      <c r="ARV6" s="653"/>
      <c r="ARW6" s="653"/>
      <c r="AVK6" s="1287" t="s">
        <v>635</v>
      </c>
      <c r="AVL6" s="1287"/>
      <c r="AVM6" s="1287"/>
      <c r="AVN6" s="1287"/>
      <c r="AVO6" s="1287"/>
      <c r="AVP6" s="1287"/>
      <c r="AVQ6" s="1287"/>
      <c r="AVR6" s="75" t="s">
        <v>440</v>
      </c>
    </row>
    <row r="7" spans="4:1297" ht="48" customHeight="1" thickBot="1">
      <c r="D7" s="1287" t="s">
        <v>715</v>
      </c>
      <c r="E7" s="1287"/>
      <c r="F7" s="1287"/>
      <c r="G7" s="1287"/>
      <c r="H7" s="1287"/>
      <c r="I7" s="1287"/>
      <c r="J7" s="1287"/>
      <c r="K7" s="75" t="s">
        <v>714</v>
      </c>
      <c r="N7" s="131" t="s">
        <v>711</v>
      </c>
      <c r="O7" s="131" t="s">
        <v>710</v>
      </c>
      <c r="P7" s="131" t="s">
        <v>709</v>
      </c>
      <c r="Q7" s="131" t="s">
        <v>708</v>
      </c>
      <c r="R7" s="131" t="s">
        <v>927</v>
      </c>
      <c r="S7" s="131" t="s">
        <v>928</v>
      </c>
      <c r="U7" s="1738" t="s">
        <v>438</v>
      </c>
      <c r="V7" s="1738"/>
      <c r="W7" s="1738"/>
      <c r="AJ7" s="1711" t="s">
        <v>2</v>
      </c>
      <c r="AK7" s="1711"/>
      <c r="AL7" s="1711"/>
      <c r="AM7" s="1711"/>
      <c r="AN7" s="1711"/>
      <c r="AO7" s="1711"/>
      <c r="AP7" s="1744">
        <v>220</v>
      </c>
      <c r="AQ7" s="1745"/>
      <c r="AR7" s="856" t="s">
        <v>5</v>
      </c>
      <c r="AS7" s="856"/>
      <c r="AT7" s="493"/>
      <c r="AU7" s="1718" t="s">
        <v>1649</v>
      </c>
      <c r="AV7" s="1719"/>
      <c r="AW7" s="493"/>
      <c r="BL7" s="15"/>
      <c r="DO7" s="957" t="s">
        <v>443</v>
      </c>
      <c r="DP7" s="957"/>
      <c r="DQ7" s="957"/>
      <c r="DR7" s="957"/>
      <c r="DS7" s="957"/>
      <c r="DT7" s="957"/>
      <c r="DU7" s="957"/>
      <c r="DV7" s="75" t="s">
        <v>440</v>
      </c>
      <c r="FW7" s="957" t="s">
        <v>443</v>
      </c>
      <c r="FX7" s="957"/>
      <c r="FY7" s="957"/>
      <c r="FZ7" s="957"/>
      <c r="GA7" s="957"/>
      <c r="GB7" s="957"/>
      <c r="GC7" s="957"/>
      <c r="GD7" s="75" t="s">
        <v>440</v>
      </c>
      <c r="HH7" s="826"/>
      <c r="HI7" s="945"/>
      <c r="HJ7" s="945"/>
      <c r="HK7" s="945"/>
      <c r="HL7" s="945"/>
      <c r="HM7" s="946"/>
      <c r="HO7" s="1052"/>
      <c r="HP7" s="1052"/>
      <c r="HQ7" s="1052"/>
      <c r="HR7" s="1052"/>
      <c r="HS7" s="1052"/>
      <c r="HU7" s="827"/>
      <c r="HV7" s="947"/>
      <c r="HW7" s="947"/>
      <c r="HX7" s="948"/>
      <c r="HZ7" s="826"/>
      <c r="IA7" s="945"/>
      <c r="IB7" s="946"/>
      <c r="II7" s="957" t="s">
        <v>443</v>
      </c>
      <c r="IJ7" s="957"/>
      <c r="IK7" s="957"/>
      <c r="IL7" s="957"/>
      <c r="IM7" s="957"/>
      <c r="IN7" s="957"/>
      <c r="IO7" s="957"/>
      <c r="IP7" s="75" t="s">
        <v>440</v>
      </c>
      <c r="JS7" s="826"/>
      <c r="JT7" s="945"/>
      <c r="JU7" s="945"/>
      <c r="JV7" s="945"/>
      <c r="JW7" s="945"/>
      <c r="JX7" s="945"/>
      <c r="JY7" s="945"/>
      <c r="JZ7" s="946"/>
      <c r="KB7" s="1052"/>
      <c r="KC7" s="1052"/>
      <c r="KD7" s="1052"/>
      <c r="KE7" s="1052"/>
      <c r="KF7" s="1052"/>
      <c r="KH7" s="827"/>
      <c r="KI7" s="947"/>
      <c r="KJ7" s="947"/>
      <c r="KK7" s="948"/>
      <c r="KM7" s="826"/>
      <c r="KN7" s="945"/>
      <c r="KO7" s="946"/>
      <c r="LS7" s="957" t="s">
        <v>443</v>
      </c>
      <c r="LT7" s="957"/>
      <c r="LU7" s="957"/>
      <c r="LV7" s="957"/>
      <c r="LW7" s="957"/>
      <c r="LX7" s="957"/>
      <c r="LY7" s="957"/>
      <c r="LZ7" s="75" t="s">
        <v>440</v>
      </c>
      <c r="MZ7" s="130"/>
      <c r="NA7" s="130"/>
      <c r="NB7" s="130"/>
      <c r="NC7" s="130"/>
      <c r="NG7" s="826"/>
      <c r="NH7" s="945"/>
      <c r="NI7" s="945"/>
      <c r="NJ7" s="945"/>
      <c r="NK7" s="945"/>
      <c r="NL7" s="946"/>
      <c r="NN7" s="826"/>
      <c r="NO7" s="945"/>
      <c r="NP7" s="945"/>
      <c r="NQ7" s="945"/>
      <c r="NR7" s="946"/>
      <c r="NT7" s="827"/>
      <c r="NU7" s="947"/>
      <c r="NV7" s="947"/>
      <c r="NW7" s="948"/>
      <c r="NY7" s="826"/>
      <c r="NZ7" s="945"/>
      <c r="OA7" s="946"/>
      <c r="OY7" s="957" t="s">
        <v>443</v>
      </c>
      <c r="OZ7" s="957"/>
      <c r="PA7" s="957"/>
      <c r="PB7" s="957"/>
      <c r="PC7" s="957"/>
      <c r="PD7" s="957"/>
      <c r="PE7" s="957"/>
      <c r="PF7" s="75" t="s">
        <v>440</v>
      </c>
      <c r="QA7" s="130"/>
      <c r="QB7" s="130"/>
      <c r="QC7" s="130"/>
      <c r="QD7" s="130"/>
      <c r="QE7" s="130"/>
      <c r="QF7" s="130"/>
      <c r="QP7" s="826"/>
      <c r="QQ7" s="945"/>
      <c r="QR7" s="945"/>
      <c r="QS7" s="945"/>
      <c r="QT7" s="945"/>
      <c r="QU7" s="946"/>
      <c r="QW7" s="1052"/>
      <c r="QX7" s="1052"/>
      <c r="QY7" s="1052"/>
      <c r="QZ7" s="1052"/>
      <c r="RA7" s="1052"/>
      <c r="RB7" s="1052"/>
      <c r="RC7" s="1052"/>
      <c r="RD7" s="1052"/>
      <c r="RF7" s="827"/>
      <c r="RG7" s="947"/>
      <c r="RH7" s="947"/>
      <c r="RI7" s="948"/>
      <c r="SM7" s="957" t="s">
        <v>443</v>
      </c>
      <c r="SN7" s="957"/>
      <c r="SO7" s="957"/>
      <c r="SP7" s="957"/>
      <c r="SQ7" s="957"/>
      <c r="SR7" s="957"/>
      <c r="SS7" s="957"/>
      <c r="ST7" s="75" t="s">
        <v>440</v>
      </c>
      <c r="TF7" s="826"/>
      <c r="TG7" s="945"/>
      <c r="TH7" s="945"/>
      <c r="TI7" s="945"/>
      <c r="TJ7" s="945"/>
      <c r="TK7" s="946"/>
      <c r="TM7" s="1052"/>
      <c r="TN7" s="1052"/>
      <c r="TO7" s="1052"/>
      <c r="TP7" s="1052"/>
      <c r="TQ7" s="1052"/>
      <c r="TS7" s="827"/>
      <c r="TT7" s="947"/>
      <c r="TU7" s="947"/>
      <c r="TV7" s="948"/>
      <c r="TX7" s="826"/>
      <c r="TY7" s="945"/>
      <c r="TZ7" s="946"/>
      <c r="VR7" s="497" t="s">
        <v>1240</v>
      </c>
      <c r="VS7" s="1110">
        <f>$MP$59</f>
        <v>7.2450292500398427E-5</v>
      </c>
      <c r="VT7" s="1110"/>
      <c r="WH7" s="1069" t="s">
        <v>817</v>
      </c>
      <c r="WI7" s="1070"/>
      <c r="WJ7" s="1070"/>
      <c r="WK7" s="1070"/>
      <c r="WL7" s="1070"/>
      <c r="WM7" s="1070"/>
      <c r="WN7" s="1070"/>
      <c r="WO7" s="1070"/>
      <c r="WP7" s="1070"/>
      <c r="WQ7" s="1070"/>
      <c r="WR7" s="1070"/>
      <c r="WS7" s="1070"/>
      <c r="WT7" s="1070"/>
      <c r="WU7" s="1070"/>
      <c r="WV7" s="1070"/>
      <c r="WW7" s="1071"/>
      <c r="ZA7" s="653"/>
      <c r="ZB7" s="653"/>
      <c r="ZC7" s="653"/>
      <c r="ZD7" s="653"/>
      <c r="ZE7" s="653"/>
      <c r="ZF7" s="653"/>
      <c r="ZG7" s="653"/>
      <c r="ABQ7" s="653"/>
      <c r="ABR7" s="653"/>
      <c r="ABS7" s="653"/>
      <c r="ABT7" s="653"/>
      <c r="ABU7" s="653"/>
      <c r="ABV7" s="653"/>
      <c r="ABW7" s="653"/>
      <c r="ABX7" s="653"/>
      <c r="ABY7" s="653"/>
      <c r="ABZ7" s="653"/>
      <c r="ACA7" s="653"/>
      <c r="ACB7" s="653"/>
      <c r="ACC7" s="653"/>
      <c r="ACD7" s="653"/>
      <c r="ACE7" s="653"/>
      <c r="ACF7" s="653"/>
      <c r="ACG7" s="653"/>
      <c r="ACH7" s="653"/>
      <c r="ACI7" s="653"/>
      <c r="ACJ7" s="653"/>
      <c r="ACK7" s="653"/>
      <c r="ACL7" s="653"/>
      <c r="ACM7" s="653"/>
      <c r="ACN7" s="653"/>
      <c r="ACO7" s="653"/>
      <c r="ACP7" s="653"/>
      <c r="ACQ7" s="653"/>
      <c r="ACR7" s="653"/>
      <c r="ACS7" s="653"/>
      <c r="ACT7" s="653"/>
      <c r="ACU7" s="653"/>
      <c r="ACV7" s="653"/>
      <c r="ACW7" s="653"/>
      <c r="ACX7" s="653"/>
      <c r="ACY7" s="653"/>
      <c r="ACZ7" s="653"/>
      <c r="ADA7" s="653"/>
      <c r="ADB7" s="653"/>
      <c r="ADC7" s="653"/>
      <c r="ADD7" s="653"/>
      <c r="ADE7" s="653"/>
      <c r="ADF7" s="653"/>
      <c r="ADG7" s="653"/>
      <c r="ADH7" s="653"/>
      <c r="ADI7" s="653"/>
      <c r="ADJ7" s="653"/>
      <c r="ADK7" s="653"/>
      <c r="ADL7" s="653"/>
      <c r="ADM7" s="653"/>
      <c r="ADN7" s="653"/>
      <c r="AGM7" s="957" t="s">
        <v>443</v>
      </c>
      <c r="AGN7" s="957"/>
      <c r="AGO7" s="957"/>
      <c r="AGP7" s="957"/>
      <c r="AGQ7" s="957"/>
      <c r="AGR7" s="957"/>
      <c r="AGS7" s="957"/>
      <c r="AGT7" s="75" t="s">
        <v>440</v>
      </c>
      <c r="AHB7" s="653"/>
      <c r="AHC7" s="653"/>
      <c r="AHD7" s="653"/>
      <c r="AHE7" s="653"/>
      <c r="AHF7" s="653"/>
      <c r="AHG7" s="653"/>
      <c r="AHH7" s="653"/>
      <c r="AII7" s="1294"/>
      <c r="AIJ7" s="1295"/>
      <c r="AIK7" s="1294"/>
      <c r="AIL7" s="1295"/>
      <c r="AIM7" s="1294"/>
      <c r="AIN7" s="1295"/>
      <c r="AIO7" s="1313"/>
      <c r="AIP7" s="1313"/>
      <c r="AIQ7" s="1313"/>
      <c r="AIR7" s="1313"/>
      <c r="AIS7" s="1313"/>
      <c r="AIT7" s="1313"/>
      <c r="AIX7" s="72"/>
      <c r="AIY7" s="72"/>
      <c r="AIZ7" s="73"/>
      <c r="AJA7" s="73"/>
      <c r="AJB7" s="72"/>
      <c r="AJC7" s="72"/>
      <c r="AJD7" s="73"/>
      <c r="AJE7" s="73"/>
      <c r="AJH7" s="1053"/>
      <c r="AJI7" s="1053"/>
      <c r="AJJ7" s="1053"/>
      <c r="AJK7" s="1053"/>
      <c r="AJL7" s="1053"/>
      <c r="AJM7" s="1053"/>
      <c r="AJN7" s="1053"/>
      <c r="AJO7" s="1053"/>
      <c r="AJP7" s="1053"/>
      <c r="AJQ7" s="1053"/>
      <c r="AJR7" s="1053"/>
      <c r="AJS7" s="1053"/>
      <c r="AJU7" s="828"/>
      <c r="AJV7" s="949"/>
      <c r="AJW7" s="949"/>
      <c r="AJX7" s="949"/>
      <c r="AJY7" s="949"/>
      <c r="AJZ7" s="949"/>
      <c r="AKA7" s="949"/>
      <c r="AKB7" s="949"/>
      <c r="AKC7" s="950"/>
      <c r="AKE7" s="828"/>
      <c r="AKF7" s="949"/>
      <c r="AKG7" s="949"/>
      <c r="AKH7" s="949"/>
      <c r="AKI7" s="949"/>
      <c r="AKJ7" s="950"/>
      <c r="AKL7" s="1053"/>
      <c r="AKM7" s="1053"/>
      <c r="AKN7" s="1053"/>
      <c r="AKO7" s="1053"/>
      <c r="AKP7" s="1053"/>
      <c r="AKR7" s="828"/>
      <c r="AKS7" s="949"/>
      <c r="AKT7" s="949"/>
      <c r="AKU7" s="950"/>
      <c r="ALI7" s="957" t="s">
        <v>443</v>
      </c>
      <c r="ALJ7" s="957"/>
      <c r="ALK7" s="957"/>
      <c r="ALL7" s="957"/>
      <c r="ALM7" s="957"/>
      <c r="ALN7" s="957"/>
      <c r="ALO7" s="957"/>
      <c r="ALP7" s="75" t="s">
        <v>440</v>
      </c>
      <c r="AOH7" s="130"/>
      <c r="AOI7" s="130"/>
      <c r="AOJ7" s="130"/>
      <c r="APH7" s="130"/>
      <c r="API7" s="130"/>
      <c r="APJ7" s="130"/>
      <c r="APK7" s="130"/>
      <c r="APL7" s="130"/>
      <c r="APM7" s="130"/>
      <c r="APN7" s="130"/>
      <c r="APO7" s="130"/>
      <c r="APP7" s="130"/>
      <c r="APQ7" s="130"/>
      <c r="AQB7" s="130"/>
      <c r="AQC7" s="130"/>
      <c r="AQD7" s="130"/>
      <c r="AQE7" s="130"/>
      <c r="AQF7" s="130"/>
      <c r="AQL7" s="130"/>
      <c r="AQM7" s="130"/>
      <c r="AQN7" s="130"/>
      <c r="AQO7" s="130"/>
      <c r="AQP7" s="130"/>
      <c r="AQQ7" s="130"/>
      <c r="AQR7" s="130"/>
      <c r="AQV7" s="653"/>
      <c r="AQW7" s="653"/>
      <c r="AQX7" s="653"/>
      <c r="AQY7" s="653"/>
      <c r="AQZ7" s="653"/>
      <c r="ARA7" s="653"/>
      <c r="ARB7" s="653"/>
      <c r="ARC7" s="653"/>
      <c r="ARD7" s="653"/>
      <c r="ARE7" s="653"/>
      <c r="ARF7" s="653"/>
      <c r="ARG7" s="653"/>
      <c r="ARH7" s="653"/>
      <c r="ARI7" s="653"/>
      <c r="ARJ7" s="653"/>
      <c r="ARK7" s="653"/>
      <c r="ARL7" s="653"/>
      <c r="ARM7" s="653"/>
      <c r="ARN7" s="653"/>
      <c r="ARO7" s="653"/>
      <c r="ARQ7" s="653"/>
      <c r="ARR7" s="653"/>
      <c r="ARS7" s="653"/>
      <c r="ART7" s="653"/>
      <c r="ARU7" s="653"/>
      <c r="ARV7" s="653"/>
      <c r="ARW7" s="653"/>
      <c r="ASW7" s="906" t="s">
        <v>436</v>
      </c>
      <c r="ASX7" s="907"/>
      <c r="ASY7" s="907"/>
      <c r="ASZ7" s="907"/>
      <c r="ATA7" s="907"/>
      <c r="ATB7" s="908"/>
      <c r="ATD7" s="1051" t="s">
        <v>436</v>
      </c>
      <c r="ATE7" s="1051"/>
      <c r="ATF7" s="1051"/>
      <c r="ATG7" s="1051"/>
      <c r="ATH7" s="1051"/>
      <c r="ATJ7" s="1051" t="s">
        <v>436</v>
      </c>
      <c r="ATK7" s="1051"/>
      <c r="ATL7" s="1051"/>
      <c r="ATM7" s="1051"/>
      <c r="ATO7" s="906" t="s">
        <v>436</v>
      </c>
      <c r="ATP7" s="907"/>
      <c r="ATQ7" s="908"/>
      <c r="AVK7" s="1287" t="s">
        <v>715</v>
      </c>
      <c r="AVL7" s="1287"/>
      <c r="AVM7" s="1287"/>
      <c r="AVN7" s="1287"/>
      <c r="AVO7" s="1287"/>
      <c r="AVP7" s="1287"/>
      <c r="AVQ7" s="1287"/>
      <c r="AVR7" s="75" t="s">
        <v>714</v>
      </c>
    </row>
    <row r="8" spans="4:1297" ht="48" customHeight="1" thickBot="1">
      <c r="J8" s="130"/>
      <c r="K8" s="130"/>
      <c r="L8" s="130"/>
      <c r="M8" s="130"/>
      <c r="N8" s="131" t="s">
        <v>721</v>
      </c>
      <c r="O8" s="131" t="s">
        <v>712</v>
      </c>
      <c r="P8" s="131" t="s">
        <v>909</v>
      </c>
      <c r="Q8" s="131" t="s">
        <v>910</v>
      </c>
      <c r="R8" s="131" t="s">
        <v>713</v>
      </c>
      <c r="S8" s="131" t="s">
        <v>934</v>
      </c>
      <c r="AJ8" s="856" t="s">
        <v>8</v>
      </c>
      <c r="AK8" s="856"/>
      <c r="AL8" s="856"/>
      <c r="AM8" s="856"/>
      <c r="AN8" s="856"/>
      <c r="AO8" s="856"/>
      <c r="AP8" s="1092">
        <v>50</v>
      </c>
      <c r="AQ8" s="1092"/>
      <c r="AR8" s="856" t="s">
        <v>9</v>
      </c>
      <c r="AS8" s="856"/>
      <c r="AT8" s="494"/>
      <c r="AU8" s="1720" t="s">
        <v>1647</v>
      </c>
      <c r="AV8" s="1721"/>
      <c r="AW8" s="494"/>
      <c r="AX8" s="653"/>
      <c r="AY8" s="653"/>
      <c r="HH8" s="828"/>
      <c r="HI8" s="949"/>
      <c r="HJ8" s="949"/>
      <c r="HK8" s="949"/>
      <c r="HL8" s="949"/>
      <c r="HM8" s="950"/>
      <c r="HO8" s="1053"/>
      <c r="HP8" s="1053"/>
      <c r="HQ8" s="1053"/>
      <c r="HR8" s="1053"/>
      <c r="HS8" s="1053"/>
      <c r="HU8" s="828"/>
      <c r="HV8" s="949"/>
      <c r="HW8" s="949"/>
      <c r="HX8" s="950"/>
      <c r="HZ8" s="828"/>
      <c r="IA8" s="949"/>
      <c r="IB8" s="950"/>
      <c r="JS8" s="828"/>
      <c r="JT8" s="949"/>
      <c r="JU8" s="949"/>
      <c r="JV8" s="949"/>
      <c r="JW8" s="949"/>
      <c r="JX8" s="949"/>
      <c r="JY8" s="949"/>
      <c r="JZ8" s="950"/>
      <c r="KB8" s="1053"/>
      <c r="KC8" s="1053"/>
      <c r="KD8" s="1053"/>
      <c r="KE8" s="1053"/>
      <c r="KF8" s="1053"/>
      <c r="KH8" s="828"/>
      <c r="KI8" s="949"/>
      <c r="KJ8" s="949"/>
      <c r="KK8" s="950"/>
      <c r="KM8" s="828"/>
      <c r="KN8" s="949"/>
      <c r="KO8" s="950"/>
      <c r="MZ8" s="130"/>
      <c r="NA8" s="130"/>
      <c r="NB8" s="130"/>
      <c r="NC8" s="130"/>
      <c r="NG8" s="828"/>
      <c r="NH8" s="949"/>
      <c r="NI8" s="949"/>
      <c r="NJ8" s="949"/>
      <c r="NK8" s="949"/>
      <c r="NL8" s="950"/>
      <c r="NN8" s="828"/>
      <c r="NO8" s="949"/>
      <c r="NP8" s="949"/>
      <c r="NQ8" s="949"/>
      <c r="NR8" s="950"/>
      <c r="NT8" s="828"/>
      <c r="NU8" s="949"/>
      <c r="NV8" s="949"/>
      <c r="NW8" s="950"/>
      <c r="NY8" s="828"/>
      <c r="NZ8" s="949"/>
      <c r="OA8" s="950"/>
      <c r="QP8" s="828"/>
      <c r="QQ8" s="949"/>
      <c r="QR8" s="949"/>
      <c r="QS8" s="949"/>
      <c r="QT8" s="949"/>
      <c r="QU8" s="950"/>
      <c r="QW8" s="1053"/>
      <c r="QX8" s="1053"/>
      <c r="QY8" s="1053"/>
      <c r="QZ8" s="1053"/>
      <c r="RA8" s="1053"/>
      <c r="RB8" s="1053"/>
      <c r="RC8" s="1053"/>
      <c r="RD8" s="1053"/>
      <c r="RF8" s="828"/>
      <c r="RG8" s="949"/>
      <c r="RH8" s="949"/>
      <c r="RI8" s="950"/>
      <c r="TF8" s="828"/>
      <c r="TG8" s="949"/>
      <c r="TH8" s="949"/>
      <c r="TI8" s="949"/>
      <c r="TJ8" s="949"/>
      <c r="TK8" s="950"/>
      <c r="TM8" s="1053"/>
      <c r="TN8" s="1053"/>
      <c r="TO8" s="1053"/>
      <c r="TP8" s="1053"/>
      <c r="TQ8" s="1053"/>
      <c r="TS8" s="828"/>
      <c r="TT8" s="949"/>
      <c r="TU8" s="949"/>
      <c r="TV8" s="950"/>
      <c r="TX8" s="828"/>
      <c r="TY8" s="949"/>
      <c r="TZ8" s="950"/>
      <c r="VK8" s="1253" t="s">
        <v>392</v>
      </c>
      <c r="VL8" s="1189"/>
      <c r="ZA8" s="653"/>
      <c r="ZB8" s="653"/>
      <c r="ZC8" s="653"/>
      <c r="ZD8" s="653"/>
      <c r="ZE8" s="653"/>
      <c r="ZF8" s="653"/>
      <c r="ZG8" s="653"/>
      <c r="ABQ8" s="653"/>
      <c r="ABR8" s="653"/>
      <c r="ABS8" s="653"/>
      <c r="ABT8" s="653"/>
      <c r="ABU8" s="653"/>
      <c r="ABV8" s="653"/>
      <c r="ABW8" s="653"/>
      <c r="ABX8" s="653"/>
      <c r="ABY8" s="653"/>
      <c r="ABZ8" s="653"/>
      <c r="ACA8" s="653"/>
      <c r="ACB8" s="653"/>
      <c r="ACC8" s="653"/>
      <c r="ACD8" s="653"/>
      <c r="ACE8" s="653"/>
      <c r="ACF8" s="653"/>
      <c r="ACG8" s="653"/>
      <c r="ACH8" s="653"/>
      <c r="ACI8" s="653"/>
      <c r="ACJ8" s="653"/>
      <c r="ACK8" s="653"/>
      <c r="ACL8" s="653"/>
      <c r="ACM8" s="653"/>
      <c r="ACN8" s="653"/>
      <c r="ACO8" s="653"/>
      <c r="ACP8" s="653"/>
      <c r="ACQ8" s="653"/>
      <c r="ACR8" s="653"/>
      <c r="ACS8" s="653"/>
      <c r="ACT8" s="653"/>
      <c r="ACU8" s="653"/>
      <c r="ACV8" s="653"/>
      <c r="ACW8" s="653"/>
      <c r="ACX8" s="653"/>
      <c r="ACY8" s="653"/>
      <c r="ACZ8" s="653"/>
      <c r="ADA8" s="653"/>
      <c r="ADB8" s="653"/>
      <c r="ADC8" s="653"/>
      <c r="ADD8" s="653"/>
      <c r="ADE8" s="653"/>
      <c r="ADF8" s="653"/>
      <c r="ADG8" s="653"/>
      <c r="ADH8" s="653"/>
      <c r="ADI8" s="653"/>
      <c r="ADJ8" s="653"/>
      <c r="ADK8" s="653"/>
      <c r="ADL8" s="653"/>
      <c r="ADM8" s="653"/>
      <c r="ADN8" s="653"/>
      <c r="AIT8" s="653"/>
      <c r="AIU8" s="653"/>
      <c r="AIV8" s="653"/>
      <c r="AIW8" s="653"/>
      <c r="AIX8" s="653"/>
      <c r="AJJ8" s="675"/>
      <c r="AJK8" s="675"/>
      <c r="AJL8" s="675"/>
      <c r="AKV8" s="653"/>
      <c r="AKW8" s="653"/>
      <c r="AKX8" s="653"/>
      <c r="AKY8" s="653"/>
      <c r="AKZ8" s="653"/>
      <c r="ALA8" s="653"/>
      <c r="ALB8" s="653"/>
      <c r="ALC8" s="653"/>
      <c r="ALD8" s="653"/>
      <c r="ALE8" s="653"/>
      <c r="ALF8" s="653"/>
      <c r="ALG8" s="653"/>
      <c r="ALH8" s="653"/>
      <c r="AOJ8" s="130"/>
      <c r="AOK8" s="130"/>
      <c r="AOL8" s="130"/>
      <c r="APH8" s="130"/>
      <c r="API8" s="130"/>
      <c r="APJ8" s="130"/>
      <c r="APK8" s="130"/>
      <c r="APL8" s="130"/>
      <c r="APM8" s="130"/>
      <c r="APN8" s="130"/>
      <c r="APO8" s="130"/>
      <c r="APP8" s="130"/>
      <c r="APQ8" s="130"/>
      <c r="AQL8" s="130"/>
      <c r="AQM8" s="130"/>
      <c r="AQN8" s="130"/>
      <c r="AQO8" s="130"/>
      <c r="AQP8" s="130"/>
      <c r="AQQ8" s="130"/>
      <c r="AQR8" s="130"/>
      <c r="AQV8" s="653"/>
      <c r="AQW8" s="653"/>
      <c r="AQX8" s="653"/>
      <c r="AQY8" s="653"/>
      <c r="AQZ8" s="653"/>
      <c r="ARA8" s="653"/>
      <c r="ARB8" s="653"/>
      <c r="ARC8" s="653"/>
      <c r="ARD8" s="653"/>
      <c r="ARE8" s="653"/>
      <c r="ARF8" s="653"/>
      <c r="ARG8" s="653"/>
      <c r="ARH8" s="653"/>
      <c r="ARI8" s="653"/>
      <c r="ARJ8" s="653"/>
      <c r="ARK8" s="653"/>
      <c r="ARL8" s="653"/>
      <c r="ARM8" s="653"/>
      <c r="ARN8" s="653"/>
      <c r="ARO8" s="653"/>
      <c r="ARQ8" s="653"/>
      <c r="ARR8" s="653"/>
      <c r="ARS8" s="653"/>
      <c r="ART8" s="653"/>
      <c r="ARU8" s="653"/>
      <c r="ARV8" s="653"/>
      <c r="ARW8" s="653"/>
      <c r="ASW8" s="826"/>
      <c r="ASX8" s="945"/>
      <c r="ASY8" s="945"/>
      <c r="ASZ8" s="945"/>
      <c r="ATA8" s="945"/>
      <c r="ATB8" s="946"/>
      <c r="ATD8" s="1052"/>
      <c r="ATE8" s="1052"/>
      <c r="ATF8" s="1052"/>
      <c r="ATG8" s="1052"/>
      <c r="ATH8" s="1052"/>
      <c r="ATJ8" s="827"/>
      <c r="ATK8" s="947"/>
      <c r="ATL8" s="947"/>
      <c r="ATM8" s="948"/>
      <c r="ATO8" s="826"/>
      <c r="ATP8" s="945"/>
      <c r="ATQ8" s="946"/>
    </row>
    <row r="9" spans="4:1297" ht="48" customHeight="1" thickBot="1">
      <c r="K9" s="130"/>
      <c r="L9" s="130"/>
      <c r="M9" s="130"/>
      <c r="N9" s="3"/>
      <c r="AJ9" s="1044" t="s">
        <v>27</v>
      </c>
      <c r="AK9" s="1044"/>
      <c r="AL9" s="1044"/>
      <c r="AM9" s="1044"/>
      <c r="AN9" s="1044"/>
      <c r="AO9" s="1044"/>
      <c r="AP9" s="1092">
        <v>3</v>
      </c>
      <c r="AQ9" s="1092"/>
      <c r="AR9" s="1091" t="s">
        <v>1717</v>
      </c>
      <c r="AS9" s="1092"/>
      <c r="AT9" s="494"/>
      <c r="AU9" s="1093" t="s">
        <v>816</v>
      </c>
      <c r="AV9" s="1093"/>
      <c r="AW9" s="494"/>
      <c r="AX9" s="653"/>
      <c r="AY9" s="653"/>
      <c r="CB9" s="124"/>
      <c r="CC9" s="1069" t="s">
        <v>1726</v>
      </c>
      <c r="CD9" s="1070"/>
      <c r="CE9" s="124"/>
      <c r="CF9" s="1069" t="s">
        <v>728</v>
      </c>
      <c r="CG9" s="1070"/>
      <c r="CH9" s="1070"/>
      <c r="CI9" s="1070"/>
      <c r="CJ9" s="1070"/>
      <c r="CK9" s="1070"/>
      <c r="CL9" s="1070"/>
      <c r="CM9" s="1070"/>
      <c r="CN9" s="1070"/>
      <c r="CO9" s="1070"/>
      <c r="CP9" s="1071"/>
      <c r="CQ9" s="124"/>
      <c r="EA9" s="138"/>
      <c r="EB9" s="1069" t="s">
        <v>727</v>
      </c>
      <c r="EC9" s="1070"/>
      <c r="ED9" s="138"/>
      <c r="EE9" s="1069" t="s">
        <v>781</v>
      </c>
      <c r="EF9" s="1070"/>
      <c r="EG9" s="1070"/>
      <c r="EH9" s="1070"/>
      <c r="EI9" s="1070"/>
      <c r="EJ9" s="1070"/>
      <c r="EK9" s="1070"/>
      <c r="EL9" s="1070"/>
      <c r="EM9" s="1070"/>
      <c r="EN9" s="1070"/>
      <c r="EO9" s="1071"/>
      <c r="EP9" s="138"/>
      <c r="GH9" s="138"/>
      <c r="GI9" s="1069" t="s">
        <v>1728</v>
      </c>
      <c r="GJ9" s="1070"/>
      <c r="GK9" s="138"/>
      <c r="GL9" s="1069" t="s">
        <v>787</v>
      </c>
      <c r="GM9" s="1070"/>
      <c r="GN9" s="1070"/>
      <c r="GO9" s="1070"/>
      <c r="GP9" s="1070"/>
      <c r="GQ9" s="1070"/>
      <c r="GR9" s="1070"/>
      <c r="GS9" s="1070"/>
      <c r="GT9" s="1070"/>
      <c r="GU9" s="1070"/>
      <c r="GV9" s="1071"/>
      <c r="GW9" s="138"/>
      <c r="IT9" s="138"/>
      <c r="IU9" s="1069" t="s">
        <v>774</v>
      </c>
      <c r="IV9" s="1070"/>
      <c r="IW9" s="138"/>
      <c r="IX9" s="1069" t="s">
        <v>805</v>
      </c>
      <c r="IY9" s="1070"/>
      <c r="IZ9" s="1070"/>
      <c r="JA9" s="1070"/>
      <c r="JB9" s="1070"/>
      <c r="JC9" s="1070"/>
      <c r="JD9" s="1070"/>
      <c r="JE9" s="1070"/>
      <c r="JF9" s="1070"/>
      <c r="JG9" s="1070"/>
      <c r="JH9" s="1071"/>
      <c r="JI9" s="138"/>
      <c r="LH9" s="211"/>
      <c r="LI9" s="211"/>
      <c r="LJ9" s="211"/>
      <c r="LK9" s="211"/>
      <c r="LL9" s="211"/>
      <c r="LM9" s="211"/>
      <c r="LN9" s="211"/>
      <c r="LO9" s="211"/>
      <c r="LP9" s="211"/>
      <c r="LQ9" s="211"/>
      <c r="LR9" s="211"/>
      <c r="LS9" s="211"/>
      <c r="LT9" s="211"/>
      <c r="LU9" s="211"/>
      <c r="LV9" s="211"/>
      <c r="MD9" s="138"/>
      <c r="ME9" s="1069" t="s">
        <v>775</v>
      </c>
      <c r="MF9" s="1070"/>
      <c r="MG9" s="138"/>
      <c r="MH9" s="1069" t="s">
        <v>806</v>
      </c>
      <c r="MI9" s="1070"/>
      <c r="MJ9" s="1070"/>
      <c r="MK9" s="1070"/>
      <c r="ML9" s="1070"/>
      <c r="MM9" s="1070"/>
      <c r="MN9" s="1070"/>
      <c r="MO9" s="1070"/>
      <c r="MP9" s="1070"/>
      <c r="MQ9" s="1070"/>
      <c r="MR9" s="1071"/>
      <c r="MS9" s="138"/>
      <c r="MZ9" s="130"/>
      <c r="NA9" s="130"/>
      <c r="NB9" s="130"/>
      <c r="NC9" s="130"/>
      <c r="OW9" s="130"/>
      <c r="OX9" s="130"/>
      <c r="OY9" s="130"/>
      <c r="OZ9" s="130"/>
      <c r="PA9" s="130"/>
      <c r="PB9" s="130"/>
      <c r="PC9" s="130"/>
      <c r="PD9" s="130"/>
      <c r="PE9" s="130"/>
      <c r="PF9" s="130"/>
      <c r="PG9" s="130"/>
      <c r="PH9" s="130"/>
      <c r="PI9" s="130"/>
      <c r="PN9" s="138"/>
      <c r="PO9" s="1069" t="s">
        <v>776</v>
      </c>
      <c r="PP9" s="1070"/>
      <c r="PQ9" s="138"/>
      <c r="PR9" s="1069" t="s">
        <v>807</v>
      </c>
      <c r="PS9" s="1070"/>
      <c r="PT9" s="1070"/>
      <c r="PU9" s="1070"/>
      <c r="PV9" s="1070"/>
      <c r="PW9" s="1070"/>
      <c r="PX9" s="1070"/>
      <c r="PY9" s="1070"/>
      <c r="PZ9" s="1070"/>
      <c r="QA9" s="1070"/>
      <c r="QB9" s="1071"/>
      <c r="QC9" s="138"/>
      <c r="SC9" s="138"/>
      <c r="SD9" s="1069" t="s">
        <v>777</v>
      </c>
      <c r="SE9" s="1070"/>
      <c r="SF9" s="138"/>
      <c r="SG9" s="1069" t="s">
        <v>808</v>
      </c>
      <c r="SH9" s="1070"/>
      <c r="SI9" s="1070"/>
      <c r="SJ9" s="1070"/>
      <c r="SK9" s="1070"/>
      <c r="SL9" s="1070"/>
      <c r="SM9" s="1070"/>
      <c r="SN9" s="1070"/>
      <c r="SO9" s="1070"/>
      <c r="SP9" s="1070"/>
      <c r="SQ9" s="1071"/>
      <c r="SR9" s="138"/>
      <c r="VK9" s="1254"/>
      <c r="VL9" s="1191"/>
      <c r="VR9" s="502" t="s">
        <v>1335</v>
      </c>
      <c r="VS9" s="937">
        <f>$MP$98</f>
        <v>0.38958741854614803</v>
      </c>
      <c r="VT9" s="937"/>
      <c r="ZA9" s="653"/>
      <c r="ZB9" s="653"/>
      <c r="ZC9" s="653"/>
      <c r="ZD9" s="653"/>
      <c r="ZE9" s="653"/>
      <c r="ZF9" s="653"/>
      <c r="ZG9" s="653"/>
      <c r="ABQ9" s="653"/>
      <c r="ABR9" s="653"/>
      <c r="ABS9" s="653"/>
      <c r="ABT9" s="653"/>
      <c r="ABU9" s="653"/>
      <c r="ABV9" s="653"/>
      <c r="ABW9" s="653"/>
      <c r="ABX9" s="653"/>
      <c r="ABY9" s="653"/>
      <c r="ABZ9" s="653"/>
      <c r="ACA9" s="653"/>
      <c r="ACB9" s="653"/>
      <c r="ACC9" s="653"/>
      <c r="ACD9" s="653"/>
      <c r="ACE9" s="653"/>
      <c r="ACF9" s="653"/>
      <c r="ACG9" s="653"/>
      <c r="ACH9" s="653"/>
      <c r="ACI9" s="653"/>
      <c r="ACJ9" s="653"/>
      <c r="ACK9" s="653"/>
      <c r="ACL9" s="653"/>
      <c r="ACM9" s="653"/>
      <c r="ACN9" s="653"/>
      <c r="ACO9" s="653"/>
      <c r="ACP9" s="653"/>
      <c r="ACQ9" s="653"/>
      <c r="ACR9" s="653"/>
      <c r="ACS9" s="653"/>
      <c r="ACT9" s="653"/>
      <c r="ACU9" s="653"/>
      <c r="ACV9" s="653"/>
      <c r="ACW9" s="653"/>
      <c r="ACX9" s="653"/>
      <c r="ACY9" s="653"/>
      <c r="ACZ9" s="653"/>
      <c r="ADA9" s="653"/>
      <c r="ADB9" s="653"/>
      <c r="ADC9" s="653"/>
      <c r="ADD9" s="653"/>
      <c r="ADE9" s="653"/>
      <c r="ADF9" s="653"/>
      <c r="ADG9" s="653"/>
      <c r="ADH9" s="653"/>
      <c r="ADI9" s="653"/>
      <c r="ADJ9" s="653"/>
      <c r="ADK9" s="653"/>
      <c r="ADL9" s="653"/>
      <c r="ADM9" s="653"/>
      <c r="ADN9" s="653"/>
      <c r="AGN9" s="138"/>
      <c r="AGO9" s="1069" t="s">
        <v>778</v>
      </c>
      <c r="AGP9" s="1070"/>
      <c r="AGQ9" s="138"/>
      <c r="AGR9" s="1069" t="s">
        <v>809</v>
      </c>
      <c r="AGS9" s="1070"/>
      <c r="AGT9" s="1070"/>
      <c r="AGU9" s="1070"/>
      <c r="AGV9" s="1070"/>
      <c r="AGW9" s="1070"/>
      <c r="AGX9" s="1070"/>
      <c r="AGY9" s="1070"/>
      <c r="AGZ9" s="1070"/>
      <c r="AHA9" s="1070"/>
      <c r="AHB9" s="1071"/>
      <c r="AHC9" s="138"/>
      <c r="AIT9" s="653"/>
      <c r="AIU9" s="653"/>
      <c r="AIV9" s="653"/>
      <c r="AIW9" s="653"/>
      <c r="AIX9" s="653"/>
      <c r="AKV9" s="653"/>
      <c r="AKW9" s="653"/>
      <c r="AKX9" s="653"/>
      <c r="AKY9" s="653"/>
      <c r="AKZ9" s="653"/>
      <c r="ALA9" s="653"/>
      <c r="ALB9" s="653"/>
      <c r="ALC9" s="653"/>
      <c r="ALD9" s="653"/>
      <c r="ALE9" s="653"/>
      <c r="ALF9" s="653"/>
      <c r="ALG9" s="653"/>
      <c r="ALH9" s="653"/>
      <c r="AOJ9" s="130"/>
      <c r="AOK9" s="130"/>
      <c r="AOL9" s="130"/>
      <c r="AQL9" s="130"/>
      <c r="AQV9" s="653"/>
      <c r="AQW9" s="653"/>
      <c r="AQX9" s="653"/>
      <c r="AQY9" s="653"/>
      <c r="AQZ9" s="653"/>
      <c r="ARA9" s="653"/>
      <c r="ARB9" s="653"/>
      <c r="ARC9" s="653"/>
      <c r="ARD9" s="653"/>
      <c r="ARE9" s="653"/>
      <c r="ARF9" s="653"/>
      <c r="ARG9" s="653"/>
      <c r="ARH9" s="653"/>
      <c r="ARI9" s="653"/>
      <c r="ARJ9" s="653"/>
      <c r="ARK9" s="653"/>
      <c r="ARL9" s="653"/>
      <c r="ARM9" s="653"/>
      <c r="ARN9" s="653"/>
      <c r="ARO9" s="653"/>
      <c r="ASW9" s="828"/>
      <c r="ASX9" s="949"/>
      <c r="ASY9" s="949"/>
      <c r="ASZ9" s="949"/>
      <c r="ATA9" s="949"/>
      <c r="ATB9" s="950"/>
      <c r="ATD9" s="1053"/>
      <c r="ATE9" s="1053"/>
      <c r="ATF9" s="1053"/>
      <c r="ATG9" s="1053"/>
      <c r="ATH9" s="1053"/>
      <c r="ATJ9" s="828"/>
      <c r="ATK9" s="949"/>
      <c r="ATL9" s="949"/>
      <c r="ATM9" s="950"/>
      <c r="ATO9" s="828"/>
      <c r="ATP9" s="949"/>
      <c r="ATQ9" s="950"/>
    </row>
    <row r="10" spans="4:1297" ht="48" customHeight="1">
      <c r="J10" s="130"/>
      <c r="K10" s="130"/>
      <c r="L10" s="130"/>
      <c r="M10" s="130"/>
      <c r="R10" s="3"/>
      <c r="AX10" s="653"/>
      <c r="AY10" s="653"/>
      <c r="LH10" s="211"/>
      <c r="LI10" s="211"/>
      <c r="LJ10" s="211"/>
      <c r="LK10" s="211"/>
      <c r="LL10" s="211"/>
      <c r="LM10" s="211"/>
      <c r="LN10" s="211"/>
      <c r="LO10" s="211"/>
      <c r="LP10" s="211"/>
      <c r="LQ10" s="211"/>
      <c r="LR10" s="211"/>
      <c r="LS10" s="211"/>
      <c r="LT10" s="211"/>
      <c r="LU10" s="211"/>
      <c r="LV10" s="211"/>
      <c r="MZ10" s="130"/>
      <c r="NA10" s="130"/>
      <c r="NB10" s="130"/>
      <c r="NC10" s="130"/>
      <c r="OT10"/>
      <c r="OW10" s="130"/>
      <c r="OX10" s="130"/>
      <c r="OY10" s="130"/>
      <c r="OZ10" s="130"/>
      <c r="PA10" s="130"/>
      <c r="PB10" s="130"/>
      <c r="PC10" s="130"/>
      <c r="PD10" s="130"/>
      <c r="PE10" s="130"/>
      <c r="PF10" s="130"/>
      <c r="PG10" s="130"/>
      <c r="PH10" s="130"/>
      <c r="PI10" s="130"/>
      <c r="QE10" s="130"/>
      <c r="QF10" s="130"/>
      <c r="QG10" s="130"/>
      <c r="QH10" s="130"/>
      <c r="QI10" s="130"/>
      <c r="QJ10" s="130"/>
      <c r="QK10" s="130"/>
      <c r="QL10" s="130"/>
      <c r="QM10" s="130"/>
      <c r="VC10" s="130"/>
      <c r="VD10" s="130"/>
      <c r="VE10" s="130"/>
      <c r="VF10" s="130"/>
      <c r="VG10" s="130"/>
      <c r="VH10" s="130"/>
      <c r="VI10" s="130"/>
      <c r="VJ10" s="130"/>
      <c r="VK10" s="130"/>
      <c r="VL10" s="130"/>
      <c r="VM10" s="130"/>
      <c r="VN10" s="130"/>
      <c r="ZA10" s="653"/>
      <c r="ZB10" s="653"/>
      <c r="ZC10" s="653"/>
      <c r="ZD10" s="653"/>
      <c r="ZE10" s="653"/>
      <c r="ZF10" s="653"/>
      <c r="ZG10" s="653"/>
      <c r="ZI10" s="653"/>
      <c r="ZP10" s="653"/>
      <c r="ZQ10" s="653"/>
      <c r="ZR10" s="653"/>
      <c r="ZS10" s="653"/>
      <c r="ZT10" s="653"/>
      <c r="ZU10" s="653"/>
      <c r="ZV10" s="653"/>
      <c r="ZW10" s="653"/>
      <c r="ZX10" s="653"/>
      <c r="ZY10" s="653"/>
      <c r="ZZ10" s="653"/>
      <c r="AAA10" s="653"/>
      <c r="AAB10" s="653"/>
      <c r="AAC10" s="653"/>
      <c r="AAD10" s="653"/>
      <c r="AAE10" s="653"/>
      <c r="AAF10" s="653"/>
      <c r="AAG10" s="653"/>
      <c r="AAH10" s="653"/>
      <c r="AAI10" s="653"/>
      <c r="AAJ10" s="653"/>
      <c r="AAK10" s="653"/>
      <c r="AAL10" s="653"/>
      <c r="AAM10" s="653"/>
      <c r="AAN10" s="653"/>
      <c r="AAO10" s="653"/>
      <c r="AAP10" s="653"/>
      <c r="AAQ10" s="653"/>
      <c r="AAR10" s="653"/>
      <c r="AAS10" s="653"/>
      <c r="AAT10" s="653"/>
      <c r="AAU10" s="653"/>
      <c r="AAV10" s="653"/>
      <c r="AAW10" s="653"/>
      <c r="AAX10" s="653"/>
      <c r="ABD10" s="653"/>
      <c r="ABE10" s="653"/>
      <c r="ABF10" s="653"/>
      <c r="ABG10" s="653"/>
      <c r="ABH10" s="653"/>
      <c r="ABI10" s="653"/>
      <c r="ABJ10" s="653"/>
      <c r="AIP10" s="800" t="s">
        <v>432</v>
      </c>
      <c r="AIQ10" s="801"/>
      <c r="AIR10" s="890">
        <f>$AHA$41</f>
        <v>0.65999999999999992</v>
      </c>
      <c r="AIS10" s="890"/>
      <c r="AIT10" s="653"/>
      <c r="AIU10" s="653"/>
      <c r="AIV10" s="653"/>
      <c r="AIW10" s="653"/>
      <c r="AIX10" s="653"/>
      <c r="AKV10" s="653"/>
      <c r="AKW10" s="653"/>
      <c r="AKX10" s="653"/>
      <c r="AKY10" s="653"/>
      <c r="AKZ10" s="653"/>
      <c r="ALA10" s="653"/>
      <c r="ALB10" s="653"/>
      <c r="ALC10" s="653"/>
      <c r="ALD10" s="653"/>
      <c r="ALE10" s="653"/>
      <c r="ALF10" s="653"/>
      <c r="ALG10" s="653"/>
      <c r="ALH10" s="653"/>
      <c r="AOL10" s="130"/>
      <c r="AQL10" s="130"/>
      <c r="AQM10" s="800" t="s">
        <v>1442</v>
      </c>
      <c r="AQN10" s="982"/>
      <c r="AQO10" s="801"/>
      <c r="AQV10" s="653"/>
      <c r="AQW10" s="653"/>
      <c r="AQX10" s="653"/>
      <c r="AQY10" s="653"/>
      <c r="AQZ10" s="653"/>
      <c r="ARA10" s="653"/>
      <c r="ARB10" s="653"/>
      <c r="ARC10" s="653"/>
      <c r="ARD10" s="653"/>
      <c r="ARE10" s="653"/>
      <c r="ARF10" s="653"/>
      <c r="ARG10" s="653"/>
      <c r="ARH10" s="653"/>
      <c r="ARI10" s="653"/>
      <c r="ARJ10" s="653"/>
      <c r="ARK10" s="653"/>
      <c r="ARL10" s="653"/>
      <c r="ARM10" s="653"/>
      <c r="ARN10" s="653"/>
      <c r="ARO10" s="653"/>
      <c r="ARW10" s="138"/>
      <c r="ARX10" s="1069" t="s">
        <v>780</v>
      </c>
      <c r="ARY10" s="1070"/>
      <c r="ARZ10" s="138"/>
      <c r="ASA10" s="1069" t="s">
        <v>810</v>
      </c>
      <c r="ASB10" s="1070"/>
      <c r="ASC10" s="1070"/>
      <c r="ASD10" s="1070"/>
      <c r="ASE10" s="1070"/>
      <c r="ASF10" s="1070"/>
      <c r="ASG10" s="1070"/>
      <c r="ASH10" s="1070"/>
      <c r="ASI10" s="1070"/>
      <c r="ASJ10" s="1070"/>
      <c r="ASK10" s="1071"/>
      <c r="ASL10" s="138"/>
      <c r="AWD10" s="138"/>
      <c r="AWE10" s="1069" t="s">
        <v>791</v>
      </c>
      <c r="AWF10" s="1070"/>
      <c r="AWG10" s="138"/>
      <c r="AWH10" s="1069"/>
      <c r="AWI10" s="1070"/>
      <c r="AWJ10" s="1070"/>
      <c r="AWK10" s="1070"/>
      <c r="AWL10" s="1070"/>
      <c r="AWM10" s="1070"/>
      <c r="AWN10" s="1070"/>
      <c r="AWO10" s="1070"/>
      <c r="AWP10" s="1070"/>
      <c r="AWQ10" s="1070"/>
      <c r="AWR10" s="1071"/>
      <c r="AWS10" s="138"/>
    </row>
    <row r="11" spans="4:1297" ht="48" customHeight="1" thickBot="1">
      <c r="H11" s="1"/>
      <c r="I11" s="906" t="s">
        <v>792</v>
      </c>
      <c r="J11" s="907"/>
      <c r="K11" s="907"/>
      <c r="L11" s="908"/>
      <c r="M11" s="130"/>
      <c r="O11" s="199"/>
      <c r="P11" s="75" t="s">
        <v>451</v>
      </c>
      <c r="S11" s="126"/>
      <c r="T11" s="126"/>
      <c r="AO11" s="653"/>
      <c r="AP11" s="653"/>
      <c r="AQ11" s="653"/>
      <c r="AR11" s="653"/>
      <c r="AS11" s="653"/>
      <c r="AT11" s="653"/>
      <c r="AU11" s="653"/>
      <c r="AV11" s="653"/>
      <c r="AW11" s="653"/>
      <c r="AX11" s="653"/>
      <c r="AY11" s="653"/>
      <c r="BX11" s="897" t="s">
        <v>974</v>
      </c>
      <c r="BY11" s="898"/>
      <c r="BZ11" s="899"/>
      <c r="CA11" s="849"/>
      <c r="CB11" s="1257" t="s">
        <v>732</v>
      </c>
      <c r="CC11" s="1257"/>
      <c r="CD11" s="124"/>
      <c r="CE11" s="779" t="s">
        <v>1821</v>
      </c>
      <c r="CF11" s="780"/>
      <c r="CG11" s="781"/>
      <c r="CH11" s="75" t="s">
        <v>702</v>
      </c>
      <c r="CI11" s="124"/>
      <c r="CJ11" s="76" t="s">
        <v>441</v>
      </c>
      <c r="CK11" s="1676" t="s">
        <v>435</v>
      </c>
      <c r="CL11" s="1683"/>
      <c r="CM11" s="920" t="s">
        <v>111</v>
      </c>
      <c r="CN11" s="921"/>
      <c r="CO11" s="916" t="s">
        <v>704</v>
      </c>
      <c r="CP11" s="917"/>
      <c r="CQ11" s="906" t="s">
        <v>447</v>
      </c>
      <c r="CR11" s="907"/>
      <c r="CS11" s="907"/>
      <c r="CT11" s="908"/>
      <c r="DZ11" s="897" t="s">
        <v>973</v>
      </c>
      <c r="EA11" s="898"/>
      <c r="EB11" s="899"/>
      <c r="EC11" s="849"/>
      <c r="ED11" s="852" t="s">
        <v>43</v>
      </c>
      <c r="EE11" s="853"/>
      <c r="EF11" s="199"/>
      <c r="EG11" s="806" t="s">
        <v>1799</v>
      </c>
      <c r="EH11" s="807"/>
      <c r="EI11" s="808"/>
      <c r="EJ11" s="652" t="s">
        <v>451</v>
      </c>
      <c r="EK11" s="137"/>
      <c r="EL11" s="76" t="s">
        <v>441</v>
      </c>
      <c r="EM11" s="854" t="s">
        <v>435</v>
      </c>
      <c r="EN11" s="855"/>
      <c r="EO11" s="920" t="s">
        <v>111</v>
      </c>
      <c r="EP11" s="921"/>
      <c r="EQ11" s="916" t="s">
        <v>704</v>
      </c>
      <c r="ER11" s="917"/>
      <c r="ES11" s="906" t="s">
        <v>447</v>
      </c>
      <c r="ET11" s="907"/>
      <c r="EU11" s="907"/>
      <c r="EV11" s="908"/>
      <c r="GF11" s="897" t="s">
        <v>974</v>
      </c>
      <c r="GG11" s="898"/>
      <c r="GH11" s="899"/>
      <c r="GI11" s="76" t="s">
        <v>793</v>
      </c>
      <c r="GJ11" s="852" t="s">
        <v>416</v>
      </c>
      <c r="GK11" s="853"/>
      <c r="GL11" s="138"/>
      <c r="GM11" s="806" t="s">
        <v>1797</v>
      </c>
      <c r="GN11" s="807"/>
      <c r="GO11" s="808"/>
      <c r="GP11" s="75" t="s">
        <v>702</v>
      </c>
      <c r="GQ11" s="138"/>
      <c r="GR11" s="76" t="s">
        <v>441</v>
      </c>
      <c r="GS11" s="854" t="s">
        <v>435</v>
      </c>
      <c r="GT11" s="855"/>
      <c r="GU11" s="920" t="s">
        <v>111</v>
      </c>
      <c r="GV11" s="921"/>
      <c r="GW11" s="916" t="s">
        <v>704</v>
      </c>
      <c r="GX11" s="917"/>
      <c r="GY11" s="906" t="s">
        <v>447</v>
      </c>
      <c r="GZ11" s="907"/>
      <c r="HA11" s="907"/>
      <c r="HB11" s="908"/>
      <c r="HE11" s="130"/>
      <c r="IT11" s="185"/>
      <c r="IU11" s="852" t="s">
        <v>1727</v>
      </c>
      <c r="IV11" s="923"/>
      <c r="IW11" s="185"/>
      <c r="IX11" s="1069" t="s">
        <v>61</v>
      </c>
      <c r="IY11" s="1070"/>
      <c r="IZ11" s="1070"/>
      <c r="JA11" s="1070"/>
      <c r="JB11" s="1070"/>
      <c r="JC11" s="1070"/>
      <c r="JD11" s="1070"/>
      <c r="JE11" s="1070"/>
      <c r="JF11" s="1070"/>
      <c r="JG11" s="1070"/>
      <c r="JH11" s="1071"/>
      <c r="JI11" s="185"/>
      <c r="LH11" s="211"/>
      <c r="LI11" s="211"/>
      <c r="LJ11" s="211"/>
      <c r="LK11" s="211"/>
      <c r="LL11" s="211"/>
      <c r="LP11" s="211"/>
      <c r="LQ11" s="211"/>
      <c r="LR11" s="211"/>
      <c r="LS11" s="211"/>
      <c r="LT11" s="211"/>
      <c r="LU11" s="211"/>
      <c r="LV11" s="211"/>
      <c r="MD11" s="196"/>
      <c r="ME11" s="852" t="s">
        <v>831</v>
      </c>
      <c r="MF11" s="853"/>
      <c r="MG11" s="196"/>
      <c r="MH11" s="1069" t="s">
        <v>69</v>
      </c>
      <c r="MI11" s="1070"/>
      <c r="MJ11" s="1070"/>
      <c r="MK11" s="1070"/>
      <c r="ML11" s="1070"/>
      <c r="MM11" s="1070"/>
      <c r="MN11" s="1070"/>
      <c r="MO11" s="1070"/>
      <c r="MP11" s="1070"/>
      <c r="MQ11" s="1070"/>
      <c r="MR11" s="1071"/>
      <c r="MS11" s="196"/>
      <c r="MZ11" s="130"/>
      <c r="NA11" s="130"/>
      <c r="NB11" s="130"/>
      <c r="NC11" s="130"/>
      <c r="OW11" s="130"/>
      <c r="OX11" s="130"/>
      <c r="OY11" s="130"/>
      <c r="OZ11" s="130"/>
      <c r="PA11" s="130"/>
      <c r="PB11" s="130"/>
      <c r="PC11" s="130"/>
      <c r="PD11" s="130"/>
      <c r="PE11" s="130"/>
      <c r="PF11" s="130"/>
      <c r="PG11" s="130"/>
      <c r="PH11" s="130"/>
      <c r="PI11" s="130"/>
      <c r="PN11" s="466"/>
      <c r="PO11" s="852" t="s">
        <v>856</v>
      </c>
      <c r="PP11" s="923"/>
      <c r="PQ11" s="466"/>
      <c r="PR11" s="1069" t="s">
        <v>119</v>
      </c>
      <c r="PS11" s="1070"/>
      <c r="PT11" s="1070"/>
      <c r="PU11" s="1070"/>
      <c r="PV11" s="1070"/>
      <c r="PW11" s="1070"/>
      <c r="PX11" s="1070"/>
      <c r="PY11" s="1070"/>
      <c r="PZ11" s="1070"/>
      <c r="QA11" s="1070"/>
      <c r="QB11" s="1071"/>
      <c r="QC11" s="466"/>
      <c r="QE11" s="130"/>
      <c r="QF11" s="130"/>
      <c r="QG11" s="130"/>
      <c r="QJ11" s="130"/>
      <c r="QK11" s="130"/>
      <c r="QL11" s="130"/>
      <c r="QM11" s="130"/>
      <c r="QY11" s="130"/>
      <c r="QZ11" s="130"/>
      <c r="RA11" s="130"/>
      <c r="RB11" s="130"/>
      <c r="RC11" s="130"/>
      <c r="RE11" s="653"/>
      <c r="RF11" s="653"/>
      <c r="RG11" s="653"/>
      <c r="RH11" s="653"/>
      <c r="RI11" s="653"/>
      <c r="RJ11" s="653"/>
      <c r="RK11" s="653"/>
      <c r="RL11" s="653"/>
      <c r="RM11" s="653"/>
      <c r="RN11" s="653"/>
      <c r="RO11" s="653"/>
      <c r="RP11" s="653"/>
      <c r="RQ11" s="653"/>
      <c r="RR11" s="653"/>
      <c r="RS11" s="653"/>
      <c r="RT11" s="653"/>
      <c r="RU11" s="653"/>
      <c r="RV11" s="653"/>
      <c r="RW11" s="653"/>
      <c r="RX11" s="653"/>
      <c r="RY11" s="653"/>
      <c r="RZ11" s="653"/>
      <c r="SA11" s="653"/>
      <c r="SB11" s="653"/>
      <c r="SC11" s="653"/>
      <c r="SD11" s="653"/>
      <c r="SE11" s="653"/>
      <c r="SF11" s="653"/>
      <c r="SG11" s="653"/>
      <c r="SH11" s="653"/>
      <c r="SI11" s="653"/>
      <c r="SJ11" s="653"/>
      <c r="SK11" s="653"/>
      <c r="SL11" s="653"/>
      <c r="SM11" s="653"/>
      <c r="SN11" s="653"/>
      <c r="SO11" s="653"/>
      <c r="SP11" s="653"/>
      <c r="SQ11" s="653"/>
      <c r="SR11" s="653"/>
      <c r="SS11" s="653"/>
      <c r="ST11" s="653"/>
      <c r="SU11" s="653"/>
      <c r="SV11" s="653"/>
      <c r="SW11" s="653"/>
      <c r="SX11" s="653"/>
      <c r="SY11" s="653"/>
      <c r="SZ11" s="653"/>
      <c r="TA11" s="653"/>
      <c r="TB11" s="653"/>
      <c r="TC11" s="653"/>
      <c r="TD11" s="653"/>
      <c r="TE11" s="653"/>
      <c r="TF11" s="653"/>
      <c r="TG11" s="653"/>
      <c r="TH11" s="653"/>
      <c r="TI11" s="653"/>
      <c r="TJ11" s="653"/>
      <c r="TK11" s="653"/>
      <c r="TL11" s="653"/>
      <c r="TM11" s="653"/>
      <c r="TN11" s="653"/>
      <c r="TO11" s="653"/>
      <c r="TP11" s="653"/>
      <c r="TQ11" s="653"/>
      <c r="TR11" s="653"/>
      <c r="TS11" s="653"/>
      <c r="TT11" s="653"/>
      <c r="TU11" s="653"/>
      <c r="TV11" s="653"/>
      <c r="TW11" s="653"/>
      <c r="TX11" s="653"/>
      <c r="TY11" s="653"/>
      <c r="TZ11" s="653"/>
      <c r="UA11" s="653"/>
      <c r="UB11" s="653"/>
      <c r="UC11" s="653"/>
      <c r="UD11" s="653"/>
      <c r="UE11" s="653"/>
      <c r="UF11" s="653"/>
      <c r="UG11" s="653"/>
      <c r="UH11" s="653"/>
      <c r="UI11" s="653"/>
      <c r="UJ11" s="653"/>
      <c r="UK11" s="653"/>
      <c r="UL11" s="653"/>
      <c r="UM11" s="653"/>
      <c r="UN11" s="653"/>
      <c r="UO11" s="653"/>
      <c r="UP11" s="653"/>
      <c r="UQ11" s="653"/>
      <c r="UR11" s="653"/>
      <c r="US11" s="653"/>
      <c r="UT11" s="653"/>
      <c r="UU11" s="653"/>
      <c r="UV11" s="653"/>
      <c r="UW11" s="653"/>
      <c r="UX11" s="653"/>
      <c r="UY11" s="653"/>
      <c r="UZ11" s="653"/>
      <c r="VC11" s="130"/>
      <c r="VD11" s="130"/>
      <c r="VE11" s="130"/>
      <c r="VF11" s="130"/>
      <c r="VG11" s="130"/>
      <c r="VH11" s="130"/>
      <c r="VI11" s="130"/>
      <c r="VJ11" s="130"/>
      <c r="VK11" s="130"/>
      <c r="VL11" s="130"/>
      <c r="VM11" s="130"/>
      <c r="VN11" s="130"/>
      <c r="WE11" s="958"/>
      <c r="WF11" s="959"/>
      <c r="WG11" s="1069" t="s">
        <v>1618</v>
      </c>
      <c r="WH11" s="1070"/>
      <c r="WI11" s="1070"/>
      <c r="WJ11" s="1070"/>
      <c r="WK11" s="1070"/>
      <c r="WL11" s="1070"/>
      <c r="WM11" s="1070"/>
      <c r="WN11" s="1070"/>
      <c r="WO11" s="1070"/>
      <c r="WP11" s="1070"/>
      <c r="WQ11" s="1070"/>
      <c r="WR11" s="1070"/>
      <c r="WS11" s="1070"/>
      <c r="WT11" s="1070"/>
      <c r="WU11" s="1070"/>
      <c r="WV11" s="1070"/>
      <c r="WW11" s="1070"/>
      <c r="WX11" s="1070"/>
      <c r="WY11" s="1070"/>
      <c r="WZ11" s="958"/>
      <c r="XA11" s="959"/>
      <c r="XB11" s="159"/>
      <c r="XC11" s="160"/>
      <c r="XD11" s="160"/>
      <c r="XE11" s="160"/>
      <c r="XF11" s="160"/>
      <c r="XG11" s="160"/>
      <c r="XH11" s="160"/>
      <c r="XI11" s="160"/>
      <c r="XJ11" s="160"/>
      <c r="XK11" s="160"/>
      <c r="XL11" s="160"/>
      <c r="XM11" s="160"/>
      <c r="XN11" s="160"/>
      <c r="XO11" s="160"/>
      <c r="XP11" s="160"/>
      <c r="XQ11" s="160"/>
      <c r="XR11" s="160"/>
      <c r="XS11" s="160"/>
      <c r="XT11" s="160"/>
      <c r="XU11" s="160"/>
      <c r="XV11" s="160"/>
      <c r="XW11" s="160"/>
      <c r="XX11" s="160"/>
      <c r="XY11" s="160"/>
      <c r="XZ11" s="160"/>
      <c r="YA11" s="160"/>
      <c r="YB11" s="160"/>
      <c r="YC11" s="160"/>
      <c r="YD11" s="160"/>
      <c r="YE11" s="160"/>
      <c r="YF11" s="160"/>
      <c r="YG11" s="160"/>
      <c r="YH11" s="160"/>
      <c r="YI11" s="160"/>
      <c r="YJ11" s="160"/>
      <c r="YK11" s="160"/>
      <c r="YL11" s="160"/>
      <c r="YM11" s="160"/>
      <c r="YN11" s="160"/>
      <c r="YO11" s="160"/>
      <c r="YP11" s="160"/>
      <c r="YQ11" s="160"/>
      <c r="YR11" s="160"/>
      <c r="YS11" s="160"/>
      <c r="YT11" s="160"/>
      <c r="YU11" s="160"/>
      <c r="YV11" s="160"/>
      <c r="YW11" s="160"/>
      <c r="YX11" s="160"/>
      <c r="YY11" s="160"/>
      <c r="YZ11" s="160"/>
      <c r="ZA11" s="160"/>
      <c r="ZB11" s="160"/>
      <c r="ZC11" s="160"/>
      <c r="ZD11" s="160"/>
      <c r="ZE11" s="160"/>
      <c r="ZF11" s="160"/>
      <c r="ZG11" s="160"/>
      <c r="ZH11" s="160"/>
      <c r="ZI11" s="160"/>
      <c r="ZJ11" s="160"/>
      <c r="ZK11" s="160"/>
      <c r="ZL11" s="160"/>
      <c r="ZM11" s="160"/>
      <c r="ZN11" s="160"/>
      <c r="ZO11" s="160"/>
      <c r="ZP11" s="160"/>
      <c r="ZQ11" s="160"/>
      <c r="ZR11" s="160"/>
      <c r="ZS11" s="160"/>
      <c r="ZT11" s="160"/>
      <c r="ZU11" s="160"/>
      <c r="ZV11" s="160"/>
      <c r="ZW11" s="160"/>
      <c r="ZX11" s="160"/>
      <c r="ZY11" s="160"/>
      <c r="ZZ11" s="160"/>
      <c r="AAA11" s="160"/>
      <c r="AAB11" s="160"/>
      <c r="AAC11" s="160"/>
      <c r="AAD11" s="160"/>
      <c r="AAE11" s="160"/>
      <c r="AAF11" s="160"/>
      <c r="AAG11" s="160"/>
      <c r="AAH11" s="160"/>
      <c r="AAI11" s="160"/>
      <c r="AAJ11" s="160"/>
      <c r="AAK11" s="160"/>
      <c r="AAL11" s="160"/>
      <c r="AAM11" s="160"/>
      <c r="AAN11" s="160"/>
      <c r="AAO11" s="160"/>
      <c r="AAP11" s="160"/>
      <c r="AAQ11" s="160"/>
      <c r="AAR11" s="160"/>
      <c r="AAS11" s="160"/>
      <c r="AAT11" s="161"/>
      <c r="AAU11" s="958"/>
      <c r="AAV11" s="959"/>
      <c r="AAW11" s="958"/>
      <c r="AAX11" s="1058"/>
      <c r="AAY11" s="1058"/>
      <c r="AAZ11" s="1058"/>
      <c r="ABA11" s="959"/>
      <c r="ABE11" s="653"/>
      <c r="ABF11" s="653"/>
      <c r="ABG11" s="653"/>
      <c r="ABH11" s="653"/>
      <c r="ABI11" s="653"/>
      <c r="ABJ11" s="653"/>
      <c r="ACJ11" s="800" t="s">
        <v>1442</v>
      </c>
      <c r="ACK11" s="982"/>
      <c r="ACL11" s="801"/>
      <c r="ACM11" s="951">
        <f>$AHB$33</f>
        <v>1.8595658001541595</v>
      </c>
      <c r="ACN11" s="952"/>
      <c r="ACO11" s="983" t="s">
        <v>1689</v>
      </c>
      <c r="ACP11" s="984"/>
      <c r="ACQ11" s="985" t="str">
        <f>IF(ACQ13&lt;1,"Ошибка",
IF(OR(AND(ACQ13&gt;ACM11,ACM11&gt;1    ),ACM11 = ACQ13),ACO13,
IF(OR(AND(ACQ14&gt;ACM11,ACM11&gt;ACQ13),ACM11 = ACQ14),ACO14,
IF(OR(AND(ACQ15&gt;ACM11,ACM11&gt;ACQ14),ACM11 = ACQ15),ACO15,
IF(OR(AND(ACQ16&gt;ACM11,ACM11&gt;ACQ15),ACM11 = ACQ16),ACO16,
IF(OR(AND(ACQ17&gt;ACM11,ACM11&gt;ACQ16),ACM11 = ACQ17),ACO17,
IF(OR(AND(ACQ18&gt;ACM11,ACM11&gt;ACQ17),ACM11 = ACQ18),ACO18,
IF(OR(AND(ACQ19&gt;ACM11,ACM11&gt;ACQ18),ACM11 = ACQ19),ACO19,
IF(OR(AND(ACQ20&gt;ACM11,ACM11&gt;ACQ19),ACM11 = ACQ20),ACO20,
IF(OR(AND(ACQ21&gt;ACM11,ACM11&gt;ACQ20),ACM11 = ACQ21),ACO21,
IF(OR(AND(ACQ22&gt;ACM11,ACM11&gt;ACQ21),ACM11 = ACQ22),ACO22,
IF(OR(AND(ACQ23&gt;ACM11,ACM11&gt;ACQ22),ACM11 = ACQ23),ACO23,
IF(OR(AND(ACQ24&gt;ACM11,ACM11&gt;ACQ23),ACM11 = ACQ24),ACO24,
IF(OR(AND(ACQ25&gt;ACM11,ACM11&gt;ACQ24),ACM11 = ACQ25),ACO25,
IF(OR(AND(ACQ26&gt;ACM11,ACM11&gt;ACQ25),ACM11 = ACQ26),ACO26,
IF(OR(AND(ACQ27&gt;ACM11,ACM11&gt;ACQ26),ACM11 = ACQ27),ACO27,
IF(OR(AND(ACQ28&gt;ACM11,ACM11&gt;ACQ27),ACM11 = ACQ28),ACO28,
IF(OR(AND(ACQ29&gt;ACM11,ACM11&gt;ACQ28),ACM11 = ACQ29),ACO29,
IF(OR(AND(ACQ30&gt;ACM11,ACM11&gt;ACQ29),ACM11 = ACQ30),ACO30,
IF(OR(AND(ACQ31&gt;ACM11,ACM11&gt;ACQ30),ACM11 = ACQ31),ACO31,
IF(OR(AND(ACQ32&gt;ACM11,ACM11&gt;ACQ31),ACM11 = ACQ32),ACO32,
IF(OR(AND(ACQ33&gt;ACM11,ACM11&gt;ACQ32),ACM11 = ACQ33),ACO33,
IF(OR(AND(ACQ34&gt;ACM11,ACM11&gt;ACQ33),ACM11 = ACQ34),ACO34,
IF(OR(AND(ACQ35&gt;ACM11,ACM11&gt;ACQ34),ACM11 = ACQ35),ACO35,
IF(OR(AND(ACQ36&gt;ACM11,ACM11&gt;ACQ35),ACM11 = ACQ36),ACO36,
IF(OR(AND(ACQ37&gt;ACM11,ACM11&gt;ACQ36),ACM11 = ACQ37),ACO37,
IF(OR(AND(ACQ38&gt;ACM11,ACM11&gt;ACQ37),ACM11 = ACQ38),ACO38,
IF(OR(AND(ACQ39&gt;ACM11,ACM11&gt;ACQ38),ACM11 = ACQ39),ACO39,
IF(OR(AND(ACQ40&gt;ACM11,ACM11&gt;ACQ39),ACM11 = ACQ40),ACO40,
IF(OR(AND(ACQ41&gt;ACM11,ACM11&gt;ACQ40),ACM11 = ACQ41),ACO41,
IF(OR(AND(ACQ42&gt;ACM11,ACM11&gt;ACQ41),ACM11 = ACQ42),ACO42,
IF(OR(AND(ACQ43&gt;ACM11,ACM11&gt;ACQ42),ACM11 = ACQ43),ACO43,
IF(OR(AND(ACQ44&gt;ACM11,ACM11&gt;ACQ43),ACM11 = ACQ44),ACO44,
IF(OR(AND(ACQ45&gt;ACM11,ACM11&gt;ACQ44),ACM11 = ACQ45),ACO45,
IF(OR(AND(ACQ46&gt;ACM11,ACM11&gt;ACQ45),ACM11 = ACQ46),ACO46,
IF(OR(AND(ACQ47&gt;ACM11,ACM11&gt;ACQ46),ACM11 = ACQ47),ACO47,
IF(OR(AND(ACQ48&gt;ACM11,ACM11&gt;ACQ47),ACM11 = ACQ48),ACO48,
IF(OR(AND(ACQ49&gt;ACM11,ACM11&gt;ACQ48),ACM11 = ACQ49),ACO49,
IF(OR(AND(ACQ50&gt;ACM11,ACM11&gt;ACQ49),ACM11 = ACQ50),ACO50,
IF(OR(AND(ACQ51&gt;ACM11,ACM11&gt;ACQ50),ACM11 = ACQ51),ACO51,
IF(OR(AND(ACQ52&gt;ACM11,ACM11&gt;ACQ51),ACM11 = ACQ52),ACO52,
IF(OR(AND(ACQ53&gt;ACM11,ACM11&gt;ACQ52),ACM11 = ACQ53),ACO53,
IF(OR(AND(ACQ54&gt;ACM11,ACM11&gt;ACQ53),ACM11 = ACQ54),ACO54,
IF(OR(AND(ACQ55&gt;ACM11,ACM11&gt;ACQ54),ACM11 = ACQ55),ACO55,
IF(OR(AND(ACQ56&gt;ACM11,ACM11&gt;ACQ55),ACM11 = ACQ56),ACO56,
IF(OR(AND(ACQ57&gt;ACM11,ACM11&gt;ACQ56),ACM11 = ACQ57),ACO57,
IF(OR(AND(ACQ58&gt;ACM11,ACM11&gt;ACQ57),ACM11 = ACQ58),ACO58,
IF(OR(AND(ACQ59&gt;ACM11,ACM11&gt;ACQ58),ACM11 = ACQ59),ACO59,
IF(OR(AND(ACQ60&gt;ACM11,ACM11&gt;ACQ59),ACM11 = ACQ60),ACO60,
IF(OR(AND(ACQ61&gt;ACM11,ACM11&gt;ACQ60),ACM11 = ACQ61),ACO61,
IF(OR(AND(ACQ62&gt;ACM11,ACM11&gt;ACQ61),ACM11 = ACQ62),ACO62,
"Y")))))))))))))))))))))))))))))))))))))))))))))))))))</f>
        <v>Y</v>
      </c>
      <c r="ACR11" s="986"/>
      <c r="ACT11" s="800" t="s">
        <v>1442</v>
      </c>
      <c r="ACU11" s="982"/>
      <c r="ACV11" s="801"/>
      <c r="ACW11" s="951">
        <f>$AHB$33</f>
        <v>1.8595658001541595</v>
      </c>
      <c r="ACX11" s="952"/>
      <c r="ACY11" s="983" t="s">
        <v>1689</v>
      </c>
      <c r="ACZ11" s="984"/>
      <c r="ADA11" s="985">
        <f>IF(ADA13&lt;1,"Ошибка",
IF(OR(AND(ADA13&gt;ACW11,ACW11&gt;ACQ62),ACW11 = ADA13),ACY13,
IF(OR(AND(ADA14&gt;ACW11,ACW11&gt;ADA13),ACW11 = ADA14),ACY14,
IF(OR(AND(ADA15&gt;ACW11,ACW11&gt;ADA14),ACW11 = ADA15),ACY15,
IF(OR(AND(ADA16&gt;ACW11,ACW11&gt;ADA15),ACW11 = ADA16),ACY16,
IF(OR(AND(ADA17&gt;ACW11,ACW11&gt;ADA16),ACW11 = ADA17),ACY17,
IF(OR(AND(ADA18&gt;ACW11,ACW11&gt;ADA17),ACW11 = ADA18),ACY18,
IF(OR(AND(ADA19&gt;ACW11,ACW11&gt;ADA18),ACW11 = ADA19),ACY19,
IF(OR(AND(ADA20&gt;ACW11,ACW11&gt;ADA19),ACW11 = ADA20),ACY20,
IF(OR(AND(ADA21&gt;ACW11,ACW11&gt;ADA20),ACW11 = ADA21),ACY21,
IF(OR(AND(ADA22&gt;ACW11,ACW11&gt;ADA21),ACW11 = ADA22),ACY22,
IF(OR(AND(ADA23&gt;ACW11,ACW11&gt;ADA22),ACW11 = ADA23),ACY23,
IF(OR(AND(ADA24&gt;ACW11,ACW11&gt;ADA23),ACW11 = ADA24),ACY24,
IF(OR(AND(ADA25&gt;ACW11,ACW11&gt;ADA24),ACW11 = ADA25),ACY25,
IF(OR(AND(ADA26&gt;ACW11,ACW11&gt;ADA25),ACW11 = ADA26),ACY26,
IF(OR(AND(ADA27&gt;ACW11,ACW11&gt;ADA26),ACW11 = ADA27),ACY27,
IF(OR(AND(ADA28&gt;ACW11,ACW11&gt;ADA27),ACW11 = ADA28),ACY28,
IF(OR(AND(ADA29&gt;ACW11,ACW11&gt;ADA28),ACW11 = ADA29),ACY29,
IF(OR(AND(ADA30&gt;ACW11,ACW11&gt;ADA29),ACW11 = ADA30),ACY30,
IF(OR(AND(ADA31&gt;ACW11,ACW11&gt;ADA30),ACW11 = ADA31),ACY31,
IF(OR(AND(ADA32&gt;ACW11,ACW11&gt;ADA31),ACW11 = ADA32),ACY32,
IF(OR(AND(ADA33&gt;ACW11,ACW11&gt;ADA32),ACW11 = ADA33),ACY33,
IF(OR(AND(ADA34&gt;ACW11,ACW11&gt;ADA33),ACW11 = ADA34),ACY34,
IF(OR(AND(ADA35&gt;ACW11,ACW11&gt;ADA34),ACW11 = ADA35),ACY35,
IF(OR(AND(ADA36&gt;ACW11,ACW11&gt;ADA35),ACW11 = ADA36),ACY36,
IF(OR(AND(ADA37&gt;ACW11,ACW11&gt;ADA36),ACW11 = ADA37),ACY37,
IF(OR(AND(ADA38&gt;ACW11,ACW11&gt;ADA37),ACW11 = ADA38),ACY38,
IF(OR(AND(ADA39&gt;ACW11,ACW11&gt;ADA38),ACW11 = ADA39),ACY39,
IF(OR(AND(ADA40&gt;ACW11,ACW11&gt;ADA39),ACW11 = ADA40),ACY40,
IF(OR(AND(ADA41&gt;ACW11,ACW11&gt;ADA40),ACW11 = ADA41),ACY41,
IF(OR(AND(ADA42&gt;ACW11,ACW11&gt;ADA41),ACW11 = ADA42),ACY42,
IF(OR(AND(ADA43&gt;ACW11,ACW11&gt;ADA42),ACW11 = ADA43),ACY43,
IF(OR(AND(ADA44&gt;ACW11,ACW11&gt;ADA43),ACW11 = ADA44),ACY44,
IF(OR(AND(ADA45&gt;ACW11,ACW11&gt;ADA44),ACW11 = ADA45),ACY45,
IF(OR(AND(ADA46&gt;ACW11,ACW11&gt;ADA45),ACW11 = ADA46),ACY46,
IF(OR(AND(ADA47&gt;ACW11,ACW11&gt;ADA46),ACW11 = ADA47),ACY47,
IF(OR(AND(ADA48&gt;ACW11,ACW11&gt;ADA47),ACW11 = ADA48),ACY48,
IF(OR(AND(ADA49&gt;ACW11,ACW11&gt;ADA48),ACW11 = ADA49),ACY49,
IF(OR(AND(ADA50&gt;ACW11,ACW11&gt;ADA49),ACW11 = ADA50),ACY50,
IF(OR(AND(ADA51&gt;ACW11,ACW11&gt;ADA50),ACW11 = ADA51),ACY51,
IF(OR(AND(ADA52&gt;ACW11,ACW11&gt;ADA51),ACW11 = ADA52),ACY52,
IF(OR(AND(ADA53&gt;ACW11,ACW11&gt;ADA52),ACW11 = ADA53),ACY53,
IF(OR(AND(ADA54&gt;ACW11,ACW11&gt;ADA53),ACW11 = ADA54),ACY54,
IF(OR(AND(ADA55&gt;ACW11,ACW11&gt;ADA54),ACW11 = ADA55),ACY55,
IF(OR(AND(ADA56&gt;ACW11,ACW11&gt;ADA55),ACW11 = ADA56),ACY56,
IF(OR(AND(ADA57&gt;ACW11,ACW11&gt;ADA56),ACW11 = ADA57),ACY57,
IF(OR(AND(ADA58&gt;ACW11,ACW11&gt;ADA57),ACW11 = ADA58),ACY58,
IF(OR(AND(ADA59&gt;ACW11,ACW11&gt;ADA58),ACW11 = ADA59),ACY59,
IF(OR(AND(ADA60&gt;ACW11,ACW11&gt;ADA59),ACW11 = ADA60),ACY60,
IF(OR(AND(ADA61&gt;ACW11,ACW11&gt;ADA60),ACW11 = ADA61),ACY61,
IF(OR(AND(ADA62&gt;ACW11,ACW11&gt;ADA61),ACW11 = ADA62),ACY62,
"Y")))))))))))))))))))))))))))))))))))))))))))))))))))</f>
        <v>0.65999999999999992</v>
      </c>
      <c r="ADB11" s="986"/>
      <c r="ADD11" s="800" t="s">
        <v>1442</v>
      </c>
      <c r="ADE11" s="982"/>
      <c r="ADF11" s="801"/>
      <c r="ADG11" s="951">
        <f>$AHB$33</f>
        <v>1.8595658001541595</v>
      </c>
      <c r="ADH11" s="952"/>
      <c r="ADI11" s="983" t="s">
        <v>1689</v>
      </c>
      <c r="ADJ11" s="984"/>
      <c r="ADK11" s="985" t="str">
        <f>IF(ADK13&lt;1,"Ошибка",
IF(OR(AND(ADK13&gt;ADG11,ADG11&gt;ADA62),ADG11 = ADK13),ADI13,
IF(OR(AND(ADK14&gt;ADG11,ADG11&gt;ADK13),ADG11 = ADK14),ADI14,
IF(OR(AND(ADK15&gt;ADG11,ADG11&gt;ADK14),ADG11 = ADK15),ADI15,
IF(OR(AND(ADK16&gt;ADG11,ADG11&gt;ADK15),ADG11 = ADK16),ADI16,
IF(OR(AND(ADK17&gt;ADG11,ADG11&gt;ADK16),ADG11 = ADK17),ADI17,
IF(OR(AND(ADK18&gt;ADG11,ADG11&gt;ADK17),ADG11 = ADK18),ADI18,
IF(OR(AND(ADK19&gt;ADG11,ADG11&gt;ADK18),ADG11 = ADK19),ADI19,
IF(OR(AND(ADK20&gt;ADG11,ADG11&gt;ADK19),ADG11 = ADK20),ADI20,
IF(OR(AND(ADK21&gt;ADG11,ADG11&gt;ADK20),ADG11 = ADK21),ADI21,
IF(OR(AND(ADK22&gt;ADG11,ADG11&gt;ADK21),ADG11 = ADK22),ADI22,
IF(OR(AND(ADK23&gt;ADG11,ADG11&gt;ADK22),ADG11 = ADK23),ADI23,
IF(OR(AND(ADK24&gt;ADG11,ADG11&gt;ADK23),ADG11 = ADK24),ADI24,
IF(OR(AND(ADK25&gt;ADG11,ADG11&gt;ADK24),ADG11 = ADK25),ADI25,
IF(OR(AND(ADK26&gt;ADG11,ADG11&gt;ADK25),ADG11 = ADK26),ADI26,
IF(OR(AND(ADK27&gt;ADG11,ADG11&gt;ADK26),ADG11 = ADK27),ADI27,
IF(OR(AND(ADK28&gt;ADG11,ADG11&gt;ADK27),ADG11 = ADK28),ADI28,
IF(OR(AND(ADK29&gt;ADG11,ADG11&gt;ADK28),ADG11 = ADK29),ADI29,
IF(OR(AND(ADK30&gt;ADG11,ADG11&gt;ADK29),ADG11 = ADK30),ADI30,
IF(OR(AND(ADK31&gt;ADG11,ADG11&gt;ADK30),ADG11 = ADK31),ADI31,
IF(OR(AND(ADK32&gt;ADG11,ADG11&gt;ADK31),ADG11 = ADK32),ADI32,
IF(OR(AND(ADK33&gt;ADG11,ADG11&gt;ADK32),ADG11 = ADK33),ADI33,
IF(OR(AND(ADK34&gt;ADG11,ADG11&gt;ADK33),ADG11 = ADK34),ADI34,
IF(OR(AND(ADK35&gt;ADG11,ADG11&gt;ADK34),ADG11 = ADK35),ADI35,
IF(OR(AND(ADK36&gt;ADG11,ADG11&gt;ADK35),ADG11 = ADK36),ADI36,
IF(OR(AND(ADK37&gt;ADG11,ADG11&gt;ADK36),ADG11 = ADK37),ADI37,
IF(OR(AND(ADK38&gt;ADG11,ADG11&gt;ADK37),ADG11 = ADK38),ADI38,
IF(OR(AND(ADK39&gt;ADG11,ADG11&gt;ADK38),ADG11 = ADK39),ADI39,
IF(OR(AND(ADK40&gt;ADG11,ADG11&gt;ADK39),ADG11 = ADK40),ADI40,
IF(OR(AND(ADK41&gt;ADG11,ADG11&gt;ADK40),ADG11 = ADK41),ADI41,
IF(OR(AND(ADK42&gt;ADG11,ADG11&gt;ADK41),ADG11 = ADK42),ADI42,
IF(OR(AND(ADK43&gt;ADG11,ADG11&gt;ADK42),ADG11 = ADK43),ADI43,
IF(OR(AND(ADK44&gt;ADG11,ADG11&gt;ADK43),ADG11 = ADK44),ADI44,
IF(OR(AND(ADK45&gt;ADG11,ADG11&gt;ADK44),ADG11 = ADK45),ADI45,
IF(OR(AND(ADK46&gt;ADG11,ADG11&gt;ADK45),ADG11 = ADK46),ADI46,
IF(OR(AND(ADK47&gt;ADG11,ADG11&gt;ADK46),ADG11 = ADK47),ADI47,
IF(OR(AND(ADK48&gt;ADG11,ADG11&gt;ADK47),ADG11 = ADK48),ADI48,
IF(OR(AND(ADK49&gt;ADG11,ADG11&gt;ADK48),ADG11 = ADK49),ADI49,
IF(OR(AND(ADK50&gt;ADG11,ADG11&gt;ADK49),ADG11 = ADK50),ADI50,
IF(OR(AND(ADK51&gt;ADG11,ADG11&gt;ADK50),ADG11 = ADK51),ADI51,
IF(OR(AND(ADK52&gt;ADG11,ADG11&gt;ADK51),ADG11 = ADK52),ADI52,
IF(OR(AND(ADK53&gt;ADG11,ADG11&gt;ADK52),ADG11 = ADK53),ADI53,
IF(OR(AND(ADK54&gt;ADG11,ADG11&gt;ADK53),ADG11 = ADK54),ADI54,
IF(OR(AND(ADK55&gt;ADG11,ADG11&gt;ADK54),ADG11 = ADK55),ADI55,
IF(OR(AND(ADK56&gt;ADG11,ADG11&gt;ADK55),ADG11 = ADK56),ADI56,
IF(OR(AND(ADK57&gt;ADG11,ADG11&gt;ADK56),ADG11 = ADK57),ADI57,
IF(OR(AND(ADK58&gt;ADG11,ADG11&gt;ADK57),ADG11 = ADK58),ADI58,
IF(OR(AND(ADK59&gt;ADG11,ADG11&gt;ADK58),ADG11 = ADK59),ADI59,
IF(OR(AND(ADK60&gt;ADG11,ADG11&gt;ADK59),ADG11 = ADK60),ADI60,
IF(OR(AND(ADK61&gt;ADG11,ADG11&gt;ADK60),ADG11 = ADK61),ADI61,
IF(OR(AND(ADK62&gt;ADG11,ADG11&gt;ADK61),ADG11 = ADK62),ADI62,
"Y")))))))))))))))))))))))))))))))))))))))))))))))))))</f>
        <v>Y</v>
      </c>
      <c r="ADL11" s="986"/>
      <c r="ADN11" s="800" t="s">
        <v>1442</v>
      </c>
      <c r="ADO11" s="982"/>
      <c r="ADP11" s="801"/>
      <c r="ADQ11" s="951">
        <f>$AHB$33</f>
        <v>1.8595658001541595</v>
      </c>
      <c r="ADR11" s="952"/>
      <c r="ADS11" s="983" t="s">
        <v>1689</v>
      </c>
      <c r="ADT11" s="984"/>
      <c r="ADU11" s="985" t="str">
        <f>IF(ADU13&lt;1,"Ошибка",
IF(OR(AND(ADU13&gt;ADQ11,ADQ11&gt;ADK62),ADQ11 = ADU13),ADS13,
IF(OR(AND(ADU14&gt;ADQ11,ADQ11&gt;ADU13),ADQ11 = ADU14),ADS14,
IF(OR(AND(ADU15&gt;ADQ11,ADQ11&gt;ADU14),ADQ11 = ADU15),ADS15,
IF(OR(AND(ADU16&gt;ADQ11,ADQ11&gt;ADU15),ADQ11 = ADU16),ADS16,
IF(OR(AND(ADU17&gt;ADQ11,ADQ11&gt;ADU16),ADQ11 = ADU17),ADS17,
IF(OR(AND(ADU18&gt;ADQ11,ADQ11&gt;ADU17),ADQ11 = ADU18),ADS18,
IF(OR(AND(ADU19&gt;ADQ11,ADQ11&gt;ADU18),ADQ11 = ADU19),ADS19,
IF(OR(AND(ADU20&gt;ADQ11,ADQ11&gt;ADU19),ADQ11 = ADU20),ADS20,
IF(OR(AND(ADU21&gt;ADQ11,ADQ11&gt;ADU20),ADQ11 = ADU21),ADS21,
IF(OR(AND(ADU22&gt;ADQ11,ADQ11&gt;ADU21),ADQ11 = ADU22),ADS22,
IF(OR(AND(ADU23&gt;ADQ11,ADQ11&gt;ADU22),ADQ11 = ADU23),ADS23,
IF(OR(AND(ADU24&gt;ADQ11,ADQ11&gt;ADU23),ADQ11 = ADU24),ADS24,
IF(OR(AND(ADU25&gt;ADQ11,ADQ11&gt;ADU24),ADQ11 = ADU25),ADS25,
IF(OR(AND(ADU26&gt;ADQ11,ADQ11&gt;ADU25),ADQ11 = ADU26),ADS26,
IF(OR(AND(ADU27&gt;ADQ11,ADQ11&gt;ADU26),ADQ11 = ADU27),ADS27,
IF(OR(AND(ADU28&gt;ADQ11,ADQ11&gt;ADU27),ADQ11 = ADU28),ADS28,
IF(OR(AND(ADU29&gt;ADQ11,ADQ11&gt;ADU28),ADQ11 = ADU29),ADS29,
IF(OR(AND(ADU30&gt;ADQ11,ADQ11&gt;ADU29),ADQ11 = ADU30),ADS30,
IF(OR(AND(ADU31&gt;ADQ11,ADQ11&gt;ADU30),ADQ11 = ADU31),ADS31,
IF(OR(AND(ADU32&gt;ADQ11,ADQ11&gt;ADU31),ADQ11 = ADU32),ADS32,
IF(OR(AND(ADU33&gt;ADQ11,ADQ11&gt;ADU32),ADQ11 = ADU33),ADS33,
IF(OR(AND(ADU34&gt;ADQ11,ADQ11&gt;ADU33),ADQ11 = ADU34),ADS34,
IF(OR(AND(ADU35&gt;ADQ11,ADQ11&gt;ADU34),ADQ11 = ADU35),ADS35,
IF(OR(AND(ADU36&gt;ADQ11,ADQ11&gt;ADU35),ADQ11 = ADU36),ADS36,
IF(OR(AND(ADU37&gt;ADQ11,ADQ11&gt;ADU36),ADQ11 = ADU37),ADS37,
IF(OR(AND(ADU38&gt;ADQ11,ADQ11&gt;ADU37),ADQ11 = ADU38),ADS38,
IF(OR(AND(ADU39&gt;ADQ11,ADQ11&gt;ADU38),ADQ11 = ADU39),ADS39,
IF(OR(AND(ADU40&gt;ADQ11,ADQ11&gt;ADU39),ADQ11 = ADU40),ADS40,
IF(OR(AND(ADU41&gt;ADQ11,ADQ11&gt;ADU40),ADQ11 = ADU41),ADS41,
IF(OR(AND(ADU42&gt;ADQ11,ADQ11&gt;ADU41),ADQ11 = ADU42),ADS42,
IF(OR(AND(ADU43&gt;ADQ11,ADQ11&gt;ADU42),ADQ11 = ADU43),ADS43,
IF(OR(AND(ADU44&gt;ADQ11,ADQ11&gt;ADU43),ADQ11 = ADU44),ADS44,
IF(OR(AND(ADU45&gt;ADQ11,ADQ11&gt;ADU44),ADQ11 = ADU45),ADS45,
IF(OR(AND(ADU46&gt;ADQ11,ADQ11&gt;ADU45),ADQ11 = ADU46),ADS46,
IF(OR(AND(ADU47&gt;ADQ11,ADQ11&gt;ADU46),ADQ11 = ADU47),ADS47,
IF(OR(AND(ADU48&gt;ADQ11,ADQ11&gt;ADU47),ADQ11 = ADU48),ADS48,
IF(OR(AND(ADU49&gt;ADQ11,ADQ11&gt;ADU48),ADQ11 = ADU49),ADS49,
IF(OR(AND(ADU50&gt;ADQ11,ADQ11&gt;ADU49),ADQ11 = ADU50),ADS50,
IF(OR(AND(ADU51&gt;ADQ11,ADQ11&gt;ADU50),ADQ11 = ADU51),ADS51,
IF(OR(AND(ADU52&gt;ADQ11,ADQ11&gt;ADU51),ADQ11 = ADU52),ADS52,
IF(OR(AND(ADU53&gt;ADQ11,ADQ11&gt;ADU52),ADQ11 = ADU53),ADS53,
IF(OR(AND(ADU54&gt;ADQ11,ADQ11&gt;ADU53),ADQ11 = ADU54),ADS54,
IF(OR(AND(ADU55&gt;ADQ11,ADQ11&gt;ADU54),ADQ11 = ADU55),ADS55,
IF(OR(AND(ADU56&gt;ADQ11,ADQ11&gt;ADU55),ADQ11 = ADU56),ADS56,
IF(OR(AND(ADU57&gt;ADQ11,ADQ11&gt;ADU56),ADQ11 = ADU57),ADS57,
IF(OR(AND(ADU58&gt;ADQ11,ADQ11&gt;ADU57),ADQ11 = ADU58),ADS58,
IF(OR(AND(ADU59&gt;ADQ11,ADQ11&gt;ADU58),ADQ11 = ADU59),ADS59,
IF(OR(AND(ADU60&gt;ADQ11,ADQ11&gt;ADU59),ADQ11 = ADU60),ADS60,
IF(OR(AND(ADU61&gt;ADQ11,ADQ11&gt;ADU60),ADQ11 = ADU61),ADS61,
IF(OR(AND(ADU62&gt;ADQ11,ADQ11&gt;ADU61),ADQ11 = ADU62),ADS62,
"Y")))))))))))))))))))))))))))))))))))))))))))))))))))</f>
        <v>Y</v>
      </c>
      <c r="ADV11" s="986"/>
      <c r="ADX11" s="800" t="s">
        <v>1442</v>
      </c>
      <c r="ADY11" s="982"/>
      <c r="ADZ11" s="801"/>
      <c r="AEA11" s="951">
        <f>$AHB$33</f>
        <v>1.8595658001541595</v>
      </c>
      <c r="AEB11" s="952"/>
      <c r="AEC11" s="983" t="s">
        <v>1689</v>
      </c>
      <c r="AED11" s="984"/>
      <c r="AEE11" s="985" t="str">
        <f>IF(AEE13&lt;1,"Ошибка",
IF(OR(AND(AEE13&gt;AEA11,AEA11&gt;ADU62),AEA11 = AEE13),AEC13,
IF(OR(AND(AEE14&gt;AEA11,AEA11&gt;AEE13),AEA11 = AEE14),AEC14,
IF(OR(AND(AEE15&gt;AEA11,AEA11&gt;AEE14),AEA11 = AEE15),AEC15,
IF(OR(AND(AEE16&gt;AEA11,AEA11&gt;AEE15),AEA11 = AEE16),AEC16,
IF(OR(AND(AEE17&gt;AEA11,AEA11&gt;AEE16),AEA11 = AEE17),AEC17,
IF(OR(AND(AEE18&gt;AEA11,AEA11&gt;AEE17),AEA11 = AEE18),AEC18,
IF(OR(AND(AEE19&gt;AEA11,AEA11&gt;AEE18),AEA11 = AEE19),AEC19,
IF(OR(AND(AEE20&gt;AEA11,AEA11&gt;AEE19),AEA11 = AEE20),AEC20,
IF(OR(AND(AEE21&gt;AEA11,AEA11&gt;AEE20),AEA11 = AEE21),AEC21,
IF(OR(AND(AEE22&gt;AEA11,AEA11&gt;AEE21),AEA11 = AEE22),AEC22,
IF(OR(AND(AEE23&gt;AEA11,AEA11&gt;AEE22),AEA11 = AEE23),AEC23,
IF(OR(AND(AEE24&gt;AEA11,AEA11&gt;AEE23),AEA11 = AEE24),AEC24,
IF(OR(AND(AEE25&gt;AEA11,AEA11&gt;AEE24),AEA11 = AEE25),AEC25,
IF(OR(AND(AEE26&gt;AEA11,AEA11&gt;AEE25),AEA11 = AEE26),AEC26,
IF(OR(AND(AEE27&gt;AEA11,AEA11&gt;AEE26),AEA11 = AEE27),AEC27,
IF(OR(AND(AEE28&gt;AEA11,AEA11&gt;AEE27),AEA11 = AEE28),AEC28,
IF(OR(AND(AEE29&gt;AEA11,AEA11&gt;AEE28),AEA11 = AEE29),AEC29,
IF(OR(AND(AEE30&gt;AEA11,AEA11&gt;AEE29),AEA11 = AEE30),AEC30,
IF(OR(AND(AEE31&gt;AEA11,AEA11&gt;AEE30),AEA11 = AEE31),AEC31,
IF(OR(AND(AEE32&gt;AEA11,AEA11&gt;AEE31),AEA11 = AEE32),AEC32,
IF(OR(AND(AEE33&gt;AEA11,AEA11&gt;AEE32),AEA11 = AEE33),AEC33,
IF(OR(AND(AEE34&gt;AEA11,AEA11&gt;AEE33),AEA11 = AEE34),AEC34,
IF(OR(AND(AEE35&gt;AEA11,AEA11&gt;AEE34),AEA11 = AEE35),AEC35,
IF(OR(AND(AEE36&gt;AEA11,AEA11&gt;AEE35),AEA11 = AEE36),AEC36,
IF(OR(AND(AEE37&gt;AEA11,AEA11&gt;AEE36),AEA11 = AEE37),AEC37,
IF(OR(AND(AEE38&gt;AEA11,AEA11&gt;AEE37),AEA11 = AEE38),AEC38,
IF(OR(AND(AEE39&gt;AEA11,AEA11&gt;AEE38),AEA11 = AEE39),AEC39,
IF(OR(AND(AEE40&gt;AEA11,AEA11&gt;AEE39),AEA11 = AEE40),AEC40,
IF(OR(AND(AEE41&gt;AEA11,AEA11&gt;AEE40),AEA11 = AEE41),AEC41,
IF(OR(AND(AEE42&gt;AEA11,AEA11&gt;AEE41),AEA11 = AEE42),AEC42,
IF(OR(AND(AEE43&gt;AEA11,AEA11&gt;AEE42),AEA11 = AEE43),AEC43,
IF(OR(AND(AEE44&gt;AEA11,AEA11&gt;AEE43),AEA11 = AEE44),AEC44,
IF(OR(AND(AEE45&gt;AEA11,AEA11&gt;AEE44),AEA11 = AEE45),AEC45,
IF(OR(AND(AEE46&gt;AEA11,AEA11&gt;AEE45),AEA11 = AEE46),AEC46,
IF(OR(AND(AEE47&gt;AEA11,AEA11&gt;AEE46),AEA11 = AEE47),AEC47,
IF(OR(AND(AEE48&gt;AEA11,AEA11&gt;AEE47),AEA11 = AEE48),AEC48,
IF(OR(AND(AEE49&gt;AEA11,AEA11&gt;AEE48),AEA11 = AEE49),AEC49,
IF(OR(AND(AEE50&gt;AEA11,AEA11&gt;AEE49),AEA11 = AEE50),AEC50,
IF(OR(AND(AEE51&gt;AEA11,AEA11&gt;AEE50),AEA11 = AEE51),AEC51,
IF(OR(AND(AEE52&gt;AEA11,AEA11&gt;AEE51),AEA11 = AEE52),AEC52,
IF(OR(AND(AEE53&gt;AEA11,AEA11&gt;AEE52),AEA11 = AEE53),AEC53,
IF(OR(AND(AEE54&gt;AEA11,AEA11&gt;AEE53),AEA11 = AEE54),AEC54,
IF(OR(AND(AEE55&gt;AEA11,AEA11&gt;AEE54),AEA11 = AEE55),AEC55,
IF(OR(AND(AEE56&gt;AEA11,AEA11&gt;AEE55),AEA11 = AEE56),AEC56,
IF(OR(AND(AEE57&gt;AEA11,AEA11&gt;AEE56),AEA11 = AEE57),AEC57,
IF(OR(AND(AEE58&gt;AEA11,AEA11&gt;AEE57),AEA11 = AEE58),AEC58,
IF(OR(AND(AEE59&gt;AEA11,AEA11&gt;AEE58),AEA11 = AEE59),AEC59,
IF(OR(AND(AEE60&gt;AEA11,AEA11&gt;AEE59),AEA11 = AEE60),AEC60,
IF(OR(AND(AEE61&gt;AEA11,AEA11&gt;AEE60),AEA11 = AEE61),AEC61,
IF(OR(AND(AEE62&gt;AEA11,AEA11&gt;AEE61),AEA11 = AEE62),AEC62,
"Y")))))))))))))))))))))))))))))))))))))))))))))))))))</f>
        <v>Y</v>
      </c>
      <c r="AEF11" s="986"/>
      <c r="AEH11" s="800" t="s">
        <v>1442</v>
      </c>
      <c r="AEI11" s="982"/>
      <c r="AEJ11" s="801"/>
      <c r="AEK11" s="951">
        <f>$AHB$33</f>
        <v>1.8595658001541595</v>
      </c>
      <c r="AEL11" s="952"/>
      <c r="AEM11" s="983" t="s">
        <v>1689</v>
      </c>
      <c r="AEN11" s="984"/>
      <c r="AEO11" s="985" t="str">
        <f>IF(AEO13&lt;1,"Ошибка",
IF(OR(AND(AEO13&gt;AEK11,AEK11&gt;AEE62),AEK11 = AEO13),AEM13,
IF(OR(AND(AEO14&gt;AEK11,AEK11&gt;AEO13),AEK11 = AEO14),AEM14,
IF(OR(AND(AEO15&gt;AEK11,AEK11&gt;AEO14),AEK11 = AEO15),AEM15,
IF(OR(AND(AEO16&gt;AEK11,AEK11&gt;AEO15),AEK11 = AEO16),AEM16,
IF(OR(AND(AEO17&gt;AEK11,AEK11&gt;AEO16),AEK11 = AEO17),AEM17,
IF(OR(AND(AEO18&gt;AEK11,AEK11&gt;AEO17),AEK11 = AEO18),AEM18,
IF(OR(AND(AEO19&gt;AEK11,AEK11&gt;AEO18),AEK11 = AEO19),AEM19,
IF(OR(AND(AEO20&gt;AEK11,AEK11&gt;AEO19),AEK11 = AEO20),AEM20,
IF(OR(AND(AEO21&gt;AEK11,AEK11&gt;AEO20),AEK11 = AEO21),AEM21,
IF(OR(AND(AEO22&gt;AEK11,AEK11&gt;AEO21),AEK11 = AEO22),AEM22,
IF(OR(AND(AEO23&gt;AEK11,AEK11&gt;AEO22),AEK11 = AEO23),AEM23,
IF(OR(AND(AEO24&gt;AEK11,AEK11&gt;AEO23),AEK11 = AEO24),AEM24,
IF(OR(AND(AEO25&gt;AEK11,AEK11&gt;AEO24),AEK11 = AEO25),AEM25,
IF(OR(AND(AEO26&gt;AEK11,AEK11&gt;AEO25),AEK11 = AEO26),AEM26,
IF(OR(AND(AEO27&gt;AEK11,AEK11&gt;AEO26),AEK11 = AEO27),AEM27,
IF(OR(AND(AEO28&gt;AEK11,AEK11&gt;AEO27),AEK11 = AEO28),AEM28,
IF(OR(AND(AEO29&gt;AEK11,AEK11&gt;AEO28),AEK11 = AEO29),AEM29,
IF(OR(AND(AEO30&gt;AEK11,AEK11&gt;AEO29),AEK11 = AEO30),AEM30,
IF(OR(AND(AEO31&gt;AEK11,AEK11&gt;AEO30),AEK11 = AEO31),AEM31,
IF(OR(AND(AEO32&gt;AEK11,AEK11&gt;AEO31),AEK11 = AEO32),AEM32,
IF(OR(AND(AEO33&gt;AEK11,AEK11&gt;AEO32),AEK11 = AEO33),AEM33,
IF(OR(AND(AEO34&gt;AEK11,AEK11&gt;AEO33),AEK11 = AEO34),AEM34,
IF(OR(AND(AEO35&gt;AEK11,AEK11&gt;AEO34),AEK11 = AEO35),AEM35,
IF(OR(AND(AEO36&gt;AEK11,AEK11&gt;AEO35),AEK11 = AEO36),AEM36,
IF(OR(AND(AEO37&gt;AEK11,AEK11&gt;AEO36),AEK11 = AEO37),AEM37,
IF(OR(AND(AEO38&gt;AEK11,AEK11&gt;AEO37),AEK11 = AEO38),AEM38,
IF(OR(AND(AEO39&gt;AEK11,AEK11&gt;AEO38),AEK11 = AEO39),AEM39,
IF(OR(AND(AEO40&gt;AEK11,AEK11&gt;AEO39),AEK11 = AEO40),AEM40,
IF(OR(AND(AEO41&gt;AEK11,AEK11&gt;AEO40),AEK11 = AEO41),AEM41,
IF(OR(AND(AEO42&gt;AEK11,AEK11&gt;AEO41),AEK11 = AEO42),AEM42,
IF(OR(AND(AEO43&gt;AEK11,AEK11&gt;AEO42),AEK11 = AEO43),AEM43,
IF(OR(AND(AEO44&gt;AEK11,AEK11&gt;AEO43),AEK11 = AEO44),AEM44,
IF(OR(AND(AEO45&gt;AEK11,AEK11&gt;AEO44),AEK11 = AEO45),AEM45,
IF(OR(AND(AEO46&gt;AEK11,AEK11&gt;AEO45),AEK11 = AEO46),AEM46,
IF(OR(AND(AEO47&gt;AEK11,AEK11&gt;AEO46),AEK11 = AEO47),AEM47,
IF(OR(AND(AEO48&gt;AEK11,AEK11&gt;AEO47),AEK11 = AEO48),AEM48,
IF(OR(AND(AEO49&gt;AEK11,AEK11&gt;AEO48),AEK11 = AEO49),AEM49,
IF(OR(AND(AEO50&gt;AEK11,AEK11&gt;AEO49),AEK11 = AEO50),AEM50,
IF(OR(AND(AEO51&gt;AEK11,AEK11&gt;AEO50),AEK11 = AEO51),AEM51,
IF(OR(AND(AEO52&gt;AEK11,AEK11&gt;AEO51),AEK11 = AEO52),AEM52,
IF(OR(AND(AEO53&gt;AEK11,AEK11&gt;AEO52),AEK11 = AEO53),AEM53,
IF(OR(AND(AEO54&gt;AEK11,AEK11&gt;AEO53),AEK11 = AEO54),AEM54,
IF(OR(AND(AEO55&gt;AEK11,AEK11&gt;AEO54),AEK11 = AEO55),AEM55,
IF(OR(AND(AEO56&gt;AEK11,AEK11&gt;AEO55),AEK11 = AEO56),AEM56,
IF(OR(AND(AEO57&gt;AEK11,AEK11&gt;AEO56),AEK11 = AEO57),AEM57,
IF(OR(AND(AEO58&gt;AEK11,AEK11&gt;AEO57),AEK11 = AEO58),AEM58,
IF(OR(AND(AEO59&gt;AEK11,AEK11&gt;AEO58),AEK11 = AEO59),AEM59,
IF(OR(AND(AEO60&gt;AEK11,AEK11&gt;AEO59),AEK11 = AEO60),AEM60,
IF(OR(AND(AEO61&gt;AEK11,AEK11&gt;AEO60),AEK11 = AEO61),AEM61,
IF(OR(AND(AEO62&gt;AEK11,AEK11&gt;AEO61),AEK11 = AEO62),AEM62,
"Y")))))))))))))))))))))))))))))))))))))))))))))))))))</f>
        <v>Y</v>
      </c>
      <c r="AEP11" s="986"/>
      <c r="AIT11" s="653"/>
      <c r="AIU11" s="653"/>
      <c r="AIV11" s="653"/>
      <c r="AIW11" s="653"/>
      <c r="AIX11" s="653"/>
      <c r="AKV11" s="653"/>
      <c r="AKW11" s="653"/>
      <c r="AKX11" s="653"/>
      <c r="AKY11" s="653"/>
      <c r="AKZ11" s="653"/>
      <c r="ALA11" s="653"/>
      <c r="ALB11" s="653"/>
      <c r="ALC11" s="653"/>
      <c r="ALD11" s="653"/>
      <c r="ALE11" s="653"/>
      <c r="ALF11" s="653"/>
      <c r="ALG11" s="653"/>
      <c r="ALH11" s="653"/>
      <c r="AOL11" s="130"/>
      <c r="AQL11" s="130"/>
      <c r="AQV11" s="653"/>
      <c r="AQW11" s="653"/>
      <c r="AQX11" s="653"/>
      <c r="AQY11" s="653"/>
      <c r="AQZ11" s="653"/>
      <c r="ARA11" s="653"/>
      <c r="ARB11" s="653"/>
      <c r="ARC11" s="653"/>
      <c r="ARD11" s="653"/>
      <c r="ARE11" s="653"/>
      <c r="ARF11" s="653"/>
      <c r="ARG11" s="653"/>
      <c r="ARH11" s="653"/>
      <c r="ARI11" s="653"/>
      <c r="ARJ11" s="653"/>
      <c r="ARK11" s="653"/>
      <c r="ARL11" s="653"/>
      <c r="ARM11" s="653"/>
      <c r="ARN11" s="653"/>
      <c r="ARO11" s="653"/>
      <c r="ATC11" s="897" t="s">
        <v>973</v>
      </c>
      <c r="ATD11" s="898"/>
      <c r="ATE11" s="899"/>
      <c r="ATG11" s="897" t="s">
        <v>974</v>
      </c>
      <c r="ATH11" s="898"/>
      <c r="ATI11" s="899"/>
    </row>
    <row r="12" spans="4:1297" ht="48" customHeight="1" thickBot="1">
      <c r="H12" s="1"/>
      <c r="J12" s="130"/>
      <c r="K12" s="130"/>
      <c r="L12" s="130"/>
      <c r="O12" s="199"/>
      <c r="P12" s="75" t="s">
        <v>702</v>
      </c>
      <c r="S12" s="126"/>
      <c r="T12" s="126"/>
      <c r="AO12" s="653"/>
      <c r="AP12" s="653"/>
      <c r="AQ12" s="653"/>
      <c r="AR12" s="653"/>
      <c r="AS12" s="653"/>
      <c r="AT12" s="653"/>
      <c r="AU12" s="653"/>
      <c r="AV12" s="653"/>
      <c r="AW12" s="653"/>
      <c r="AX12" s="653"/>
      <c r="AY12" s="653"/>
      <c r="BX12" s="900"/>
      <c r="BY12" s="901"/>
      <c r="BZ12" s="902"/>
      <c r="CA12" s="850"/>
      <c r="CB12" s="509" t="s">
        <v>430</v>
      </c>
      <c r="CC12" s="890">
        <f>$AP$53</f>
        <v>0.16707940000000002</v>
      </c>
      <c r="CD12" s="951"/>
      <c r="CE12" s="768" t="s">
        <v>1873</v>
      </c>
      <c r="CF12" s="762"/>
      <c r="CG12" s="762"/>
      <c r="CH12" s="762"/>
      <c r="CI12" s="762"/>
      <c r="CJ12" s="762"/>
      <c r="CK12" s="762"/>
      <c r="CL12" s="762"/>
      <c r="CM12" s="1453">
        <v>1.2999999999999999E-2</v>
      </c>
      <c r="CN12" s="1454"/>
      <c r="CO12" s="1634" t="s">
        <v>706</v>
      </c>
      <c r="CP12" s="1635"/>
      <c r="CQ12" s="841"/>
      <c r="CR12" s="1739" t="s">
        <v>771</v>
      </c>
      <c r="CS12" s="1740"/>
      <c r="CT12" s="847"/>
      <c r="CY12" s="130"/>
      <c r="CZ12" s="130"/>
      <c r="DA12" s="130"/>
      <c r="DB12" s="130"/>
      <c r="DC12" s="130"/>
      <c r="DD12" s="130"/>
      <c r="DE12" s="130"/>
      <c r="DF12" s="130"/>
      <c r="DG12" s="130"/>
      <c r="DH12" s="130"/>
      <c r="DI12" s="130"/>
      <c r="DJ12" s="130"/>
      <c r="DK12" s="130"/>
      <c r="DL12" s="130"/>
      <c r="DM12" s="130"/>
      <c r="DZ12" s="900"/>
      <c r="EA12" s="901"/>
      <c r="EB12" s="902"/>
      <c r="EC12" s="850"/>
      <c r="ED12" s="791" t="s">
        <v>1769</v>
      </c>
      <c r="EE12" s="792"/>
      <c r="EF12" s="792"/>
      <c r="EG12" s="792"/>
      <c r="EH12" s="792"/>
      <c r="EI12" s="792"/>
      <c r="EJ12" s="792"/>
      <c r="EK12" s="792"/>
      <c r="EL12" s="792"/>
      <c r="EM12" s="792"/>
      <c r="EN12" s="793"/>
      <c r="EO12" s="1193">
        <v>1.6</v>
      </c>
      <c r="EP12" s="1194"/>
      <c r="EQ12" s="1075" t="s">
        <v>17</v>
      </c>
      <c r="ER12" s="1076"/>
      <c r="ES12" s="841"/>
      <c r="ET12" s="843" t="s">
        <v>947</v>
      </c>
      <c r="EU12" s="844"/>
      <c r="EV12" s="847"/>
      <c r="GF12" s="900"/>
      <c r="GG12" s="901"/>
      <c r="GH12" s="902"/>
      <c r="GI12" s="849"/>
      <c r="GJ12" s="809" t="s">
        <v>47</v>
      </c>
      <c r="GK12" s="797"/>
      <c r="GL12" s="797"/>
      <c r="GM12" s="797"/>
      <c r="GN12" s="797"/>
      <c r="GO12" s="797"/>
      <c r="GP12" s="797"/>
      <c r="GQ12" s="797"/>
      <c r="GR12" s="797"/>
      <c r="GS12" s="797"/>
      <c r="GT12" s="797"/>
      <c r="GU12" s="1453">
        <v>0.8</v>
      </c>
      <c r="GV12" s="1454"/>
      <c r="GW12" s="931" t="s">
        <v>45</v>
      </c>
      <c r="GX12" s="932"/>
      <c r="GY12" s="841"/>
      <c r="GZ12" s="893" t="s">
        <v>725</v>
      </c>
      <c r="HA12" s="894"/>
      <c r="HB12" s="847"/>
      <c r="HE12" s="130"/>
      <c r="LH12" s="211"/>
      <c r="LI12" s="211"/>
      <c r="LL12" s="211"/>
      <c r="LN12" s="211"/>
      <c r="LO12" s="211"/>
      <c r="LP12" s="211"/>
      <c r="LQ12" s="211"/>
      <c r="LR12" s="353"/>
      <c r="LS12" s="353"/>
      <c r="LT12" s="353"/>
      <c r="LU12" s="353"/>
      <c r="LV12" s="353"/>
      <c r="LW12" s="353"/>
      <c r="LX12" s="353"/>
      <c r="OW12" s="130"/>
      <c r="OX12" s="130"/>
      <c r="RE12" s="653"/>
      <c r="RF12" s="653"/>
      <c r="RG12" s="653"/>
      <c r="RH12" s="653"/>
      <c r="RI12" s="653"/>
      <c r="RJ12" s="653"/>
      <c r="RK12" s="653"/>
      <c r="RL12" s="653"/>
      <c r="RM12" s="653"/>
      <c r="RN12" s="653"/>
      <c r="RO12" s="653"/>
      <c r="RP12" s="653"/>
      <c r="RQ12" s="653"/>
      <c r="RR12" s="653"/>
      <c r="RS12" s="653"/>
      <c r="RT12" s="653"/>
      <c r="RU12" s="653"/>
      <c r="RV12" s="653"/>
      <c r="RW12" s="653"/>
      <c r="RX12" s="653"/>
      <c r="RY12" s="653"/>
      <c r="RZ12" s="653"/>
      <c r="SA12" s="653"/>
      <c r="SB12" s="653"/>
      <c r="SC12" s="653"/>
      <c r="SD12" s="653"/>
      <c r="SE12" s="653"/>
      <c r="SF12" s="653"/>
      <c r="SG12" s="653"/>
      <c r="SH12" s="653"/>
      <c r="SI12" s="653"/>
      <c r="SJ12" s="653"/>
      <c r="SK12" s="653"/>
      <c r="SL12" s="653"/>
      <c r="SM12" s="653"/>
      <c r="SN12" s="653"/>
      <c r="SO12" s="653"/>
      <c r="SP12" s="653"/>
      <c r="SQ12" s="653"/>
      <c r="SR12" s="653"/>
      <c r="SS12" s="653"/>
      <c r="ST12" s="653"/>
      <c r="SU12" s="653"/>
      <c r="SV12" s="653"/>
      <c r="SW12" s="653"/>
      <c r="SX12" s="653"/>
      <c r="SY12" s="653"/>
      <c r="SZ12" s="653"/>
      <c r="TA12" s="653"/>
      <c r="TB12" s="653"/>
      <c r="TC12" s="653"/>
      <c r="TD12" s="653"/>
      <c r="TE12" s="653"/>
      <c r="TF12" s="653"/>
      <c r="TG12" s="653"/>
      <c r="TH12" s="653"/>
      <c r="TI12" s="653"/>
      <c r="TJ12" s="653"/>
      <c r="TK12" s="653"/>
      <c r="TL12" s="653"/>
      <c r="TM12" s="653"/>
      <c r="TN12" s="653"/>
      <c r="TO12" s="653"/>
      <c r="TP12" s="653"/>
      <c r="TQ12" s="653"/>
      <c r="TR12" s="653"/>
      <c r="TS12" s="653"/>
      <c r="TT12" s="653"/>
      <c r="TU12" s="653"/>
      <c r="TV12" s="653"/>
      <c r="TW12" s="653"/>
      <c r="TX12" s="653"/>
      <c r="TY12" s="653"/>
      <c r="TZ12" s="653"/>
      <c r="UA12" s="653"/>
      <c r="UB12" s="653"/>
      <c r="UC12" s="653"/>
      <c r="UD12" s="653"/>
      <c r="UE12" s="653"/>
      <c r="UF12" s="653"/>
      <c r="UG12" s="653"/>
      <c r="UH12" s="653"/>
      <c r="UI12" s="653"/>
      <c r="UJ12" s="653"/>
      <c r="UK12" s="653"/>
      <c r="UL12" s="653"/>
      <c r="UM12" s="653"/>
      <c r="UN12" s="653"/>
      <c r="UO12" s="653"/>
      <c r="UP12" s="653"/>
      <c r="UQ12" s="653"/>
      <c r="UR12" s="653"/>
      <c r="US12" s="653"/>
      <c r="UT12" s="653"/>
      <c r="UU12" s="653"/>
      <c r="UV12" s="653"/>
      <c r="UW12" s="653"/>
      <c r="UX12" s="653"/>
      <c r="UY12" s="653"/>
      <c r="UZ12" s="653"/>
      <c r="VC12" s="130"/>
      <c r="VD12" s="130"/>
      <c r="VE12" s="130"/>
      <c r="VF12" s="130"/>
      <c r="VG12" s="130"/>
      <c r="VH12" s="130"/>
      <c r="VI12" s="130"/>
      <c r="VJ12" s="130"/>
      <c r="VK12" s="130"/>
      <c r="VL12" s="130"/>
      <c r="VM12" s="130"/>
      <c r="VN12" s="130"/>
      <c r="WE12" s="960"/>
      <c r="WF12" s="961"/>
      <c r="WG12" s="1105" t="s">
        <v>1586</v>
      </c>
      <c r="WH12" s="1107"/>
      <c r="WI12" s="1265">
        <f>$AP$5</f>
        <v>30000</v>
      </c>
      <c r="WJ12" s="1266"/>
      <c r="WK12" s="1267"/>
      <c r="WL12" s="1250" t="s">
        <v>3</v>
      </c>
      <c r="WM12" s="1251"/>
      <c r="WN12" s="1105" t="s">
        <v>1179</v>
      </c>
      <c r="WO12" s="1107"/>
      <c r="WP12" s="1165">
        <f>$KL$99</f>
        <v>16.250799463770147</v>
      </c>
      <c r="WQ12" s="1165"/>
      <c r="WR12" s="1250" t="s">
        <v>32</v>
      </c>
      <c r="WS12" s="1251"/>
      <c r="WT12" s="800" t="s">
        <v>1611</v>
      </c>
      <c r="WU12" s="801"/>
      <c r="WV12" s="806">
        <f>$PZ$200</f>
        <v>677.43724341877817</v>
      </c>
      <c r="WW12" s="808"/>
      <c r="WX12" s="1032" t="s">
        <v>3</v>
      </c>
      <c r="WY12" s="1033"/>
      <c r="WZ12" s="960"/>
      <c r="XA12" s="961"/>
      <c r="XB12" s="162"/>
      <c r="XC12" s="158"/>
      <c r="XD12" s="158"/>
      <c r="XE12" s="158"/>
      <c r="XF12" s="158"/>
      <c r="XG12" s="158"/>
      <c r="XH12" s="158"/>
      <c r="XI12" s="158"/>
      <c r="XJ12" s="158"/>
      <c r="XK12" s="158"/>
      <c r="XL12" s="158"/>
      <c r="XM12" s="158"/>
      <c r="XN12" s="158"/>
      <c r="XO12" s="158"/>
      <c r="XP12" s="158"/>
      <c r="XQ12" s="158"/>
      <c r="XR12" s="158"/>
      <c r="XS12" s="158"/>
      <c r="XT12" s="158"/>
      <c r="XU12" s="158"/>
      <c r="XV12" s="158"/>
      <c r="XW12" s="158"/>
      <c r="XX12" s="158"/>
      <c r="XY12" s="158"/>
      <c r="XZ12" s="158"/>
      <c r="YA12" s="158"/>
      <c r="YB12" s="158"/>
      <c r="YC12" s="158"/>
      <c r="YD12" s="158"/>
      <c r="YE12" s="158"/>
      <c r="YF12" s="158"/>
      <c r="YG12" s="158"/>
      <c r="YH12" s="158"/>
      <c r="YI12" s="158"/>
      <c r="YJ12" s="158"/>
      <c r="YK12" s="158"/>
      <c r="YL12" s="158"/>
      <c r="YM12" s="158"/>
      <c r="YN12" s="158"/>
      <c r="YO12" s="158"/>
      <c r="YP12" s="158"/>
      <c r="YQ12" s="158"/>
      <c r="YR12" s="158"/>
      <c r="YS12" s="158"/>
      <c r="YT12" s="158"/>
      <c r="YU12" s="158"/>
      <c r="YV12" s="158"/>
      <c r="YW12" s="158"/>
      <c r="YX12" s="158"/>
      <c r="YY12" s="158"/>
      <c r="YZ12" s="158"/>
      <c r="ZA12" s="158"/>
      <c r="ZB12" s="158"/>
      <c r="ZC12" s="158"/>
      <c r="ZD12" s="158"/>
      <c r="ZE12" s="158"/>
      <c r="ZF12" s="158"/>
      <c r="ZG12" s="158"/>
      <c r="ZH12" s="158"/>
      <c r="ZI12" s="158"/>
      <c r="ZJ12" s="158"/>
      <c r="ZK12" s="158"/>
      <c r="ZL12" s="158"/>
      <c r="ZM12" s="158"/>
      <c r="ZN12" s="158"/>
      <c r="ZO12" s="158"/>
      <c r="ZP12" s="158"/>
      <c r="ZQ12" s="158"/>
      <c r="ZR12" s="158"/>
      <c r="ZS12" s="158"/>
      <c r="ZT12" s="158"/>
      <c r="ZU12" s="158"/>
      <c r="ZV12" s="158"/>
      <c r="ZW12" s="158"/>
      <c r="ZX12" s="158"/>
      <c r="ZY12" s="158"/>
      <c r="ZZ12" s="158"/>
      <c r="AAA12" s="158"/>
      <c r="AAB12" s="158"/>
      <c r="AAC12" s="158"/>
      <c r="AAD12" s="158"/>
      <c r="AAE12" s="158"/>
      <c r="AAF12" s="158"/>
      <c r="AAG12" s="158"/>
      <c r="AAH12" s="158"/>
      <c r="AAI12" s="158"/>
      <c r="AAJ12" s="158"/>
      <c r="AAK12" s="158"/>
      <c r="AAL12" s="158"/>
      <c r="AAM12" s="158"/>
      <c r="AAN12" s="158"/>
      <c r="AAO12" s="158"/>
      <c r="AAP12" s="158"/>
      <c r="AAQ12" s="158"/>
      <c r="AAR12" s="158"/>
      <c r="AAS12" s="158"/>
      <c r="AAT12" s="163"/>
      <c r="AAU12" s="960"/>
      <c r="AAV12" s="961"/>
      <c r="AAW12" s="960"/>
      <c r="AAX12" s="1101"/>
      <c r="AAY12" s="1101"/>
      <c r="AAZ12" s="1101"/>
      <c r="ABA12" s="961"/>
      <c r="ABE12" s="653"/>
      <c r="ABF12" s="653"/>
      <c r="ABG12" s="653"/>
      <c r="ABH12" s="653"/>
      <c r="ABI12" s="653"/>
      <c r="ABJ12" s="653"/>
      <c r="ACJ12" s="856" t="s">
        <v>1585</v>
      </c>
      <c r="ACK12" s="856"/>
      <c r="ACL12" s="856" t="s">
        <v>829</v>
      </c>
      <c r="ACM12" s="856"/>
      <c r="ACN12" s="690" t="s">
        <v>410</v>
      </c>
      <c r="ACO12" s="759" t="s">
        <v>432</v>
      </c>
      <c r="ACP12" s="760"/>
      <c r="ACQ12" s="1102" t="s">
        <v>1439</v>
      </c>
      <c r="ACR12" s="1103"/>
      <c r="ACT12" s="856" t="s">
        <v>1585</v>
      </c>
      <c r="ACU12" s="856"/>
      <c r="ACV12" s="856" t="s">
        <v>829</v>
      </c>
      <c r="ACW12" s="856"/>
      <c r="ACX12" s="431" t="s">
        <v>410</v>
      </c>
      <c r="ACY12" s="759" t="s">
        <v>432</v>
      </c>
      <c r="ACZ12" s="760"/>
      <c r="ADA12" s="1102" t="s">
        <v>1439</v>
      </c>
      <c r="ADB12" s="1103"/>
      <c r="ADD12" s="856" t="s">
        <v>1585</v>
      </c>
      <c r="ADE12" s="856"/>
      <c r="ADF12" s="856" t="s">
        <v>829</v>
      </c>
      <c r="ADG12" s="856"/>
      <c r="ADH12" s="482" t="s">
        <v>410</v>
      </c>
      <c r="ADI12" s="759" t="s">
        <v>432</v>
      </c>
      <c r="ADJ12" s="760"/>
      <c r="ADK12" s="1102" t="s">
        <v>1439</v>
      </c>
      <c r="ADL12" s="1103"/>
      <c r="ADN12" s="856" t="s">
        <v>1585</v>
      </c>
      <c r="ADO12" s="856"/>
      <c r="ADP12" s="856" t="s">
        <v>829</v>
      </c>
      <c r="ADQ12" s="856"/>
      <c r="ADR12" s="678" t="s">
        <v>410</v>
      </c>
      <c r="ADS12" s="759" t="s">
        <v>432</v>
      </c>
      <c r="ADT12" s="760"/>
      <c r="ADU12" s="1102" t="s">
        <v>1439</v>
      </c>
      <c r="ADV12" s="1103"/>
      <c r="ADX12" s="856" t="s">
        <v>1585</v>
      </c>
      <c r="ADY12" s="856"/>
      <c r="ADZ12" s="856" t="s">
        <v>829</v>
      </c>
      <c r="AEA12" s="856"/>
      <c r="AEB12" s="678" t="s">
        <v>410</v>
      </c>
      <c r="AEC12" s="759" t="s">
        <v>432</v>
      </c>
      <c r="AED12" s="760"/>
      <c r="AEE12" s="1102" t="s">
        <v>1439</v>
      </c>
      <c r="AEF12" s="1103"/>
      <c r="AEH12" s="856" t="s">
        <v>1585</v>
      </c>
      <c r="AEI12" s="856"/>
      <c r="AEJ12" s="856" t="s">
        <v>829</v>
      </c>
      <c r="AEK12" s="856"/>
      <c r="AEL12" s="678" t="s">
        <v>410</v>
      </c>
      <c r="AEM12" s="759" t="s">
        <v>432</v>
      </c>
      <c r="AEN12" s="760"/>
      <c r="AEO12" s="1102" t="s">
        <v>1439</v>
      </c>
      <c r="AEP12" s="1103"/>
      <c r="AGN12" s="199"/>
      <c r="AGO12" s="852" t="s">
        <v>1732</v>
      </c>
      <c r="AGP12" s="923"/>
      <c r="AGQ12" s="199"/>
      <c r="AGR12" s="1069" t="s">
        <v>125</v>
      </c>
      <c r="AGS12" s="1070"/>
      <c r="AGT12" s="1070"/>
      <c r="AGU12" s="1070"/>
      <c r="AGV12" s="1070"/>
      <c r="AGW12" s="1070"/>
      <c r="AGX12" s="1070"/>
      <c r="AGY12" s="1070"/>
      <c r="AGZ12" s="1070"/>
      <c r="AHA12" s="1070"/>
      <c r="AHB12" s="1071"/>
      <c r="AHC12" s="199"/>
      <c r="AIT12" s="653"/>
      <c r="AIU12" s="653"/>
      <c r="AIV12" s="653"/>
      <c r="AIW12" s="653"/>
      <c r="AIX12" s="653"/>
      <c r="AIY12" s="592"/>
      <c r="AKV12" s="653"/>
      <c r="AKW12" s="653"/>
      <c r="AKX12" s="653"/>
      <c r="AKY12" s="653"/>
      <c r="AKZ12" s="653"/>
      <c r="ALA12" s="653"/>
      <c r="ALB12" s="653"/>
      <c r="ALC12" s="653"/>
      <c r="ALD12" s="653"/>
      <c r="ALE12" s="653"/>
      <c r="ALF12" s="653"/>
      <c r="ALG12" s="653"/>
      <c r="ALH12" s="653"/>
      <c r="AOL12" s="130"/>
      <c r="AQL12" s="130"/>
      <c r="AQV12" s="653"/>
      <c r="AQW12" s="653"/>
      <c r="AQX12" s="653"/>
      <c r="AQY12" s="653"/>
      <c r="AQZ12" s="653"/>
      <c r="ARA12" s="653"/>
      <c r="ARB12" s="653"/>
      <c r="ARC12" s="653"/>
      <c r="ARD12" s="653"/>
      <c r="ARE12" s="653"/>
      <c r="ARF12" s="653"/>
      <c r="ARG12" s="653"/>
      <c r="ARH12" s="653"/>
      <c r="ARI12" s="653"/>
      <c r="ARJ12" s="653"/>
      <c r="ARK12" s="653"/>
      <c r="ARL12" s="653"/>
      <c r="ARM12" s="653"/>
      <c r="ARN12" s="653"/>
      <c r="ARO12" s="653"/>
      <c r="ARW12" s="199"/>
      <c r="ARX12" s="852" t="s">
        <v>868</v>
      </c>
      <c r="ARY12" s="923"/>
      <c r="ARZ12" s="199"/>
      <c r="ASA12" s="1117" t="s">
        <v>878</v>
      </c>
      <c r="ASB12" s="1118"/>
      <c r="ASC12" s="1118"/>
      <c r="ASD12" s="1118"/>
      <c r="ASE12" s="1118"/>
      <c r="ASF12" s="1118"/>
      <c r="ASG12" s="1118"/>
      <c r="ASH12" s="1118"/>
      <c r="ASI12" s="1118"/>
      <c r="ASJ12" s="1118"/>
      <c r="ASK12" s="1119"/>
      <c r="ASL12" s="199"/>
      <c r="ATC12" s="900"/>
      <c r="ATD12" s="901"/>
      <c r="ATE12" s="902"/>
      <c r="ATG12" s="900"/>
      <c r="ATH12" s="901"/>
      <c r="ATI12" s="902"/>
      <c r="AWB12" s="849"/>
      <c r="AWC12" s="133" t="s">
        <v>416</v>
      </c>
      <c r="AWD12" s="134"/>
      <c r="AWE12" s="138"/>
      <c r="AWF12" s="78"/>
      <c r="AWG12" s="78"/>
      <c r="AWH12" s="78"/>
      <c r="AWI12" s="78"/>
      <c r="AWJ12" s="78"/>
      <c r="AWK12" s="78"/>
      <c r="AWL12" s="138"/>
      <c r="AWM12" s="76" t="s">
        <v>441</v>
      </c>
      <c r="AWN12" s="854" t="s">
        <v>435</v>
      </c>
      <c r="AWO12" s="855"/>
      <c r="AWP12" s="920" t="s">
        <v>111</v>
      </c>
      <c r="AWQ12" s="921"/>
      <c r="AWR12" s="916" t="s">
        <v>704</v>
      </c>
      <c r="AWS12" s="917"/>
      <c r="AWT12" s="906" t="s">
        <v>447</v>
      </c>
      <c r="AWU12" s="907"/>
      <c r="AWV12" s="907"/>
      <c r="AWW12" s="908"/>
    </row>
    <row r="13" spans="4:1297" ht="48" customHeight="1" thickBot="1">
      <c r="I13" s="75" t="s">
        <v>439</v>
      </c>
      <c r="J13" s="61" t="s">
        <v>450</v>
      </c>
      <c r="K13" s="75" t="s">
        <v>442</v>
      </c>
      <c r="L13" s="75" t="s">
        <v>451</v>
      </c>
      <c r="M13" s="75" t="s">
        <v>714</v>
      </c>
      <c r="S13" s="126"/>
      <c r="T13" s="126"/>
      <c r="U13" s="70"/>
      <c r="AK13" s="118"/>
      <c r="AL13" s="1069" t="s">
        <v>1644</v>
      </c>
      <c r="AM13" s="1070"/>
      <c r="AN13" s="123"/>
      <c r="AO13" s="1069" t="s">
        <v>707</v>
      </c>
      <c r="AP13" s="1070"/>
      <c r="AQ13" s="1070"/>
      <c r="AR13" s="1070"/>
      <c r="AS13" s="1070"/>
      <c r="AT13" s="1070"/>
      <c r="AU13" s="1070"/>
      <c r="AV13" s="1070"/>
      <c r="AW13" s="1070"/>
      <c r="AX13" s="1070"/>
      <c r="AY13" s="1071"/>
      <c r="AZ13" s="118"/>
      <c r="BI13" s="653"/>
      <c r="BJ13" s="653"/>
      <c r="BK13" s="653"/>
      <c r="BL13" s="653"/>
      <c r="BM13" s="653"/>
      <c r="BN13" s="653"/>
      <c r="BO13" s="653"/>
      <c r="BP13" s="653"/>
      <c r="BQ13" s="653"/>
      <c r="BR13" s="653"/>
      <c r="BX13" s="903"/>
      <c r="BY13" s="904"/>
      <c r="BZ13" s="905"/>
      <c r="CA13" s="851"/>
      <c r="CB13" s="1060"/>
      <c r="CC13" s="1061"/>
      <c r="CD13" s="1061"/>
      <c r="CE13" s="769"/>
      <c r="CF13" s="764"/>
      <c r="CG13" s="764"/>
      <c r="CH13" s="764"/>
      <c r="CI13" s="764"/>
      <c r="CJ13" s="764"/>
      <c r="CK13" s="764"/>
      <c r="CL13" s="764"/>
      <c r="CM13" s="1455"/>
      <c r="CN13" s="1456"/>
      <c r="CO13" s="1636"/>
      <c r="CP13" s="1637"/>
      <c r="CQ13" s="842"/>
      <c r="CR13" s="1741"/>
      <c r="CS13" s="1742"/>
      <c r="CT13" s="848"/>
      <c r="CY13" s="130"/>
      <c r="CZ13" s="130"/>
      <c r="DA13" s="130"/>
      <c r="DB13" s="130"/>
      <c r="DC13" s="130"/>
      <c r="DD13" s="130"/>
      <c r="DE13" s="130"/>
      <c r="DF13" s="130"/>
      <c r="DG13" s="130"/>
      <c r="DH13" s="130"/>
      <c r="DI13" s="130"/>
      <c r="DJ13" s="130"/>
      <c r="DK13" s="130"/>
      <c r="DL13" s="130"/>
      <c r="DM13" s="130"/>
      <c r="DZ13" s="903"/>
      <c r="EA13" s="904"/>
      <c r="EB13" s="905"/>
      <c r="EC13" s="851"/>
      <c r="ED13" s="794"/>
      <c r="EE13" s="795"/>
      <c r="EF13" s="795"/>
      <c r="EG13" s="795"/>
      <c r="EH13" s="795"/>
      <c r="EI13" s="795"/>
      <c r="EJ13" s="795"/>
      <c r="EK13" s="795"/>
      <c r="EL13" s="795"/>
      <c r="EM13" s="795"/>
      <c r="EN13" s="796"/>
      <c r="EO13" s="1195"/>
      <c r="EP13" s="1196"/>
      <c r="EQ13" s="1077"/>
      <c r="ER13" s="1078"/>
      <c r="ES13" s="842"/>
      <c r="ET13" s="845"/>
      <c r="EU13" s="846"/>
      <c r="EV13" s="848"/>
      <c r="GF13" s="903"/>
      <c r="GG13" s="904"/>
      <c r="GH13" s="905"/>
      <c r="GI13" s="851"/>
      <c r="GJ13" s="777"/>
      <c r="GK13" s="778"/>
      <c r="GL13" s="778"/>
      <c r="GM13" s="778"/>
      <c r="GN13" s="778"/>
      <c r="GO13" s="778"/>
      <c r="GP13" s="778"/>
      <c r="GQ13" s="778"/>
      <c r="GR13" s="778"/>
      <c r="GS13" s="778"/>
      <c r="GT13" s="778"/>
      <c r="GU13" s="1455"/>
      <c r="GV13" s="1456"/>
      <c r="GW13" s="933"/>
      <c r="GX13" s="934"/>
      <c r="GY13" s="842"/>
      <c r="GZ13" s="918"/>
      <c r="HA13" s="919"/>
      <c r="HB13" s="848"/>
      <c r="HE13" s="130"/>
      <c r="IR13" s="1052"/>
      <c r="IS13" s="852" t="s">
        <v>416</v>
      </c>
      <c r="IT13" s="923"/>
      <c r="IU13" s="532"/>
      <c r="IV13" s="78"/>
      <c r="IW13" s="78"/>
      <c r="IX13" s="78"/>
      <c r="IY13" s="78"/>
      <c r="IZ13" s="78"/>
      <c r="JA13" s="78"/>
      <c r="JB13" s="532"/>
      <c r="JC13" s="76" t="s">
        <v>441</v>
      </c>
      <c r="JD13" s="854" t="s">
        <v>435</v>
      </c>
      <c r="JE13" s="1111"/>
      <c r="JF13" s="1072" t="s">
        <v>111</v>
      </c>
      <c r="JG13" s="1074"/>
      <c r="JH13" s="916" t="s">
        <v>704</v>
      </c>
      <c r="JI13" s="917"/>
      <c r="JJ13" s="906" t="s">
        <v>447</v>
      </c>
      <c r="JK13" s="907"/>
      <c r="JL13" s="907"/>
      <c r="JM13" s="908"/>
      <c r="JN13" s="1051" t="s">
        <v>436</v>
      </c>
      <c r="JO13" s="1051"/>
      <c r="JP13" s="1051"/>
      <c r="JQ13" s="1051"/>
      <c r="JR13" s="1051"/>
      <c r="JZ13" s="185"/>
      <c r="KA13" s="852" t="s">
        <v>832</v>
      </c>
      <c r="KB13" s="923"/>
      <c r="KC13" s="185"/>
      <c r="KD13" s="1069" t="s">
        <v>57</v>
      </c>
      <c r="KE13" s="1070"/>
      <c r="KF13" s="1070"/>
      <c r="KG13" s="1070"/>
      <c r="KH13" s="1070"/>
      <c r="KI13" s="1070"/>
      <c r="KJ13" s="1070"/>
      <c r="KK13" s="1070"/>
      <c r="KL13" s="1070"/>
      <c r="KM13" s="1070"/>
      <c r="KN13" s="1071"/>
      <c r="KO13" s="185"/>
      <c r="LH13" s="211"/>
      <c r="LJ13" s="211"/>
      <c r="LK13" s="211"/>
      <c r="LL13" s="211"/>
      <c r="LM13" s="211"/>
      <c r="LN13" s="211"/>
      <c r="LO13" s="211"/>
      <c r="LP13" s="211"/>
      <c r="LQ13" s="211"/>
      <c r="LR13" s="353"/>
      <c r="LT13" s="353"/>
      <c r="LU13" s="353"/>
      <c r="LV13" s="353"/>
      <c r="LW13" s="353"/>
      <c r="LX13" s="353"/>
      <c r="OK13" s="130"/>
      <c r="OL13" s="130"/>
      <c r="OM13" s="130"/>
      <c r="ON13" s="130"/>
      <c r="OO13" s="130"/>
      <c r="OT13" s="130"/>
      <c r="OU13" s="130"/>
      <c r="OV13" s="130"/>
      <c r="OW13" s="130"/>
      <c r="OX13" s="130"/>
      <c r="OY13" s="130"/>
      <c r="OZ13" s="130"/>
      <c r="PA13" s="130"/>
      <c r="PD13" s="130"/>
      <c r="PE13" s="130"/>
      <c r="PF13" s="130"/>
      <c r="PG13" s="130"/>
      <c r="PH13" s="136"/>
      <c r="PI13" s="891"/>
      <c r="PJ13" s="891"/>
      <c r="PK13" s="891"/>
      <c r="PL13" s="891"/>
      <c r="PM13" s="891"/>
      <c r="PN13" s="891"/>
      <c r="PO13" s="891"/>
      <c r="PP13" s="891"/>
      <c r="PQ13" s="891"/>
      <c r="PR13" s="891"/>
      <c r="PS13" s="891"/>
      <c r="PT13" s="891"/>
      <c r="PU13" s="891"/>
      <c r="PV13" s="891"/>
      <c r="PW13" s="891"/>
      <c r="PX13" s="891"/>
      <c r="PY13" s="891"/>
      <c r="PZ13" s="891"/>
      <c r="QA13" s="891"/>
      <c r="QB13" s="891"/>
      <c r="QC13" s="891"/>
      <c r="QD13" s="891"/>
      <c r="QE13" s="891"/>
      <c r="QF13" s="891"/>
      <c r="QG13" s="891"/>
      <c r="QH13" s="891"/>
      <c r="QI13" s="891"/>
      <c r="QJ13" s="891"/>
      <c r="QK13" s="891"/>
      <c r="QL13" s="891"/>
      <c r="QM13" s="891"/>
      <c r="QN13" s="891"/>
      <c r="QO13" s="891"/>
      <c r="QP13" s="891"/>
      <c r="QQ13" s="891"/>
      <c r="QR13" s="891"/>
      <c r="QS13" s="891"/>
      <c r="QT13" s="891"/>
      <c r="QU13" s="891"/>
      <c r="QV13" s="891"/>
      <c r="QW13" s="891"/>
      <c r="QX13" s="891"/>
      <c r="QY13" s="891"/>
      <c r="QZ13" s="891"/>
      <c r="RA13" s="891"/>
      <c r="RB13" s="891"/>
      <c r="RC13" s="136"/>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849"/>
      <c r="SA13" s="852" t="s">
        <v>416</v>
      </c>
      <c r="SB13" s="853"/>
      <c r="SC13" s="479"/>
      <c r="SD13" s="800" t="s">
        <v>1558</v>
      </c>
      <c r="SE13" s="982"/>
      <c r="SF13" s="801"/>
      <c r="SG13" s="883">
        <f>$PZ$17</f>
        <v>493.21924905867229</v>
      </c>
      <c r="SH13" s="884"/>
      <c r="SI13" s="78"/>
      <c r="SJ13" s="479"/>
      <c r="SK13" s="76" t="s">
        <v>441</v>
      </c>
      <c r="SL13" s="854" t="s">
        <v>435</v>
      </c>
      <c r="SM13" s="855"/>
      <c r="SN13" s="920" t="s">
        <v>111</v>
      </c>
      <c r="SO13" s="921"/>
      <c r="SP13" s="916" t="s">
        <v>704</v>
      </c>
      <c r="SQ13" s="917"/>
      <c r="SR13" s="906" t="s">
        <v>447</v>
      </c>
      <c r="SS13" s="907"/>
      <c r="ST13" s="907"/>
      <c r="SU13" s="908"/>
      <c r="SV13" s="1051" t="s">
        <v>436</v>
      </c>
      <c r="SW13" s="1051"/>
      <c r="SX13" s="1051"/>
      <c r="SY13" s="1051"/>
      <c r="TX13" s="653"/>
      <c r="TY13" s="653"/>
      <c r="TZ13" s="653"/>
      <c r="UA13" s="653"/>
      <c r="UB13" s="653"/>
      <c r="UC13" s="653"/>
      <c r="UD13" s="653"/>
      <c r="UE13" s="653"/>
      <c r="UF13" s="653"/>
      <c r="UG13" s="653"/>
      <c r="UH13" s="653"/>
      <c r="UI13" s="653"/>
      <c r="UJ13" s="653"/>
      <c r="UK13" s="653"/>
      <c r="UL13" s="653"/>
      <c r="UM13" s="653"/>
      <c r="UN13" s="653"/>
      <c r="UO13" s="653"/>
      <c r="UP13" s="653"/>
      <c r="UQ13" s="653"/>
      <c r="UR13" s="653"/>
      <c r="US13" s="653"/>
      <c r="UT13" s="653"/>
      <c r="UU13" s="653"/>
      <c r="UV13" s="653"/>
      <c r="UW13" s="653"/>
      <c r="UX13" s="653"/>
      <c r="UY13" s="653"/>
      <c r="UZ13" s="653"/>
      <c r="VH13" s="130"/>
      <c r="VI13" s="130"/>
      <c r="VJ13" s="130"/>
      <c r="VK13" s="130"/>
      <c r="VL13" s="130"/>
      <c r="VM13" s="130"/>
      <c r="VN13" s="130"/>
      <c r="WE13" s="960"/>
      <c r="WF13" s="961"/>
      <c r="WG13" s="800" t="s">
        <v>1216</v>
      </c>
      <c r="WH13" s="801"/>
      <c r="WI13" s="889">
        <f>$AP$7</f>
        <v>220</v>
      </c>
      <c r="WJ13" s="1270"/>
      <c r="WK13" s="1157"/>
      <c r="WL13" s="1032" t="s">
        <v>5</v>
      </c>
      <c r="WM13" s="1033"/>
      <c r="WN13" s="800" t="s">
        <v>1612</v>
      </c>
      <c r="WO13" s="801"/>
      <c r="WP13" s="883">
        <f>$SN$26</f>
        <v>0.91906384518855788</v>
      </c>
      <c r="WQ13" s="1252"/>
      <c r="WR13" s="1032" t="s">
        <v>32</v>
      </c>
      <c r="WS13" s="1033"/>
      <c r="WT13" s="800" t="s">
        <v>1558</v>
      </c>
      <c r="WU13" s="801"/>
      <c r="WV13" s="883">
        <f>$PZ$31</f>
        <v>493.21924905867229</v>
      </c>
      <c r="WW13" s="884"/>
      <c r="WX13" s="1032" t="s">
        <v>3</v>
      </c>
      <c r="WY13" s="1033"/>
      <c r="WZ13" s="960"/>
      <c r="XA13" s="961"/>
      <c r="XB13" s="162"/>
      <c r="XC13" s="158"/>
      <c r="XD13" s="158"/>
      <c r="XE13" s="158"/>
      <c r="XF13" s="158"/>
      <c r="XG13" s="158"/>
      <c r="XH13" s="158"/>
      <c r="XI13" s="158"/>
      <c r="XJ13" s="158"/>
      <c r="XK13" s="158"/>
      <c r="XL13" s="158"/>
      <c r="XM13" s="158"/>
      <c r="XN13" s="158"/>
      <c r="XO13" s="158"/>
      <c r="XP13" s="158"/>
      <c r="XQ13" s="158"/>
      <c r="XR13" s="158"/>
      <c r="XS13" s="158"/>
      <c r="XT13" s="158"/>
      <c r="XU13" s="158"/>
      <c r="XV13" s="158"/>
      <c r="XW13" s="158"/>
      <c r="XX13" s="158"/>
      <c r="XY13" s="158"/>
      <c r="XZ13" s="158"/>
      <c r="YA13" s="158"/>
      <c r="YB13" s="158"/>
      <c r="YC13" s="158"/>
      <c r="YD13" s="158"/>
      <c r="YE13" s="158"/>
      <c r="YF13" s="158"/>
      <c r="YG13" s="158"/>
      <c r="YH13" s="158"/>
      <c r="YI13" s="158"/>
      <c r="YJ13" s="158"/>
      <c r="YK13" s="158"/>
      <c r="YL13" s="158"/>
      <c r="YM13" s="158"/>
      <c r="YN13" s="158"/>
      <c r="YO13" s="158"/>
      <c r="YP13" s="158"/>
      <c r="YQ13" s="158"/>
      <c r="YR13" s="158"/>
      <c r="YS13" s="158"/>
      <c r="YT13" s="158"/>
      <c r="YU13" s="158"/>
      <c r="YV13" s="158"/>
      <c r="YW13" s="158"/>
      <c r="YX13" s="158"/>
      <c r="YY13" s="158"/>
      <c r="YZ13" s="158"/>
      <c r="ZA13" s="158"/>
      <c r="ZB13" s="158"/>
      <c r="ZC13" s="158"/>
      <c r="ZD13" s="158"/>
      <c r="ZE13" s="158"/>
      <c r="ZF13" s="158"/>
      <c r="ZG13" s="158"/>
      <c r="ZH13" s="158"/>
      <c r="ZI13" s="158"/>
      <c r="ZJ13" s="158"/>
      <c r="ZK13" s="158"/>
      <c r="ZL13" s="158"/>
      <c r="ZM13" s="158"/>
      <c r="ZN13" s="158"/>
      <c r="ZO13" s="158"/>
      <c r="ZP13" s="158"/>
      <c r="ZQ13" s="158"/>
      <c r="ZR13" s="158"/>
      <c r="ZS13" s="158"/>
      <c r="ZT13" s="158"/>
      <c r="ZU13" s="158"/>
      <c r="ZV13" s="158"/>
      <c r="ZW13" s="158"/>
      <c r="ZX13" s="158"/>
      <c r="ZY13" s="158"/>
      <c r="ZZ13" s="158"/>
      <c r="AAA13" s="158"/>
      <c r="AAB13" s="158"/>
      <c r="AAC13" s="158"/>
      <c r="AAD13" s="158"/>
      <c r="AAE13" s="158"/>
      <c r="AAF13" s="158"/>
      <c r="AAG13" s="158"/>
      <c r="AAH13" s="158"/>
      <c r="AAI13" s="158"/>
      <c r="AAJ13" s="158"/>
      <c r="AAK13" s="158"/>
      <c r="AAL13" s="158"/>
      <c r="AAM13" s="158"/>
      <c r="AAN13" s="158"/>
      <c r="AAO13" s="158"/>
      <c r="AAP13" s="158"/>
      <c r="AAQ13" s="158"/>
      <c r="AAR13" s="158"/>
      <c r="AAS13" s="158"/>
      <c r="AAT13" s="163"/>
      <c r="AAU13" s="960"/>
      <c r="AAV13" s="961"/>
      <c r="AAW13" s="960"/>
      <c r="AAX13" s="1101"/>
      <c r="AAY13" s="1101"/>
      <c r="AAZ13" s="1101"/>
      <c r="ABA13" s="961"/>
      <c r="ABE13" s="653"/>
      <c r="ABF13" s="653"/>
      <c r="ABG13" s="653"/>
      <c r="ABH13" s="653"/>
      <c r="ABI13" s="653"/>
      <c r="ABJ13" s="653"/>
      <c r="ACJ13" s="759">
        <v>0.33333333300000001</v>
      </c>
      <c r="ACK13" s="760"/>
      <c r="ACL13" s="759">
        <v>-0.233333333</v>
      </c>
      <c r="ACM13" s="760"/>
      <c r="ACN13" s="592">
        <v>1</v>
      </c>
      <c r="ACO13" s="759">
        <f t="shared" ref="ACO13:ACO62" si="0">ACJ13*ACQ13 + ACL13</f>
        <v>0.10333333333000003</v>
      </c>
      <c r="ACP13" s="760"/>
      <c r="ACQ13" s="757">
        <f t="shared" ref="ACQ13:ACQ44" si="1">(3/$ACN$77 *ACN13) + 1</f>
        <v>1.01</v>
      </c>
      <c r="ACR13" s="758"/>
      <c r="ACT13" s="759">
        <v>0.66666666699999999</v>
      </c>
      <c r="ACU13" s="760"/>
      <c r="ACV13" s="759">
        <v>-0.66666666699999999</v>
      </c>
      <c r="ACW13" s="760"/>
      <c r="ACX13" s="591">
        <v>51</v>
      </c>
      <c r="ACY13" s="759">
        <f>ACT13*ADA13 + ACV13</f>
        <v>0.34000000016999998</v>
      </c>
      <c r="ACZ13" s="760"/>
      <c r="ADA13" s="757">
        <f t="shared" ref="ADA13:ADA44" si="2">(3/$ACN$77 *ACX13) + 1</f>
        <v>1.51</v>
      </c>
      <c r="ADB13" s="758"/>
      <c r="ADD13" s="759">
        <v>1</v>
      </c>
      <c r="ADE13" s="760"/>
      <c r="ADF13" s="759">
        <v>-1.2</v>
      </c>
      <c r="ADG13" s="760"/>
      <c r="ADH13" s="592">
        <v>100</v>
      </c>
      <c r="ADI13" s="759">
        <f t="shared" ref="ADI13:ADI45" si="3">ADD13*ADK13 + ADF13</f>
        <v>0.8</v>
      </c>
      <c r="ADJ13" s="760"/>
      <c r="ADK13" s="757">
        <f t="shared" ref="ADK13:ADK44" si="4">(3/$ACN$77 *ADH13) + 1</f>
        <v>2</v>
      </c>
      <c r="ADL13" s="758"/>
      <c r="ADN13" s="759">
        <v>1.1052631580000001</v>
      </c>
      <c r="ADO13" s="760"/>
      <c r="ADP13" s="759">
        <v>-1.42105263157895</v>
      </c>
      <c r="ADQ13" s="760"/>
      <c r="ADR13" s="591">
        <v>150</v>
      </c>
      <c r="ADS13" s="759">
        <f>ADN13*ADU13 + ADP13</f>
        <v>1.34210526342105</v>
      </c>
      <c r="ADT13" s="760"/>
      <c r="ADU13" s="757">
        <f t="shared" ref="ADU13:ADU44" si="5">(3/$ACN$77 *ADR13) + 1</f>
        <v>2.5</v>
      </c>
      <c r="ADV13" s="758"/>
      <c r="ADX13" s="759">
        <v>1.1052631580000001</v>
      </c>
      <c r="ADY13" s="760"/>
      <c r="ADZ13" s="759">
        <v>-1.42105263157895</v>
      </c>
      <c r="AEA13" s="760"/>
      <c r="AEB13" s="591">
        <v>200</v>
      </c>
      <c r="AEC13" s="759">
        <f>ADX13*AEE13 + ADZ13</f>
        <v>1.8947368424210502</v>
      </c>
      <c r="AED13" s="760"/>
      <c r="AEE13" s="757">
        <f t="shared" ref="AEE13:AEE44" si="6">(3/$ACN$77 *AEB13) + 1</f>
        <v>3</v>
      </c>
      <c r="AEF13" s="758"/>
      <c r="AEH13" s="759">
        <v>1.1052631580000001</v>
      </c>
      <c r="AEI13" s="760"/>
      <c r="AEJ13" s="759">
        <v>-1.42105263157895</v>
      </c>
      <c r="AEK13" s="760"/>
      <c r="AEL13" s="591">
        <v>250</v>
      </c>
      <c r="AEM13" s="759">
        <f>AEH13*AEO13 + AEJ13</f>
        <v>2.4473684214210505</v>
      </c>
      <c r="AEN13" s="760"/>
      <c r="AEO13" s="757">
        <f t="shared" ref="AEO13:AEO44" si="7">(3/$ACN$77 *AEL13) + 1</f>
        <v>3.5</v>
      </c>
      <c r="AEP13" s="758"/>
      <c r="AIT13" s="653"/>
      <c r="AIU13" s="653"/>
      <c r="AIV13" s="653"/>
      <c r="AIW13" s="653"/>
      <c r="AIX13" s="653"/>
      <c r="AIY13" s="591"/>
      <c r="AKV13" s="653"/>
      <c r="AKW13" s="653"/>
      <c r="AKX13" s="653"/>
      <c r="AKY13" s="653"/>
      <c r="AKZ13" s="653"/>
      <c r="ALA13" s="653"/>
      <c r="ALB13" s="653"/>
      <c r="ALC13" s="653"/>
      <c r="ALD13" s="653"/>
      <c r="ALE13" s="653"/>
      <c r="ALF13" s="653"/>
      <c r="ALG13" s="653"/>
      <c r="ALH13" s="653"/>
      <c r="AOL13" s="130"/>
      <c r="AQL13" s="130"/>
      <c r="AQV13" s="653"/>
      <c r="AQW13" s="653"/>
      <c r="AQX13" s="653"/>
      <c r="AQY13" s="653"/>
      <c r="AQZ13" s="653"/>
      <c r="ARA13" s="653"/>
      <c r="ARB13" s="653"/>
      <c r="ARC13" s="653"/>
      <c r="ARD13" s="653"/>
      <c r="ARE13" s="653"/>
      <c r="ARF13" s="653"/>
      <c r="ARG13" s="653"/>
      <c r="ARH13" s="653"/>
      <c r="ARI13" s="653"/>
      <c r="ARJ13" s="653"/>
      <c r="ARK13" s="653"/>
      <c r="ARL13" s="653"/>
      <c r="ARM13" s="653"/>
      <c r="ARN13" s="653"/>
      <c r="ARO13" s="653"/>
      <c r="ATC13" s="903"/>
      <c r="ATD13" s="904"/>
      <c r="ATE13" s="905"/>
      <c r="ATG13" s="903"/>
      <c r="ATH13" s="904"/>
      <c r="ATI13" s="905"/>
      <c r="AWB13" s="850"/>
      <c r="AWC13" s="856"/>
      <c r="AWD13" s="856"/>
      <c r="AWE13" s="856"/>
      <c r="AWF13" s="856"/>
      <c r="AWG13" s="856"/>
      <c r="AWH13" s="856"/>
      <c r="AWI13" s="856"/>
      <c r="AWJ13" s="856"/>
      <c r="AWK13" s="856"/>
      <c r="AWL13" s="856"/>
      <c r="AWM13" s="856"/>
      <c r="AWN13" s="856"/>
      <c r="AWO13" s="856"/>
      <c r="AWP13" s="835"/>
      <c r="AWQ13" s="836"/>
      <c r="AWR13" s="839"/>
      <c r="AWS13" s="840"/>
      <c r="AWT13" s="841"/>
      <c r="AWU13" s="843" t="s">
        <v>416</v>
      </c>
      <c r="AWV13" s="844"/>
      <c r="AWW13" s="847"/>
    </row>
    <row r="14" spans="4:1297" ht="48" customHeight="1" thickBot="1">
      <c r="I14" s="76" t="s">
        <v>441</v>
      </c>
      <c r="J14" s="75" t="s">
        <v>440</v>
      </c>
      <c r="K14" s="75" t="s">
        <v>445</v>
      </c>
      <c r="L14" s="76" t="s">
        <v>793</v>
      </c>
      <c r="M14" s="75" t="s">
        <v>702</v>
      </c>
      <c r="S14" s="126"/>
      <c r="T14" s="126"/>
      <c r="BJ14" s="653"/>
      <c r="BK14" s="653"/>
      <c r="BL14" s="653"/>
      <c r="BM14" s="653"/>
      <c r="BN14" s="653"/>
      <c r="BO14" s="653"/>
      <c r="BP14" s="653"/>
      <c r="BQ14" s="653"/>
      <c r="BR14" s="653"/>
      <c r="BS14" s="66"/>
      <c r="BT14" s="66"/>
      <c r="BX14" s="66"/>
      <c r="BY14" s="66"/>
      <c r="CC14" s="66"/>
      <c r="CD14" s="66"/>
      <c r="CE14" s="66"/>
      <c r="CF14" s="66"/>
      <c r="CG14" s="66"/>
      <c r="CH14" s="66"/>
      <c r="CI14" s="66"/>
      <c r="CJ14" s="66"/>
      <c r="CK14" s="66"/>
      <c r="CL14" s="66"/>
      <c r="CM14" s="66"/>
      <c r="CN14" s="66"/>
      <c r="CY14" s="130"/>
      <c r="CZ14" s="130"/>
      <c r="DA14" s="130"/>
      <c r="DB14" s="130"/>
      <c r="DC14" s="130"/>
      <c r="DD14" s="130"/>
      <c r="DE14" s="130"/>
      <c r="DF14" s="130"/>
      <c r="DG14" s="130"/>
      <c r="DH14" s="130"/>
      <c r="DI14" s="130"/>
      <c r="DJ14" s="130"/>
      <c r="DK14" s="130"/>
      <c r="DL14" s="130"/>
      <c r="DM14" s="130"/>
      <c r="IR14" s="1052"/>
      <c r="IS14" s="531" t="s">
        <v>1085</v>
      </c>
      <c r="IT14" s="861" t="s">
        <v>1564</v>
      </c>
      <c r="IU14" s="861"/>
      <c r="IV14" s="761">
        <f>$EK$49</f>
        <v>25.438111676802539</v>
      </c>
      <c r="IW14" s="761"/>
      <c r="IX14" s="809" t="s">
        <v>61</v>
      </c>
      <c r="IY14" s="797"/>
      <c r="IZ14" s="797"/>
      <c r="JA14" s="797"/>
      <c r="JB14" s="797"/>
      <c r="JC14" s="797"/>
      <c r="JD14" s="797"/>
      <c r="JE14" s="798"/>
      <c r="JF14" s="1167">
        <f>2*IV14/1000*IV15</f>
        <v>77.331859497479712</v>
      </c>
      <c r="JG14" s="840"/>
      <c r="JH14" s="931" t="s">
        <v>32</v>
      </c>
      <c r="JI14" s="932"/>
      <c r="JJ14" s="1066"/>
      <c r="JK14" s="843" t="s">
        <v>1088</v>
      </c>
      <c r="JL14" s="844"/>
      <c r="JM14" s="847"/>
      <c r="JN14" s="1052"/>
      <c r="JO14" s="1052"/>
      <c r="JP14" s="1052"/>
      <c r="JQ14" s="1052"/>
      <c r="JR14" s="1052"/>
      <c r="LH14" s="211"/>
      <c r="LI14" s="211"/>
      <c r="LJ14" s="211"/>
      <c r="LK14" s="211"/>
      <c r="LP14" s="211"/>
      <c r="LQ14" s="211"/>
      <c r="LR14" s="353"/>
      <c r="LS14" s="353"/>
      <c r="LT14" s="353"/>
      <c r="LU14" s="353"/>
      <c r="LV14" s="353"/>
      <c r="LW14" s="353"/>
      <c r="LX14" s="353"/>
      <c r="OT14" s="130"/>
      <c r="OU14" s="130"/>
      <c r="OV14" s="130"/>
      <c r="OW14" s="130"/>
      <c r="OX14" s="130"/>
      <c r="OY14" s="130"/>
      <c r="OZ14" s="130"/>
      <c r="PA14" s="130"/>
      <c r="PB14" s="130"/>
      <c r="PC14" s="130"/>
      <c r="PD14" s="130"/>
      <c r="PE14" s="130"/>
      <c r="PF14" s="130"/>
      <c r="PG14" s="130"/>
      <c r="PH14" s="521"/>
      <c r="PI14" s="379"/>
      <c r="PJ14" s="379"/>
      <c r="PK14" s="379"/>
      <c r="PL14" s="379"/>
      <c r="PM14" s="379"/>
      <c r="PN14" s="379"/>
      <c r="PO14" s="379"/>
      <c r="PP14" s="379"/>
      <c r="PQ14" s="379"/>
      <c r="PR14" s="379"/>
      <c r="PS14" s="379"/>
      <c r="PT14" s="379"/>
      <c r="PU14" s="379"/>
      <c r="PV14" s="379"/>
      <c r="PW14" s="379"/>
      <c r="PX14" s="379"/>
      <c r="PY14" s="379"/>
      <c r="PZ14" s="379"/>
      <c r="QA14" s="379"/>
      <c r="QB14" s="379"/>
      <c r="QC14" s="379"/>
      <c r="QD14" s="379"/>
      <c r="QE14" s="379"/>
      <c r="QF14" s="379"/>
      <c r="QG14" s="379"/>
      <c r="QH14" s="379"/>
      <c r="QI14" s="379"/>
      <c r="QJ14" s="379"/>
      <c r="QK14" s="379"/>
      <c r="QL14" s="379"/>
      <c r="QM14" s="379"/>
      <c r="QN14" s="379"/>
      <c r="QO14" s="379"/>
      <c r="QP14" s="379"/>
      <c r="QQ14" s="379"/>
      <c r="QR14" s="379"/>
      <c r="QS14" s="379"/>
      <c r="QT14" s="379"/>
      <c r="QU14" s="379"/>
      <c r="QV14" s="379"/>
      <c r="QW14" s="379"/>
      <c r="QX14" s="379"/>
      <c r="QY14" s="379"/>
      <c r="QZ14" s="379"/>
      <c r="RA14" s="379"/>
      <c r="RB14" s="379"/>
      <c r="RC14" s="380"/>
      <c r="RE14" s="653"/>
      <c r="RF14" s="653"/>
      <c r="RG14" s="653"/>
      <c r="RH14" s="653"/>
      <c r="RI14" s="653"/>
      <c r="RJ14" s="653"/>
      <c r="RK14" s="653"/>
      <c r="RL14" s="653"/>
      <c r="RM14" s="653"/>
      <c r="RN14" s="653"/>
      <c r="RO14" s="653"/>
      <c r="RP14" s="653"/>
      <c r="RQ14" s="653"/>
      <c r="RR14" s="653"/>
      <c r="RS14" s="653"/>
      <c r="RT14" s="653"/>
      <c r="RU14" s="653"/>
      <c r="RV14" s="653"/>
      <c r="RW14" s="653"/>
      <c r="RX14" s="653"/>
      <c r="RY14" s="653"/>
      <c r="RZ14" s="850"/>
      <c r="SA14" s="332" t="s">
        <v>816</v>
      </c>
      <c r="SB14" s="766">
        <f>$AP$9</f>
        <v>3</v>
      </c>
      <c r="SC14" s="766"/>
      <c r="SD14" s="797" t="s">
        <v>157</v>
      </c>
      <c r="SE14" s="797"/>
      <c r="SF14" s="797"/>
      <c r="SG14" s="797"/>
      <c r="SH14" s="797"/>
      <c r="SI14" s="797"/>
      <c r="SJ14" s="797"/>
      <c r="SK14" s="797"/>
      <c r="SL14" s="797"/>
      <c r="SM14" s="798"/>
      <c r="SN14" s="835">
        <f>SG13/(SB14*(SB15^2))</f>
        <v>0.62254292331678773</v>
      </c>
      <c r="SO14" s="836"/>
      <c r="SP14" s="1253" t="s">
        <v>392</v>
      </c>
      <c r="SQ14" s="1189"/>
      <c r="SR14" s="1066"/>
      <c r="SS14" s="1170" t="s">
        <v>1200</v>
      </c>
      <c r="ST14" s="1172"/>
      <c r="SU14" s="847"/>
      <c r="SV14" s="827"/>
      <c r="SW14" s="947"/>
      <c r="SX14" s="947"/>
      <c r="SY14" s="948"/>
      <c r="TX14" s="653"/>
      <c r="TY14" s="653"/>
      <c r="TZ14" s="653"/>
      <c r="UA14" s="653"/>
      <c r="UB14" s="653"/>
      <c r="UC14" s="653"/>
      <c r="UD14" s="653"/>
      <c r="UE14" s="653"/>
      <c r="UF14" s="653"/>
      <c r="UG14" s="653"/>
      <c r="UH14" s="653"/>
      <c r="UI14" s="653"/>
      <c r="UJ14" s="653"/>
      <c r="UK14" s="653"/>
      <c r="UL14" s="653"/>
      <c r="UM14" s="653"/>
      <c r="UN14" s="653"/>
      <c r="UO14" s="653"/>
      <c r="UP14" s="653"/>
      <c r="UQ14" s="653"/>
      <c r="UR14" s="653"/>
      <c r="US14" s="653"/>
      <c r="UT14" s="653"/>
      <c r="UU14" s="653"/>
      <c r="UV14" s="653"/>
      <c r="UW14" s="653"/>
      <c r="UX14" s="653"/>
      <c r="UY14" s="653"/>
      <c r="UZ14" s="653"/>
      <c r="VC14" s="130"/>
      <c r="VD14" s="130"/>
      <c r="VE14" s="130"/>
      <c r="VF14" s="130"/>
      <c r="VG14" s="130"/>
      <c r="VH14" s="130"/>
      <c r="VI14" s="130"/>
      <c r="VJ14" s="130"/>
      <c r="VK14" s="130"/>
      <c r="VL14" s="130"/>
      <c r="VM14" s="130"/>
      <c r="VN14" s="130"/>
      <c r="WE14" s="960"/>
      <c r="WF14" s="961"/>
      <c r="WG14" s="861" t="s">
        <v>402</v>
      </c>
      <c r="WH14" s="861"/>
      <c r="WI14" s="766">
        <f>$AP$20</f>
        <v>4</v>
      </c>
      <c r="WJ14" s="766"/>
      <c r="WK14" s="766"/>
      <c r="WL14" s="1094" t="s">
        <v>726</v>
      </c>
      <c r="WM14" s="1094"/>
      <c r="WN14" s="800" t="s">
        <v>1455</v>
      </c>
      <c r="WO14" s="801"/>
      <c r="WP14" s="1156">
        <f>$MP$23</f>
        <v>0.14308700299628158</v>
      </c>
      <c r="WQ14" s="1156"/>
      <c r="WR14" s="1032" t="s">
        <v>392</v>
      </c>
      <c r="WS14" s="1033"/>
      <c r="WT14" s="940" t="s">
        <v>1615</v>
      </c>
      <c r="WU14" s="941"/>
      <c r="WV14" s="883">
        <f>$SN$39</f>
        <v>0</v>
      </c>
      <c r="WW14" s="884"/>
      <c r="WX14" s="1032" t="s">
        <v>392</v>
      </c>
      <c r="WY14" s="1033"/>
      <c r="WZ14" s="960"/>
      <c r="XA14" s="961"/>
      <c r="XB14" s="162"/>
      <c r="XC14" s="158"/>
      <c r="XD14" s="158"/>
      <c r="XE14" s="158"/>
      <c r="XF14" s="158"/>
      <c r="XG14" s="158"/>
      <c r="XH14" s="158"/>
      <c r="XI14" s="158"/>
      <c r="XJ14" s="158"/>
      <c r="XK14" s="158"/>
      <c r="XL14" s="158"/>
      <c r="XM14" s="158"/>
      <c r="XN14" s="158"/>
      <c r="XO14" s="158"/>
      <c r="XP14" s="158"/>
      <c r="XQ14" s="158"/>
      <c r="XR14" s="158"/>
      <c r="XS14" s="158"/>
      <c r="XT14" s="158"/>
      <c r="XU14" s="158"/>
      <c r="XV14" s="158"/>
      <c r="XW14" s="158"/>
      <c r="XX14" s="158"/>
      <c r="XY14" s="158"/>
      <c r="XZ14" s="158"/>
      <c r="YA14" s="158"/>
      <c r="YB14" s="158"/>
      <c r="YC14" s="158"/>
      <c r="YD14" s="158"/>
      <c r="YE14" s="158"/>
      <c r="YF14" s="158"/>
      <c r="YG14" s="158"/>
      <c r="YH14" s="158"/>
      <c r="YI14" s="158"/>
      <c r="YJ14" s="158"/>
      <c r="YK14" s="158"/>
      <c r="YL14" s="158"/>
      <c r="YM14" s="158"/>
      <c r="YN14" s="158"/>
      <c r="YO14" s="158"/>
      <c r="YP14" s="158"/>
      <c r="YQ14" s="158"/>
      <c r="YR14" s="158"/>
      <c r="YS14" s="158"/>
      <c r="YT14" s="158"/>
      <c r="YU14" s="158"/>
      <c r="YV14" s="158"/>
      <c r="YW14" s="158"/>
      <c r="YX14" s="158"/>
      <c r="YY14" s="158"/>
      <c r="YZ14" s="158"/>
      <c r="ZA14" s="158"/>
      <c r="ZB14" s="158"/>
      <c r="ZC14" s="158"/>
      <c r="ZD14" s="158"/>
      <c r="ZE14" s="158"/>
      <c r="ZF14" s="158"/>
      <c r="ZG14" s="158"/>
      <c r="ZH14" s="158"/>
      <c r="ZI14" s="158"/>
      <c r="ZJ14" s="158"/>
      <c r="ZK14" s="158"/>
      <c r="ZL14" s="158"/>
      <c r="ZM14" s="158"/>
      <c r="ZN14" s="158"/>
      <c r="ZO14" s="158"/>
      <c r="ZP14" s="158"/>
      <c r="ZQ14" s="158"/>
      <c r="ZR14" s="158"/>
      <c r="ZS14" s="158"/>
      <c r="ZT14" s="158"/>
      <c r="ZU14" s="158"/>
      <c r="ZV14" s="158"/>
      <c r="ZW14" s="158"/>
      <c r="ZX14" s="158"/>
      <c r="ZY14" s="158"/>
      <c r="ZZ14" s="158"/>
      <c r="AAA14" s="158"/>
      <c r="AAB14" s="158"/>
      <c r="AAC14" s="158"/>
      <c r="AAD14" s="158"/>
      <c r="AAE14" s="158"/>
      <c r="AAF14" s="158"/>
      <c r="AAG14" s="158"/>
      <c r="AAH14" s="158"/>
      <c r="AAI14" s="158"/>
      <c r="AAJ14" s="158"/>
      <c r="AAK14" s="158"/>
      <c r="AAL14" s="158"/>
      <c r="AAM14" s="158"/>
      <c r="AAN14" s="158"/>
      <c r="AAO14" s="158"/>
      <c r="AAP14" s="158"/>
      <c r="AAQ14" s="158"/>
      <c r="AAR14" s="158"/>
      <c r="AAS14" s="158"/>
      <c r="AAT14" s="163"/>
      <c r="AAU14" s="960"/>
      <c r="AAV14" s="961"/>
      <c r="AAW14" s="960"/>
      <c r="AAX14" s="1101"/>
      <c r="AAY14" s="1101"/>
      <c r="AAZ14" s="1101"/>
      <c r="ABA14" s="961"/>
      <c r="ABE14" s="653"/>
      <c r="ABF14" s="653"/>
      <c r="ABG14" s="653"/>
      <c r="ABH14" s="653"/>
      <c r="ABI14" s="653"/>
      <c r="ABJ14" s="653"/>
      <c r="ACJ14" s="759">
        <v>0.33333333300000001</v>
      </c>
      <c r="ACK14" s="760"/>
      <c r="ACL14" s="759">
        <v>-0.233333333</v>
      </c>
      <c r="ACM14" s="760"/>
      <c r="ACN14" s="592">
        <v>2</v>
      </c>
      <c r="ACO14" s="759">
        <f t="shared" si="0"/>
        <v>0.10666666665999999</v>
      </c>
      <c r="ACP14" s="760"/>
      <c r="ACQ14" s="757">
        <f t="shared" si="1"/>
        <v>1.02</v>
      </c>
      <c r="ACR14" s="758"/>
      <c r="ACT14" s="759">
        <v>0.66666666699999999</v>
      </c>
      <c r="ACU14" s="760"/>
      <c r="ACV14" s="759">
        <v>-0.66666666699999999</v>
      </c>
      <c r="ACW14" s="760"/>
      <c r="ACX14" s="591">
        <v>52</v>
      </c>
      <c r="ACY14" s="759">
        <f t="shared" ref="ACY14:ACY62" si="8">ACT14*ADA14 + ACV14</f>
        <v>0.34666666683999992</v>
      </c>
      <c r="ACZ14" s="760"/>
      <c r="ADA14" s="757">
        <f t="shared" si="2"/>
        <v>1.52</v>
      </c>
      <c r="ADB14" s="758"/>
      <c r="ADD14" s="759">
        <v>1</v>
      </c>
      <c r="ADE14" s="760"/>
      <c r="ADF14" s="759">
        <v>-1.2</v>
      </c>
      <c r="ADG14" s="760"/>
      <c r="ADH14" s="592">
        <v>101</v>
      </c>
      <c r="ADI14" s="759">
        <f t="shared" si="3"/>
        <v>0.80999999999999983</v>
      </c>
      <c r="ADJ14" s="760"/>
      <c r="ADK14" s="757">
        <f t="shared" si="4"/>
        <v>2.0099999999999998</v>
      </c>
      <c r="ADL14" s="758"/>
      <c r="ADN14" s="759">
        <v>1.1052631580000001</v>
      </c>
      <c r="ADO14" s="760"/>
      <c r="ADP14" s="759">
        <v>-1.42105263157895</v>
      </c>
      <c r="ADQ14" s="760"/>
      <c r="ADR14" s="591">
        <v>151</v>
      </c>
      <c r="ADS14" s="759">
        <f t="shared" ref="ADS14:ADS62" si="9">ADN14*ADU14 + ADP14</f>
        <v>1.3531578950010501</v>
      </c>
      <c r="ADT14" s="760"/>
      <c r="ADU14" s="757">
        <f t="shared" si="5"/>
        <v>2.5099999999999998</v>
      </c>
      <c r="ADV14" s="758"/>
      <c r="ADX14" s="759">
        <v>1.1052631580000001</v>
      </c>
      <c r="ADY14" s="760"/>
      <c r="ADZ14" s="759">
        <v>-1.42105263157895</v>
      </c>
      <c r="AEA14" s="760"/>
      <c r="AEB14" s="591">
        <v>201</v>
      </c>
      <c r="AEC14" s="759">
        <f t="shared" ref="AEC14:AEC62" si="10">ADX14*AEE14 + ADZ14</f>
        <v>1.9057894740010504</v>
      </c>
      <c r="AED14" s="760"/>
      <c r="AEE14" s="757">
        <f t="shared" si="6"/>
        <v>3.0100000000000002</v>
      </c>
      <c r="AEF14" s="758"/>
      <c r="AEH14" s="759">
        <v>1.1052631580000001</v>
      </c>
      <c r="AEI14" s="760"/>
      <c r="AEJ14" s="759">
        <v>-1.42105263157895</v>
      </c>
      <c r="AEK14" s="760"/>
      <c r="AEL14" s="591">
        <v>251</v>
      </c>
      <c r="AEM14" s="759">
        <f t="shared" ref="AEM14:AEM36" si="11">AEH14*AEO14 + AEJ14</f>
        <v>2.4584210530010506</v>
      </c>
      <c r="AEN14" s="760"/>
      <c r="AEO14" s="757">
        <f t="shared" si="7"/>
        <v>3.5100000000000002</v>
      </c>
      <c r="AEP14" s="758"/>
      <c r="AGL14" s="1298" t="s">
        <v>750</v>
      </c>
      <c r="AGM14" s="849"/>
      <c r="AGN14" s="852" t="s">
        <v>416</v>
      </c>
      <c r="AGO14" s="853"/>
      <c r="AGP14" s="138"/>
      <c r="AGQ14" s="78"/>
      <c r="AGR14" s="78"/>
      <c r="AGS14" s="78"/>
      <c r="AGT14" s="78"/>
      <c r="AGU14" s="78"/>
      <c r="AGV14" s="78"/>
      <c r="AGW14" s="138"/>
      <c r="AGX14" s="76" t="s">
        <v>441</v>
      </c>
      <c r="AGY14" s="1296" t="s">
        <v>435</v>
      </c>
      <c r="AGZ14" s="1297"/>
      <c r="AHA14" s="920" t="s">
        <v>111</v>
      </c>
      <c r="AHB14" s="921"/>
      <c r="AHC14" s="916" t="s">
        <v>704</v>
      </c>
      <c r="AHD14" s="917"/>
      <c r="AHE14" s="906" t="s">
        <v>447</v>
      </c>
      <c r="AHF14" s="907"/>
      <c r="AHG14" s="907"/>
      <c r="AHH14" s="908"/>
      <c r="AIU14" s="673"/>
      <c r="AIV14" s="673"/>
      <c r="AIW14" s="673"/>
      <c r="AKV14" s="653"/>
      <c r="AKW14" s="653"/>
      <c r="AKX14" s="653"/>
      <c r="AKY14" s="653"/>
      <c r="AKZ14" s="653"/>
      <c r="ALA14" s="653"/>
      <c r="ALB14" s="653"/>
      <c r="ALC14" s="653"/>
      <c r="ALD14" s="653"/>
      <c r="ALE14" s="653"/>
      <c r="ALF14" s="653"/>
      <c r="ALG14" s="653"/>
      <c r="ALH14" s="653"/>
      <c r="AOL14" s="130"/>
      <c r="AQL14" s="130"/>
      <c r="AQV14" s="653"/>
      <c r="AQW14" s="653"/>
      <c r="AQX14" s="653"/>
      <c r="AQY14" s="653"/>
      <c r="AQZ14" s="653"/>
      <c r="ARA14" s="653"/>
      <c r="ARB14" s="653"/>
      <c r="ARC14" s="653"/>
      <c r="ARD14" s="653"/>
      <c r="ARE14" s="653"/>
      <c r="ARF14" s="653"/>
      <c r="ARG14" s="653"/>
      <c r="ARH14" s="653"/>
      <c r="ARI14" s="653"/>
      <c r="ARJ14" s="653"/>
      <c r="ARK14" s="653"/>
      <c r="ARL14" s="653"/>
      <c r="ARM14" s="653"/>
      <c r="ARN14" s="653"/>
      <c r="ARO14" s="653"/>
      <c r="ARU14" s="849"/>
      <c r="ARV14" s="852" t="s">
        <v>868</v>
      </c>
      <c r="ARW14" s="853"/>
      <c r="ARX14" s="670"/>
      <c r="ARY14" s="78"/>
      <c r="ARZ14" s="78"/>
      <c r="ASA14" s="78"/>
      <c r="ASB14" s="78"/>
      <c r="ASC14" s="78"/>
      <c r="ASD14" s="78"/>
      <c r="ASE14" s="670"/>
      <c r="ASF14" s="76" t="s">
        <v>441</v>
      </c>
      <c r="ASG14" s="854" t="s">
        <v>435</v>
      </c>
      <c r="ASH14" s="1111"/>
      <c r="ASI14" s="920" t="s">
        <v>111</v>
      </c>
      <c r="ASJ14" s="921"/>
      <c r="ASK14" s="916" t="s">
        <v>704</v>
      </c>
      <c r="ASL14" s="917"/>
      <c r="ASM14" s="906" t="s">
        <v>447</v>
      </c>
      <c r="ASN14" s="907"/>
      <c r="ASO14" s="907"/>
      <c r="ASP14" s="908"/>
      <c r="ASQ14" s="906" t="s">
        <v>436</v>
      </c>
      <c r="ASR14" s="907"/>
      <c r="ASS14" s="907"/>
      <c r="AST14" s="907"/>
      <c r="ASU14" s="907"/>
      <c r="ASV14" s="908"/>
      <c r="AWB14" s="851"/>
      <c r="AWC14" s="857"/>
      <c r="AWD14" s="857"/>
      <c r="AWE14" s="857"/>
      <c r="AWF14" s="857"/>
      <c r="AWG14" s="857"/>
      <c r="AWH14" s="857"/>
      <c r="AWI14" s="857"/>
      <c r="AWJ14" s="857"/>
      <c r="AWK14" s="857"/>
      <c r="AWL14" s="857"/>
      <c r="AWM14" s="857"/>
      <c r="AWN14" s="857"/>
      <c r="AWO14" s="857"/>
      <c r="AWP14" s="837"/>
      <c r="AWQ14" s="838"/>
      <c r="AWR14" s="777"/>
      <c r="AWS14" s="799"/>
      <c r="AWT14" s="842"/>
      <c r="AWU14" s="845"/>
      <c r="AWV14" s="846"/>
      <c r="AWW14" s="848"/>
    </row>
    <row r="15" spans="4:1297" ht="48" customHeight="1" thickBot="1">
      <c r="I15" s="76" t="s">
        <v>797</v>
      </c>
      <c r="J15" s="76" t="s">
        <v>794</v>
      </c>
      <c r="K15" s="76" t="s">
        <v>796</v>
      </c>
      <c r="L15" s="76" t="s">
        <v>795</v>
      </c>
      <c r="M15" s="198" t="s">
        <v>848</v>
      </c>
      <c r="S15" s="130"/>
      <c r="T15" s="130"/>
      <c r="AI15" s="849"/>
      <c r="AJ15" s="1684">
        <v>1.1000000000000001</v>
      </c>
      <c r="AK15" s="1684"/>
      <c r="AL15" s="724"/>
      <c r="AM15" s="76" t="s">
        <v>441</v>
      </c>
      <c r="AN15" s="1676" t="s">
        <v>435</v>
      </c>
      <c r="AO15" s="1677"/>
      <c r="AP15" s="1072" t="s">
        <v>111</v>
      </c>
      <c r="AQ15" s="1074"/>
      <c r="AR15" s="916" t="s">
        <v>704</v>
      </c>
      <c r="AS15" s="917"/>
      <c r="AT15" s="1697" t="s">
        <v>447</v>
      </c>
      <c r="AU15" s="1698"/>
      <c r="AV15" s="1698"/>
      <c r="AW15" s="1699"/>
      <c r="AX15" s="1697" t="s">
        <v>436</v>
      </c>
      <c r="AY15" s="1698"/>
      <c r="AZ15" s="1699"/>
      <c r="BJ15" s="653"/>
      <c r="BK15" s="653"/>
      <c r="BL15" s="653"/>
      <c r="BM15" s="653"/>
      <c r="BN15" s="653"/>
      <c r="BO15" s="653"/>
      <c r="BP15" s="653"/>
      <c r="BQ15" s="653"/>
      <c r="BR15" s="653"/>
      <c r="BX15" s="897" t="s">
        <v>974</v>
      </c>
      <c r="BY15" s="898"/>
      <c r="BZ15" s="899"/>
      <c r="CA15" s="849"/>
      <c r="CB15" s="1257" t="s">
        <v>733</v>
      </c>
      <c r="CC15" s="1257"/>
      <c r="CD15" s="124"/>
      <c r="CE15" s="779" t="s">
        <v>1821</v>
      </c>
      <c r="CF15" s="780"/>
      <c r="CG15" s="781"/>
      <c r="CH15" s="75" t="s">
        <v>702</v>
      </c>
      <c r="CI15" s="124"/>
      <c r="CJ15" s="76" t="s">
        <v>441</v>
      </c>
      <c r="CK15" s="854" t="s">
        <v>435</v>
      </c>
      <c r="CL15" s="855"/>
      <c r="CM15" s="920" t="s">
        <v>111</v>
      </c>
      <c r="CN15" s="921"/>
      <c r="CO15" s="916" t="s">
        <v>704</v>
      </c>
      <c r="CP15" s="917"/>
      <c r="CQ15" s="906" t="s">
        <v>447</v>
      </c>
      <c r="CR15" s="907"/>
      <c r="CS15" s="907"/>
      <c r="CT15" s="908"/>
      <c r="DZ15" s="897" t="s">
        <v>973</v>
      </c>
      <c r="EA15" s="898"/>
      <c r="EB15" s="899"/>
      <c r="EC15" s="849"/>
      <c r="ED15" s="852" t="s">
        <v>416</v>
      </c>
      <c r="EE15" s="853"/>
      <c r="EF15" s="724"/>
      <c r="EG15" s="806" t="s">
        <v>1799</v>
      </c>
      <c r="EH15" s="807"/>
      <c r="EI15" s="808"/>
      <c r="EJ15" s="652" t="s">
        <v>451</v>
      </c>
      <c r="EK15" s="712"/>
      <c r="EL15" s="76" t="s">
        <v>441</v>
      </c>
      <c r="EM15" s="854" t="s">
        <v>435</v>
      </c>
      <c r="EN15" s="855"/>
      <c r="EO15" s="920" t="s">
        <v>111</v>
      </c>
      <c r="EP15" s="921"/>
      <c r="EQ15" s="916" t="s">
        <v>704</v>
      </c>
      <c r="ER15" s="917"/>
      <c r="ES15" s="906" t="s">
        <v>447</v>
      </c>
      <c r="ET15" s="907"/>
      <c r="EU15" s="907"/>
      <c r="EV15" s="908"/>
      <c r="FO15" s="653"/>
      <c r="FP15" s="653"/>
      <c r="GA15" s="653"/>
      <c r="GB15" s="653"/>
      <c r="GC15" s="653"/>
      <c r="GD15" s="653"/>
      <c r="GE15" s="653"/>
      <c r="GF15" s="897" t="s">
        <v>973</v>
      </c>
      <c r="GG15" s="898"/>
      <c r="GH15" s="899"/>
      <c r="GI15" s="849"/>
      <c r="GJ15" s="852" t="s">
        <v>416</v>
      </c>
      <c r="GK15" s="853"/>
      <c r="GL15" s="138"/>
      <c r="GM15" s="806" t="s">
        <v>1793</v>
      </c>
      <c r="GN15" s="807"/>
      <c r="GO15" s="808"/>
      <c r="GP15" s="76" t="s">
        <v>451</v>
      </c>
      <c r="GQ15" s="199"/>
      <c r="GR15" s="76" t="s">
        <v>441</v>
      </c>
      <c r="GS15" s="854" t="s">
        <v>435</v>
      </c>
      <c r="GT15" s="855"/>
      <c r="GU15" s="920" t="s">
        <v>111</v>
      </c>
      <c r="GV15" s="921"/>
      <c r="GW15" s="916" t="s">
        <v>704</v>
      </c>
      <c r="GX15" s="917"/>
      <c r="GY15" s="906" t="s">
        <v>447</v>
      </c>
      <c r="GZ15" s="907"/>
      <c r="HA15" s="907"/>
      <c r="HB15" s="908"/>
      <c r="IR15" s="1053"/>
      <c r="IS15" s="1163" t="s">
        <v>1085</v>
      </c>
      <c r="IT15" s="1163"/>
      <c r="IU15" s="1163"/>
      <c r="IV15" s="879">
        <f>$JG$19</f>
        <v>1520</v>
      </c>
      <c r="IW15" s="879"/>
      <c r="IX15" s="777"/>
      <c r="IY15" s="778"/>
      <c r="IZ15" s="778"/>
      <c r="JA15" s="778"/>
      <c r="JB15" s="778"/>
      <c r="JC15" s="778"/>
      <c r="JD15" s="778"/>
      <c r="JE15" s="799"/>
      <c r="JF15" s="1169"/>
      <c r="JG15" s="799"/>
      <c r="JH15" s="933"/>
      <c r="JI15" s="934"/>
      <c r="JJ15" s="1067"/>
      <c r="JK15" s="845"/>
      <c r="JL15" s="846"/>
      <c r="JM15" s="848"/>
      <c r="JN15" s="1053"/>
      <c r="JO15" s="1053"/>
      <c r="JP15" s="1053"/>
      <c r="JQ15" s="1053"/>
      <c r="JR15" s="1053"/>
      <c r="JX15" s="1052"/>
      <c r="JY15" s="852" t="s">
        <v>832</v>
      </c>
      <c r="JZ15" s="923"/>
      <c r="KA15" s="347"/>
      <c r="KB15" s="228" t="s">
        <v>1024</v>
      </c>
      <c r="KC15" s="761">
        <f>$AW$95</f>
        <v>0.19391178434038603</v>
      </c>
      <c r="KD15" s="761"/>
      <c r="KE15" s="136"/>
      <c r="KF15" s="78"/>
      <c r="KG15" s="78"/>
      <c r="KH15" s="136"/>
      <c r="KI15" s="76" t="s">
        <v>441</v>
      </c>
      <c r="KJ15" s="854" t="s">
        <v>435</v>
      </c>
      <c r="KK15" s="855"/>
      <c r="KL15" s="920" t="s">
        <v>111</v>
      </c>
      <c r="KM15" s="921"/>
      <c r="KN15" s="916" t="s">
        <v>704</v>
      </c>
      <c r="KO15" s="917"/>
      <c r="KP15" s="906" t="s">
        <v>447</v>
      </c>
      <c r="KQ15" s="907"/>
      <c r="KR15" s="907"/>
      <c r="KS15" s="908"/>
      <c r="KT15" s="1051" t="s">
        <v>436</v>
      </c>
      <c r="KU15" s="1051"/>
      <c r="KV15" s="1051"/>
      <c r="KW15" s="1051"/>
      <c r="LH15" s="211"/>
      <c r="LI15" s="211"/>
      <c r="LJ15" s="211"/>
      <c r="LK15" s="211"/>
      <c r="LL15" s="211"/>
      <c r="LM15" s="211"/>
      <c r="LN15" s="211"/>
      <c r="LO15" s="211"/>
      <c r="LP15" s="211"/>
      <c r="LQ15" s="211"/>
      <c r="LR15" s="353"/>
      <c r="LS15" s="353"/>
      <c r="LT15" s="353"/>
      <c r="LU15" s="353"/>
      <c r="LV15" s="353"/>
      <c r="LW15" s="353"/>
      <c r="LX15" s="353"/>
      <c r="OY15" s="130"/>
      <c r="OZ15" s="130"/>
      <c r="PA15" s="130"/>
      <c r="PB15" s="130"/>
      <c r="PC15" s="130"/>
      <c r="PD15" s="130"/>
      <c r="PE15" s="130"/>
      <c r="PF15" s="130"/>
      <c r="PH15" s="377"/>
      <c r="PI15" s="373"/>
      <c r="PJ15" s="373"/>
      <c r="PK15" s="373"/>
      <c r="PL15" s="1629" t="s">
        <v>1566</v>
      </c>
      <c r="PM15" s="1630"/>
      <c r="PN15" s="1458" t="s">
        <v>1</v>
      </c>
      <c r="PO15" s="1280"/>
      <c r="PP15" s="1280"/>
      <c r="PQ15" s="1280"/>
      <c r="PR15" s="1281"/>
      <c r="PS15" s="509" t="s">
        <v>1565</v>
      </c>
      <c r="PT15" s="883">
        <f>$AP$5</f>
        <v>30000</v>
      </c>
      <c r="PU15" s="1252"/>
      <c r="PV15" s="884"/>
      <c r="PW15" s="1627" t="s">
        <v>393</v>
      </c>
      <c r="PX15" s="1627"/>
      <c r="PY15" s="512"/>
      <c r="PZ15" s="478" t="s">
        <v>911</v>
      </c>
      <c r="QA15" s="1615" t="str">
        <f>IF(PT22 &lt; 250000,
"Расчет по формуле данной последовательности",
"Данная переменная не используется в расчете")</f>
        <v>Расчет по формуле данной последовательности</v>
      </c>
      <c r="QB15" s="1616"/>
      <c r="QC15" s="1616"/>
      <c r="QD15" s="1616"/>
      <c r="QE15" s="1616"/>
      <c r="QF15" s="1616"/>
      <c r="QG15" s="1616"/>
      <c r="QH15" s="1616"/>
      <c r="QI15" s="1617"/>
      <c r="QJ15" s="373"/>
      <c r="QK15" s="373"/>
      <c r="QL15" s="373"/>
      <c r="QM15" s="373"/>
      <c r="QN15" s="373"/>
      <c r="QO15" s="373"/>
      <c r="QP15" s="373"/>
      <c r="QQ15" s="373"/>
      <c r="QR15" s="373"/>
      <c r="QS15" s="373"/>
      <c r="QT15" s="373"/>
      <c r="QU15" s="373"/>
      <c r="QV15" s="373"/>
      <c r="QW15" s="373"/>
      <c r="QX15" s="373"/>
      <c r="QY15" s="373"/>
      <c r="QZ15" s="373"/>
      <c r="RA15" s="373"/>
      <c r="RB15" s="373"/>
      <c r="RC15" s="374"/>
      <c r="RE15" s="653"/>
      <c r="RF15" s="653"/>
      <c r="RG15" s="653"/>
      <c r="RH15" s="653"/>
      <c r="RI15" s="653"/>
      <c r="RJ15" s="653"/>
      <c r="RK15" s="653"/>
      <c r="RL15" s="653"/>
      <c r="RM15" s="653"/>
      <c r="RN15" s="653"/>
      <c r="RO15" s="653"/>
      <c r="RP15" s="653"/>
      <c r="RQ15" s="653"/>
      <c r="RR15" s="653"/>
      <c r="RS15" s="653"/>
      <c r="RT15" s="653"/>
      <c r="RU15" s="653"/>
      <c r="RV15" s="653"/>
      <c r="RW15" s="653"/>
      <c r="RX15" s="653"/>
      <c r="RY15" s="653"/>
      <c r="RZ15" s="851"/>
      <c r="SA15" s="500" t="s">
        <v>1179</v>
      </c>
      <c r="SB15" s="804">
        <f>$KL$99</f>
        <v>16.250799463770147</v>
      </c>
      <c r="SC15" s="804"/>
      <c r="SD15" s="778"/>
      <c r="SE15" s="778"/>
      <c r="SF15" s="778"/>
      <c r="SG15" s="778"/>
      <c r="SH15" s="778"/>
      <c r="SI15" s="778"/>
      <c r="SJ15" s="778"/>
      <c r="SK15" s="778"/>
      <c r="SL15" s="778"/>
      <c r="SM15" s="799"/>
      <c r="SN15" s="837"/>
      <c r="SO15" s="838"/>
      <c r="SP15" s="1254"/>
      <c r="SQ15" s="1191"/>
      <c r="SR15" s="1067"/>
      <c r="SS15" s="1173"/>
      <c r="ST15" s="1175"/>
      <c r="SU15" s="848"/>
      <c r="SV15" s="828"/>
      <c r="SW15" s="949"/>
      <c r="SX15" s="949"/>
      <c r="SY15" s="950"/>
      <c r="TX15" s="653"/>
      <c r="TY15" s="653"/>
      <c r="TZ15" s="653"/>
      <c r="UA15" s="653"/>
      <c r="UB15" s="653"/>
      <c r="UC15" s="653"/>
      <c r="UD15" s="653"/>
      <c r="UE15" s="653"/>
      <c r="UF15" s="653"/>
      <c r="UG15" s="653"/>
      <c r="UH15" s="653"/>
      <c r="UI15" s="653"/>
      <c r="UJ15" s="653"/>
      <c r="UK15" s="653"/>
      <c r="UL15" s="653"/>
      <c r="UM15" s="653"/>
      <c r="UN15" s="653"/>
      <c r="UO15" s="653"/>
      <c r="UP15" s="653"/>
      <c r="UQ15" s="653"/>
      <c r="UR15" s="653"/>
      <c r="US15" s="653"/>
      <c r="UT15" s="653"/>
      <c r="UU15" s="653"/>
      <c r="UV15" s="653"/>
      <c r="UW15" s="653"/>
      <c r="UX15" s="653"/>
      <c r="UY15" s="653"/>
      <c r="UZ15" s="653"/>
      <c r="VC15" s="130"/>
      <c r="VD15" s="130"/>
      <c r="VE15" s="130"/>
      <c r="VF15" s="130"/>
      <c r="VG15" s="130"/>
      <c r="VH15" s="130"/>
      <c r="VI15" s="130"/>
      <c r="VJ15" s="130"/>
      <c r="VK15" s="130"/>
      <c r="VL15" s="130"/>
      <c r="VM15" s="130"/>
      <c r="VN15" s="130"/>
      <c r="WE15" s="960"/>
      <c r="WF15" s="961"/>
      <c r="WG15" s="861"/>
      <c r="WH15" s="861"/>
      <c r="WI15" s="766"/>
      <c r="WJ15" s="766"/>
      <c r="WK15" s="766"/>
      <c r="WL15" s="1094"/>
      <c r="WM15" s="1094"/>
      <c r="WN15" s="800" t="s">
        <v>1243</v>
      </c>
      <c r="WO15" s="801"/>
      <c r="WP15" s="937">
        <f>$MP$86</f>
        <v>8.0207023726710278E-2</v>
      </c>
      <c r="WQ15" s="937"/>
      <c r="WR15" s="1032" t="s">
        <v>392</v>
      </c>
      <c r="WS15" s="1033"/>
      <c r="WT15" s="800" t="s">
        <v>1679</v>
      </c>
      <c r="WU15" s="801"/>
      <c r="WV15" s="951">
        <f>$SN$43</f>
        <v>0.8003400905890462</v>
      </c>
      <c r="WW15" s="952"/>
      <c r="WX15" s="1032" t="s">
        <v>392</v>
      </c>
      <c r="WY15" s="1033"/>
      <c r="WZ15" s="960"/>
      <c r="XA15" s="961"/>
      <c r="XB15" s="162"/>
      <c r="XC15" s="158"/>
      <c r="XD15" s="158"/>
      <c r="XE15" s="158"/>
      <c r="XF15" s="158"/>
      <c r="XG15" s="158"/>
      <c r="XH15" s="158"/>
      <c r="XI15" s="158"/>
      <c r="XJ15" s="158"/>
      <c r="XK15" s="158"/>
      <c r="XL15" s="158"/>
      <c r="XM15" s="158"/>
      <c r="XN15" s="158"/>
      <c r="XO15" s="158"/>
      <c r="XP15" s="158"/>
      <c r="XQ15" s="158"/>
      <c r="XR15" s="158"/>
      <c r="XS15" s="158"/>
      <c r="XT15" s="158"/>
      <c r="XU15" s="158"/>
      <c r="XV15" s="158"/>
      <c r="XW15" s="158"/>
      <c r="XX15" s="158"/>
      <c r="XY15" s="158"/>
      <c r="XZ15" s="158"/>
      <c r="YA15" s="158"/>
      <c r="YB15" s="158"/>
      <c r="YC15" s="158"/>
      <c r="YD15" s="158"/>
      <c r="YE15" s="158"/>
      <c r="YF15" s="158"/>
      <c r="YG15" s="158"/>
      <c r="YH15" s="158"/>
      <c r="YI15" s="158"/>
      <c r="YJ15" s="158"/>
      <c r="YK15" s="158"/>
      <c r="YL15" s="158"/>
      <c r="YM15" s="158"/>
      <c r="YN15" s="158"/>
      <c r="YO15" s="158"/>
      <c r="YP15" s="158"/>
      <c r="YQ15" s="158"/>
      <c r="YR15" s="158"/>
      <c r="YS15" s="158"/>
      <c r="YT15" s="158"/>
      <c r="YU15" s="158"/>
      <c r="YV15" s="158"/>
      <c r="YW15" s="158"/>
      <c r="YX15" s="158"/>
      <c r="YY15" s="158"/>
      <c r="YZ15" s="158"/>
      <c r="ZA15" s="158"/>
      <c r="ZB15" s="158"/>
      <c r="ZC15" s="158"/>
      <c r="ZD15" s="158"/>
      <c r="ZE15" s="158"/>
      <c r="ZF15" s="158"/>
      <c r="ZG15" s="158"/>
      <c r="ZH15" s="158"/>
      <c r="ZI15" s="158"/>
      <c r="ZJ15" s="158"/>
      <c r="ZK15" s="158"/>
      <c r="ZL15" s="158"/>
      <c r="ZM15" s="158"/>
      <c r="ZN15" s="158"/>
      <c r="ZO15" s="158"/>
      <c r="ZP15" s="158"/>
      <c r="ZQ15" s="158"/>
      <c r="ZR15" s="158"/>
      <c r="ZS15" s="158"/>
      <c r="ZT15" s="158"/>
      <c r="ZU15" s="158"/>
      <c r="ZV15" s="158"/>
      <c r="ZW15" s="158"/>
      <c r="ZX15" s="158"/>
      <c r="ZY15" s="158"/>
      <c r="ZZ15" s="158"/>
      <c r="AAA15" s="158"/>
      <c r="AAB15" s="158"/>
      <c r="AAC15" s="158"/>
      <c r="AAD15" s="158"/>
      <c r="AAE15" s="158"/>
      <c r="AAF15" s="158"/>
      <c r="AAG15" s="158"/>
      <c r="AAH15" s="158"/>
      <c r="AAI15" s="158"/>
      <c r="AAJ15" s="158"/>
      <c r="AAK15" s="158"/>
      <c r="AAL15" s="158"/>
      <c r="AAM15" s="158"/>
      <c r="AAN15" s="158"/>
      <c r="AAO15" s="158"/>
      <c r="AAP15" s="158"/>
      <c r="AAQ15" s="158"/>
      <c r="AAR15" s="158"/>
      <c r="AAS15" s="158"/>
      <c r="AAT15" s="163"/>
      <c r="AAU15" s="960"/>
      <c r="AAV15" s="961"/>
      <c r="AAW15" s="960"/>
      <c r="AAX15" s="1101"/>
      <c r="AAY15" s="1101"/>
      <c r="AAZ15" s="1101"/>
      <c r="ABA15" s="961"/>
      <c r="ABE15" s="653"/>
      <c r="ABF15" s="653"/>
      <c r="ABG15" s="856" t="s">
        <v>1692</v>
      </c>
      <c r="ABH15" s="856"/>
      <c r="ABI15" s="856" t="s">
        <v>1693</v>
      </c>
      <c r="ABJ15" s="856"/>
      <c r="ABK15" s="856" t="s">
        <v>1585</v>
      </c>
      <c r="ABL15" s="856"/>
      <c r="ABM15" s="856" t="s">
        <v>829</v>
      </c>
      <c r="ABN15" s="856"/>
      <c r="ACJ15" s="759">
        <v>0.33333333300000001</v>
      </c>
      <c r="ACK15" s="760"/>
      <c r="ACL15" s="759">
        <v>-0.233333333</v>
      </c>
      <c r="ACM15" s="760"/>
      <c r="ACN15" s="592">
        <v>3</v>
      </c>
      <c r="ACO15" s="759">
        <f t="shared" si="0"/>
        <v>0.10999999999000001</v>
      </c>
      <c r="ACP15" s="760"/>
      <c r="ACQ15" s="757">
        <f t="shared" si="1"/>
        <v>1.03</v>
      </c>
      <c r="ACR15" s="758"/>
      <c r="ACT15" s="759">
        <v>0.66666666699999999</v>
      </c>
      <c r="ACU15" s="760"/>
      <c r="ACV15" s="759">
        <v>-0.66666666699999999</v>
      </c>
      <c r="ACW15" s="760"/>
      <c r="ACX15" s="591">
        <v>53</v>
      </c>
      <c r="ACY15" s="759">
        <f t="shared" si="8"/>
        <v>0.35333333351000007</v>
      </c>
      <c r="ACZ15" s="760"/>
      <c r="ADA15" s="757">
        <f t="shared" si="2"/>
        <v>1.53</v>
      </c>
      <c r="ADB15" s="758"/>
      <c r="ADD15" s="759">
        <v>1</v>
      </c>
      <c r="ADE15" s="760"/>
      <c r="ADF15" s="759">
        <v>-1.2</v>
      </c>
      <c r="ADG15" s="760"/>
      <c r="ADH15" s="592">
        <v>102</v>
      </c>
      <c r="ADI15" s="759">
        <f t="shared" si="3"/>
        <v>0.82000000000000006</v>
      </c>
      <c r="ADJ15" s="760"/>
      <c r="ADK15" s="757">
        <f t="shared" si="4"/>
        <v>2.02</v>
      </c>
      <c r="ADL15" s="758"/>
      <c r="ADN15" s="759">
        <v>1.1052631580000001</v>
      </c>
      <c r="ADO15" s="760"/>
      <c r="ADP15" s="759">
        <v>-1.42105263157895</v>
      </c>
      <c r="ADQ15" s="760"/>
      <c r="ADR15" s="591">
        <v>152</v>
      </c>
      <c r="ADS15" s="759">
        <f t="shared" si="9"/>
        <v>1.3642105265810502</v>
      </c>
      <c r="ADT15" s="760"/>
      <c r="ADU15" s="757">
        <f t="shared" si="5"/>
        <v>2.52</v>
      </c>
      <c r="ADV15" s="758"/>
      <c r="ADX15" s="759">
        <v>1.1052631580000001</v>
      </c>
      <c r="ADY15" s="760"/>
      <c r="ADZ15" s="759">
        <v>-1.42105263157895</v>
      </c>
      <c r="AEA15" s="760"/>
      <c r="AEB15" s="591">
        <v>202</v>
      </c>
      <c r="AEC15" s="759">
        <f t="shared" si="10"/>
        <v>1.9168421055810501</v>
      </c>
      <c r="AED15" s="760"/>
      <c r="AEE15" s="757">
        <f t="shared" si="6"/>
        <v>3.02</v>
      </c>
      <c r="AEF15" s="758"/>
      <c r="AEH15" s="759">
        <v>1.1052631580000001</v>
      </c>
      <c r="AEI15" s="760"/>
      <c r="AEJ15" s="759">
        <v>-1.42105263157895</v>
      </c>
      <c r="AEK15" s="760"/>
      <c r="AEL15" s="591">
        <v>252</v>
      </c>
      <c r="AEM15" s="759">
        <f t="shared" si="11"/>
        <v>2.4694736845810503</v>
      </c>
      <c r="AEN15" s="760"/>
      <c r="AEO15" s="757">
        <f t="shared" si="7"/>
        <v>3.52</v>
      </c>
      <c r="AEP15" s="758"/>
      <c r="AGL15" s="1299"/>
      <c r="AGM15" s="850"/>
      <c r="AGN15" s="775" t="s">
        <v>1444</v>
      </c>
      <c r="AGO15" s="776"/>
      <c r="AGP15" s="776"/>
      <c r="AGQ15" s="776"/>
      <c r="AGR15" s="776"/>
      <c r="AGS15" s="776"/>
      <c r="AGT15" s="776"/>
      <c r="AGU15" s="776"/>
      <c r="AGV15" s="776"/>
      <c r="AGW15" s="776"/>
      <c r="AGX15" s="776"/>
      <c r="AGY15" s="776"/>
      <c r="AGZ15" s="815"/>
      <c r="AHA15" s="1054">
        <v>1</v>
      </c>
      <c r="AHB15" s="1055"/>
      <c r="AHC15" s="839"/>
      <c r="AHD15" s="840"/>
      <c r="AHE15" s="841"/>
      <c r="AHF15" s="1170" t="s">
        <v>1199</v>
      </c>
      <c r="AHG15" s="1172"/>
      <c r="AHH15" s="847"/>
      <c r="AIU15" s="673"/>
      <c r="AIV15" s="673"/>
      <c r="AIW15" s="673"/>
      <c r="AKV15" s="653"/>
      <c r="AKW15" s="653"/>
      <c r="AKX15" s="653"/>
      <c r="AKY15" s="653"/>
      <c r="AKZ15" s="653"/>
      <c r="ALA15" s="653"/>
      <c r="ALB15" s="653"/>
      <c r="ALC15" s="653"/>
      <c r="ALD15" s="653"/>
      <c r="ALE15" s="653"/>
      <c r="ALF15" s="653"/>
      <c r="ALG15" s="653"/>
      <c r="ALH15" s="653"/>
      <c r="AOL15" s="130"/>
      <c r="AQL15" s="130"/>
      <c r="AQV15" s="653"/>
      <c r="AQW15" s="653"/>
      <c r="AQX15" s="653"/>
      <c r="AQY15" s="653"/>
      <c r="AQZ15" s="653"/>
      <c r="ARA15" s="653"/>
      <c r="ARB15" s="653"/>
      <c r="ARC15" s="653"/>
      <c r="ARD15" s="653"/>
      <c r="ARE15" s="653"/>
      <c r="ARF15" s="653"/>
      <c r="ARG15" s="653"/>
      <c r="ARH15" s="653"/>
      <c r="ARI15" s="653"/>
      <c r="ARJ15" s="653"/>
      <c r="ARK15" s="653"/>
      <c r="ARL15" s="653"/>
      <c r="ARM15" s="653"/>
      <c r="ARN15" s="653"/>
      <c r="ARO15" s="653"/>
      <c r="ARU15" s="850"/>
      <c r="ARV15" s="861" t="s">
        <v>1601</v>
      </c>
      <c r="ARW15" s="861"/>
      <c r="ARX15" s="937">
        <f>$PZ$126</f>
        <v>636.19943197840848</v>
      </c>
      <c r="ARY15" s="937"/>
      <c r="ARZ15" s="792" t="s">
        <v>141</v>
      </c>
      <c r="ASA15" s="792"/>
      <c r="ASB15" s="792"/>
      <c r="ASC15" s="792"/>
      <c r="ASD15" s="792"/>
      <c r="ASE15" s="792"/>
      <c r="ASF15" s="792"/>
      <c r="ASG15" s="792"/>
      <c r="ASH15" s="793"/>
      <c r="ASI15" s="885" t="e">
        <f>ASJ20*(ARB60+PZ17)/(3.14*AP49*#REF!*ASI115)</f>
        <v>#REF!</v>
      </c>
      <c r="ASJ15" s="886"/>
      <c r="ASK15" s="839"/>
      <c r="ASL15" s="840"/>
      <c r="ASM15" s="841"/>
      <c r="ASN15" s="843" t="s">
        <v>416</v>
      </c>
      <c r="ASO15" s="844"/>
      <c r="ASP15" s="847"/>
      <c r="ASQ15" s="826"/>
      <c r="ASR15" s="945"/>
      <c r="ASS15" s="945"/>
      <c r="AST15" s="945"/>
      <c r="ASU15" s="945"/>
      <c r="ASV15" s="946"/>
    </row>
    <row r="16" spans="4:1297" ht="48" customHeight="1" thickBot="1">
      <c r="H16" s="143"/>
      <c r="I16" s="76" t="s">
        <v>799</v>
      </c>
      <c r="J16" s="76" t="s">
        <v>801</v>
      </c>
      <c r="K16" s="76" t="s">
        <v>798</v>
      </c>
      <c r="L16" s="76" t="s">
        <v>800</v>
      </c>
      <c r="M16" s="76"/>
      <c r="N16" s="143"/>
      <c r="O16" s="143"/>
      <c r="AI16" s="850"/>
      <c r="AJ16" s="725" t="s">
        <v>1570</v>
      </c>
      <c r="AK16" s="766">
        <f>$AP$6</f>
        <v>1500</v>
      </c>
      <c r="AL16" s="766"/>
      <c r="AM16" s="768" t="s">
        <v>7</v>
      </c>
      <c r="AN16" s="762"/>
      <c r="AO16" s="763"/>
      <c r="AP16" s="1442">
        <f>(60*AK17)/AK16</f>
        <v>2</v>
      </c>
      <c r="AQ16" s="1443"/>
      <c r="AR16" s="1183" t="s">
        <v>726</v>
      </c>
      <c r="AS16" s="1184"/>
      <c r="AT16" s="841"/>
      <c r="AU16" s="893" t="s">
        <v>448</v>
      </c>
      <c r="AV16" s="894"/>
      <c r="AW16" s="847"/>
      <c r="AX16" s="826"/>
      <c r="AY16" s="945"/>
      <c r="AZ16" s="946"/>
      <c r="BO16" s="653"/>
      <c r="BP16" s="653"/>
      <c r="BQ16" s="653"/>
      <c r="BR16" s="653"/>
      <c r="BX16" s="900"/>
      <c r="BY16" s="901"/>
      <c r="BZ16" s="902"/>
      <c r="CA16" s="850"/>
      <c r="CB16" s="810" t="s">
        <v>890</v>
      </c>
      <c r="CC16" s="770"/>
      <c r="CD16" s="770"/>
      <c r="CE16" s="770"/>
      <c r="CF16" s="770"/>
      <c r="CG16" s="770"/>
      <c r="CH16" s="770"/>
      <c r="CI16" s="770"/>
      <c r="CJ16" s="770"/>
      <c r="CK16" s="770"/>
      <c r="CL16" s="771"/>
      <c r="CM16" s="1453">
        <v>1.2E-2</v>
      </c>
      <c r="CN16" s="1454"/>
      <c r="CO16" s="1634" t="s">
        <v>706</v>
      </c>
      <c r="CP16" s="1635"/>
      <c r="CQ16" s="841"/>
      <c r="CR16" s="1739" t="s">
        <v>772</v>
      </c>
      <c r="CS16" s="1740"/>
      <c r="CT16" s="847"/>
      <c r="DZ16" s="900"/>
      <c r="EA16" s="901"/>
      <c r="EB16" s="902"/>
      <c r="EC16" s="850"/>
      <c r="ED16" s="791" t="s">
        <v>1767</v>
      </c>
      <c r="EE16" s="792"/>
      <c r="EF16" s="792"/>
      <c r="EG16" s="792"/>
      <c r="EH16" s="792"/>
      <c r="EI16" s="792"/>
      <c r="EJ16" s="792"/>
      <c r="EK16" s="792"/>
      <c r="EL16" s="792"/>
      <c r="EM16" s="792"/>
      <c r="EN16" s="792"/>
      <c r="EO16" s="1193">
        <v>1.85</v>
      </c>
      <c r="EP16" s="1194"/>
      <c r="EQ16" s="1075" t="s">
        <v>17</v>
      </c>
      <c r="ER16" s="1076"/>
      <c r="ES16" s="841"/>
      <c r="ET16" s="843" t="s">
        <v>948</v>
      </c>
      <c r="EU16" s="844"/>
      <c r="EV16" s="847"/>
      <c r="FO16" s="653"/>
      <c r="FP16" s="653"/>
      <c r="GA16" s="653"/>
      <c r="GB16" s="653"/>
      <c r="GC16" s="653"/>
      <c r="GD16" s="653"/>
      <c r="GE16" s="653"/>
      <c r="GF16" s="900"/>
      <c r="GG16" s="901"/>
      <c r="GH16" s="902"/>
      <c r="GI16" s="850"/>
      <c r="GJ16" s="809" t="s">
        <v>952</v>
      </c>
      <c r="GK16" s="797"/>
      <c r="GL16" s="797"/>
      <c r="GM16" s="797"/>
      <c r="GN16" s="797"/>
      <c r="GO16" s="797"/>
      <c r="GP16" s="797"/>
      <c r="GQ16" s="797"/>
      <c r="GR16" s="797"/>
      <c r="GS16" s="797"/>
      <c r="GT16" s="798"/>
      <c r="GU16" s="1640">
        <v>46</v>
      </c>
      <c r="GV16" s="1641"/>
      <c r="GW16" s="1183" t="s">
        <v>726</v>
      </c>
      <c r="GX16" s="1184"/>
      <c r="GY16" s="841"/>
      <c r="GZ16" s="893" t="s">
        <v>955</v>
      </c>
      <c r="HA16" s="894"/>
      <c r="HB16" s="847"/>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X16" s="1052"/>
      <c r="JY16" s="348" t="s">
        <v>763</v>
      </c>
      <c r="JZ16" s="1156">
        <f>$CL$91</f>
        <v>1.4832006266367067E-2</v>
      </c>
      <c r="KA16" s="1156"/>
      <c r="KB16" s="225" t="s">
        <v>1014</v>
      </c>
      <c r="KC16" s="761">
        <f>$EJ$37</f>
        <v>0.97</v>
      </c>
      <c r="KD16" s="761"/>
      <c r="KE16" s="791" t="s">
        <v>57</v>
      </c>
      <c r="KF16" s="792"/>
      <c r="KG16" s="792"/>
      <c r="KH16" s="792"/>
      <c r="KI16" s="792"/>
      <c r="KJ16" s="792"/>
      <c r="KK16" s="793"/>
      <c r="KL16" s="835">
        <f>(JZ16*1000)/(2*JZ17*KC15*KC16)</f>
        <v>1.6000000000000005</v>
      </c>
      <c r="KM16" s="836"/>
      <c r="KN16" s="1075" t="s">
        <v>17</v>
      </c>
      <c r="KO16" s="1076"/>
      <c r="KP16" s="841"/>
      <c r="KQ16" s="843" t="s">
        <v>947</v>
      </c>
      <c r="KR16" s="844"/>
      <c r="KS16" s="847"/>
      <c r="KT16" s="827"/>
      <c r="KU16" s="947"/>
      <c r="KV16" s="947"/>
      <c r="KW16" s="948"/>
      <c r="LH16" s="211"/>
      <c r="LI16" s="211"/>
      <c r="LJ16" s="211"/>
      <c r="LK16" s="211"/>
      <c r="LL16" s="211"/>
      <c r="LM16" s="211"/>
      <c r="LN16" s="211"/>
      <c r="LO16" s="211"/>
      <c r="LP16" s="211"/>
      <c r="LQ16" s="211"/>
      <c r="LR16" s="353"/>
      <c r="LS16" s="353"/>
      <c r="LT16" s="353"/>
      <c r="LU16" s="353"/>
      <c r="LV16" s="353"/>
      <c r="LW16" s="353"/>
      <c r="LX16" s="353"/>
      <c r="MB16" s="1023"/>
      <c r="MC16" s="1024"/>
      <c r="MD16" s="1025"/>
      <c r="ME16" s="791" t="s">
        <v>1227</v>
      </c>
      <c r="MF16" s="792"/>
      <c r="MG16" s="792"/>
      <c r="MH16" s="792"/>
      <c r="MI16" s="792"/>
      <c r="MJ16" s="792"/>
      <c r="MK16" s="1063" t="s">
        <v>1224</v>
      </c>
      <c r="ML16" s="1064"/>
      <c r="MM16" s="1065"/>
      <c r="MN16" s="1063" t="s">
        <v>1225</v>
      </c>
      <c r="MO16" s="1064"/>
      <c r="MP16" s="1065"/>
      <c r="MQ16" s="1063" t="s">
        <v>1226</v>
      </c>
      <c r="MR16" s="1064"/>
      <c r="MS16" s="1065"/>
      <c r="MT16" s="1258" t="s">
        <v>1235</v>
      </c>
      <c r="MU16" s="1259"/>
      <c r="MV16" s="1259"/>
      <c r="MW16" s="1260"/>
      <c r="MX16" s="160"/>
      <c r="MY16" s="160"/>
      <c r="MZ16" s="160"/>
      <c r="NA16" s="161"/>
      <c r="OT16" s="130"/>
      <c r="OU16" s="130"/>
      <c r="OV16" s="130"/>
      <c r="OW16" s="130"/>
      <c r="OX16" s="130"/>
      <c r="PA16" s="130"/>
      <c r="PB16" s="130"/>
      <c r="PC16" s="130"/>
      <c r="PD16" s="130"/>
      <c r="PE16" s="130"/>
      <c r="PF16" s="130"/>
      <c r="PH16" s="377"/>
      <c r="PI16" s="373"/>
      <c r="PJ16" s="54"/>
      <c r="PK16" s="54"/>
      <c r="PL16" s="197" t="s">
        <v>849</v>
      </c>
      <c r="PM16" s="1257" t="s">
        <v>416</v>
      </c>
      <c r="PN16" s="1257"/>
      <c r="PO16" s="511"/>
      <c r="PP16" s="510" t="s">
        <v>1105</v>
      </c>
      <c r="PQ16" s="761">
        <f>$KL$16</f>
        <v>1.6000000000000005</v>
      </c>
      <c r="PR16" s="761"/>
      <c r="PS16" s="509" t="s">
        <v>425</v>
      </c>
      <c r="PT16" s="890">
        <f>$QA$53</f>
        <v>1.5</v>
      </c>
      <c r="PU16" s="890"/>
      <c r="PV16" s="511"/>
      <c r="PW16" s="76" t="s">
        <v>441</v>
      </c>
      <c r="PX16" s="854" t="s">
        <v>435</v>
      </c>
      <c r="PY16" s="855"/>
      <c r="PZ16" s="920" t="s">
        <v>111</v>
      </c>
      <c r="QA16" s="921"/>
      <c r="QB16" s="916" t="s">
        <v>704</v>
      </c>
      <c r="QC16" s="922"/>
      <c r="QD16" s="1051" t="s">
        <v>447</v>
      </c>
      <c r="QE16" s="1051"/>
      <c r="QF16" s="1051"/>
      <c r="QG16" s="1051"/>
      <c r="QH16" s="1051"/>
      <c r="QI16" s="1051" t="s">
        <v>436</v>
      </c>
      <c r="QJ16" s="1051"/>
      <c r="QK16" s="1051"/>
      <c r="QL16" s="1051"/>
      <c r="QM16" s="1051"/>
      <c r="QN16" s="1051"/>
      <c r="QO16" s="1051"/>
      <c r="QP16" s="1051"/>
      <c r="QQ16" s="1051"/>
      <c r="QR16" s="1051"/>
      <c r="QS16" s="1051"/>
      <c r="QT16" s="1051"/>
      <c r="QU16" s="1051"/>
      <c r="QV16" s="1051"/>
      <c r="QW16" s="1051"/>
      <c r="QX16" s="1051"/>
      <c r="QY16" s="1051"/>
      <c r="QZ16" s="1051"/>
      <c r="RA16" s="373"/>
      <c r="RB16" s="373"/>
      <c r="RC16" s="374"/>
      <c r="RE16" s="653"/>
      <c r="RF16" s="653"/>
      <c r="RG16" s="653"/>
      <c r="RH16" s="653"/>
      <c r="RI16" s="653"/>
      <c r="RJ16" s="653"/>
      <c r="RK16" s="653"/>
      <c r="RL16" s="653"/>
      <c r="RM16" s="653"/>
      <c r="RN16" s="653"/>
      <c r="RO16" s="653"/>
      <c r="RP16" s="653"/>
      <c r="RQ16" s="653"/>
      <c r="RR16" s="653"/>
      <c r="RS16" s="653"/>
      <c r="RT16" s="653"/>
      <c r="RU16" s="653"/>
      <c r="RV16" s="653"/>
      <c r="RW16" s="653"/>
      <c r="RX16" s="653"/>
      <c r="RY16" s="653"/>
      <c r="TX16" s="653"/>
      <c r="TY16" s="653"/>
      <c r="TZ16" s="653"/>
      <c r="UA16" s="653"/>
      <c r="UB16" s="653"/>
      <c r="UC16" s="653"/>
      <c r="UD16" s="653"/>
      <c r="UE16" s="653"/>
      <c r="UF16" s="653"/>
      <c r="UG16" s="653"/>
      <c r="UH16" s="653"/>
      <c r="UI16" s="653"/>
      <c r="UJ16" s="653"/>
      <c r="UK16" s="653"/>
      <c r="UL16" s="653"/>
      <c r="UM16" s="653"/>
      <c r="UN16" s="653"/>
      <c r="UO16" s="653"/>
      <c r="UP16" s="653"/>
      <c r="UQ16" s="653"/>
      <c r="UR16" s="653"/>
      <c r="US16" s="653"/>
      <c r="UT16" s="653"/>
      <c r="UU16" s="653"/>
      <c r="UV16" s="653"/>
      <c r="UW16" s="653"/>
      <c r="UX16" s="653"/>
      <c r="UY16" s="653"/>
      <c r="UZ16" s="653"/>
      <c r="VC16" s="130"/>
      <c r="VD16" s="130"/>
      <c r="VE16" s="130"/>
      <c r="VF16" s="130"/>
      <c r="VG16" s="130"/>
      <c r="VH16" s="130"/>
      <c r="VI16" s="130"/>
      <c r="VJ16" s="130"/>
      <c r="VK16" s="130"/>
      <c r="VL16" s="130"/>
      <c r="VM16" s="130"/>
      <c r="VN16" s="130"/>
      <c r="WE16" s="962"/>
      <c r="WF16" s="963"/>
      <c r="WG16" s="940" t="s">
        <v>1617</v>
      </c>
      <c r="WH16" s="941"/>
      <c r="WI16" s="951">
        <f>$SN$31</f>
        <v>1.0583836777160964</v>
      </c>
      <c r="WJ16" s="1145"/>
      <c r="WK16" s="952"/>
      <c r="WL16" s="1032" t="s">
        <v>392</v>
      </c>
      <c r="WM16" s="1033"/>
      <c r="WN16" s="800" t="s">
        <v>1680</v>
      </c>
      <c r="WO16" s="801"/>
      <c r="WP16" s="951">
        <f>$SN$35</f>
        <v>0.14720472630561454</v>
      </c>
      <c r="WQ16" s="952"/>
      <c r="WR16" s="1032" t="s">
        <v>392</v>
      </c>
      <c r="WS16" s="1033"/>
      <c r="WT16" s="940" t="s">
        <v>1350</v>
      </c>
      <c r="WU16" s="941"/>
      <c r="WV16" s="806">
        <f>$SN$22</f>
        <v>1.0287777591472789</v>
      </c>
      <c r="WW16" s="808"/>
      <c r="WX16" s="1032" t="s">
        <v>392</v>
      </c>
      <c r="WY16" s="1033"/>
      <c r="WZ16" s="962"/>
      <c r="XA16" s="963"/>
      <c r="XB16" s="162"/>
      <c r="XC16" s="158"/>
      <c r="XD16" s="158"/>
      <c r="XE16" s="158"/>
      <c r="XF16" s="158"/>
      <c r="XG16" s="158"/>
      <c r="XH16" s="158"/>
      <c r="XI16" s="158"/>
      <c r="XJ16" s="158"/>
      <c r="XK16" s="158"/>
      <c r="XL16" s="158"/>
      <c r="XM16" s="158"/>
      <c r="XN16" s="158"/>
      <c r="XO16" s="158"/>
      <c r="XP16" s="158"/>
      <c r="XQ16" s="158"/>
      <c r="XR16" s="158"/>
      <c r="XS16" s="158"/>
      <c r="XT16" s="158"/>
      <c r="XU16" s="158"/>
      <c r="XV16" s="158"/>
      <c r="XW16" s="158"/>
      <c r="XX16" s="158"/>
      <c r="XY16" s="158"/>
      <c r="XZ16" s="158"/>
      <c r="YA16" s="158"/>
      <c r="YB16" s="158"/>
      <c r="YC16" s="158"/>
      <c r="YD16" s="158"/>
      <c r="YE16" s="158"/>
      <c r="YF16" s="158"/>
      <c r="YG16" s="158"/>
      <c r="YH16" s="158"/>
      <c r="YI16" s="158"/>
      <c r="YJ16" s="158"/>
      <c r="YK16" s="158"/>
      <c r="YL16" s="158"/>
      <c r="YM16" s="158"/>
      <c r="YN16" s="158"/>
      <c r="YO16" s="158"/>
      <c r="YP16" s="158"/>
      <c r="YQ16" s="158"/>
      <c r="YR16" s="158"/>
      <c r="YS16" s="158"/>
      <c r="YT16" s="158"/>
      <c r="YU16" s="158"/>
      <c r="YV16" s="158"/>
      <c r="YW16" s="158"/>
      <c r="YX16" s="158"/>
      <c r="YY16" s="158"/>
      <c r="YZ16" s="158"/>
      <c r="ZA16" s="158"/>
      <c r="ZB16" s="158"/>
      <c r="ZC16" s="158"/>
      <c r="ZD16" s="158"/>
      <c r="ZE16" s="158"/>
      <c r="ZF16" s="158"/>
      <c r="ZG16" s="158"/>
      <c r="ZH16" s="158"/>
      <c r="ZI16" s="158"/>
      <c r="ZJ16" s="158"/>
      <c r="ZK16" s="158"/>
      <c r="ZL16" s="158"/>
      <c r="ZM16" s="158"/>
      <c r="ZN16" s="158"/>
      <c r="ZO16" s="158"/>
      <c r="ZP16" s="158"/>
      <c r="ZQ16" s="158"/>
      <c r="ZR16" s="158"/>
      <c r="ZS16" s="158"/>
      <c r="ZT16" s="158"/>
      <c r="ZU16" s="158"/>
      <c r="ZV16" s="158"/>
      <c r="ZW16" s="158"/>
      <c r="ZX16" s="158"/>
      <c r="ZY16" s="158"/>
      <c r="ZZ16" s="158"/>
      <c r="AAA16" s="158"/>
      <c r="AAB16" s="158"/>
      <c r="AAC16" s="158"/>
      <c r="AAD16" s="158"/>
      <c r="AAE16" s="158"/>
      <c r="AAF16" s="158"/>
      <c r="AAG16" s="158"/>
      <c r="AAH16" s="158"/>
      <c r="AAI16" s="158"/>
      <c r="AAJ16" s="158"/>
      <c r="AAK16" s="158"/>
      <c r="AAL16" s="158"/>
      <c r="AAM16" s="158"/>
      <c r="AAN16" s="158"/>
      <c r="AAO16" s="158"/>
      <c r="AAP16" s="158"/>
      <c r="AAQ16" s="158"/>
      <c r="AAR16" s="158"/>
      <c r="AAS16" s="158"/>
      <c r="AAT16" s="163"/>
      <c r="AAU16" s="962"/>
      <c r="AAV16" s="963"/>
      <c r="AAW16" s="962"/>
      <c r="AAX16" s="1059"/>
      <c r="AAY16" s="1059"/>
      <c r="AAZ16" s="1059"/>
      <c r="ABA16" s="963"/>
      <c r="ABE16" s="653"/>
      <c r="ABF16" s="653"/>
      <c r="ABG16" s="653"/>
      <c r="ABH16" s="653"/>
      <c r="ABI16" s="653"/>
      <c r="ABJ16" s="653"/>
      <c r="ACJ16" s="759">
        <v>0.33333333300000001</v>
      </c>
      <c r="ACK16" s="760"/>
      <c r="ACL16" s="759">
        <v>-0.233333333</v>
      </c>
      <c r="ACM16" s="760"/>
      <c r="ACN16" s="592">
        <v>4</v>
      </c>
      <c r="ACO16" s="759">
        <f t="shared" si="0"/>
        <v>0.11333333332000003</v>
      </c>
      <c r="ACP16" s="760"/>
      <c r="ACQ16" s="757">
        <f t="shared" si="1"/>
        <v>1.04</v>
      </c>
      <c r="ACR16" s="758"/>
      <c r="ACT16" s="759">
        <v>0.66666666699999999</v>
      </c>
      <c r="ACU16" s="760"/>
      <c r="ACV16" s="759">
        <v>-0.66666666699999999</v>
      </c>
      <c r="ACW16" s="760"/>
      <c r="ACX16" s="591">
        <v>54</v>
      </c>
      <c r="ACY16" s="759">
        <f t="shared" si="8"/>
        <v>0.36000000018</v>
      </c>
      <c r="ACZ16" s="760"/>
      <c r="ADA16" s="757">
        <f t="shared" si="2"/>
        <v>1.54</v>
      </c>
      <c r="ADB16" s="758"/>
      <c r="ADD16" s="759">
        <v>1</v>
      </c>
      <c r="ADE16" s="760"/>
      <c r="ADF16" s="759">
        <v>-1.2</v>
      </c>
      <c r="ADG16" s="760"/>
      <c r="ADH16" s="592">
        <v>103</v>
      </c>
      <c r="ADI16" s="759">
        <f t="shared" si="3"/>
        <v>0.83000000000000029</v>
      </c>
      <c r="ADJ16" s="760"/>
      <c r="ADK16" s="757">
        <f t="shared" si="4"/>
        <v>2.0300000000000002</v>
      </c>
      <c r="ADL16" s="758"/>
      <c r="ADN16" s="759">
        <v>1.1052631580000001</v>
      </c>
      <c r="ADO16" s="760"/>
      <c r="ADP16" s="759">
        <v>-1.42105263157895</v>
      </c>
      <c r="ADQ16" s="760"/>
      <c r="ADR16" s="591">
        <v>153</v>
      </c>
      <c r="ADS16" s="759">
        <f t="shared" si="9"/>
        <v>1.3752631581610504</v>
      </c>
      <c r="ADT16" s="760"/>
      <c r="ADU16" s="757">
        <f t="shared" si="5"/>
        <v>2.5300000000000002</v>
      </c>
      <c r="ADV16" s="758"/>
      <c r="ADX16" s="759">
        <v>1.1052631580000001</v>
      </c>
      <c r="ADY16" s="760"/>
      <c r="ADZ16" s="759">
        <v>-1.42105263157895</v>
      </c>
      <c r="AEA16" s="760"/>
      <c r="AEB16" s="591">
        <v>203</v>
      </c>
      <c r="AEC16" s="759">
        <f t="shared" si="10"/>
        <v>1.9278947371610506</v>
      </c>
      <c r="AED16" s="760"/>
      <c r="AEE16" s="757">
        <f t="shared" si="6"/>
        <v>3.0300000000000002</v>
      </c>
      <c r="AEF16" s="758"/>
      <c r="AEH16" s="759">
        <v>1.1052631580000001</v>
      </c>
      <c r="AEI16" s="760"/>
      <c r="AEJ16" s="759">
        <v>-1.42105263157895</v>
      </c>
      <c r="AEK16" s="760"/>
      <c r="AEL16" s="591">
        <v>253</v>
      </c>
      <c r="AEM16" s="759">
        <f t="shared" si="11"/>
        <v>2.4805263161610505</v>
      </c>
      <c r="AEN16" s="760"/>
      <c r="AEO16" s="757">
        <f t="shared" si="7"/>
        <v>3.5300000000000002</v>
      </c>
      <c r="AEP16" s="758"/>
      <c r="AGL16" s="1300"/>
      <c r="AGM16" s="851"/>
      <c r="AGN16" s="777"/>
      <c r="AGO16" s="778"/>
      <c r="AGP16" s="778"/>
      <c r="AGQ16" s="778"/>
      <c r="AGR16" s="778"/>
      <c r="AGS16" s="778"/>
      <c r="AGT16" s="778"/>
      <c r="AGU16" s="778"/>
      <c r="AGV16" s="778"/>
      <c r="AGW16" s="778"/>
      <c r="AGX16" s="778"/>
      <c r="AGY16" s="778"/>
      <c r="AGZ16" s="799"/>
      <c r="AHA16" s="1056"/>
      <c r="AHB16" s="1057"/>
      <c r="AHC16" s="777"/>
      <c r="AHD16" s="799"/>
      <c r="AHE16" s="842"/>
      <c r="AHF16" s="1173"/>
      <c r="AHG16" s="1175"/>
      <c r="AHH16" s="848"/>
      <c r="AIR16" s="199"/>
      <c r="AIS16" s="75" t="s">
        <v>451</v>
      </c>
      <c r="AIU16" s="673"/>
      <c r="AIV16" s="673"/>
      <c r="AIW16" s="673"/>
      <c r="AKV16" s="653"/>
      <c r="AKW16" s="653"/>
      <c r="AKX16" s="653"/>
      <c r="AKY16" s="653"/>
      <c r="AKZ16" s="653"/>
      <c r="ALA16" s="653"/>
      <c r="ALB16" s="653"/>
      <c r="ALC16" s="653"/>
      <c r="ALD16" s="653"/>
      <c r="ALE16" s="653"/>
      <c r="ALF16" s="653"/>
      <c r="ALG16" s="653"/>
      <c r="ALH16" s="653"/>
      <c r="AOL16" s="130"/>
      <c r="AQL16" s="130"/>
      <c r="AQV16" s="653"/>
      <c r="AQW16" s="653"/>
      <c r="AQX16" s="653"/>
      <c r="AQY16" s="653"/>
      <c r="AQZ16" s="653"/>
      <c r="ARA16" s="653"/>
      <c r="ARB16" s="653"/>
      <c r="ARC16" s="653"/>
      <c r="ARD16" s="653"/>
      <c r="ARE16" s="653"/>
      <c r="ARF16" s="653"/>
      <c r="ARG16" s="653"/>
      <c r="ARH16" s="653"/>
      <c r="ARI16" s="653"/>
      <c r="ARJ16" s="653"/>
      <c r="ARK16" s="653"/>
      <c r="ARL16" s="653"/>
      <c r="ARM16" s="653"/>
      <c r="ARN16" s="653"/>
      <c r="ARO16" s="653"/>
      <c r="ARU16" s="851"/>
      <c r="ARV16" s="1550" t="s">
        <v>1106</v>
      </c>
      <c r="ARW16" s="1551"/>
      <c r="ARX16" s="1050">
        <f>$CO$28</f>
        <v>48</v>
      </c>
      <c r="ARY16" s="1050"/>
      <c r="ARZ16" s="795"/>
      <c r="ASA16" s="795"/>
      <c r="ASB16" s="795"/>
      <c r="ASC16" s="795"/>
      <c r="ASD16" s="795"/>
      <c r="ASE16" s="795"/>
      <c r="ASF16" s="795"/>
      <c r="ASG16" s="795"/>
      <c r="ASH16" s="796"/>
      <c r="ASI16" s="887"/>
      <c r="ASJ16" s="888"/>
      <c r="ASK16" s="777"/>
      <c r="ASL16" s="799"/>
      <c r="ASM16" s="842"/>
      <c r="ASN16" s="845"/>
      <c r="ASO16" s="846"/>
      <c r="ASP16" s="848"/>
      <c r="ASQ16" s="828"/>
      <c r="ASR16" s="949"/>
      <c r="ASS16" s="949"/>
      <c r="AST16" s="949"/>
      <c r="ASU16" s="949"/>
      <c r="ASV16" s="950"/>
      <c r="AWB16" s="849"/>
      <c r="AWC16" s="133" t="s">
        <v>416</v>
      </c>
      <c r="AWD16" s="134"/>
      <c r="AWE16" s="138"/>
      <c r="AWF16" s="78"/>
      <c r="AWG16" s="78"/>
      <c r="AWH16" s="78"/>
      <c r="AWI16" s="78"/>
      <c r="AWJ16" s="78"/>
      <c r="AWK16" s="78"/>
      <c r="AWL16" s="138"/>
      <c r="AWM16" s="76" t="s">
        <v>441</v>
      </c>
      <c r="AWN16" s="854" t="s">
        <v>435</v>
      </c>
      <c r="AWO16" s="855"/>
      <c r="AWP16" s="920" t="s">
        <v>111</v>
      </c>
      <c r="AWQ16" s="921"/>
      <c r="AWR16" s="916" t="s">
        <v>704</v>
      </c>
      <c r="AWS16" s="917"/>
      <c r="AWT16" s="906" t="s">
        <v>447</v>
      </c>
      <c r="AWU16" s="907"/>
      <c r="AWV16" s="907"/>
      <c r="AWW16" s="908"/>
    </row>
    <row r="17" spans="1:996 1076:1297" ht="48" customHeight="1" thickBot="1">
      <c r="F17" s="653"/>
      <c r="G17" s="653"/>
      <c r="H17" s="653"/>
      <c r="I17" s="197" t="s">
        <v>849</v>
      </c>
      <c r="J17" s="197" t="s">
        <v>944</v>
      </c>
      <c r="K17" s="197" t="s">
        <v>945</v>
      </c>
      <c r="L17" s="1716" t="s">
        <v>847</v>
      </c>
      <c r="M17" s="1717"/>
      <c r="N17" s="653"/>
      <c r="O17" s="653"/>
      <c r="P17" s="653"/>
      <c r="Q17" s="653"/>
      <c r="R17" s="653"/>
      <c r="S17" s="653"/>
      <c r="T17" s="653"/>
      <c r="U17" s="653"/>
      <c r="AI17" s="851"/>
      <c r="AJ17" s="727" t="s">
        <v>1244</v>
      </c>
      <c r="AK17" s="879">
        <f>$AP$8</f>
        <v>50</v>
      </c>
      <c r="AL17" s="879"/>
      <c r="AM17" s="769"/>
      <c r="AN17" s="764"/>
      <c r="AO17" s="765"/>
      <c r="AP17" s="1444"/>
      <c r="AQ17" s="773"/>
      <c r="AR17" s="1185"/>
      <c r="AS17" s="1186"/>
      <c r="AT17" s="842"/>
      <c r="AU17" s="918"/>
      <c r="AV17" s="919"/>
      <c r="AW17" s="848"/>
      <c r="AX17" s="828"/>
      <c r="AY17" s="949"/>
      <c r="AZ17" s="950"/>
      <c r="BO17" s="653"/>
      <c r="BP17" s="653"/>
      <c r="BQ17" s="890" t="s">
        <v>1791</v>
      </c>
      <c r="BR17" s="890"/>
      <c r="BX17" s="903"/>
      <c r="BY17" s="904"/>
      <c r="BZ17" s="905"/>
      <c r="CA17" s="851"/>
      <c r="CB17" s="811"/>
      <c r="CC17" s="772"/>
      <c r="CD17" s="772"/>
      <c r="CE17" s="772"/>
      <c r="CF17" s="772"/>
      <c r="CG17" s="772"/>
      <c r="CH17" s="772"/>
      <c r="CI17" s="772"/>
      <c r="CJ17" s="772"/>
      <c r="CK17" s="772"/>
      <c r="CL17" s="773"/>
      <c r="CM17" s="1455"/>
      <c r="CN17" s="1456"/>
      <c r="CO17" s="1636"/>
      <c r="CP17" s="1637"/>
      <c r="CQ17" s="842"/>
      <c r="CR17" s="1741"/>
      <c r="CS17" s="1742"/>
      <c r="CT17" s="848"/>
      <c r="DZ17" s="903"/>
      <c r="EA17" s="904"/>
      <c r="EB17" s="905"/>
      <c r="EC17" s="851"/>
      <c r="ED17" s="794"/>
      <c r="EE17" s="795"/>
      <c r="EF17" s="795"/>
      <c r="EG17" s="795"/>
      <c r="EH17" s="795"/>
      <c r="EI17" s="795"/>
      <c r="EJ17" s="795"/>
      <c r="EK17" s="795"/>
      <c r="EL17" s="795"/>
      <c r="EM17" s="795"/>
      <c r="EN17" s="795"/>
      <c r="EO17" s="1195"/>
      <c r="EP17" s="1196"/>
      <c r="EQ17" s="1077"/>
      <c r="ER17" s="1078"/>
      <c r="ES17" s="842"/>
      <c r="ET17" s="845"/>
      <c r="EU17" s="846"/>
      <c r="EV17" s="848"/>
      <c r="FM17" s="653"/>
      <c r="FN17" s="653"/>
      <c r="FO17" s="653"/>
      <c r="FP17" s="653"/>
      <c r="GA17" s="653"/>
      <c r="GD17" s="653"/>
      <c r="GE17" s="653"/>
      <c r="GF17" s="903"/>
      <c r="GG17" s="904"/>
      <c r="GH17" s="905"/>
      <c r="GI17" s="851"/>
      <c r="GJ17" s="777"/>
      <c r="GK17" s="778"/>
      <c r="GL17" s="778"/>
      <c r="GM17" s="778"/>
      <c r="GN17" s="778"/>
      <c r="GO17" s="778"/>
      <c r="GP17" s="778"/>
      <c r="GQ17" s="778"/>
      <c r="GR17" s="778"/>
      <c r="GS17" s="778"/>
      <c r="GT17" s="799"/>
      <c r="GU17" s="1642"/>
      <c r="GV17" s="1643"/>
      <c r="GW17" s="1185"/>
      <c r="GX17" s="1186"/>
      <c r="GY17" s="842"/>
      <c r="GZ17" s="918"/>
      <c r="HA17" s="919"/>
      <c r="HB17" s="848"/>
      <c r="IP17" s="653"/>
      <c r="IQ17" s="653"/>
      <c r="IR17" s="653"/>
      <c r="IS17" s="653"/>
      <c r="IT17" s="653"/>
      <c r="IU17" s="653"/>
      <c r="IV17" s="653"/>
      <c r="IW17" s="653"/>
      <c r="IX17" s="653"/>
      <c r="IY17" s="653"/>
      <c r="IZ17" s="653"/>
      <c r="JA17" s="653"/>
      <c r="JB17" s="653"/>
      <c r="JC17" s="653"/>
      <c r="JD17" s="653"/>
      <c r="JE17" s="653"/>
      <c r="JF17" s="653"/>
      <c r="JG17" s="653"/>
      <c r="JH17" s="653"/>
      <c r="JI17" s="653"/>
      <c r="JJ17" s="653"/>
      <c r="JK17" s="653"/>
      <c r="JL17" s="653"/>
      <c r="JM17" s="653"/>
      <c r="JN17" s="653"/>
      <c r="JO17" s="653"/>
      <c r="JP17" s="653"/>
      <c r="JQ17" s="653"/>
      <c r="JR17" s="653"/>
      <c r="JS17" s="653"/>
      <c r="JX17" s="1053"/>
      <c r="JY17" s="351" t="s">
        <v>1030</v>
      </c>
      <c r="JZ17" s="1187">
        <f>$KL$20</f>
        <v>24.641888323197445</v>
      </c>
      <c r="KA17" s="1187"/>
      <c r="KB17" s="1060"/>
      <c r="KC17" s="1061"/>
      <c r="KD17" s="1061"/>
      <c r="KE17" s="794"/>
      <c r="KF17" s="795"/>
      <c r="KG17" s="795"/>
      <c r="KH17" s="795"/>
      <c r="KI17" s="795"/>
      <c r="KJ17" s="795"/>
      <c r="KK17" s="796"/>
      <c r="KL17" s="837"/>
      <c r="KM17" s="838"/>
      <c r="KN17" s="1077"/>
      <c r="KO17" s="1078"/>
      <c r="KP17" s="842"/>
      <c r="KQ17" s="845"/>
      <c r="KR17" s="846"/>
      <c r="KS17" s="848"/>
      <c r="KT17" s="828"/>
      <c r="KU17" s="949"/>
      <c r="KV17" s="949"/>
      <c r="KW17" s="950"/>
      <c r="LH17" s="211"/>
      <c r="LI17" s="211"/>
      <c r="LJ17" s="211"/>
      <c r="LK17" s="211"/>
      <c r="LL17" s="211"/>
      <c r="LM17" s="211"/>
      <c r="LN17" s="211"/>
      <c r="LO17" s="211"/>
      <c r="LP17" s="211"/>
      <c r="LQ17" s="211"/>
      <c r="LR17" s="353"/>
      <c r="LS17" s="353"/>
      <c r="LT17" s="353"/>
      <c r="LU17" s="353"/>
      <c r="LV17" s="353"/>
      <c r="LW17" s="353"/>
      <c r="LX17" s="353"/>
      <c r="MB17" s="1029"/>
      <c r="MC17" s="1030"/>
      <c r="MD17" s="1031"/>
      <c r="ME17" s="909"/>
      <c r="MF17" s="910"/>
      <c r="MG17" s="910"/>
      <c r="MH17" s="910"/>
      <c r="MI17" s="910"/>
      <c r="MJ17" s="1239"/>
      <c r="MK17" s="1228">
        <f>'Программные таблицы'!F422</f>
        <v>1.7543859649122805E-8</v>
      </c>
      <c r="ML17" s="1228"/>
      <c r="MM17" s="1228"/>
      <c r="MN17" s="1228">
        <f>'Программные таблицы'!H422</f>
        <v>2.127659574468085E-8</v>
      </c>
      <c r="MO17" s="1228"/>
      <c r="MP17" s="1228"/>
      <c r="MQ17" s="1228">
        <f>'Программные таблицы'!J422</f>
        <v>2.4390243902439023E-8</v>
      </c>
      <c r="MR17" s="1228"/>
      <c r="MS17" s="1228"/>
      <c r="MT17" s="1589"/>
      <c r="MU17" s="1590"/>
      <c r="MV17" s="357">
        <f xml:space="preserve">
IF(MS19=MK17,20,
IF(MS19=MN17,75,
IF(MS19=MQ17,115,""
)))</f>
        <v>115</v>
      </c>
      <c r="MW17" s="352" t="s">
        <v>1234</v>
      </c>
      <c r="MX17" s="165"/>
      <c r="MY17" s="165"/>
      <c r="MZ17" s="165"/>
      <c r="NA17" s="166"/>
      <c r="OA17" s="197" t="s">
        <v>849</v>
      </c>
      <c r="OB17" s="906" t="s">
        <v>863</v>
      </c>
      <c r="OC17" s="907"/>
      <c r="OD17" s="908"/>
      <c r="OY17" s="130"/>
      <c r="OZ17" s="130"/>
      <c r="PA17" s="130"/>
      <c r="PB17" s="130"/>
      <c r="PC17" s="130"/>
      <c r="PD17" s="130"/>
      <c r="PE17" s="130"/>
      <c r="PF17" s="130"/>
      <c r="PH17" s="377"/>
      <c r="PI17" s="373"/>
      <c r="PJ17" s="54"/>
      <c r="PK17" s="373"/>
      <c r="PL17" s="849"/>
      <c r="PM17" s="935" t="s">
        <v>1551</v>
      </c>
      <c r="PN17" s="936"/>
      <c r="PO17" s="761">
        <f>$PW$37</f>
        <v>1.6</v>
      </c>
      <c r="PP17" s="761"/>
      <c r="PQ17" s="800" t="s">
        <v>1244</v>
      </c>
      <c r="PR17" s="801"/>
      <c r="PS17" s="766">
        <f>$AP$8</f>
        <v>50</v>
      </c>
      <c r="PT17" s="889"/>
      <c r="PU17" s="957" t="s">
        <v>1805</v>
      </c>
      <c r="PV17" s="957"/>
      <c r="PW17" s="957"/>
      <c r="PX17" s="957"/>
      <c r="PY17" s="1117"/>
      <c r="PZ17" s="885">
        <f>(PO19*(PS17/50)^PT16)*(PO17*(PQ16^2)*PS18+PO18*(PO20^2)*PS19)</f>
        <v>493.21924905867229</v>
      </c>
      <c r="QA17" s="886"/>
      <c r="QB17" s="1607" t="s">
        <v>3</v>
      </c>
      <c r="QC17" s="1208"/>
      <c r="QD17" s="1248"/>
      <c r="QE17" s="1538" t="s">
        <v>1537</v>
      </c>
      <c r="QF17" s="1538"/>
      <c r="QG17" s="1538"/>
      <c r="QH17" s="1289"/>
      <c r="QI17" s="1052"/>
      <c r="QJ17" s="1052"/>
      <c r="QK17" s="1052"/>
      <c r="QL17" s="1052"/>
      <c r="QM17" s="1052"/>
      <c r="QN17" s="1052"/>
      <c r="QO17" s="1052"/>
      <c r="QP17" s="1052"/>
      <c r="QQ17" s="1052"/>
      <c r="QR17" s="1052"/>
      <c r="QS17" s="1052"/>
      <c r="QT17" s="1052"/>
      <c r="QU17" s="1052"/>
      <c r="QV17" s="1052"/>
      <c r="QW17" s="1052"/>
      <c r="QX17" s="1052"/>
      <c r="QY17" s="1052"/>
      <c r="QZ17" s="1052"/>
      <c r="RA17" s="373"/>
      <c r="RB17" s="373"/>
      <c r="RC17" s="374"/>
      <c r="RE17" s="653"/>
      <c r="RF17" s="653"/>
      <c r="RG17" s="653"/>
      <c r="RH17" s="653"/>
      <c r="RI17" s="653"/>
      <c r="RJ17" s="653"/>
      <c r="RK17" s="653"/>
      <c r="RL17" s="653"/>
      <c r="RM17" s="653"/>
      <c r="RN17" s="653"/>
      <c r="RO17" s="653"/>
      <c r="RP17" s="653"/>
      <c r="RQ17" s="653"/>
      <c r="RR17" s="653"/>
      <c r="RS17" s="653"/>
      <c r="RT17" s="653"/>
      <c r="RU17" s="653"/>
      <c r="RV17" s="653"/>
      <c r="RW17" s="653"/>
      <c r="RX17" s="653"/>
      <c r="RY17" s="653"/>
      <c r="RZ17" s="849"/>
      <c r="SA17" s="852" t="s">
        <v>416</v>
      </c>
      <c r="SB17" s="853"/>
      <c r="SC17" s="479"/>
      <c r="SD17" s="78"/>
      <c r="SE17" s="78"/>
      <c r="SF17" s="78"/>
      <c r="SG17" s="78"/>
      <c r="SH17" s="78"/>
      <c r="SI17" s="78"/>
      <c r="SJ17" s="479"/>
      <c r="SK17" s="76" t="s">
        <v>441</v>
      </c>
      <c r="SL17" s="854" t="s">
        <v>435</v>
      </c>
      <c r="SM17" s="855"/>
      <c r="SN17" s="920" t="s">
        <v>111</v>
      </c>
      <c r="SO17" s="921"/>
      <c r="SP17" s="916" t="s">
        <v>704</v>
      </c>
      <c r="SQ17" s="917"/>
      <c r="SR17" s="906" t="s">
        <v>447</v>
      </c>
      <c r="SS17" s="907"/>
      <c r="ST17" s="907"/>
      <c r="SU17" s="908"/>
      <c r="SV17" s="1051" t="s">
        <v>436</v>
      </c>
      <c r="SW17" s="1051"/>
      <c r="SX17" s="1051"/>
      <c r="SY17" s="1051"/>
      <c r="TX17" s="653"/>
      <c r="TY17" s="653"/>
      <c r="TZ17" s="653"/>
      <c r="UA17" s="653"/>
      <c r="UB17" s="653"/>
      <c r="UC17" s="653"/>
      <c r="UD17" s="653"/>
      <c r="UE17" s="653"/>
      <c r="UF17" s="653"/>
      <c r="UG17" s="653"/>
      <c r="UH17" s="653"/>
      <c r="UI17" s="653"/>
      <c r="UJ17" s="653"/>
      <c r="UK17" s="653"/>
      <c r="UL17" s="653"/>
      <c r="UM17" s="653"/>
      <c r="UN17" s="653"/>
      <c r="UO17" s="653"/>
      <c r="UP17" s="653"/>
      <c r="UQ17" s="653"/>
      <c r="UR17" s="653"/>
      <c r="US17" s="653"/>
      <c r="UT17" s="653"/>
      <c r="UU17" s="653"/>
      <c r="UV17" s="653"/>
      <c r="UW17" s="653"/>
      <c r="UX17" s="653"/>
      <c r="UY17" s="653"/>
      <c r="UZ17" s="653"/>
      <c r="VC17" s="130"/>
      <c r="VD17" s="130"/>
      <c r="VE17" s="130"/>
      <c r="VF17" s="130"/>
      <c r="VG17" s="130"/>
      <c r="VH17" s="130"/>
      <c r="VI17" s="130"/>
      <c r="VJ17" s="130"/>
      <c r="VK17" s="130"/>
      <c r="VL17" s="130"/>
      <c r="VM17" s="130"/>
      <c r="VN17" s="130"/>
      <c r="WE17" s="1796" t="s">
        <v>676</v>
      </c>
      <c r="WF17" s="1797"/>
      <c r="WG17" s="1798"/>
      <c r="WH17" s="1798"/>
      <c r="WI17" s="1798"/>
      <c r="WJ17" s="1799"/>
      <c r="WK17" s="824" t="s">
        <v>1432</v>
      </c>
      <c r="WL17" s="824"/>
      <c r="WM17" s="824"/>
      <c r="WN17" s="792"/>
      <c r="WO17" s="792"/>
      <c r="WP17" s="792"/>
      <c r="WQ17" s="792"/>
      <c r="WR17" s="792"/>
      <c r="WS17" s="792"/>
      <c r="WT17" s="792"/>
      <c r="WU17" s="792"/>
      <c r="WV17" s="792"/>
      <c r="WW17" s="938"/>
      <c r="WX17" s="809" t="s">
        <v>410</v>
      </c>
      <c r="WY17" s="877"/>
      <c r="WZ17" s="957" t="s">
        <v>391</v>
      </c>
      <c r="XA17" s="957"/>
      <c r="XB17" s="162"/>
      <c r="XC17" s="158"/>
      <c r="XD17" s="158"/>
      <c r="XE17" s="158"/>
      <c r="XF17" s="163"/>
      <c r="XG17" s="964">
        <v>1</v>
      </c>
      <c r="XH17" s="964">
        <v>2</v>
      </c>
      <c r="XI17" s="964">
        <v>3</v>
      </c>
      <c r="XJ17" s="964">
        <v>4</v>
      </c>
      <c r="XK17" s="964">
        <v>5</v>
      </c>
      <c r="XL17" s="964">
        <v>6</v>
      </c>
      <c r="XM17" s="964">
        <v>7</v>
      </c>
      <c r="XN17" s="964">
        <v>8</v>
      </c>
      <c r="XO17" s="964">
        <v>9</v>
      </c>
      <c r="XP17" s="964">
        <v>10</v>
      </c>
      <c r="XQ17" s="964">
        <v>11</v>
      </c>
      <c r="XR17" s="964">
        <v>12</v>
      </c>
      <c r="XS17" s="964">
        <v>13</v>
      </c>
      <c r="XT17" s="964">
        <v>14</v>
      </c>
      <c r="XU17" s="964">
        <v>15</v>
      </c>
      <c r="XV17" s="964">
        <v>16</v>
      </c>
      <c r="XW17" s="964">
        <v>17</v>
      </c>
      <c r="XX17" s="964">
        <v>18</v>
      </c>
      <c r="XY17" s="964">
        <v>19</v>
      </c>
      <c r="XZ17" s="964">
        <v>20</v>
      </c>
      <c r="YA17" s="964">
        <v>21</v>
      </c>
      <c r="YB17" s="964">
        <v>22</v>
      </c>
      <c r="YC17" s="964">
        <v>23</v>
      </c>
      <c r="YD17" s="964">
        <v>24</v>
      </c>
      <c r="YE17" s="964">
        <v>25</v>
      </c>
      <c r="YF17" s="964">
        <v>26</v>
      </c>
      <c r="YG17" s="964">
        <v>27</v>
      </c>
      <c r="YH17" s="964">
        <v>28</v>
      </c>
      <c r="YI17" s="964">
        <v>29</v>
      </c>
      <c r="YJ17" s="964">
        <v>30</v>
      </c>
      <c r="YK17" s="964">
        <v>31</v>
      </c>
      <c r="YL17" s="964">
        <v>32</v>
      </c>
      <c r="YM17" s="964">
        <v>33</v>
      </c>
      <c r="YN17" s="964">
        <v>34</v>
      </c>
      <c r="YO17" s="964">
        <v>35</v>
      </c>
      <c r="YP17" s="964">
        <v>36</v>
      </c>
      <c r="YQ17" s="964">
        <v>37</v>
      </c>
      <c r="YR17" s="964">
        <v>38</v>
      </c>
      <c r="YS17" s="964">
        <v>39</v>
      </c>
      <c r="YT17" s="964">
        <v>40</v>
      </c>
      <c r="YU17" s="964">
        <v>41</v>
      </c>
      <c r="YV17" s="964">
        <v>42</v>
      </c>
      <c r="YW17" s="964">
        <v>43</v>
      </c>
      <c r="YX17" s="964">
        <v>44</v>
      </c>
      <c r="YY17" s="964">
        <v>45</v>
      </c>
      <c r="YZ17" s="964">
        <v>46</v>
      </c>
      <c r="ZA17" s="964">
        <v>47</v>
      </c>
      <c r="ZB17" s="964">
        <v>48</v>
      </c>
      <c r="ZC17" s="964">
        <v>49</v>
      </c>
      <c r="ZD17" s="964">
        <v>50</v>
      </c>
      <c r="ZE17" s="964">
        <v>51</v>
      </c>
      <c r="ZF17" s="964">
        <v>52</v>
      </c>
      <c r="ZG17" s="964">
        <v>53</v>
      </c>
      <c r="ZH17" s="964">
        <v>54</v>
      </c>
      <c r="ZI17" s="964">
        <v>55</v>
      </c>
      <c r="ZJ17" s="964">
        <v>56</v>
      </c>
      <c r="ZK17" s="964">
        <v>57</v>
      </c>
      <c r="ZL17" s="964">
        <v>58</v>
      </c>
      <c r="ZM17" s="964">
        <v>59</v>
      </c>
      <c r="ZN17" s="964">
        <v>60</v>
      </c>
      <c r="ZO17" s="964">
        <v>61</v>
      </c>
      <c r="ZP17" s="964">
        <v>62</v>
      </c>
      <c r="ZQ17" s="964">
        <v>63</v>
      </c>
      <c r="ZR17" s="964">
        <v>64</v>
      </c>
      <c r="ZS17" s="964">
        <v>65</v>
      </c>
      <c r="ZT17" s="964">
        <v>66</v>
      </c>
      <c r="ZU17" s="964">
        <v>67</v>
      </c>
      <c r="ZV17" s="964">
        <v>68</v>
      </c>
      <c r="ZW17" s="964">
        <v>69</v>
      </c>
      <c r="ZX17" s="964">
        <v>70</v>
      </c>
      <c r="ZY17" s="964">
        <v>71</v>
      </c>
      <c r="ZZ17" s="964">
        <v>72</v>
      </c>
      <c r="AAA17" s="964">
        <v>73</v>
      </c>
      <c r="AAB17" s="964">
        <v>74</v>
      </c>
      <c r="AAC17" s="964">
        <v>75</v>
      </c>
      <c r="AAD17" s="964">
        <v>76</v>
      </c>
      <c r="AAE17" s="964">
        <v>77</v>
      </c>
      <c r="AAF17" s="964">
        <v>78</v>
      </c>
      <c r="AAG17" s="964">
        <v>79</v>
      </c>
      <c r="AAH17" s="964">
        <v>80</v>
      </c>
      <c r="AAI17" s="964">
        <v>81</v>
      </c>
      <c r="AAJ17" s="964">
        <v>82</v>
      </c>
      <c r="AAK17" s="964">
        <v>83</v>
      </c>
      <c r="AAL17" s="964">
        <v>84</v>
      </c>
      <c r="AAM17" s="964">
        <v>85</v>
      </c>
      <c r="AAN17" s="964">
        <v>86</v>
      </c>
      <c r="AAO17" s="964">
        <v>87</v>
      </c>
      <c r="AAP17" s="964">
        <v>88</v>
      </c>
      <c r="AAQ17" s="964">
        <v>89</v>
      </c>
      <c r="AAR17" s="964">
        <v>90</v>
      </c>
      <c r="AAS17" s="964">
        <v>91</v>
      </c>
      <c r="AAT17" s="964" t="s">
        <v>410</v>
      </c>
      <c r="AAU17" s="957" t="s">
        <v>391</v>
      </c>
      <c r="AAV17" s="957"/>
      <c r="AAW17" s="1139" t="s">
        <v>167</v>
      </c>
      <c r="AAX17" s="1140"/>
      <c r="AAY17" s="1140"/>
      <c r="AAZ17" s="1140"/>
      <c r="ABA17" s="1141"/>
      <c r="ABE17" s="653"/>
      <c r="ABF17" s="653"/>
      <c r="ABG17" s="653"/>
      <c r="ABH17" s="653"/>
      <c r="ABI17" s="653"/>
      <c r="ACJ17" s="759">
        <v>0.33333333300000001</v>
      </c>
      <c r="ACK17" s="760"/>
      <c r="ACL17" s="759">
        <v>-0.233333333</v>
      </c>
      <c r="ACM17" s="760"/>
      <c r="ACN17" s="592">
        <v>5</v>
      </c>
      <c r="ACO17" s="759">
        <f t="shared" si="0"/>
        <v>0.11666666665</v>
      </c>
      <c r="ACP17" s="760"/>
      <c r="ACQ17" s="757">
        <f t="shared" si="1"/>
        <v>1.05</v>
      </c>
      <c r="ACR17" s="758"/>
      <c r="ACT17" s="759">
        <v>0.66666666699999999</v>
      </c>
      <c r="ACU17" s="760"/>
      <c r="ACV17" s="759">
        <v>-0.66666666699999999</v>
      </c>
      <c r="ACW17" s="760"/>
      <c r="ACX17" s="591">
        <v>55</v>
      </c>
      <c r="ACY17" s="759">
        <f t="shared" si="8"/>
        <v>0.36666666684999993</v>
      </c>
      <c r="ACZ17" s="760"/>
      <c r="ADA17" s="757">
        <f t="shared" si="2"/>
        <v>1.55</v>
      </c>
      <c r="ADB17" s="758"/>
      <c r="ADD17" s="759">
        <v>1</v>
      </c>
      <c r="ADE17" s="760"/>
      <c r="ADF17" s="759">
        <v>-1.2</v>
      </c>
      <c r="ADG17" s="760"/>
      <c r="ADH17" s="592">
        <v>104</v>
      </c>
      <c r="ADI17" s="759">
        <f t="shared" si="3"/>
        <v>0.84000000000000008</v>
      </c>
      <c r="ADJ17" s="760"/>
      <c r="ADK17" s="757">
        <f t="shared" si="4"/>
        <v>2.04</v>
      </c>
      <c r="ADL17" s="758"/>
      <c r="ADN17" s="759">
        <v>1.1052631580000001</v>
      </c>
      <c r="ADO17" s="760"/>
      <c r="ADP17" s="759">
        <v>-1.42105263157895</v>
      </c>
      <c r="ADQ17" s="760"/>
      <c r="ADR17" s="591">
        <v>154</v>
      </c>
      <c r="ADS17" s="759">
        <f t="shared" si="9"/>
        <v>1.3863157897410501</v>
      </c>
      <c r="ADT17" s="760"/>
      <c r="ADU17" s="757">
        <f t="shared" si="5"/>
        <v>2.54</v>
      </c>
      <c r="ADV17" s="758"/>
      <c r="ADX17" s="759">
        <v>1.1052631580000001</v>
      </c>
      <c r="ADY17" s="760"/>
      <c r="ADZ17" s="759">
        <v>-1.42105263157895</v>
      </c>
      <c r="AEA17" s="760"/>
      <c r="AEB17" s="591">
        <v>204</v>
      </c>
      <c r="AEC17" s="759">
        <f t="shared" si="10"/>
        <v>1.9389473687410503</v>
      </c>
      <c r="AED17" s="760"/>
      <c r="AEE17" s="757">
        <f t="shared" si="6"/>
        <v>3.04</v>
      </c>
      <c r="AEF17" s="758"/>
      <c r="AEH17" s="759">
        <v>1.1052631580000001</v>
      </c>
      <c r="AEI17" s="760"/>
      <c r="AEJ17" s="759">
        <v>-1.42105263157895</v>
      </c>
      <c r="AEK17" s="760"/>
      <c r="AEL17" s="591">
        <v>254</v>
      </c>
      <c r="AEM17" s="759">
        <f t="shared" si="11"/>
        <v>2.4915789477410502</v>
      </c>
      <c r="AEN17" s="760"/>
      <c r="AEO17" s="757">
        <f t="shared" si="7"/>
        <v>3.54</v>
      </c>
      <c r="AEP17" s="758"/>
      <c r="AFA17" s="591"/>
      <c r="AFB17" s="591"/>
      <c r="AFC17" s="591"/>
      <c r="AFD17" s="591"/>
      <c r="AFE17" s="591"/>
      <c r="AFF17" s="591"/>
      <c r="AFG17" s="591"/>
      <c r="AFH17" s="591"/>
      <c r="AIL17" s="759" t="s">
        <v>432</v>
      </c>
      <c r="AIM17" s="760"/>
      <c r="AIN17" s="759"/>
      <c r="AIO17" s="760"/>
      <c r="AIR17" s="199"/>
      <c r="AIS17" s="75" t="s">
        <v>702</v>
      </c>
      <c r="AIU17" s="673"/>
      <c r="AIV17" s="673"/>
      <c r="AIW17" s="673"/>
      <c r="AKV17" s="653"/>
      <c r="AKW17" s="653"/>
      <c r="AKX17" s="653"/>
      <c r="AKY17" s="653"/>
      <c r="AKZ17" s="653"/>
      <c r="ALA17" s="653"/>
      <c r="ALB17" s="653"/>
      <c r="ALC17" s="653"/>
      <c r="ALD17" s="653"/>
      <c r="ALE17" s="653"/>
      <c r="ALF17" s="653"/>
      <c r="ALG17" s="653"/>
      <c r="ALH17" s="653"/>
      <c r="AOL17" s="130"/>
      <c r="AQL17" s="130"/>
      <c r="AQV17" s="653"/>
      <c r="AQW17" s="653"/>
      <c r="AQX17" s="653"/>
      <c r="AQY17" s="653"/>
      <c r="AQZ17" s="653"/>
      <c r="ARA17" s="653"/>
      <c r="ARB17" s="653"/>
      <c r="ARC17" s="653"/>
      <c r="ARD17" s="653"/>
      <c r="ARE17" s="653"/>
      <c r="ARF17" s="653"/>
      <c r="ARG17" s="653"/>
      <c r="ARH17" s="653"/>
      <c r="ARI17" s="653"/>
      <c r="ARJ17" s="653"/>
      <c r="ARK17" s="653"/>
      <c r="ARL17" s="653"/>
      <c r="ARM17" s="653"/>
      <c r="ARN17" s="653"/>
      <c r="ARO17" s="653"/>
      <c r="ATK17" s="800" t="s">
        <v>1558</v>
      </c>
      <c r="ATL17" s="801"/>
      <c r="ATM17" s="883">
        <f>$PZ$31</f>
        <v>493.21924905867229</v>
      </c>
      <c r="ATN17" s="884"/>
      <c r="AWB17" s="850"/>
      <c r="AWC17" s="856"/>
      <c r="AWD17" s="856"/>
      <c r="AWE17" s="856"/>
      <c r="AWF17" s="856"/>
      <c r="AWG17" s="856"/>
      <c r="AWH17" s="856"/>
      <c r="AWI17" s="856"/>
      <c r="AWJ17" s="856"/>
      <c r="AWK17" s="856"/>
      <c r="AWL17" s="856"/>
      <c r="AWM17" s="856"/>
      <c r="AWN17" s="856"/>
      <c r="AWO17" s="856"/>
      <c r="AWP17" s="835"/>
      <c r="AWQ17" s="836"/>
      <c r="AWR17" s="839"/>
      <c r="AWS17" s="840"/>
      <c r="AWT17" s="841"/>
      <c r="AWU17" s="843" t="s">
        <v>416</v>
      </c>
      <c r="AWV17" s="844"/>
      <c r="AWW17" s="847"/>
    </row>
    <row r="18" spans="1:996 1076:1297" ht="48" customHeight="1" thickBot="1">
      <c r="A18" s="130"/>
      <c r="B18" s="130"/>
      <c r="C18" s="130"/>
      <c r="F18" s="653"/>
      <c r="G18" s="653"/>
      <c r="H18" s="653"/>
      <c r="I18" s="653"/>
      <c r="J18" s="653"/>
      <c r="K18" s="653"/>
      <c r="L18" s="653"/>
      <c r="M18" s="653"/>
      <c r="N18" s="653"/>
      <c r="O18" s="653"/>
      <c r="P18" s="653"/>
      <c r="Q18" s="653"/>
      <c r="R18" s="653"/>
      <c r="S18" s="653"/>
      <c r="T18" s="653"/>
      <c r="U18" s="653"/>
      <c r="X18" s="1731">
        <v>3000</v>
      </c>
      <c r="Y18" s="1731"/>
      <c r="Z18" s="1731">
        <f>3000/X18</f>
        <v>1</v>
      </c>
      <c r="AA18" s="1731"/>
      <c r="BO18" s="653"/>
      <c r="BP18" s="653"/>
      <c r="BQ18" s="653"/>
      <c r="BR18" s="653"/>
      <c r="BS18" s="66"/>
      <c r="BT18" s="66"/>
      <c r="BU18" s="66"/>
      <c r="BV18" s="66"/>
      <c r="BW18" s="66"/>
      <c r="BX18" s="66"/>
      <c r="BY18" s="66"/>
      <c r="BZ18" s="66"/>
      <c r="CA18" s="66"/>
      <c r="CB18" s="66"/>
      <c r="CC18" s="66"/>
      <c r="CD18" s="66"/>
      <c r="CE18" s="66"/>
      <c r="CF18" s="66"/>
      <c r="CG18" s="66"/>
      <c r="CH18" s="66"/>
      <c r="CI18" s="66"/>
      <c r="CJ18" s="66"/>
      <c r="CK18" s="66"/>
      <c r="FB18" s="130"/>
      <c r="FC18" s="130"/>
      <c r="FD18" s="130"/>
      <c r="IR18" s="897" t="s">
        <v>973</v>
      </c>
      <c r="IS18" s="898"/>
      <c r="IT18" s="899"/>
      <c r="IU18" s="849"/>
      <c r="IV18" s="852" t="s">
        <v>416</v>
      </c>
      <c r="IW18" s="853"/>
      <c r="IX18" s="629"/>
      <c r="IY18" s="806" t="s">
        <v>1828</v>
      </c>
      <c r="IZ18" s="807"/>
      <c r="JA18" s="808"/>
      <c r="JB18" s="75" t="s">
        <v>451</v>
      </c>
      <c r="JC18" s="629"/>
      <c r="JD18" s="76" t="s">
        <v>441</v>
      </c>
      <c r="JE18" s="854" t="s">
        <v>435</v>
      </c>
      <c r="JF18" s="1111"/>
      <c r="JG18" s="920" t="s">
        <v>111</v>
      </c>
      <c r="JH18" s="921"/>
      <c r="JI18" s="916" t="s">
        <v>704</v>
      </c>
      <c r="JJ18" s="917"/>
      <c r="JK18" s="906" t="s">
        <v>447</v>
      </c>
      <c r="JL18" s="907"/>
      <c r="JM18" s="907"/>
      <c r="JN18" s="908"/>
      <c r="JO18" s="159"/>
      <c r="JP18" s="470"/>
      <c r="JQ18" s="470"/>
      <c r="JR18" s="470"/>
      <c r="JS18" s="470"/>
      <c r="JT18" s="161"/>
      <c r="LF18" s="130"/>
      <c r="LG18" s="130"/>
      <c r="LH18" s="130"/>
      <c r="LI18" s="130"/>
      <c r="LJ18" s="130"/>
      <c r="LK18" s="130"/>
      <c r="LL18" s="130"/>
      <c r="LM18" s="130"/>
      <c r="LN18" s="130"/>
      <c r="LO18" s="130"/>
      <c r="LP18" s="130"/>
      <c r="LQ18" s="130"/>
      <c r="LR18" s="353"/>
      <c r="LS18" s="353"/>
      <c r="LT18" s="353"/>
      <c r="LU18" s="353"/>
      <c r="LV18" s="353"/>
      <c r="LW18" s="353"/>
      <c r="LX18" s="353"/>
      <c r="MB18" s="897" t="s">
        <v>973</v>
      </c>
      <c r="MC18" s="898"/>
      <c r="MD18" s="899"/>
      <c r="ME18" s="849"/>
      <c r="MF18" s="852" t="s">
        <v>416</v>
      </c>
      <c r="MG18" s="853"/>
      <c r="MH18" s="347"/>
      <c r="MI18" s="78"/>
      <c r="MJ18" s="78"/>
      <c r="MK18" s="78"/>
      <c r="ML18" s="78"/>
      <c r="MM18" s="78"/>
      <c r="MN18" s="75" t="s">
        <v>451</v>
      </c>
      <c r="MO18" s="347"/>
      <c r="MP18" s="76" t="s">
        <v>441</v>
      </c>
      <c r="MQ18" s="854" t="s">
        <v>435</v>
      </c>
      <c r="MR18" s="855"/>
      <c r="MS18" s="1072" t="s">
        <v>111</v>
      </c>
      <c r="MT18" s="1073"/>
      <c r="MU18" s="1074"/>
      <c r="MV18" s="916" t="s">
        <v>704</v>
      </c>
      <c r="MW18" s="917"/>
      <c r="MX18" s="906" t="s">
        <v>447</v>
      </c>
      <c r="MY18" s="907"/>
      <c r="MZ18" s="907"/>
      <c r="NA18" s="908"/>
      <c r="OA18" s="849"/>
      <c r="OB18" s="1203" t="s">
        <v>862</v>
      </c>
      <c r="OC18" s="1275"/>
      <c r="OD18" s="1204"/>
      <c r="PA18" s="130"/>
      <c r="PB18" s="130"/>
      <c r="PC18" s="130"/>
      <c r="PD18" s="130"/>
      <c r="PE18" s="130"/>
      <c r="PF18" s="130"/>
      <c r="PH18" s="377"/>
      <c r="PI18" s="373"/>
      <c r="PJ18" s="54"/>
      <c r="PK18" s="373"/>
      <c r="PL18" s="850"/>
      <c r="PM18" s="935" t="s">
        <v>1552</v>
      </c>
      <c r="PN18" s="936"/>
      <c r="PO18" s="890">
        <f>$QQ$37</f>
        <v>1.8</v>
      </c>
      <c r="PP18" s="890"/>
      <c r="PQ18" s="861" t="s">
        <v>1555</v>
      </c>
      <c r="PR18" s="861"/>
      <c r="PS18" s="890">
        <f>$PZ$49</f>
        <v>32.734547777960586</v>
      </c>
      <c r="PT18" s="890"/>
      <c r="PU18" s="957"/>
      <c r="PV18" s="957"/>
      <c r="PW18" s="957"/>
      <c r="PX18" s="957"/>
      <c r="PY18" s="1117"/>
      <c r="PZ18" s="887"/>
      <c r="QA18" s="888"/>
      <c r="QB18" s="1608"/>
      <c r="QC18" s="1210"/>
      <c r="QD18" s="1249"/>
      <c r="QE18" s="1539"/>
      <c r="QF18" s="1539"/>
      <c r="QG18" s="1539"/>
      <c r="QH18" s="1290"/>
      <c r="QI18" s="1052"/>
      <c r="QJ18" s="1052"/>
      <c r="QK18" s="1052"/>
      <c r="QL18" s="1052"/>
      <c r="QM18" s="1052"/>
      <c r="QN18" s="1052"/>
      <c r="QO18" s="1052"/>
      <c r="QP18" s="1052"/>
      <c r="QQ18" s="1052"/>
      <c r="QR18" s="1052"/>
      <c r="QS18" s="1052"/>
      <c r="QT18" s="1052"/>
      <c r="QU18" s="1052"/>
      <c r="QV18" s="1052"/>
      <c r="QW18" s="1052"/>
      <c r="QX18" s="1052"/>
      <c r="QY18" s="1052"/>
      <c r="QZ18" s="1052"/>
      <c r="RA18" s="373"/>
      <c r="RB18" s="373"/>
      <c r="RC18" s="374"/>
      <c r="RE18" s="653"/>
      <c r="RF18" s="653"/>
      <c r="RG18" s="653"/>
      <c r="RH18" s="653"/>
      <c r="RI18" s="653"/>
      <c r="RJ18" s="653"/>
      <c r="RK18" s="653"/>
      <c r="RL18" s="653"/>
      <c r="RM18" s="653"/>
      <c r="RN18" s="653"/>
      <c r="RO18" s="653"/>
      <c r="RP18" s="653"/>
      <c r="RQ18" s="653"/>
      <c r="RR18" s="653"/>
      <c r="RS18" s="653"/>
      <c r="RT18" s="653"/>
      <c r="RU18" s="653"/>
      <c r="RV18" s="653"/>
      <c r="RW18" s="653"/>
      <c r="RX18" s="653"/>
      <c r="RY18" s="653"/>
      <c r="RZ18" s="850"/>
      <c r="SA18" s="498" t="s">
        <v>1216</v>
      </c>
      <c r="SB18" s="766">
        <f>$AP$7</f>
        <v>220</v>
      </c>
      <c r="SC18" s="766"/>
      <c r="SD18" s="797" t="s">
        <v>158</v>
      </c>
      <c r="SE18" s="797"/>
      <c r="SF18" s="797"/>
      <c r="SG18" s="797"/>
      <c r="SH18" s="797"/>
      <c r="SI18" s="797"/>
      <c r="SJ18" s="797"/>
      <c r="SK18" s="797"/>
      <c r="SL18" s="797"/>
      <c r="SM18" s="798"/>
      <c r="SN18" s="835">
        <f>SB18/SB19</f>
        <v>13.537795509105404</v>
      </c>
      <c r="SO18" s="836"/>
      <c r="SP18" s="1253" t="s">
        <v>392</v>
      </c>
      <c r="SQ18" s="1189"/>
      <c r="SR18" s="1066"/>
      <c r="SS18" s="1170" t="s">
        <v>1201</v>
      </c>
      <c r="ST18" s="1172"/>
      <c r="SU18" s="847"/>
      <c r="SV18" s="827"/>
      <c r="SW18" s="947"/>
      <c r="SX18" s="947"/>
      <c r="SY18" s="948"/>
      <c r="TX18" s="653"/>
      <c r="TY18" s="653"/>
      <c r="TZ18" s="653"/>
      <c r="UA18" s="653"/>
      <c r="UB18" s="653"/>
      <c r="UC18" s="653"/>
      <c r="UD18" s="653"/>
      <c r="UE18" s="653"/>
      <c r="UF18" s="653"/>
      <c r="UG18" s="653"/>
      <c r="UH18" s="653"/>
      <c r="UI18" s="653"/>
      <c r="UJ18" s="653"/>
      <c r="UK18" s="653"/>
      <c r="UL18" s="653"/>
      <c r="UM18" s="653"/>
      <c r="UN18" s="653"/>
      <c r="UO18" s="653"/>
      <c r="UP18" s="653"/>
      <c r="UQ18" s="653"/>
      <c r="UR18" s="653"/>
      <c r="US18" s="653"/>
      <c r="UT18" s="653"/>
      <c r="UU18" s="653"/>
      <c r="UV18" s="653"/>
      <c r="UW18" s="653"/>
      <c r="UX18" s="653"/>
      <c r="UY18" s="653"/>
      <c r="UZ18" s="653"/>
      <c r="WE18" s="1800"/>
      <c r="WF18" s="1798"/>
      <c r="WG18" s="1798"/>
      <c r="WH18" s="1798"/>
      <c r="WI18" s="1798"/>
      <c r="WJ18" s="1799"/>
      <c r="WK18" s="910"/>
      <c r="WL18" s="910"/>
      <c r="WM18" s="910"/>
      <c r="WN18" s="910"/>
      <c r="WO18" s="910"/>
      <c r="WP18" s="910"/>
      <c r="WQ18" s="910"/>
      <c r="WR18" s="910"/>
      <c r="WS18" s="910"/>
      <c r="WT18" s="910"/>
      <c r="WU18" s="910"/>
      <c r="WV18" s="910"/>
      <c r="WW18" s="1239"/>
      <c r="WX18" s="775"/>
      <c r="WY18" s="1138"/>
      <c r="WZ18" s="957"/>
      <c r="XA18" s="957"/>
      <c r="XB18" s="164"/>
      <c r="XC18" s="165"/>
      <c r="XD18" s="165"/>
      <c r="XE18" s="165"/>
      <c r="XF18" s="166"/>
      <c r="XG18" s="965">
        <v>1</v>
      </c>
      <c r="XH18" s="965">
        <v>1</v>
      </c>
      <c r="XI18" s="965">
        <v>1</v>
      </c>
      <c r="XJ18" s="965">
        <v>1</v>
      </c>
      <c r="XK18" s="965">
        <v>1</v>
      </c>
      <c r="XL18" s="965">
        <v>1</v>
      </c>
      <c r="XM18" s="965">
        <v>1</v>
      </c>
      <c r="XN18" s="965">
        <v>1</v>
      </c>
      <c r="XO18" s="965">
        <v>1</v>
      </c>
      <c r="XP18" s="965">
        <v>1</v>
      </c>
      <c r="XQ18" s="965">
        <v>1</v>
      </c>
      <c r="XR18" s="965">
        <v>1</v>
      </c>
      <c r="XS18" s="965">
        <v>1</v>
      </c>
      <c r="XT18" s="965">
        <v>1</v>
      </c>
      <c r="XU18" s="965">
        <v>1</v>
      </c>
      <c r="XV18" s="965">
        <v>1</v>
      </c>
      <c r="XW18" s="965">
        <v>1</v>
      </c>
      <c r="XX18" s="965">
        <v>1</v>
      </c>
      <c r="XY18" s="965">
        <v>1</v>
      </c>
      <c r="XZ18" s="965">
        <v>1</v>
      </c>
      <c r="YA18" s="965">
        <v>1</v>
      </c>
      <c r="YB18" s="965">
        <v>1</v>
      </c>
      <c r="YC18" s="965">
        <v>1</v>
      </c>
      <c r="YD18" s="965">
        <v>1</v>
      </c>
      <c r="YE18" s="965">
        <v>1</v>
      </c>
      <c r="YF18" s="965">
        <v>1</v>
      </c>
      <c r="YG18" s="965">
        <v>1</v>
      </c>
      <c r="YH18" s="965">
        <v>1</v>
      </c>
      <c r="YI18" s="965">
        <v>1</v>
      </c>
      <c r="YJ18" s="965">
        <v>1</v>
      </c>
      <c r="YK18" s="965">
        <v>1</v>
      </c>
      <c r="YL18" s="965">
        <v>1</v>
      </c>
      <c r="YM18" s="965">
        <v>1</v>
      </c>
      <c r="YN18" s="965">
        <v>1</v>
      </c>
      <c r="YO18" s="965">
        <v>1</v>
      </c>
      <c r="YP18" s="965">
        <v>1</v>
      </c>
      <c r="YQ18" s="965">
        <v>1</v>
      </c>
      <c r="YR18" s="965">
        <v>1</v>
      </c>
      <c r="YS18" s="965">
        <v>1</v>
      </c>
      <c r="YT18" s="965">
        <v>1</v>
      </c>
      <c r="YU18" s="965">
        <v>1</v>
      </c>
      <c r="YV18" s="965">
        <v>1</v>
      </c>
      <c r="YW18" s="965">
        <v>1</v>
      </c>
      <c r="YX18" s="965">
        <v>1</v>
      </c>
      <c r="YY18" s="965">
        <v>1</v>
      </c>
      <c r="YZ18" s="965">
        <v>1</v>
      </c>
      <c r="ZA18" s="965">
        <v>1</v>
      </c>
      <c r="ZB18" s="965">
        <v>1</v>
      </c>
      <c r="ZC18" s="965">
        <v>1</v>
      </c>
      <c r="ZD18" s="965">
        <v>1</v>
      </c>
      <c r="ZE18" s="965">
        <v>1</v>
      </c>
      <c r="ZF18" s="965">
        <v>1</v>
      </c>
      <c r="ZG18" s="965">
        <v>1</v>
      </c>
      <c r="ZH18" s="965">
        <v>1</v>
      </c>
      <c r="ZI18" s="965">
        <v>1</v>
      </c>
      <c r="ZJ18" s="965">
        <v>1</v>
      </c>
      <c r="ZK18" s="965">
        <v>1</v>
      </c>
      <c r="ZL18" s="965">
        <v>1</v>
      </c>
      <c r="ZM18" s="965">
        <v>1</v>
      </c>
      <c r="ZN18" s="965">
        <v>1</v>
      </c>
      <c r="ZO18" s="965">
        <v>1</v>
      </c>
      <c r="ZP18" s="965">
        <v>1</v>
      </c>
      <c r="ZQ18" s="965">
        <v>1</v>
      </c>
      <c r="ZR18" s="965">
        <v>1</v>
      </c>
      <c r="ZS18" s="965">
        <v>1</v>
      </c>
      <c r="ZT18" s="965">
        <v>1</v>
      </c>
      <c r="ZU18" s="965">
        <v>1</v>
      </c>
      <c r="ZV18" s="965">
        <v>1</v>
      </c>
      <c r="ZW18" s="965">
        <v>1</v>
      </c>
      <c r="ZX18" s="965">
        <v>1</v>
      </c>
      <c r="ZY18" s="965">
        <v>1</v>
      </c>
      <c r="ZZ18" s="965">
        <v>1</v>
      </c>
      <c r="AAA18" s="965">
        <v>1</v>
      </c>
      <c r="AAB18" s="965">
        <v>1</v>
      </c>
      <c r="AAC18" s="965">
        <v>1</v>
      </c>
      <c r="AAD18" s="965">
        <v>1</v>
      </c>
      <c r="AAE18" s="965">
        <v>1</v>
      </c>
      <c r="AAF18" s="965">
        <v>1</v>
      </c>
      <c r="AAG18" s="965">
        <v>1</v>
      </c>
      <c r="AAH18" s="965">
        <v>1</v>
      </c>
      <c r="AAI18" s="965">
        <v>1</v>
      </c>
      <c r="AAJ18" s="965">
        <v>1</v>
      </c>
      <c r="AAK18" s="965">
        <v>1</v>
      </c>
      <c r="AAL18" s="965">
        <v>1</v>
      </c>
      <c r="AAM18" s="965">
        <v>1</v>
      </c>
      <c r="AAN18" s="965">
        <v>1</v>
      </c>
      <c r="AAO18" s="965">
        <v>1</v>
      </c>
      <c r="AAP18" s="965">
        <v>1</v>
      </c>
      <c r="AAQ18" s="965">
        <v>1</v>
      </c>
      <c r="AAR18" s="965">
        <v>1</v>
      </c>
      <c r="AAS18" s="965">
        <v>1</v>
      </c>
      <c r="AAT18" s="965">
        <v>1</v>
      </c>
      <c r="AAU18" s="957"/>
      <c r="AAV18" s="957"/>
      <c r="AAW18" s="1142"/>
      <c r="AAX18" s="1143"/>
      <c r="AAY18" s="1143"/>
      <c r="AAZ18" s="1143"/>
      <c r="ABA18" s="1144"/>
      <c r="ACJ18" s="759">
        <v>0.33333333300000001</v>
      </c>
      <c r="ACK18" s="760"/>
      <c r="ACL18" s="759">
        <v>-0.233333333</v>
      </c>
      <c r="ACM18" s="760"/>
      <c r="ACN18" s="592">
        <v>6</v>
      </c>
      <c r="ACO18" s="759">
        <f t="shared" si="0"/>
        <v>0.11999999998000002</v>
      </c>
      <c r="ACP18" s="760"/>
      <c r="ACQ18" s="757">
        <f t="shared" si="1"/>
        <v>1.06</v>
      </c>
      <c r="ACR18" s="758"/>
      <c r="ACT18" s="759">
        <v>0.66666666699999999</v>
      </c>
      <c r="ACU18" s="760"/>
      <c r="ACV18" s="759">
        <v>-0.66666666699999999</v>
      </c>
      <c r="ACW18" s="760"/>
      <c r="ACX18" s="591">
        <v>56</v>
      </c>
      <c r="ACY18" s="759">
        <f t="shared" si="8"/>
        <v>0.37333333352000009</v>
      </c>
      <c r="ACZ18" s="760"/>
      <c r="ADA18" s="757">
        <f t="shared" si="2"/>
        <v>1.56</v>
      </c>
      <c r="ADB18" s="758"/>
      <c r="ADD18" s="759">
        <v>1</v>
      </c>
      <c r="ADE18" s="760"/>
      <c r="ADF18" s="759">
        <v>-1.2</v>
      </c>
      <c r="ADG18" s="760"/>
      <c r="ADH18" s="592">
        <v>105</v>
      </c>
      <c r="ADI18" s="759">
        <f t="shared" si="3"/>
        <v>0.84999999999999987</v>
      </c>
      <c r="ADJ18" s="760"/>
      <c r="ADK18" s="757">
        <f t="shared" si="4"/>
        <v>2.0499999999999998</v>
      </c>
      <c r="ADL18" s="758"/>
      <c r="ADN18" s="759">
        <v>1.1052631580000001</v>
      </c>
      <c r="ADO18" s="760"/>
      <c r="ADP18" s="759">
        <v>-1.42105263157895</v>
      </c>
      <c r="ADQ18" s="760"/>
      <c r="ADR18" s="591">
        <v>155</v>
      </c>
      <c r="ADS18" s="759">
        <f t="shared" si="9"/>
        <v>1.3973684213210502</v>
      </c>
      <c r="ADT18" s="760"/>
      <c r="ADU18" s="757">
        <f t="shared" si="5"/>
        <v>2.5499999999999998</v>
      </c>
      <c r="ADV18" s="758"/>
      <c r="ADX18" s="759">
        <v>1.1052631580000001</v>
      </c>
      <c r="ADY18" s="760"/>
      <c r="ADZ18" s="759">
        <v>-1.42105263157895</v>
      </c>
      <c r="AEA18" s="760"/>
      <c r="AEB18" s="591">
        <v>205</v>
      </c>
      <c r="AEC18" s="759">
        <f t="shared" si="10"/>
        <v>1.95000000032105</v>
      </c>
      <c r="AED18" s="760"/>
      <c r="AEE18" s="757">
        <f t="shared" si="6"/>
        <v>3.05</v>
      </c>
      <c r="AEF18" s="758"/>
      <c r="AEH18" s="759">
        <v>1.1052631580000001</v>
      </c>
      <c r="AEI18" s="760"/>
      <c r="AEJ18" s="759">
        <v>-1.42105263157895</v>
      </c>
      <c r="AEK18" s="760"/>
      <c r="AEL18" s="591">
        <v>255</v>
      </c>
      <c r="AEM18" s="759">
        <f t="shared" si="11"/>
        <v>2.5026315793210507</v>
      </c>
      <c r="AEN18" s="760"/>
      <c r="AEO18" s="757">
        <f t="shared" si="7"/>
        <v>3.5500000000000003</v>
      </c>
      <c r="AEP18" s="758"/>
      <c r="AFA18" s="987" t="s">
        <v>1696</v>
      </c>
      <c r="AFB18" s="988"/>
      <c r="AFC18" s="988"/>
      <c r="AFD18" s="988"/>
      <c r="AFE18" s="988"/>
      <c r="AFF18" s="988"/>
      <c r="AFG18" s="989"/>
      <c r="AFH18" s="981"/>
      <c r="AGJ18" s="136"/>
      <c r="AGK18" s="891"/>
      <c r="AGL18" s="891"/>
      <c r="AGM18" s="891"/>
      <c r="AGN18" s="891"/>
      <c r="AGO18" s="891"/>
      <c r="AGP18" s="891"/>
      <c r="AGQ18" s="891"/>
      <c r="AGR18" s="891"/>
      <c r="AGS18" s="891"/>
      <c r="AGT18" s="891"/>
      <c r="AGU18" s="891"/>
      <c r="AGV18" s="891"/>
      <c r="AGW18" s="891"/>
      <c r="AGX18" s="891"/>
      <c r="AGY18" s="891"/>
      <c r="AGZ18" s="891"/>
      <c r="AHA18" s="891"/>
      <c r="AHB18" s="891"/>
      <c r="AHC18" s="891"/>
      <c r="AHD18" s="891"/>
      <c r="AHE18" s="891"/>
      <c r="AHF18" s="891"/>
      <c r="AHG18" s="891"/>
      <c r="AHH18" s="891"/>
      <c r="AHI18" s="891"/>
      <c r="AHJ18" s="891"/>
      <c r="AHK18" s="891"/>
      <c r="AHL18" s="891"/>
      <c r="AHM18" s="891"/>
      <c r="AHN18" s="891"/>
      <c r="AHO18" s="891"/>
      <c r="AHP18" s="891"/>
      <c r="AHQ18" s="891"/>
      <c r="AHR18" s="891"/>
      <c r="AHS18" s="891"/>
      <c r="AHT18" s="891"/>
      <c r="AHU18" s="891"/>
      <c r="AHV18" s="891"/>
      <c r="AHW18" s="136"/>
      <c r="AIU18" s="800" t="s">
        <v>432</v>
      </c>
      <c r="AIV18" s="801"/>
      <c r="AIW18" s="890">
        <f>$AHA$41</f>
        <v>0.65999999999999992</v>
      </c>
      <c r="AIX18" s="890"/>
      <c r="AKV18" s="653"/>
      <c r="AKW18" s="653"/>
      <c r="AKX18" s="653"/>
      <c r="AKY18" s="653"/>
      <c r="AKZ18" s="653"/>
      <c r="ALA18" s="653"/>
      <c r="ALB18" s="653"/>
      <c r="ALC18" s="653"/>
      <c r="ALD18" s="653"/>
      <c r="ALE18" s="653"/>
      <c r="ALF18" s="653"/>
      <c r="ALG18" s="653"/>
      <c r="ALH18" s="653"/>
      <c r="AOL18" s="130"/>
      <c r="AQL18" s="130"/>
      <c r="AQV18" s="653"/>
      <c r="AQW18" s="653"/>
      <c r="AQX18" s="653"/>
      <c r="AQY18" s="653"/>
      <c r="AQZ18" s="653"/>
      <c r="ARA18" s="653"/>
      <c r="ARB18" s="653"/>
      <c r="ARC18" s="653"/>
      <c r="ARD18" s="653"/>
      <c r="ARE18" s="653"/>
      <c r="ARF18" s="653"/>
      <c r="ARG18" s="653"/>
      <c r="ARH18" s="653"/>
      <c r="ARI18" s="653"/>
      <c r="ARJ18" s="653"/>
      <c r="ARK18" s="653"/>
      <c r="ARL18" s="653"/>
      <c r="ARM18" s="653"/>
      <c r="ARN18" s="653"/>
      <c r="ARO18" s="653"/>
      <c r="ARU18" s="504"/>
      <c r="ARV18" s="470"/>
      <c r="ARW18" s="649" t="s">
        <v>911</v>
      </c>
      <c r="ARX18" s="1117" t="s">
        <v>1688</v>
      </c>
      <c r="ARY18" s="1118"/>
      <c r="ARZ18" s="1118"/>
      <c r="ASA18" s="1118"/>
      <c r="ASB18" s="1118"/>
      <c r="ASC18" s="1118"/>
      <c r="ASD18" s="1118"/>
      <c r="ASE18" s="1118"/>
      <c r="ASF18" s="1118"/>
      <c r="ASG18" s="1119"/>
      <c r="ASH18" s="1121">
        <f>'Программные таблицы'!$P$432</f>
        <v>0.2</v>
      </c>
      <c r="ASI18" s="1123"/>
      <c r="ASJ18" s="504"/>
      <c r="ASK18" s="470"/>
      <c r="ASL18" s="470"/>
      <c r="ASM18" s="470"/>
      <c r="ASN18" s="470"/>
      <c r="ASO18" s="470"/>
      <c r="ASP18" s="470"/>
      <c r="ASQ18" s="470"/>
      <c r="ASR18" s="470"/>
      <c r="ASS18" s="470"/>
      <c r="AST18" s="476"/>
      <c r="ATK18" s="802" t="s">
        <v>1673</v>
      </c>
      <c r="ATL18" s="803"/>
      <c r="ATM18" s="1333">
        <f>$PW$120</f>
        <v>142.98018291973614</v>
      </c>
      <c r="ATN18" s="1334"/>
      <c r="AWB18" s="851"/>
      <c r="AWC18" s="857"/>
      <c r="AWD18" s="857"/>
      <c r="AWE18" s="857"/>
      <c r="AWF18" s="857"/>
      <c r="AWG18" s="857"/>
      <c r="AWH18" s="857"/>
      <c r="AWI18" s="857"/>
      <c r="AWJ18" s="857"/>
      <c r="AWK18" s="857"/>
      <c r="AWL18" s="857"/>
      <c r="AWM18" s="857"/>
      <c r="AWN18" s="857"/>
      <c r="AWO18" s="857"/>
      <c r="AWP18" s="837"/>
      <c r="AWQ18" s="838"/>
      <c r="AWR18" s="777"/>
      <c r="AWS18" s="799"/>
      <c r="AWT18" s="842"/>
      <c r="AWU18" s="845"/>
      <c r="AWV18" s="846"/>
      <c r="AWW18" s="848"/>
    </row>
    <row r="19" spans="1:996 1076:1297" ht="48" customHeight="1" thickBot="1">
      <c r="A19" s="130"/>
      <c r="B19" s="130"/>
      <c r="C19" s="130"/>
      <c r="F19" s="653"/>
      <c r="G19" s="653"/>
      <c r="H19" s="653"/>
      <c r="I19" s="653"/>
      <c r="J19" s="653"/>
      <c r="K19" s="653"/>
      <c r="L19" s="653"/>
      <c r="M19" s="653"/>
      <c r="N19" s="653"/>
      <c r="O19" s="653"/>
      <c r="P19" s="653"/>
      <c r="Q19" s="653"/>
      <c r="R19" s="653"/>
      <c r="S19" s="653"/>
      <c r="T19" s="653"/>
      <c r="U19" s="653"/>
      <c r="X19" s="1731">
        <v>1500</v>
      </c>
      <c r="Y19" s="1731"/>
      <c r="Z19" s="1731">
        <f>3000/X19</f>
        <v>2</v>
      </c>
      <c r="AA19" s="1731"/>
      <c r="AI19" s="849"/>
      <c r="AJ19" s="1684">
        <v>1.2</v>
      </c>
      <c r="AK19" s="1684"/>
      <c r="AL19" s="537"/>
      <c r="AM19" s="76" t="s">
        <v>441</v>
      </c>
      <c r="AN19" s="1676" t="s">
        <v>435</v>
      </c>
      <c r="AO19" s="1683"/>
      <c r="AP19" s="920" t="s">
        <v>111</v>
      </c>
      <c r="AQ19" s="921"/>
      <c r="AR19" s="916" t="s">
        <v>704</v>
      </c>
      <c r="AS19" s="917"/>
      <c r="AT19" s="906" t="s">
        <v>447</v>
      </c>
      <c r="AU19" s="907"/>
      <c r="AV19" s="907"/>
      <c r="AW19" s="908"/>
      <c r="BI19" s="653"/>
      <c r="BJ19" s="653"/>
      <c r="BK19" s="653"/>
      <c r="BL19" s="653"/>
      <c r="BM19" s="653"/>
      <c r="BN19" s="653"/>
      <c r="BO19" s="653"/>
      <c r="BP19" s="653"/>
      <c r="BQ19" s="653"/>
      <c r="BR19" s="653"/>
      <c r="BS19" s="130"/>
      <c r="BT19" s="130"/>
      <c r="BU19" s="130"/>
      <c r="BV19" s="130"/>
      <c r="BX19" s="849"/>
      <c r="BY19" s="1257" t="s">
        <v>734</v>
      </c>
      <c r="BZ19" s="1257"/>
      <c r="CA19" s="124"/>
      <c r="CB19" s="76" t="s">
        <v>441</v>
      </c>
      <c r="CC19" s="854" t="s">
        <v>435</v>
      </c>
      <c r="CD19" s="855"/>
      <c r="CE19" s="920" t="s">
        <v>111</v>
      </c>
      <c r="CF19" s="921"/>
      <c r="CG19" s="916" t="s">
        <v>704</v>
      </c>
      <c r="CH19" s="917"/>
      <c r="CI19" s="906" t="s">
        <v>447</v>
      </c>
      <c r="CJ19" s="907"/>
      <c r="CK19" s="907"/>
      <c r="CL19" s="908"/>
      <c r="CM19" s="1051" t="s">
        <v>436</v>
      </c>
      <c r="CN19" s="1051"/>
      <c r="CO19" s="1051"/>
      <c r="CP19" s="1051"/>
      <c r="DZ19" s="897" t="s">
        <v>973</v>
      </c>
      <c r="EA19" s="898"/>
      <c r="EB19" s="899"/>
      <c r="EC19" s="849"/>
      <c r="ED19" s="852" t="s">
        <v>416</v>
      </c>
      <c r="EE19" s="853"/>
      <c r="EF19" s="199"/>
      <c r="EG19" s="806" t="s">
        <v>1799</v>
      </c>
      <c r="EH19" s="807"/>
      <c r="EI19" s="808"/>
      <c r="EJ19" s="652" t="s">
        <v>451</v>
      </c>
      <c r="EK19" s="132"/>
      <c r="EL19" s="76" t="s">
        <v>441</v>
      </c>
      <c r="EM19" s="854" t="s">
        <v>435</v>
      </c>
      <c r="EN19" s="855"/>
      <c r="EO19" s="920" t="s">
        <v>111</v>
      </c>
      <c r="EP19" s="921"/>
      <c r="EQ19" s="916" t="s">
        <v>704</v>
      </c>
      <c r="ER19" s="917"/>
      <c r="ES19" s="906" t="s">
        <v>447</v>
      </c>
      <c r="ET19" s="907"/>
      <c r="EU19" s="907"/>
      <c r="EV19" s="908"/>
      <c r="GB19" s="653"/>
      <c r="GC19" s="653"/>
      <c r="GD19" s="653"/>
      <c r="GE19" s="653"/>
      <c r="GF19" s="76" t="s">
        <v>793</v>
      </c>
      <c r="GG19" s="852" t="s">
        <v>416</v>
      </c>
      <c r="GH19" s="923"/>
      <c r="GI19" s="136"/>
      <c r="GJ19" s="76" t="s">
        <v>441</v>
      </c>
      <c r="GK19" s="854" t="s">
        <v>435</v>
      </c>
      <c r="GL19" s="855"/>
      <c r="GM19" s="920" t="s">
        <v>111</v>
      </c>
      <c r="GN19" s="921"/>
      <c r="GO19" s="916" t="s">
        <v>704</v>
      </c>
      <c r="GP19" s="917"/>
      <c r="GQ19" s="906" t="s">
        <v>447</v>
      </c>
      <c r="GR19" s="907"/>
      <c r="GS19" s="907"/>
      <c r="GT19" s="908"/>
      <c r="GU19" s="906" t="s">
        <v>436</v>
      </c>
      <c r="GV19" s="907"/>
      <c r="GW19" s="907"/>
      <c r="GX19" s="908"/>
      <c r="IR19" s="900"/>
      <c r="IS19" s="901"/>
      <c r="IT19" s="902"/>
      <c r="IU19" s="850"/>
      <c r="IV19" s="809" t="s">
        <v>77</v>
      </c>
      <c r="IW19" s="797"/>
      <c r="IX19" s="797"/>
      <c r="IY19" s="797"/>
      <c r="IZ19" s="797"/>
      <c r="JA19" s="797"/>
      <c r="JB19" s="797"/>
      <c r="JC19" s="797"/>
      <c r="JD19" s="797"/>
      <c r="JE19" s="797"/>
      <c r="JF19" s="797"/>
      <c r="JG19" s="1434">
        <v>1520</v>
      </c>
      <c r="JH19" s="1435"/>
      <c r="JI19" s="1075" t="s">
        <v>16</v>
      </c>
      <c r="JJ19" s="1076"/>
      <c r="JK19" s="1066"/>
      <c r="JL19" s="1170" t="s">
        <v>1051</v>
      </c>
      <c r="JM19" s="1172"/>
      <c r="JN19" s="847"/>
      <c r="JO19" s="162"/>
      <c r="JP19" s="861" t="s">
        <v>1104</v>
      </c>
      <c r="JQ19" s="861"/>
      <c r="JR19" s="761">
        <f>$JD$23</f>
        <v>1.9</v>
      </c>
      <c r="JS19" s="761"/>
      <c r="JT19" s="163"/>
      <c r="JX19" s="849"/>
      <c r="JY19" s="852" t="s">
        <v>832</v>
      </c>
      <c r="JZ19" s="923"/>
      <c r="KA19" s="224"/>
      <c r="KB19" s="228" t="s">
        <v>1033</v>
      </c>
      <c r="KC19" s="890">
        <f>$EK$49</f>
        <v>25.438111676802539</v>
      </c>
      <c r="KD19" s="890"/>
      <c r="KE19" s="136"/>
      <c r="KF19" s="78"/>
      <c r="KG19" s="78"/>
      <c r="KH19" s="136"/>
      <c r="KI19" s="76" t="s">
        <v>441</v>
      </c>
      <c r="KJ19" s="854" t="s">
        <v>435</v>
      </c>
      <c r="KK19" s="855"/>
      <c r="KL19" s="920" t="s">
        <v>111</v>
      </c>
      <c r="KM19" s="921"/>
      <c r="KN19" s="916" t="s">
        <v>704</v>
      </c>
      <c r="KO19" s="917"/>
      <c r="KP19" s="906" t="s">
        <v>447</v>
      </c>
      <c r="KQ19" s="907"/>
      <c r="KR19" s="907"/>
      <c r="KS19" s="908"/>
      <c r="KT19" s="1051" t="s">
        <v>436</v>
      </c>
      <c r="KU19" s="1051"/>
      <c r="KV19" s="1051"/>
      <c r="KW19" s="1051"/>
      <c r="LF19" s="130"/>
      <c r="LG19" s="130"/>
      <c r="LH19" s="130"/>
      <c r="LI19" s="130"/>
      <c r="LJ19" s="130"/>
      <c r="LK19" s="130"/>
      <c r="LL19" s="130"/>
      <c r="LM19" s="130"/>
      <c r="LN19" s="130"/>
      <c r="LO19" s="130"/>
      <c r="LP19" s="130"/>
      <c r="LQ19" s="130"/>
      <c r="MB19" s="900"/>
      <c r="MC19" s="901"/>
      <c r="MD19" s="902"/>
      <c r="ME19" s="850"/>
      <c r="MF19" s="791" t="s">
        <v>1231</v>
      </c>
      <c r="MG19" s="792"/>
      <c r="MH19" s="792"/>
      <c r="MI19" s="792"/>
      <c r="MJ19" s="792"/>
      <c r="MK19" s="792"/>
      <c r="ML19" s="792"/>
      <c r="MM19" s="792"/>
      <c r="MN19" s="792"/>
      <c r="MO19" s="792"/>
      <c r="MP19" s="792"/>
      <c r="MQ19" s="792"/>
      <c r="MR19" s="793"/>
      <c r="MS19" s="1222">
        <f>MQ17</f>
        <v>2.4390243902439023E-8</v>
      </c>
      <c r="MT19" s="1223"/>
      <c r="MU19" s="1224"/>
      <c r="MV19" s="1188" t="s">
        <v>1219</v>
      </c>
      <c r="MW19" s="1189"/>
      <c r="MX19" s="841"/>
      <c r="MY19" s="1170" t="s">
        <v>423</v>
      </c>
      <c r="MZ19" s="1172"/>
      <c r="NA19" s="847"/>
      <c r="OA19" s="851"/>
      <c r="OB19" s="1276"/>
      <c r="OC19" s="1277"/>
      <c r="OD19" s="1278"/>
      <c r="PA19" s="130"/>
      <c r="PB19" s="130"/>
      <c r="PC19" s="130"/>
      <c r="PD19" s="130"/>
      <c r="PE19" s="130"/>
      <c r="PF19" s="130"/>
      <c r="PH19" s="377"/>
      <c r="PI19" s="373"/>
      <c r="PJ19" s="54"/>
      <c r="PK19" s="373"/>
      <c r="PL19" s="850"/>
      <c r="PM19" s="800" t="s">
        <v>1550</v>
      </c>
      <c r="PN19" s="801"/>
      <c r="PO19" s="951">
        <f>$QA$57</f>
        <v>2.5</v>
      </c>
      <c r="PP19" s="952"/>
      <c r="PQ19" s="861" t="s">
        <v>1554</v>
      </c>
      <c r="PR19" s="861"/>
      <c r="PS19" s="890">
        <f>$PZ$45</f>
        <v>9.7271455717054867</v>
      </c>
      <c r="PT19" s="951"/>
      <c r="PU19" s="957"/>
      <c r="PV19" s="957"/>
      <c r="PW19" s="957"/>
      <c r="PX19" s="957"/>
      <c r="PY19" s="1117"/>
      <c r="PZ19" s="1609"/>
      <c r="QA19" s="1610"/>
      <c r="QB19" s="1610"/>
      <c r="QC19" s="1610"/>
      <c r="QD19" s="1610"/>
      <c r="QE19" s="1610"/>
      <c r="QF19" s="1610"/>
      <c r="QG19" s="1610"/>
      <c r="QH19" s="1611"/>
      <c r="QI19" s="1052"/>
      <c r="QJ19" s="1052"/>
      <c r="QK19" s="1052"/>
      <c r="QL19" s="1052"/>
      <c r="QM19" s="1052"/>
      <c r="QN19" s="1052"/>
      <c r="QO19" s="1052"/>
      <c r="QP19" s="1052"/>
      <c r="QQ19" s="1052"/>
      <c r="QR19" s="1052"/>
      <c r="QS19" s="1052"/>
      <c r="QT19" s="1052"/>
      <c r="QU19" s="1052"/>
      <c r="QV19" s="1052"/>
      <c r="QW19" s="1052"/>
      <c r="QX19" s="1052"/>
      <c r="QY19" s="1052"/>
      <c r="QZ19" s="1052"/>
      <c r="RA19" s="373"/>
      <c r="RB19" s="373"/>
      <c r="RC19" s="374"/>
      <c r="RE19" s="653"/>
      <c r="RF19" s="653"/>
      <c r="RG19" s="653"/>
      <c r="RH19" s="653"/>
      <c r="RI19" s="653"/>
      <c r="RJ19" s="653"/>
      <c r="RK19" s="653"/>
      <c r="RL19" s="653"/>
      <c r="RM19" s="653"/>
      <c r="RN19" s="653"/>
      <c r="RO19" s="653"/>
      <c r="RP19" s="653"/>
      <c r="RQ19" s="653"/>
      <c r="RR19" s="653"/>
      <c r="RS19" s="653"/>
      <c r="RT19" s="653"/>
      <c r="RU19" s="653"/>
      <c r="RV19" s="653"/>
      <c r="RW19" s="653"/>
      <c r="RX19" s="653"/>
      <c r="RY19" s="653"/>
      <c r="RZ19" s="851"/>
      <c r="SA19" s="500" t="s">
        <v>1179</v>
      </c>
      <c r="SB19" s="804">
        <f>$KL$99</f>
        <v>16.250799463770147</v>
      </c>
      <c r="SC19" s="804"/>
      <c r="SD19" s="778"/>
      <c r="SE19" s="778"/>
      <c r="SF19" s="778"/>
      <c r="SG19" s="778"/>
      <c r="SH19" s="778"/>
      <c r="SI19" s="778"/>
      <c r="SJ19" s="778"/>
      <c r="SK19" s="778"/>
      <c r="SL19" s="778"/>
      <c r="SM19" s="799"/>
      <c r="SN19" s="837"/>
      <c r="SO19" s="838"/>
      <c r="SP19" s="1254"/>
      <c r="SQ19" s="1191"/>
      <c r="SR19" s="1067"/>
      <c r="SS19" s="1173"/>
      <c r="ST19" s="1175"/>
      <c r="SU19" s="848"/>
      <c r="SV19" s="828"/>
      <c r="SW19" s="949"/>
      <c r="SX19" s="949"/>
      <c r="SY19" s="950"/>
      <c r="TB19" s="653"/>
      <c r="TC19" s="653"/>
      <c r="TD19" s="653"/>
      <c r="TE19" s="653"/>
      <c r="TF19" s="653"/>
      <c r="TG19" s="653"/>
      <c r="TH19" s="653"/>
      <c r="TI19" s="653"/>
      <c r="TJ19" s="653"/>
      <c r="TK19" s="653"/>
      <c r="TL19" s="653"/>
      <c r="TM19" s="653"/>
      <c r="TN19" s="653"/>
      <c r="TO19" s="653"/>
      <c r="TP19" s="653"/>
      <c r="TQ19" s="653"/>
      <c r="TR19" s="653"/>
      <c r="TS19" s="653"/>
      <c r="TX19" s="653"/>
      <c r="TY19" s="653"/>
      <c r="TZ19" s="653"/>
      <c r="UA19" s="653"/>
      <c r="UB19" s="653"/>
      <c r="UC19" s="653"/>
      <c r="UD19" s="653"/>
      <c r="UE19" s="653"/>
      <c r="UF19" s="653"/>
      <c r="UG19" s="653"/>
      <c r="UH19" s="653"/>
      <c r="UI19" s="653"/>
      <c r="UJ19" s="653"/>
      <c r="UK19" s="653"/>
      <c r="UL19" s="653"/>
      <c r="UM19" s="653"/>
      <c r="UN19" s="653"/>
      <c r="UO19" s="653"/>
      <c r="UP19" s="653"/>
      <c r="UQ19" s="653"/>
      <c r="UR19" s="653"/>
      <c r="US19" s="653"/>
      <c r="UT19" s="653"/>
      <c r="UU19" s="653"/>
      <c r="UV19" s="653"/>
      <c r="UW19" s="653"/>
      <c r="UX19" s="653"/>
      <c r="UY19" s="653"/>
      <c r="UZ19" s="653"/>
      <c r="WE19" s="1801"/>
      <c r="WF19" s="1802"/>
      <c r="WG19" s="1802"/>
      <c r="WH19" s="1802"/>
      <c r="WI19" s="1802"/>
      <c r="WJ19" s="1803"/>
      <c r="WK19" s="168"/>
      <c r="WL19" s="168"/>
      <c r="WM19" s="168"/>
      <c r="WN19" s="168"/>
      <c r="WO19" s="168"/>
      <c r="WP19" s="168"/>
      <c r="WQ19" s="168"/>
      <c r="WR19" s="168"/>
      <c r="WS19" s="168"/>
      <c r="WT19" s="168"/>
      <c r="WU19" s="168"/>
      <c r="WV19" s="168"/>
      <c r="WW19" s="171"/>
      <c r="WX19" s="976">
        <v>0</v>
      </c>
      <c r="WY19" s="977"/>
      <c r="WZ19" s="980" t="s">
        <v>928</v>
      </c>
      <c r="XA19" s="980"/>
      <c r="XB19" s="173"/>
      <c r="XC19" s="173"/>
      <c r="XD19" s="173"/>
      <c r="XE19" s="173"/>
      <c r="XF19" s="173"/>
      <c r="XG19" s="966">
        <v>1E-3</v>
      </c>
      <c r="XH19" s="966">
        <v>2E-3</v>
      </c>
      <c r="XI19" s="966">
        <v>3.0000000000000001E-3</v>
      </c>
      <c r="XJ19" s="966">
        <v>4.0000000000000001E-3</v>
      </c>
      <c r="XK19" s="966">
        <v>5.0000000000000001E-3</v>
      </c>
      <c r="XL19" s="966">
        <v>6.0000000000000001E-3</v>
      </c>
      <c r="XM19" s="966">
        <v>7.0000000000000001E-3</v>
      </c>
      <c r="XN19" s="966">
        <v>8.0000000000000002E-3</v>
      </c>
      <c r="XO19" s="966">
        <v>8.9999999999999993E-3</v>
      </c>
      <c r="XP19" s="966">
        <v>0.01</v>
      </c>
      <c r="XQ19" s="966">
        <v>1.0999999999999999E-2</v>
      </c>
      <c r="XR19" s="966">
        <v>1.2E-2</v>
      </c>
      <c r="XS19" s="966">
        <v>1.2999999999999999E-2</v>
      </c>
      <c r="XT19" s="966">
        <v>1.4E-2</v>
      </c>
      <c r="XU19" s="966">
        <v>1.4999999999999999E-2</v>
      </c>
      <c r="XV19" s="966">
        <v>1.6E-2</v>
      </c>
      <c r="XW19" s="966">
        <v>1.7000000000000001E-2</v>
      </c>
      <c r="XX19" s="966">
        <v>1.7999999999999999E-2</v>
      </c>
      <c r="XY19" s="966">
        <v>1.9E-2</v>
      </c>
      <c r="XZ19" s="966">
        <v>0.02</v>
      </c>
      <c r="YA19" s="966">
        <v>2.1000000000000001E-2</v>
      </c>
      <c r="YB19" s="966">
        <v>2.1999999999999999E-2</v>
      </c>
      <c r="YC19" s="966">
        <v>2.3E-2</v>
      </c>
      <c r="YD19" s="966">
        <v>2.4E-2</v>
      </c>
      <c r="YE19" s="966">
        <v>2.5000000000000001E-2</v>
      </c>
      <c r="YF19" s="966">
        <v>2.5999999999999999E-2</v>
      </c>
      <c r="YG19" s="966">
        <v>2.7E-2</v>
      </c>
      <c r="YH19" s="966">
        <v>2.8000000000000001E-2</v>
      </c>
      <c r="YI19" s="966">
        <v>2.9000000000000001E-2</v>
      </c>
      <c r="YJ19" s="966">
        <v>0.03</v>
      </c>
      <c r="YK19" s="966">
        <v>3.1E-2</v>
      </c>
      <c r="YL19" s="966">
        <v>3.2000000000000001E-2</v>
      </c>
      <c r="YM19" s="966">
        <v>3.3000000000000002E-2</v>
      </c>
      <c r="YN19" s="966">
        <v>3.4000000000000002E-2</v>
      </c>
      <c r="YO19" s="966">
        <v>3.5000000000000003E-2</v>
      </c>
      <c r="YP19" s="966">
        <v>3.5999999999999997E-2</v>
      </c>
      <c r="YQ19" s="966">
        <v>3.6999999999999998E-2</v>
      </c>
      <c r="YR19" s="966">
        <v>3.7999999999999999E-2</v>
      </c>
      <c r="YS19" s="966">
        <v>3.9E-2</v>
      </c>
      <c r="YT19" s="966">
        <v>0.04</v>
      </c>
      <c r="YU19" s="966">
        <v>4.1000000000000002E-2</v>
      </c>
      <c r="YV19" s="966">
        <v>4.2000000000000003E-2</v>
      </c>
      <c r="YW19" s="966">
        <v>4.2999999999999997E-2</v>
      </c>
      <c r="YX19" s="966">
        <v>4.3999999999999997E-2</v>
      </c>
      <c r="YY19" s="966">
        <v>4.4999999999999998E-2</v>
      </c>
      <c r="YZ19" s="966">
        <v>4.5999999999999999E-2</v>
      </c>
      <c r="ZA19" s="966">
        <v>4.7E-2</v>
      </c>
      <c r="ZB19" s="966">
        <v>4.8000000000000001E-2</v>
      </c>
      <c r="ZC19" s="966">
        <v>4.9000000000000002E-2</v>
      </c>
      <c r="ZD19" s="966">
        <v>0.05</v>
      </c>
      <c r="ZE19" s="966">
        <v>5.0999999999999997E-2</v>
      </c>
      <c r="ZF19" s="966">
        <v>5.1999999999999998E-2</v>
      </c>
      <c r="ZG19" s="966">
        <v>5.2999999999999999E-2</v>
      </c>
      <c r="ZH19" s="966">
        <v>5.3999999999999999E-2</v>
      </c>
      <c r="ZI19" s="966">
        <v>5.5E-2</v>
      </c>
      <c r="ZJ19" s="966">
        <v>5.6000000000000001E-2</v>
      </c>
      <c r="ZK19" s="966">
        <v>5.7000000000000002E-2</v>
      </c>
      <c r="ZL19" s="966">
        <v>5.8000000000000003E-2</v>
      </c>
      <c r="ZM19" s="966">
        <v>5.8999999999999997E-2</v>
      </c>
      <c r="ZN19" s="966">
        <v>0.06</v>
      </c>
      <c r="ZO19" s="966">
        <v>6.0999999999999999E-2</v>
      </c>
      <c r="ZP19" s="966">
        <v>6.2E-2</v>
      </c>
      <c r="ZQ19" s="966">
        <v>6.3E-2</v>
      </c>
      <c r="ZR19" s="966">
        <v>6.4000000000000001E-2</v>
      </c>
      <c r="ZS19" s="966">
        <v>6.5000000000000002E-2</v>
      </c>
      <c r="ZT19" s="966">
        <v>6.6000000000000003E-2</v>
      </c>
      <c r="ZU19" s="966">
        <v>6.7000000000000004E-2</v>
      </c>
      <c r="ZV19" s="966">
        <v>6.8000000000000005E-2</v>
      </c>
      <c r="ZW19" s="966">
        <v>6.9000000000000006E-2</v>
      </c>
      <c r="ZX19" s="966">
        <v>7.0000000000000007E-2</v>
      </c>
      <c r="ZY19" s="966">
        <v>7.0999999999999994E-2</v>
      </c>
      <c r="ZZ19" s="966">
        <v>7.1999999999999995E-2</v>
      </c>
      <c r="AAA19" s="966">
        <v>7.2999999999999995E-2</v>
      </c>
      <c r="AAB19" s="966">
        <v>7.3999999999999996E-2</v>
      </c>
      <c r="AAC19" s="966">
        <v>7.4999999999999997E-2</v>
      </c>
      <c r="AAD19" s="966">
        <v>7.5999999999999998E-2</v>
      </c>
      <c r="AAE19" s="966">
        <v>7.6999999999999999E-2</v>
      </c>
      <c r="AAF19" s="966">
        <v>7.8E-2</v>
      </c>
      <c r="AAG19" s="966">
        <v>7.9000000000000001E-2</v>
      </c>
      <c r="AAH19" s="966">
        <v>0.08</v>
      </c>
      <c r="AAI19" s="966">
        <v>8.1000000000000003E-2</v>
      </c>
      <c r="AAJ19" s="966">
        <v>8.2000000000000003E-2</v>
      </c>
      <c r="AAK19" s="966">
        <v>8.3000000000000004E-2</v>
      </c>
      <c r="AAL19" s="966">
        <v>8.4000000000000005E-2</v>
      </c>
      <c r="AAM19" s="966">
        <v>8.5000000000000006E-2</v>
      </c>
      <c r="AAN19" s="966">
        <v>8.5999999999999993E-2</v>
      </c>
      <c r="AAO19" s="966">
        <v>8.6999999999999994E-2</v>
      </c>
      <c r="AAP19" s="966">
        <v>8.7999999999999995E-2</v>
      </c>
      <c r="AAQ19" s="966">
        <v>8.8999999999999996E-2</v>
      </c>
      <c r="AAR19" s="966">
        <v>0.09</v>
      </c>
      <c r="AAS19" s="966">
        <v>9.0999999999999998E-2</v>
      </c>
      <c r="AAT19" s="964">
        <v>0</v>
      </c>
      <c r="AAU19" s="980" t="s">
        <v>928</v>
      </c>
      <c r="AAV19" s="980"/>
      <c r="AAW19" s="958"/>
      <c r="AAX19" s="1058"/>
      <c r="AAY19" s="159"/>
      <c r="AAZ19" s="160"/>
      <c r="ABA19" s="160"/>
      <c r="ABB19" s="160"/>
      <c r="ABC19" s="160"/>
      <c r="ABD19" s="161"/>
      <c r="ABE19" s="653"/>
      <c r="ABF19" s="653"/>
      <c r="ABG19" s="653"/>
      <c r="ABH19" s="653"/>
      <c r="ABI19" s="653"/>
      <c r="ACJ19" s="759">
        <v>0.33333333300000001</v>
      </c>
      <c r="ACK19" s="760"/>
      <c r="ACL19" s="759">
        <v>-0.233333333</v>
      </c>
      <c r="ACM19" s="760"/>
      <c r="ACN19" s="592">
        <v>7</v>
      </c>
      <c r="ACO19" s="759">
        <f t="shared" si="0"/>
        <v>0.12333333331000004</v>
      </c>
      <c r="ACP19" s="760"/>
      <c r="ACQ19" s="757">
        <f t="shared" si="1"/>
        <v>1.07</v>
      </c>
      <c r="ACR19" s="758"/>
      <c r="ACT19" s="759">
        <v>0.66666666699999999</v>
      </c>
      <c r="ACU19" s="760"/>
      <c r="ACV19" s="759">
        <v>-0.66666666699999999</v>
      </c>
      <c r="ACW19" s="760"/>
      <c r="ACX19" s="591">
        <v>57</v>
      </c>
      <c r="ACY19" s="759">
        <f t="shared" si="8"/>
        <v>0.38000000019000002</v>
      </c>
      <c r="ACZ19" s="760"/>
      <c r="ADA19" s="757">
        <f t="shared" si="2"/>
        <v>1.57</v>
      </c>
      <c r="ADB19" s="758"/>
      <c r="ADD19" s="759">
        <v>1</v>
      </c>
      <c r="ADE19" s="760"/>
      <c r="ADF19" s="759">
        <v>-1.2</v>
      </c>
      <c r="ADG19" s="760"/>
      <c r="ADH19" s="592">
        <v>106</v>
      </c>
      <c r="ADI19" s="759">
        <f t="shared" si="3"/>
        <v>0.8600000000000001</v>
      </c>
      <c r="ADJ19" s="760"/>
      <c r="ADK19" s="757">
        <f t="shared" si="4"/>
        <v>2.06</v>
      </c>
      <c r="ADL19" s="758"/>
      <c r="ADN19" s="759">
        <v>1.1052631580000001</v>
      </c>
      <c r="ADO19" s="760"/>
      <c r="ADP19" s="759">
        <v>-1.42105263157895</v>
      </c>
      <c r="ADQ19" s="760"/>
      <c r="ADR19" s="591">
        <v>156</v>
      </c>
      <c r="ADS19" s="759">
        <f t="shared" si="9"/>
        <v>1.4084210529010504</v>
      </c>
      <c r="ADT19" s="760"/>
      <c r="ADU19" s="757">
        <f t="shared" si="5"/>
        <v>2.56</v>
      </c>
      <c r="ADV19" s="758"/>
      <c r="ADX19" s="759">
        <v>1.1052631580000001</v>
      </c>
      <c r="ADY19" s="760"/>
      <c r="ADZ19" s="759">
        <v>-1.42105263157895</v>
      </c>
      <c r="AEA19" s="760"/>
      <c r="AEB19" s="591">
        <v>206</v>
      </c>
      <c r="AEC19" s="759">
        <f t="shared" si="10"/>
        <v>1.9610526319010502</v>
      </c>
      <c r="AED19" s="760"/>
      <c r="AEE19" s="757">
        <f t="shared" si="6"/>
        <v>3.06</v>
      </c>
      <c r="AEF19" s="758"/>
      <c r="AEH19" s="759">
        <v>1.1052631580000001</v>
      </c>
      <c r="AEI19" s="760"/>
      <c r="AEJ19" s="759">
        <v>-1.42105263157895</v>
      </c>
      <c r="AEK19" s="760"/>
      <c r="AEL19" s="591">
        <v>256</v>
      </c>
      <c r="AEM19" s="759">
        <f t="shared" si="11"/>
        <v>2.5136842109010504</v>
      </c>
      <c r="AEN19" s="760"/>
      <c r="AEO19" s="757">
        <f t="shared" si="7"/>
        <v>3.56</v>
      </c>
      <c r="AEP19" s="758"/>
      <c r="AFA19" s="990"/>
      <c r="AFB19" s="991"/>
      <c r="AFC19" s="991"/>
      <c r="AFD19" s="991"/>
      <c r="AFE19" s="991"/>
      <c r="AFF19" s="991"/>
      <c r="AFG19" s="992"/>
      <c r="AFH19" s="981"/>
      <c r="AGJ19" s="521"/>
      <c r="AGK19" s="379"/>
      <c r="AGL19" s="379"/>
      <c r="AGM19" s="379"/>
      <c r="AGN19" s="379"/>
      <c r="AGO19" s="379"/>
      <c r="AGP19" s="379"/>
      <c r="AGQ19" s="379"/>
      <c r="AGR19" s="379"/>
      <c r="AGS19" s="379"/>
      <c r="AGT19" s="379"/>
      <c r="AGU19" s="379"/>
      <c r="AGV19" s="379"/>
      <c r="AGW19" s="379"/>
      <c r="AGX19" s="379"/>
      <c r="AGY19" s="379"/>
      <c r="AGZ19" s="379"/>
      <c r="AHA19" s="379"/>
      <c r="AHB19" s="379"/>
      <c r="AHC19" s="379"/>
      <c r="AHD19" s="379"/>
      <c r="AHE19" s="379"/>
      <c r="AHF19" s="379"/>
      <c r="AHG19" s="379"/>
      <c r="AHH19" s="379"/>
      <c r="AHI19" s="379"/>
      <c r="AHJ19" s="379"/>
      <c r="AHK19" s="379"/>
      <c r="AHL19" s="379"/>
      <c r="AHM19" s="379"/>
      <c r="AHN19" s="379"/>
      <c r="AHO19" s="379"/>
      <c r="AHP19" s="379"/>
      <c r="AHQ19" s="379"/>
      <c r="AHR19" s="379"/>
      <c r="AHS19" s="379"/>
      <c r="AHT19" s="379" t="s">
        <v>1395</v>
      </c>
      <c r="AHU19" s="379"/>
      <c r="AHV19" s="379"/>
      <c r="AHW19" s="382" t="s">
        <v>1298</v>
      </c>
      <c r="AIU19" s="673"/>
      <c r="AIV19" s="673"/>
      <c r="AIW19" s="673"/>
      <c r="AKV19" s="653"/>
      <c r="AKW19" s="653"/>
      <c r="AKX19" s="653"/>
      <c r="AKY19" s="653"/>
      <c r="AKZ19" s="653"/>
      <c r="ALA19" s="653"/>
      <c r="ALB19" s="653"/>
      <c r="ALC19" s="653"/>
      <c r="ALD19" s="653"/>
      <c r="ALE19" s="653"/>
      <c r="ALF19" s="653"/>
      <c r="ALG19" s="653"/>
      <c r="ALH19" s="653"/>
      <c r="AOL19" s="130"/>
      <c r="AQK19" s="958"/>
      <c r="AQL19" s="1058"/>
      <c r="AQM19" s="1058"/>
      <c r="AQN19" s="1058"/>
      <c r="AQO19" s="1058"/>
      <c r="AQP19" s="1058"/>
      <c r="AQQ19" s="1058"/>
      <c r="AQR19" s="1058"/>
      <c r="AQS19" s="1058"/>
      <c r="AQT19" s="959"/>
      <c r="AQV19" s="653"/>
      <c r="AQW19" s="653"/>
      <c r="AQX19" s="653"/>
      <c r="AQY19" s="653"/>
      <c r="AQZ19" s="653"/>
      <c r="ARA19" s="653"/>
      <c r="ARB19" s="653"/>
      <c r="ARC19" s="653"/>
      <c r="ARD19" s="653"/>
      <c r="ARE19" s="653"/>
      <c r="ARF19" s="653"/>
      <c r="ARG19" s="653"/>
      <c r="ARH19" s="653"/>
      <c r="ARI19" s="653"/>
      <c r="ARJ19" s="653"/>
      <c r="ARK19" s="653"/>
      <c r="ARL19" s="653"/>
      <c r="ARM19" s="653"/>
      <c r="ARN19" s="653"/>
      <c r="ARO19" s="653"/>
      <c r="ARU19" s="897" t="s">
        <v>973</v>
      </c>
      <c r="ARV19" s="898"/>
      <c r="ARW19" s="899"/>
      <c r="ARX19" s="849"/>
      <c r="ARY19" s="133" t="s">
        <v>416</v>
      </c>
      <c r="ARZ19" s="134"/>
      <c r="ASA19" s="670"/>
      <c r="ASB19" s="806" t="s">
        <v>1842</v>
      </c>
      <c r="ASC19" s="807"/>
      <c r="ASD19" s="808"/>
      <c r="ASE19" s="652" t="s">
        <v>451</v>
      </c>
      <c r="ASF19" s="670"/>
      <c r="ASG19" s="76" t="s">
        <v>441</v>
      </c>
      <c r="ASH19" s="854" t="s">
        <v>435</v>
      </c>
      <c r="ASI19" s="855"/>
      <c r="ASJ19" s="920" t="s">
        <v>111</v>
      </c>
      <c r="ASK19" s="921"/>
      <c r="ASL19" s="916" t="s">
        <v>704</v>
      </c>
      <c r="ASM19" s="917"/>
      <c r="ASN19" s="906" t="s">
        <v>447</v>
      </c>
      <c r="ASO19" s="907"/>
      <c r="ASP19" s="907"/>
      <c r="ASQ19" s="908"/>
      <c r="ASR19" s="906" t="s">
        <v>863</v>
      </c>
      <c r="ASS19" s="907"/>
      <c r="AST19" s="908"/>
    </row>
    <row r="20" spans="1:996 1076:1297" ht="48" customHeight="1" thickBot="1">
      <c r="A20" s="130"/>
      <c r="B20" s="130"/>
      <c r="C20" s="130"/>
      <c r="X20" s="1731">
        <v>750</v>
      </c>
      <c r="Y20" s="1731"/>
      <c r="Z20" s="1731">
        <f>3000/X20</f>
        <v>4</v>
      </c>
      <c r="AA20" s="1731"/>
      <c r="AC20" s="130"/>
      <c r="AD20" s="130"/>
      <c r="AE20" s="130"/>
      <c r="AI20" s="850"/>
      <c r="AJ20" s="768" t="s">
        <v>417</v>
      </c>
      <c r="AK20" s="762"/>
      <c r="AL20" s="762"/>
      <c r="AM20" s="762"/>
      <c r="AN20" s="762"/>
      <c r="AO20" s="762"/>
      <c r="AP20" s="1442">
        <f>2*AP16</f>
        <v>4</v>
      </c>
      <c r="AQ20" s="1443"/>
      <c r="AR20" s="1183" t="s">
        <v>726</v>
      </c>
      <c r="AS20" s="1184"/>
      <c r="AT20" s="847"/>
      <c r="AU20" s="893" t="s">
        <v>402</v>
      </c>
      <c r="AV20" s="894"/>
      <c r="AW20" s="847"/>
      <c r="BQ20" s="653"/>
      <c r="BR20" s="653"/>
      <c r="BS20" s="130"/>
      <c r="BT20" s="130"/>
      <c r="BU20" s="130"/>
      <c r="BV20" s="130"/>
      <c r="BX20" s="850"/>
      <c r="BY20" s="1583" t="s">
        <v>444</v>
      </c>
      <c r="BZ20" s="1585"/>
      <c r="CA20" s="937">
        <f>$AP$49</f>
        <v>0.21284000000000003</v>
      </c>
      <c r="CB20" s="937"/>
      <c r="CC20" s="1746" t="s">
        <v>950</v>
      </c>
      <c r="CD20" s="1747"/>
      <c r="CE20" s="1167">
        <f>(3.14*CA20)/CA21</f>
        <v>51.409046153846162</v>
      </c>
      <c r="CF20" s="840"/>
      <c r="CG20" s="1183" t="s">
        <v>729</v>
      </c>
      <c r="CH20" s="1184"/>
      <c r="CI20" s="841"/>
      <c r="CJ20" s="843" t="s">
        <v>746</v>
      </c>
      <c r="CK20" s="844"/>
      <c r="CL20" s="847"/>
      <c r="CM20" s="1052"/>
      <c r="CN20" s="1052"/>
      <c r="CO20" s="1052"/>
      <c r="CP20" s="1052"/>
      <c r="DZ20" s="900"/>
      <c r="EA20" s="901"/>
      <c r="EB20" s="902"/>
      <c r="EC20" s="850"/>
      <c r="ED20" s="791" t="s">
        <v>1768</v>
      </c>
      <c r="EE20" s="792"/>
      <c r="EF20" s="792"/>
      <c r="EG20" s="792"/>
      <c r="EH20" s="792"/>
      <c r="EI20" s="792"/>
      <c r="EJ20" s="792"/>
      <c r="EK20" s="792"/>
      <c r="EL20" s="792"/>
      <c r="EM20" s="792"/>
      <c r="EN20" s="793"/>
      <c r="EO20" s="1193">
        <v>1.9</v>
      </c>
      <c r="EP20" s="1194"/>
      <c r="EQ20" s="1075" t="s">
        <v>17</v>
      </c>
      <c r="ER20" s="1076"/>
      <c r="ES20" s="841"/>
      <c r="ET20" s="843" t="s">
        <v>949</v>
      </c>
      <c r="EU20" s="844"/>
      <c r="EV20" s="847"/>
      <c r="GE20" s="653"/>
      <c r="GF20" s="849"/>
      <c r="GG20" s="236" t="s">
        <v>444</v>
      </c>
      <c r="GH20" s="937">
        <f>$AP$49</f>
        <v>0.21284000000000003</v>
      </c>
      <c r="GI20" s="937"/>
      <c r="GJ20" s="791" t="s">
        <v>1865</v>
      </c>
      <c r="GK20" s="792"/>
      <c r="GL20" s="792"/>
      <c r="GM20" s="1167">
        <f>(GH20*1000-2*GU12)/1000</f>
        <v>0.21124000000000004</v>
      </c>
      <c r="GN20" s="840"/>
      <c r="GO20" s="1634" t="s">
        <v>706</v>
      </c>
      <c r="GP20" s="1635"/>
      <c r="GQ20" s="841"/>
      <c r="GR20" s="893" t="s">
        <v>954</v>
      </c>
      <c r="GS20" s="894"/>
      <c r="GT20" s="847"/>
      <c r="GU20" s="68"/>
      <c r="GV20" s="64"/>
      <c r="GW20" s="64"/>
      <c r="GX20" s="65"/>
      <c r="IR20" s="903"/>
      <c r="IS20" s="904"/>
      <c r="IT20" s="905"/>
      <c r="IU20" s="851"/>
      <c r="IV20" s="777"/>
      <c r="IW20" s="778"/>
      <c r="IX20" s="778"/>
      <c r="IY20" s="778"/>
      <c r="IZ20" s="778"/>
      <c r="JA20" s="778"/>
      <c r="JB20" s="778"/>
      <c r="JC20" s="778"/>
      <c r="JD20" s="778"/>
      <c r="JE20" s="778"/>
      <c r="JF20" s="778"/>
      <c r="JG20" s="1436"/>
      <c r="JH20" s="1437"/>
      <c r="JI20" s="1077"/>
      <c r="JJ20" s="1078"/>
      <c r="JK20" s="1067"/>
      <c r="JL20" s="1173"/>
      <c r="JM20" s="1175"/>
      <c r="JN20" s="848"/>
      <c r="JO20" s="164"/>
      <c r="JP20" s="470"/>
      <c r="JQ20" s="470"/>
      <c r="JR20" s="470"/>
      <c r="JS20" s="470"/>
      <c r="JT20" s="166"/>
      <c r="JX20" s="850"/>
      <c r="JY20" s="225" t="s">
        <v>1034</v>
      </c>
      <c r="JZ20" s="937">
        <f>$AX$25</f>
        <v>0.313</v>
      </c>
      <c r="KA20" s="937"/>
      <c r="KB20" s="791" t="s">
        <v>58</v>
      </c>
      <c r="KC20" s="792"/>
      <c r="KD20" s="792"/>
      <c r="KE20" s="792"/>
      <c r="KF20" s="792"/>
      <c r="KG20" s="792"/>
      <c r="KH20" s="792"/>
      <c r="KI20" s="792"/>
      <c r="KJ20" s="792"/>
      <c r="KK20" s="793"/>
      <c r="KL20" s="835">
        <f>((JZ20-JZ21)*1000/2)-KC19</f>
        <v>24.641888323197445</v>
      </c>
      <c r="KM20" s="836"/>
      <c r="KN20" s="1075" t="s">
        <v>45</v>
      </c>
      <c r="KO20" s="1076"/>
      <c r="KP20" s="841"/>
      <c r="KQ20" s="843" t="s">
        <v>1045</v>
      </c>
      <c r="KR20" s="844"/>
      <c r="KS20" s="847"/>
      <c r="KT20" s="827"/>
      <c r="KU20" s="947"/>
      <c r="KV20" s="947"/>
      <c r="KW20" s="948"/>
      <c r="LE20" s="211"/>
      <c r="LF20" s="130"/>
      <c r="LG20" s="130"/>
      <c r="LH20" s="130"/>
      <c r="LI20" s="130"/>
      <c r="LJ20" s="130"/>
      <c r="LK20" s="130"/>
      <c r="LL20" s="130"/>
      <c r="LM20" s="130"/>
      <c r="LN20" s="130"/>
      <c r="LO20" s="130"/>
      <c r="LP20" s="130"/>
      <c r="LQ20" s="130"/>
      <c r="MB20" s="903"/>
      <c r="MC20" s="904"/>
      <c r="MD20" s="905"/>
      <c r="ME20" s="851"/>
      <c r="MF20" s="794"/>
      <c r="MG20" s="795"/>
      <c r="MH20" s="795"/>
      <c r="MI20" s="795"/>
      <c r="MJ20" s="795"/>
      <c r="MK20" s="795"/>
      <c r="ML20" s="795"/>
      <c r="MM20" s="795"/>
      <c r="MN20" s="795"/>
      <c r="MO20" s="795"/>
      <c r="MP20" s="795"/>
      <c r="MQ20" s="795"/>
      <c r="MR20" s="796"/>
      <c r="MS20" s="1225"/>
      <c r="MT20" s="1226"/>
      <c r="MU20" s="1227"/>
      <c r="MV20" s="1190"/>
      <c r="MW20" s="1191"/>
      <c r="MX20" s="842"/>
      <c r="MY20" s="1173"/>
      <c r="MZ20" s="1175"/>
      <c r="NA20" s="848"/>
      <c r="OF20" s="906" t="s">
        <v>436</v>
      </c>
      <c r="OG20" s="907"/>
      <c r="OH20" s="907"/>
      <c r="OI20" s="907"/>
      <c r="OJ20" s="907"/>
      <c r="OK20" s="908"/>
      <c r="OM20" s="1051" t="s">
        <v>436</v>
      </c>
      <c r="ON20" s="1051"/>
      <c r="OO20" s="1051"/>
      <c r="OP20" s="1051"/>
      <c r="OQ20" s="1051"/>
      <c r="OS20" s="906" t="s">
        <v>436</v>
      </c>
      <c r="OT20" s="907"/>
      <c r="OU20" s="907"/>
      <c r="OV20" s="908"/>
      <c r="PA20" s="130"/>
      <c r="PB20" s="130"/>
      <c r="PC20" s="130"/>
      <c r="PD20" s="130"/>
      <c r="PE20" s="130"/>
      <c r="PF20" s="130"/>
      <c r="PH20" s="377"/>
      <c r="PI20" s="373"/>
      <c r="PJ20" s="54"/>
      <c r="PK20" s="373"/>
      <c r="PL20" s="851"/>
      <c r="PM20" s="1163" t="s">
        <v>1104</v>
      </c>
      <c r="PN20" s="1163"/>
      <c r="PO20" s="804">
        <f>$JD$23</f>
        <v>1.9</v>
      </c>
      <c r="PP20" s="804"/>
      <c r="PQ20" s="1060"/>
      <c r="PR20" s="1061"/>
      <c r="PS20" s="1061"/>
      <c r="PT20" s="1061"/>
      <c r="PU20" s="1147"/>
      <c r="PV20" s="1147"/>
      <c r="PW20" s="1147"/>
      <c r="PX20" s="1147"/>
      <c r="PY20" s="1574"/>
      <c r="PZ20" s="1612"/>
      <c r="QA20" s="1613"/>
      <c r="QB20" s="1613"/>
      <c r="QC20" s="1613"/>
      <c r="QD20" s="1613"/>
      <c r="QE20" s="1613"/>
      <c r="QF20" s="1613"/>
      <c r="QG20" s="1613"/>
      <c r="QH20" s="1614"/>
      <c r="QI20" s="1053"/>
      <c r="QJ20" s="1053"/>
      <c r="QK20" s="1053"/>
      <c r="QL20" s="1053"/>
      <c r="QM20" s="1053"/>
      <c r="QN20" s="1053"/>
      <c r="QO20" s="1053"/>
      <c r="QP20" s="1053"/>
      <c r="QQ20" s="1053"/>
      <c r="QR20" s="1053"/>
      <c r="QS20" s="1053"/>
      <c r="QT20" s="1053"/>
      <c r="QU20" s="1053"/>
      <c r="QV20" s="1053"/>
      <c r="QW20" s="1053"/>
      <c r="QX20" s="1053"/>
      <c r="QY20" s="1053"/>
      <c r="QZ20" s="1053"/>
      <c r="RA20" s="373"/>
      <c r="RB20" s="373"/>
      <c r="RC20" s="374"/>
      <c r="RE20" s="653"/>
      <c r="RF20" s="653"/>
      <c r="RG20" s="653"/>
      <c r="RH20" s="653"/>
      <c r="RI20" s="653"/>
      <c r="RJ20" s="653"/>
      <c r="RK20" s="653"/>
      <c r="RL20" s="653"/>
      <c r="RM20" s="653"/>
      <c r="RN20" s="653"/>
      <c r="RO20" s="653"/>
      <c r="RP20" s="653"/>
      <c r="RQ20" s="653"/>
      <c r="RR20" s="653"/>
      <c r="RS20" s="653"/>
      <c r="RT20" s="653"/>
      <c r="RU20" s="653"/>
      <c r="RV20" s="653"/>
      <c r="RW20" s="653"/>
      <c r="RX20" s="653"/>
      <c r="RY20" s="653"/>
      <c r="TB20" s="653"/>
      <c r="TC20" s="653"/>
      <c r="TD20" s="653"/>
      <c r="TE20" s="653"/>
      <c r="TF20" s="653"/>
      <c r="TG20" s="653"/>
      <c r="TH20" s="653"/>
      <c r="TI20" s="653"/>
      <c r="TJ20" s="653"/>
      <c r="TK20" s="653"/>
      <c r="TL20" s="653"/>
      <c r="TM20" s="653"/>
      <c r="TN20" s="653"/>
      <c r="TO20" s="653"/>
      <c r="TP20" s="653"/>
      <c r="TQ20" s="653"/>
      <c r="TR20" s="653"/>
      <c r="TS20" s="653"/>
      <c r="TX20" s="653"/>
      <c r="TY20" s="653"/>
      <c r="TZ20" s="653"/>
      <c r="UA20" s="653"/>
      <c r="UB20" s="653"/>
      <c r="UC20" s="653"/>
      <c r="UD20" s="653"/>
      <c r="UE20" s="653"/>
      <c r="UF20" s="653"/>
      <c r="UG20" s="653"/>
      <c r="UH20" s="653"/>
      <c r="UI20" s="653"/>
      <c r="UJ20" s="653"/>
      <c r="UK20" s="653"/>
      <c r="UL20" s="653"/>
      <c r="UM20" s="653"/>
      <c r="UN20" s="653"/>
      <c r="UO20" s="653"/>
      <c r="UP20" s="653"/>
      <c r="UQ20" s="653"/>
      <c r="UR20" s="653"/>
      <c r="US20" s="653"/>
      <c r="UT20" s="653"/>
      <c r="UU20" s="653"/>
      <c r="UV20" s="653"/>
      <c r="UW20" s="653"/>
      <c r="UX20" s="653"/>
      <c r="UY20" s="653"/>
      <c r="UZ20" s="653"/>
      <c r="WE20" s="1828" t="s">
        <v>946</v>
      </c>
      <c r="WF20" s="1829"/>
      <c r="WG20" s="1829"/>
      <c r="WH20" s="1829"/>
      <c r="WI20" s="1829"/>
      <c r="WJ20" s="1830"/>
      <c r="WK20" s="169"/>
      <c r="WL20" s="170"/>
      <c r="WM20" s="170"/>
      <c r="WN20" s="170"/>
      <c r="WO20" s="170"/>
      <c r="WP20" s="170"/>
      <c r="WQ20" s="170"/>
      <c r="WR20" s="170"/>
      <c r="WS20" s="170"/>
      <c r="WT20" s="170"/>
      <c r="WU20" s="170"/>
      <c r="WV20" s="170"/>
      <c r="WW20" s="172"/>
      <c r="WX20" s="978"/>
      <c r="WY20" s="979"/>
      <c r="WZ20" s="980"/>
      <c r="XA20" s="980"/>
      <c r="XB20" s="173"/>
      <c r="XC20" s="173"/>
      <c r="XD20" s="173"/>
      <c r="XE20" s="173"/>
      <c r="XF20" s="173"/>
      <c r="XG20" s="967"/>
      <c r="XH20" s="967"/>
      <c r="XI20" s="967"/>
      <c r="XJ20" s="967"/>
      <c r="XK20" s="967"/>
      <c r="XL20" s="967"/>
      <c r="XM20" s="967"/>
      <c r="XN20" s="967"/>
      <c r="XO20" s="967"/>
      <c r="XP20" s="967"/>
      <c r="XQ20" s="967"/>
      <c r="XR20" s="967"/>
      <c r="XS20" s="967"/>
      <c r="XT20" s="967"/>
      <c r="XU20" s="967"/>
      <c r="XV20" s="967"/>
      <c r="XW20" s="967"/>
      <c r="XX20" s="967"/>
      <c r="XY20" s="967"/>
      <c r="XZ20" s="967"/>
      <c r="YA20" s="967"/>
      <c r="YB20" s="967"/>
      <c r="YC20" s="967"/>
      <c r="YD20" s="967"/>
      <c r="YE20" s="967"/>
      <c r="YF20" s="967"/>
      <c r="YG20" s="967"/>
      <c r="YH20" s="967"/>
      <c r="YI20" s="967"/>
      <c r="YJ20" s="967"/>
      <c r="YK20" s="967"/>
      <c r="YL20" s="967"/>
      <c r="YM20" s="967"/>
      <c r="YN20" s="967"/>
      <c r="YO20" s="967"/>
      <c r="YP20" s="967"/>
      <c r="YQ20" s="967"/>
      <c r="YR20" s="967"/>
      <c r="YS20" s="967"/>
      <c r="YT20" s="967"/>
      <c r="YU20" s="967"/>
      <c r="YV20" s="967"/>
      <c r="YW20" s="967"/>
      <c r="YX20" s="967"/>
      <c r="YY20" s="967"/>
      <c r="YZ20" s="967"/>
      <c r="ZA20" s="967"/>
      <c r="ZB20" s="967"/>
      <c r="ZC20" s="967"/>
      <c r="ZD20" s="967"/>
      <c r="ZE20" s="967"/>
      <c r="ZF20" s="967"/>
      <c r="ZG20" s="967"/>
      <c r="ZH20" s="967"/>
      <c r="ZI20" s="967"/>
      <c r="ZJ20" s="967"/>
      <c r="ZK20" s="967"/>
      <c r="ZL20" s="967"/>
      <c r="ZM20" s="967"/>
      <c r="ZN20" s="967"/>
      <c r="ZO20" s="967"/>
      <c r="ZP20" s="967"/>
      <c r="ZQ20" s="967"/>
      <c r="ZR20" s="967"/>
      <c r="ZS20" s="967"/>
      <c r="ZT20" s="967"/>
      <c r="ZU20" s="967"/>
      <c r="ZV20" s="967"/>
      <c r="ZW20" s="967"/>
      <c r="ZX20" s="967"/>
      <c r="ZY20" s="967"/>
      <c r="ZZ20" s="967"/>
      <c r="AAA20" s="967"/>
      <c r="AAB20" s="967"/>
      <c r="AAC20" s="967"/>
      <c r="AAD20" s="967"/>
      <c r="AAE20" s="967"/>
      <c r="AAF20" s="967"/>
      <c r="AAG20" s="967"/>
      <c r="AAH20" s="967"/>
      <c r="AAI20" s="967"/>
      <c r="AAJ20" s="967"/>
      <c r="AAK20" s="967"/>
      <c r="AAL20" s="967"/>
      <c r="AAM20" s="967"/>
      <c r="AAN20" s="967"/>
      <c r="AAO20" s="967"/>
      <c r="AAP20" s="967"/>
      <c r="AAQ20" s="967"/>
      <c r="AAR20" s="967"/>
      <c r="AAS20" s="967"/>
      <c r="AAT20" s="965"/>
      <c r="AAU20" s="980"/>
      <c r="AAV20" s="980"/>
      <c r="AAW20" s="962"/>
      <c r="AAX20" s="1059"/>
      <c r="AAY20" s="164"/>
      <c r="AAZ20" s="158"/>
      <c r="ABA20" s="158"/>
      <c r="ABB20" s="158"/>
      <c r="ABC20" s="158"/>
      <c r="ABD20" s="163"/>
      <c r="ABE20" s="653"/>
      <c r="ABF20" s="653"/>
      <c r="ABG20" s="653"/>
      <c r="ABH20" s="653"/>
      <c r="ABI20" s="653"/>
      <c r="ACJ20" s="759">
        <v>0.33333333300000001</v>
      </c>
      <c r="ACK20" s="760"/>
      <c r="ACL20" s="759">
        <v>-0.233333333</v>
      </c>
      <c r="ACM20" s="760"/>
      <c r="ACN20" s="592">
        <v>8</v>
      </c>
      <c r="ACO20" s="759">
        <f t="shared" si="0"/>
        <v>0.12666666664000001</v>
      </c>
      <c r="ACP20" s="760"/>
      <c r="ACQ20" s="757">
        <f t="shared" si="1"/>
        <v>1.08</v>
      </c>
      <c r="ACR20" s="758"/>
      <c r="ACT20" s="759">
        <v>0.66666666699999999</v>
      </c>
      <c r="ACU20" s="760"/>
      <c r="ACV20" s="759">
        <v>-0.66666666699999999</v>
      </c>
      <c r="ACW20" s="760"/>
      <c r="ACX20" s="591">
        <v>58</v>
      </c>
      <c r="ACY20" s="759">
        <f t="shared" si="8"/>
        <v>0.38666666685999995</v>
      </c>
      <c r="ACZ20" s="760"/>
      <c r="ADA20" s="757">
        <f t="shared" si="2"/>
        <v>1.58</v>
      </c>
      <c r="ADB20" s="758"/>
      <c r="ADD20" s="759">
        <v>1</v>
      </c>
      <c r="ADE20" s="760"/>
      <c r="ADF20" s="759">
        <v>-1.2</v>
      </c>
      <c r="ADG20" s="760"/>
      <c r="ADH20" s="592">
        <v>107</v>
      </c>
      <c r="ADI20" s="759">
        <f t="shared" si="3"/>
        <v>0.87000000000000033</v>
      </c>
      <c r="ADJ20" s="760"/>
      <c r="ADK20" s="757">
        <f t="shared" si="4"/>
        <v>2.0700000000000003</v>
      </c>
      <c r="ADL20" s="758"/>
      <c r="ADN20" s="759">
        <v>1.1052631580000001</v>
      </c>
      <c r="ADO20" s="760"/>
      <c r="ADP20" s="759">
        <v>-1.42105263157895</v>
      </c>
      <c r="ADQ20" s="760"/>
      <c r="ADR20" s="591">
        <v>157</v>
      </c>
      <c r="ADS20" s="759">
        <f t="shared" si="9"/>
        <v>1.4194736844810505</v>
      </c>
      <c r="ADT20" s="760"/>
      <c r="ADU20" s="757">
        <f t="shared" si="5"/>
        <v>2.5700000000000003</v>
      </c>
      <c r="ADV20" s="758"/>
      <c r="ADX20" s="759">
        <v>1.1052631580000001</v>
      </c>
      <c r="ADY20" s="760"/>
      <c r="ADZ20" s="759">
        <v>-1.42105263157895</v>
      </c>
      <c r="AEA20" s="760"/>
      <c r="AEB20" s="591">
        <v>207</v>
      </c>
      <c r="AEC20" s="759">
        <f t="shared" si="10"/>
        <v>1.9721052634810499</v>
      </c>
      <c r="AED20" s="760"/>
      <c r="AEE20" s="757">
        <f t="shared" si="6"/>
        <v>3.07</v>
      </c>
      <c r="AEF20" s="758"/>
      <c r="AEH20" s="759">
        <v>1.1052631580000001</v>
      </c>
      <c r="AEI20" s="760"/>
      <c r="AEJ20" s="759">
        <v>-1.42105263157895</v>
      </c>
      <c r="AEK20" s="760"/>
      <c r="AEL20" s="591">
        <v>257</v>
      </c>
      <c r="AEM20" s="759">
        <f t="shared" si="11"/>
        <v>2.5247368424810501</v>
      </c>
      <c r="AEN20" s="760"/>
      <c r="AEO20" s="757">
        <f t="shared" si="7"/>
        <v>3.57</v>
      </c>
      <c r="AEP20" s="758"/>
      <c r="AFA20" s="990"/>
      <c r="AFB20" s="991"/>
      <c r="AFC20" s="991"/>
      <c r="AFD20" s="991"/>
      <c r="AFE20" s="991"/>
      <c r="AFF20" s="991"/>
      <c r="AFG20" s="992"/>
      <c r="AFH20" s="981"/>
      <c r="AGJ20" s="377"/>
      <c r="AGK20" s="373"/>
      <c r="AGL20" s="373"/>
      <c r="AGM20" s="373"/>
      <c r="AGN20" s="76" t="s">
        <v>793</v>
      </c>
      <c r="AGO20" s="852" t="s">
        <v>416</v>
      </c>
      <c r="AGP20" s="853"/>
      <c r="AGQ20" s="687"/>
      <c r="AGR20" s="1542" t="s">
        <v>1081</v>
      </c>
      <c r="AGS20" s="1542"/>
      <c r="AGT20" s="1542"/>
      <c r="AGU20" s="761">
        <f>$GW$65</f>
        <v>0.3</v>
      </c>
      <c r="AGV20" s="761"/>
      <c r="AGW20" s="78"/>
      <c r="AGX20" s="687"/>
      <c r="AGY20" s="76" t="s">
        <v>441</v>
      </c>
      <c r="AGZ20" s="1296" t="s">
        <v>435</v>
      </c>
      <c r="AHA20" s="1297"/>
      <c r="AHB20" s="920" t="s">
        <v>111</v>
      </c>
      <c r="AHC20" s="921"/>
      <c r="AHD20" s="916" t="s">
        <v>704</v>
      </c>
      <c r="AHE20" s="922"/>
      <c r="AHF20" s="1051" t="s">
        <v>447</v>
      </c>
      <c r="AHG20" s="1051"/>
      <c r="AHH20" s="1051"/>
      <c r="AHI20" s="1051"/>
      <c r="AHJ20" s="1051"/>
      <c r="AHK20" s="1051" t="s">
        <v>436</v>
      </c>
      <c r="AHL20" s="1051"/>
      <c r="AHM20" s="1051"/>
      <c r="AHN20" s="1051"/>
      <c r="AHO20" s="1051"/>
      <c r="AHP20" s="1051"/>
      <c r="AHQ20" s="1051"/>
      <c r="AHR20" s="1051"/>
      <c r="AHS20" s="1051"/>
      <c r="AHT20" s="1051"/>
      <c r="AHU20" s="373"/>
      <c r="AHV20" s="373"/>
      <c r="AHW20" s="381" t="s">
        <v>1297</v>
      </c>
      <c r="AIT20" s="130"/>
      <c r="AIU20" s="673"/>
      <c r="AIV20" s="673"/>
      <c r="AIW20" s="673"/>
      <c r="AKV20" s="653"/>
      <c r="AKW20" s="653"/>
      <c r="AKX20" s="653"/>
      <c r="AKY20" s="653"/>
      <c r="AKZ20" s="653"/>
      <c r="ALA20" s="653"/>
      <c r="ALB20" s="653"/>
      <c r="ALC20" s="653"/>
      <c r="ALD20" s="653"/>
      <c r="ALE20" s="653"/>
      <c r="ALF20" s="653"/>
      <c r="ALG20" s="653"/>
      <c r="ALH20" s="653"/>
      <c r="AOL20" s="130"/>
      <c r="AQK20" s="962"/>
      <c r="AQL20" s="1059"/>
      <c r="AQM20" s="1059"/>
      <c r="AQN20" s="1059"/>
      <c r="AQO20" s="1059"/>
      <c r="AQP20" s="1059"/>
      <c r="AQQ20" s="1059"/>
      <c r="AQR20" s="1059"/>
      <c r="AQS20" s="1059"/>
      <c r="AQT20" s="963"/>
      <c r="AQV20" s="653"/>
      <c r="AQW20" s="653"/>
      <c r="AQX20" s="653"/>
      <c r="AQY20" s="653"/>
      <c r="AQZ20" s="653"/>
      <c r="ARA20" s="653"/>
      <c r="ARB20" s="653"/>
      <c r="ARC20" s="653"/>
      <c r="ARD20" s="653"/>
      <c r="ARE20" s="653"/>
      <c r="ARF20" s="653"/>
      <c r="ARG20" s="653"/>
      <c r="ARH20" s="653"/>
      <c r="ARI20" s="653"/>
      <c r="ARJ20" s="653"/>
      <c r="ARK20" s="653"/>
      <c r="ARL20" s="653"/>
      <c r="ARM20" s="653"/>
      <c r="ARN20" s="653"/>
      <c r="ARO20" s="653"/>
      <c r="ARU20" s="900"/>
      <c r="ARV20" s="901"/>
      <c r="ARW20" s="902"/>
      <c r="ARX20" s="850"/>
      <c r="ARY20" s="809" t="s">
        <v>382</v>
      </c>
      <c r="ARZ20" s="797"/>
      <c r="ASA20" s="797"/>
      <c r="ASB20" s="797"/>
      <c r="ASC20" s="797"/>
      <c r="ASD20" s="797"/>
      <c r="ASE20" s="797"/>
      <c r="ASF20" s="797"/>
      <c r="ASG20" s="797"/>
      <c r="ASH20" s="797"/>
      <c r="ASI20" s="797"/>
      <c r="ASJ20" s="1442">
        <f>ASH18</f>
        <v>0.2</v>
      </c>
      <c r="ASK20" s="1443"/>
      <c r="ASL20" s="1183" t="s">
        <v>729</v>
      </c>
      <c r="ASM20" s="1184"/>
      <c r="ASN20" s="841"/>
      <c r="ASO20" s="843" t="s">
        <v>1691</v>
      </c>
      <c r="ASP20" s="844"/>
      <c r="ASQ20" s="847"/>
      <c r="ASR20" s="1203" t="s">
        <v>862</v>
      </c>
      <c r="ASS20" s="1275"/>
      <c r="AST20" s="1204"/>
      <c r="AWB20" s="849"/>
      <c r="AWC20" s="133" t="s">
        <v>416</v>
      </c>
      <c r="AWD20" s="134"/>
      <c r="AWE20" s="138"/>
      <c r="AWF20" s="78"/>
      <c r="AWG20" s="78"/>
      <c r="AWH20" s="78"/>
      <c r="AWI20" s="78"/>
      <c r="AWJ20" s="78"/>
      <c r="AWK20" s="78"/>
      <c r="AWL20" s="138"/>
      <c r="AWM20" s="76" t="s">
        <v>441</v>
      </c>
      <c r="AWN20" s="854" t="s">
        <v>435</v>
      </c>
      <c r="AWO20" s="855"/>
      <c r="AWP20" s="920" t="s">
        <v>111</v>
      </c>
      <c r="AWQ20" s="921"/>
      <c r="AWR20" s="916" t="s">
        <v>704</v>
      </c>
      <c r="AWS20" s="917"/>
      <c r="AWT20" s="906" t="s">
        <v>447</v>
      </c>
      <c r="AWU20" s="907"/>
      <c r="AWV20" s="907"/>
      <c r="AWW20" s="908"/>
    </row>
    <row r="21" spans="1:996 1076:1297" ht="48" customHeight="1" thickBot="1">
      <c r="A21" s="130"/>
      <c r="B21" s="130"/>
      <c r="C21" s="130"/>
      <c r="W21" s="2"/>
      <c r="X21" s="2"/>
      <c r="Y21" s="2"/>
      <c r="AC21" s="130"/>
      <c r="AD21" s="130"/>
      <c r="AE21" s="130"/>
      <c r="AI21" s="851"/>
      <c r="AJ21" s="769"/>
      <c r="AK21" s="764"/>
      <c r="AL21" s="764"/>
      <c r="AM21" s="764"/>
      <c r="AN21" s="764"/>
      <c r="AO21" s="764"/>
      <c r="AP21" s="1444"/>
      <c r="AQ21" s="773"/>
      <c r="AR21" s="1185"/>
      <c r="AS21" s="1186"/>
      <c r="AT21" s="848"/>
      <c r="AU21" s="918"/>
      <c r="AV21" s="919"/>
      <c r="AW21" s="848"/>
      <c r="BF21" s="653"/>
      <c r="BG21" s="653"/>
      <c r="BH21" s="653"/>
      <c r="BQ21" s="653"/>
      <c r="BV21" s="130"/>
      <c r="BX21" s="851"/>
      <c r="BY21" s="1492" t="s">
        <v>1661</v>
      </c>
      <c r="BZ21" s="1493"/>
      <c r="CA21" s="774">
        <f>CM12</f>
        <v>1.2999999999999999E-2</v>
      </c>
      <c r="CB21" s="774"/>
      <c r="CC21" s="1748"/>
      <c r="CD21" s="1749"/>
      <c r="CE21" s="1169"/>
      <c r="CF21" s="799"/>
      <c r="CG21" s="1185"/>
      <c r="CH21" s="1186"/>
      <c r="CI21" s="842"/>
      <c r="CJ21" s="845"/>
      <c r="CK21" s="846"/>
      <c r="CL21" s="848"/>
      <c r="CM21" s="1053"/>
      <c r="CN21" s="1053"/>
      <c r="CO21" s="1053"/>
      <c r="CP21" s="1053"/>
      <c r="DZ21" s="903"/>
      <c r="EA21" s="904"/>
      <c r="EB21" s="905"/>
      <c r="EC21" s="851"/>
      <c r="ED21" s="794"/>
      <c r="EE21" s="795"/>
      <c r="EF21" s="795"/>
      <c r="EG21" s="795"/>
      <c r="EH21" s="795"/>
      <c r="EI21" s="795"/>
      <c r="EJ21" s="795"/>
      <c r="EK21" s="795"/>
      <c r="EL21" s="795"/>
      <c r="EM21" s="795"/>
      <c r="EN21" s="796"/>
      <c r="EO21" s="1195"/>
      <c r="EP21" s="1196"/>
      <c r="EQ21" s="1077"/>
      <c r="ER21" s="1078"/>
      <c r="ES21" s="842"/>
      <c r="ET21" s="845"/>
      <c r="EU21" s="846"/>
      <c r="EV21" s="848"/>
      <c r="FO21" s="653"/>
      <c r="FP21" s="653"/>
      <c r="GE21" s="653"/>
      <c r="GF21" s="851"/>
      <c r="GG21" s="226" t="s">
        <v>725</v>
      </c>
      <c r="GH21" s="804">
        <f>$GU$12</f>
        <v>0.8</v>
      </c>
      <c r="GI21" s="804"/>
      <c r="GJ21" s="794"/>
      <c r="GK21" s="795"/>
      <c r="GL21" s="795"/>
      <c r="GM21" s="1169"/>
      <c r="GN21" s="799"/>
      <c r="GO21" s="1636"/>
      <c r="GP21" s="1637"/>
      <c r="GQ21" s="842"/>
      <c r="GR21" s="918"/>
      <c r="GS21" s="919"/>
      <c r="GT21" s="848"/>
      <c r="GU21" s="81"/>
      <c r="GV21" s="79"/>
      <c r="GW21" s="79"/>
      <c r="GX21" s="80"/>
      <c r="JX21" s="851"/>
      <c r="JY21" s="226" t="s">
        <v>444</v>
      </c>
      <c r="JZ21" s="774">
        <f>$AP$49</f>
        <v>0.21284000000000003</v>
      </c>
      <c r="KA21" s="774"/>
      <c r="KB21" s="794"/>
      <c r="KC21" s="795"/>
      <c r="KD21" s="795"/>
      <c r="KE21" s="795"/>
      <c r="KF21" s="795"/>
      <c r="KG21" s="795"/>
      <c r="KH21" s="795"/>
      <c r="KI21" s="795"/>
      <c r="KJ21" s="795"/>
      <c r="KK21" s="796"/>
      <c r="KL21" s="837"/>
      <c r="KM21" s="838"/>
      <c r="KN21" s="1077"/>
      <c r="KO21" s="1078"/>
      <c r="KP21" s="842"/>
      <c r="KQ21" s="845"/>
      <c r="KR21" s="846"/>
      <c r="KS21" s="848"/>
      <c r="KT21" s="828"/>
      <c r="KU21" s="949"/>
      <c r="KV21" s="949"/>
      <c r="KW21" s="950"/>
      <c r="LF21" s="130"/>
      <c r="LG21" s="130"/>
      <c r="LH21" s="130"/>
      <c r="LI21" s="130"/>
      <c r="LJ21" s="130"/>
      <c r="LK21" s="130"/>
      <c r="LL21" s="130"/>
      <c r="LM21" s="130"/>
      <c r="LN21" s="130"/>
      <c r="LO21" s="130"/>
      <c r="LP21" s="130"/>
      <c r="LQ21" s="130"/>
      <c r="OE21" s="211"/>
      <c r="OF21" s="826"/>
      <c r="OG21" s="945"/>
      <c r="OH21" s="945"/>
      <c r="OI21" s="945"/>
      <c r="OJ21" s="945"/>
      <c r="OK21" s="946"/>
      <c r="OM21" s="1052"/>
      <c r="ON21" s="1052"/>
      <c r="OO21" s="1052"/>
      <c r="OP21" s="1052"/>
      <c r="OQ21" s="1052"/>
      <c r="OS21" s="826"/>
      <c r="OT21" s="945"/>
      <c r="OU21" s="945"/>
      <c r="OV21" s="946"/>
      <c r="PH21" s="377"/>
      <c r="PI21" s="373"/>
      <c r="PJ21" s="54"/>
      <c r="PK21" s="373"/>
      <c r="PL21" s="373"/>
      <c r="PM21" s="373"/>
      <c r="PN21" s="373"/>
      <c r="PO21" s="373"/>
      <c r="PP21" s="373"/>
      <c r="PQ21" s="373"/>
      <c r="PR21" s="373"/>
      <c r="PS21" s="373"/>
      <c r="PT21" s="373"/>
      <c r="PU21" s="373"/>
      <c r="PV21" s="373"/>
      <c r="PW21" s="373"/>
      <c r="PX21" s="373"/>
      <c r="PY21" s="373"/>
      <c r="PZ21" s="373"/>
      <c r="QA21" s="373"/>
      <c r="QB21" s="373"/>
      <c r="QC21" s="373"/>
      <c r="QD21" s="373"/>
      <c r="QE21" s="373"/>
      <c r="QF21" s="373"/>
      <c r="QG21" s="373"/>
      <c r="QH21" s="373"/>
      <c r="QI21" s="373"/>
      <c r="QJ21" s="536"/>
      <c r="QK21" s="536"/>
      <c r="QL21" s="536"/>
      <c r="QM21" s="536"/>
      <c r="QN21" s="536"/>
      <c r="QO21" s="536"/>
      <c r="QP21" s="536"/>
      <c r="QQ21" s="536"/>
      <c r="QR21" s="536"/>
      <c r="QS21" s="536"/>
      <c r="QT21" s="536"/>
      <c r="QU21" s="536"/>
      <c r="QV21" s="536"/>
      <c r="QW21" s="536"/>
      <c r="QX21" s="536"/>
      <c r="QY21" s="536"/>
      <c r="QZ21" s="373"/>
      <c r="RA21" s="373"/>
      <c r="RB21" s="373"/>
      <c r="RC21" s="374"/>
      <c r="RE21" s="653"/>
      <c r="RF21" s="653"/>
      <c r="RG21" s="653"/>
      <c r="RH21" s="653"/>
      <c r="RI21" s="653"/>
      <c r="RJ21" s="653"/>
      <c r="RK21" s="653"/>
      <c r="RL21" s="653"/>
      <c r="RM21" s="653"/>
      <c r="RN21" s="653"/>
      <c r="RO21" s="653"/>
      <c r="RP21" s="653"/>
      <c r="RQ21" s="653"/>
      <c r="RR21" s="653"/>
      <c r="RS21" s="653"/>
      <c r="RT21" s="653"/>
      <c r="RU21" s="653"/>
      <c r="RV21" s="653"/>
      <c r="RW21" s="653"/>
      <c r="RX21" s="653"/>
      <c r="RY21" s="653"/>
      <c r="RZ21" s="849"/>
      <c r="SA21" s="852" t="s">
        <v>416</v>
      </c>
      <c r="SB21" s="853"/>
      <c r="SC21" s="479"/>
      <c r="SD21" s="78"/>
      <c r="SE21" s="78"/>
      <c r="SF21" s="78"/>
      <c r="SG21" s="78"/>
      <c r="SH21" s="78"/>
      <c r="SI21" s="78"/>
      <c r="SJ21" s="479"/>
      <c r="SK21" s="76" t="s">
        <v>441</v>
      </c>
      <c r="SL21" s="854" t="s">
        <v>435</v>
      </c>
      <c r="SM21" s="855"/>
      <c r="SN21" s="920" t="s">
        <v>111</v>
      </c>
      <c r="SO21" s="921"/>
      <c r="SP21" s="916" t="s">
        <v>704</v>
      </c>
      <c r="SQ21" s="917"/>
      <c r="SR21" s="906" t="s">
        <v>447</v>
      </c>
      <c r="SS21" s="907"/>
      <c r="ST21" s="907"/>
      <c r="SU21" s="908"/>
      <c r="SV21" s="1051" t="s">
        <v>436</v>
      </c>
      <c r="SW21" s="1051"/>
      <c r="SX21" s="1051"/>
      <c r="SY21" s="1051"/>
      <c r="TB21" s="653"/>
      <c r="TC21" s="653"/>
      <c r="TD21" s="653"/>
      <c r="TE21" s="653"/>
      <c r="TF21" s="653"/>
      <c r="TG21" s="653"/>
      <c r="TH21" s="653"/>
      <c r="TI21" s="653"/>
      <c r="TJ21" s="653"/>
      <c r="TK21" s="653"/>
      <c r="TL21" s="653"/>
      <c r="TM21" s="653"/>
      <c r="TN21" s="653"/>
      <c r="TO21" s="653"/>
      <c r="TP21" s="653"/>
      <c r="TQ21" s="653"/>
      <c r="TR21" s="653"/>
      <c r="TS21" s="653"/>
      <c r="TX21" s="653"/>
      <c r="TY21" s="653"/>
      <c r="TZ21" s="653"/>
      <c r="UA21" s="653"/>
      <c r="UB21" s="653"/>
      <c r="UC21" s="653"/>
      <c r="UD21" s="653"/>
      <c r="UE21" s="653"/>
      <c r="UF21" s="653"/>
      <c r="UG21" s="653"/>
      <c r="UH21" s="653"/>
      <c r="UI21" s="653"/>
      <c r="UJ21" s="653"/>
      <c r="UK21" s="653"/>
      <c r="UL21" s="653"/>
      <c r="UM21" s="653"/>
      <c r="UN21" s="653"/>
      <c r="UO21" s="653"/>
      <c r="UP21" s="653"/>
      <c r="UQ21" s="653"/>
      <c r="UR21" s="653"/>
      <c r="US21" s="653"/>
      <c r="UT21" s="653"/>
      <c r="UU21" s="653"/>
      <c r="UV21" s="653"/>
      <c r="UW21" s="653"/>
      <c r="UX21" s="653"/>
      <c r="UY21" s="653"/>
      <c r="UZ21" s="653"/>
      <c r="WE21" s="1831"/>
      <c r="WF21" s="1832"/>
      <c r="WG21" s="1832"/>
      <c r="WH21" s="1832"/>
      <c r="WI21" s="1832"/>
      <c r="WJ21" s="1833"/>
      <c r="WK21" s="861" t="s">
        <v>1680</v>
      </c>
      <c r="WL21" s="861"/>
      <c r="WM21" s="890">
        <f>SN35</f>
        <v>0.14720472630561454</v>
      </c>
      <c r="WN21" s="890"/>
      <c r="WO21" s="1811" t="s">
        <v>1617</v>
      </c>
      <c r="WP21" s="1812"/>
      <c r="WQ21" s="1192">
        <f>$SN$31</f>
        <v>1.0583836777160964</v>
      </c>
      <c r="WR21" s="1192"/>
      <c r="WS21" s="800" t="s">
        <v>1243</v>
      </c>
      <c r="WT21" s="801"/>
      <c r="WU21" s="937">
        <f>$MP$86</f>
        <v>8.0207023726710278E-2</v>
      </c>
      <c r="WV21" s="937"/>
      <c r="WW21" s="171"/>
      <c r="WX21" s="976">
        <v>1</v>
      </c>
      <c r="WY21" s="977"/>
      <c r="WZ21" s="752" t="s">
        <v>392</v>
      </c>
      <c r="XA21" s="753"/>
      <c r="XB21" s="167"/>
      <c r="XC21" s="168"/>
      <c r="XD21" s="168"/>
      <c r="XE21" s="168"/>
      <c r="XF21" s="171"/>
      <c r="XG21" s="966">
        <f t="shared" ref="XG21:YL21" si="12">$WM$21+($WQ$21*$WU$21)/XG19</f>
        <v>85.037009476843437</v>
      </c>
      <c r="XH21" s="966">
        <f t="shared" si="12"/>
        <v>42.592107101574527</v>
      </c>
      <c r="XI21" s="966">
        <f t="shared" si="12"/>
        <v>28.443806309818221</v>
      </c>
      <c r="XJ21" s="966">
        <f t="shared" si="12"/>
        <v>21.369655913940068</v>
      </c>
      <c r="XK21" s="966">
        <f t="shared" si="12"/>
        <v>17.125165676413179</v>
      </c>
      <c r="XL21" s="966">
        <f t="shared" si="12"/>
        <v>14.295505518061919</v>
      </c>
      <c r="XM21" s="966">
        <f t="shared" si="12"/>
        <v>12.274319690668161</v>
      </c>
      <c r="XN21" s="966">
        <f t="shared" si="12"/>
        <v>10.758430320122843</v>
      </c>
      <c r="XO21" s="966">
        <f t="shared" si="12"/>
        <v>9.5794052541431522</v>
      </c>
      <c r="XP21" s="966">
        <f t="shared" si="12"/>
        <v>8.6361852013593978</v>
      </c>
      <c r="XQ21" s="966">
        <f t="shared" si="12"/>
        <v>7.8644597036272348</v>
      </c>
      <c r="XR21" s="966">
        <f t="shared" si="12"/>
        <v>7.2213551221837662</v>
      </c>
      <c r="XS21" s="966">
        <f t="shared" si="12"/>
        <v>6.6771897071162165</v>
      </c>
      <c r="XT21" s="966">
        <f t="shared" si="12"/>
        <v>6.2107622084868872</v>
      </c>
      <c r="XU21" s="966">
        <f t="shared" si="12"/>
        <v>5.8065250430081363</v>
      </c>
      <c r="XV21" s="966">
        <f t="shared" si="12"/>
        <v>5.452817523214228</v>
      </c>
      <c r="XW21" s="966">
        <f t="shared" si="12"/>
        <v>5.1407226528078391</v>
      </c>
      <c r="XX21" s="966">
        <f t="shared" si="12"/>
        <v>4.8633049902243828</v>
      </c>
      <c r="XY21" s="966">
        <f t="shared" si="12"/>
        <v>4.6150891868602368</v>
      </c>
      <c r="XZ21" s="966">
        <f t="shared" si="12"/>
        <v>4.3916949638325056</v>
      </c>
      <c r="YA21" s="966">
        <f t="shared" si="12"/>
        <v>4.1895763810931292</v>
      </c>
      <c r="YB21" s="966">
        <f t="shared" si="12"/>
        <v>4.0058322149664249</v>
      </c>
      <c r="YC21" s="966">
        <f t="shared" si="12"/>
        <v>3.8380658024159549</v>
      </c>
      <c r="YD21" s="966">
        <f t="shared" si="12"/>
        <v>3.6842799242446906</v>
      </c>
      <c r="YE21" s="966">
        <f t="shared" si="12"/>
        <v>3.5427969163271276</v>
      </c>
      <c r="YF21" s="966">
        <f t="shared" si="12"/>
        <v>3.4121972167109158</v>
      </c>
      <c r="YG21" s="966">
        <f t="shared" si="12"/>
        <v>3.2912715689181269</v>
      </c>
      <c r="YH21" s="966">
        <f t="shared" si="12"/>
        <v>3.1789834673962512</v>
      </c>
      <c r="YI21" s="966">
        <f t="shared" si="12"/>
        <v>3.0744393728758843</v>
      </c>
      <c r="YJ21" s="966">
        <f t="shared" si="12"/>
        <v>2.9768648846568757</v>
      </c>
      <c r="YK21" s="966">
        <f t="shared" si="12"/>
        <v>2.8855855247100606</v>
      </c>
      <c r="YL21" s="966">
        <f t="shared" si="12"/>
        <v>2.8000111247599215</v>
      </c>
      <c r="YM21" s="966">
        <f t="shared" ref="YM21:ZR21" si="13">$WM$21+($WQ$21*$WU$21)/YM19</f>
        <v>2.7196230520794882</v>
      </c>
      <c r="YN21" s="966">
        <f t="shared" si="13"/>
        <v>2.6439636895567271</v>
      </c>
      <c r="YO21" s="966">
        <f t="shared" si="13"/>
        <v>2.5726277191781239</v>
      </c>
      <c r="YP21" s="966">
        <f t="shared" si="13"/>
        <v>2.5052548582649989</v>
      </c>
      <c r="YQ21" s="966">
        <f t="shared" si="13"/>
        <v>2.441523773617448</v>
      </c>
      <c r="YR21" s="966">
        <f t="shared" si="13"/>
        <v>2.381146956582926</v>
      </c>
      <c r="YS21" s="966">
        <f t="shared" si="13"/>
        <v>2.3238663865758151</v>
      </c>
      <c r="YT21" s="966">
        <f t="shared" si="13"/>
        <v>2.2694498450690603</v>
      </c>
      <c r="YU21" s="966">
        <f t="shared" si="13"/>
        <v>2.217687769001659</v>
      </c>
      <c r="YV21" s="966">
        <f t="shared" si="13"/>
        <v>2.1683905536993722</v>
      </c>
      <c r="YW21" s="966">
        <f t="shared" si="13"/>
        <v>2.1213862321320756</v>
      </c>
      <c r="YX21" s="966">
        <f t="shared" si="13"/>
        <v>2.0765184706360196</v>
      </c>
      <c r="YY21" s="966">
        <f t="shared" si="13"/>
        <v>2.0336448318731217</v>
      </c>
      <c r="YZ21" s="966">
        <f t="shared" si="13"/>
        <v>1.9926352643607848</v>
      </c>
      <c r="ZA21" s="966">
        <f t="shared" si="13"/>
        <v>1.9533707848276958</v>
      </c>
      <c r="ZB21" s="966">
        <f t="shared" si="13"/>
        <v>1.9157423252751524</v>
      </c>
      <c r="ZC21" s="966">
        <f t="shared" si="13"/>
        <v>1.8796497212145495</v>
      </c>
      <c r="ZD21" s="966">
        <f t="shared" si="13"/>
        <v>1.8450008213163711</v>
      </c>
      <c r="ZE21" s="966">
        <f t="shared" si="13"/>
        <v>1.8117107018063563</v>
      </c>
      <c r="ZF21" s="966">
        <f t="shared" si="13"/>
        <v>1.779700971508265</v>
      </c>
      <c r="ZG21" s="966">
        <f t="shared" si="13"/>
        <v>1.7488991555610451</v>
      </c>
      <c r="ZH21" s="966">
        <f t="shared" si="13"/>
        <v>1.7192381476118705</v>
      </c>
      <c r="ZI21" s="966">
        <f t="shared" si="13"/>
        <v>1.6906557217699385</v>
      </c>
      <c r="ZJ21" s="966">
        <f t="shared" si="13"/>
        <v>1.6630940968509327</v>
      </c>
      <c r="ZK21" s="966">
        <f t="shared" si="13"/>
        <v>1.6364995464904886</v>
      </c>
      <c r="ZL21" s="966">
        <f t="shared" si="13"/>
        <v>1.6108220495907495</v>
      </c>
      <c r="ZM21" s="966">
        <f t="shared" si="13"/>
        <v>1.5860149763147304</v>
      </c>
      <c r="ZN21" s="966">
        <f t="shared" si="13"/>
        <v>1.562034805481245</v>
      </c>
      <c r="ZO21" s="966">
        <f t="shared" si="13"/>
        <v>1.5388408697570544</v>
      </c>
      <c r="ZP21" s="966">
        <f t="shared" si="13"/>
        <v>1.5163951255078376</v>
      </c>
      <c r="ZQ21" s="966">
        <f t="shared" si="13"/>
        <v>1.4946619445681195</v>
      </c>
      <c r="ZR21" s="966">
        <f t="shared" si="13"/>
        <v>1.4736079255327681</v>
      </c>
      <c r="ZS21" s="966">
        <f t="shared" ref="ZS21:AAS21" si="14">$WM$21+($WQ$21*$WU$21)/ZS19</f>
        <v>1.4532017224677349</v>
      </c>
      <c r="ZT21" s="966">
        <f t="shared" si="14"/>
        <v>1.4334138891925514</v>
      </c>
      <c r="ZU21" s="966">
        <f t="shared" si="14"/>
        <v>1.4142167375076715</v>
      </c>
      <c r="ZV21" s="966">
        <f t="shared" si="14"/>
        <v>1.3955842079311709</v>
      </c>
      <c r="ZW21" s="966">
        <f t="shared" si="14"/>
        <v>1.3774917516757279</v>
      </c>
      <c r="ZX21" s="966">
        <f t="shared" si="14"/>
        <v>1.3599162227418691</v>
      </c>
      <c r="ZY21" s="966">
        <f t="shared" si="14"/>
        <v>1.3428357791300911</v>
      </c>
      <c r="ZZ21" s="966">
        <f t="shared" si="14"/>
        <v>1.3262297922853068</v>
      </c>
      <c r="AAA21" s="966">
        <f t="shared" si="14"/>
        <v>1.3100787639842149</v>
      </c>
      <c r="AAB21" s="966">
        <f t="shared" si="14"/>
        <v>1.2943642499615313</v>
      </c>
      <c r="AAC21" s="966">
        <f t="shared" si="14"/>
        <v>1.2790687896461188</v>
      </c>
      <c r="AAD21" s="966">
        <f t="shared" si="14"/>
        <v>1.2641758414442701</v>
      </c>
      <c r="AAE21" s="966">
        <f t="shared" si="14"/>
        <v>1.2496697230658462</v>
      </c>
      <c r="AAF21" s="966">
        <f t="shared" si="14"/>
        <v>1.2355355564407149</v>
      </c>
      <c r="AAG21" s="966">
        <f t="shared" si="14"/>
        <v>1.2217592168187514</v>
      </c>
      <c r="AAH21" s="966">
        <f t="shared" si="14"/>
        <v>1.2083272856873375</v>
      </c>
      <c r="AAI21" s="966">
        <f t="shared" si="14"/>
        <v>1.1952270071764519</v>
      </c>
      <c r="AAJ21" s="966">
        <f t="shared" si="14"/>
        <v>1.1824462476536368</v>
      </c>
      <c r="AAK21" s="966">
        <f t="shared" si="14"/>
        <v>1.1699734582398054</v>
      </c>
      <c r="AAL21" s="966">
        <f t="shared" si="14"/>
        <v>1.1577976400024932</v>
      </c>
      <c r="AAM21" s="966">
        <f t="shared" si="14"/>
        <v>1.1459083116060595</v>
      </c>
      <c r="AAN21" s="966">
        <f t="shared" si="14"/>
        <v>1.1342954792188451</v>
      </c>
      <c r="AAO21" s="966">
        <f t="shared" si="14"/>
        <v>1.1229496084957047</v>
      </c>
      <c r="AAP21" s="966">
        <f t="shared" si="14"/>
        <v>1.1118615984708171</v>
      </c>
      <c r="AAQ21" s="966">
        <f t="shared" si="14"/>
        <v>1.101022757210534</v>
      </c>
      <c r="AAR21" s="966">
        <f t="shared" si="14"/>
        <v>1.0904247790893682</v>
      </c>
      <c r="AAS21" s="966">
        <f t="shared" si="14"/>
        <v>1.0800597235642719</v>
      </c>
      <c r="AAT21" s="964">
        <v>1</v>
      </c>
      <c r="AAU21" s="752" t="s">
        <v>392</v>
      </c>
      <c r="AAV21" s="753"/>
      <c r="AAW21" s="167"/>
      <c r="AAX21" s="168"/>
      <c r="AAY21" s="168"/>
      <c r="AAZ21" s="168"/>
      <c r="ABA21" s="171"/>
      <c r="ABB21" s="158"/>
      <c r="ABC21" s="158"/>
      <c r="ABD21" s="163"/>
      <c r="ABE21" s="653"/>
      <c r="ABF21" s="653"/>
      <c r="ABG21" s="653"/>
      <c r="ABH21" s="653"/>
      <c r="ABI21" s="653"/>
      <c r="ACJ21" s="759">
        <v>0.33333333300000001</v>
      </c>
      <c r="ACK21" s="760"/>
      <c r="ACL21" s="759">
        <v>-0.233333333</v>
      </c>
      <c r="ACM21" s="760"/>
      <c r="ACN21" s="592">
        <v>9</v>
      </c>
      <c r="ACO21" s="759">
        <f t="shared" si="0"/>
        <v>0.12999999997000003</v>
      </c>
      <c r="ACP21" s="760"/>
      <c r="ACQ21" s="757">
        <f t="shared" si="1"/>
        <v>1.0900000000000001</v>
      </c>
      <c r="ACR21" s="758"/>
      <c r="ACT21" s="759">
        <v>0.66666666699999999</v>
      </c>
      <c r="ACU21" s="760"/>
      <c r="ACV21" s="759">
        <v>-0.66666666699999999</v>
      </c>
      <c r="ACW21" s="760"/>
      <c r="ACX21" s="591">
        <v>59</v>
      </c>
      <c r="ACY21" s="759">
        <f t="shared" si="8"/>
        <v>0.39333333352999988</v>
      </c>
      <c r="ACZ21" s="760"/>
      <c r="ADA21" s="757">
        <f t="shared" si="2"/>
        <v>1.5899999999999999</v>
      </c>
      <c r="ADB21" s="758"/>
      <c r="ADD21" s="759">
        <v>1</v>
      </c>
      <c r="ADE21" s="760"/>
      <c r="ADF21" s="759">
        <v>-1.2</v>
      </c>
      <c r="ADG21" s="760"/>
      <c r="ADH21" s="592">
        <v>108</v>
      </c>
      <c r="ADI21" s="759">
        <f t="shared" si="3"/>
        <v>0.88000000000000012</v>
      </c>
      <c r="ADJ21" s="760"/>
      <c r="ADK21" s="757">
        <f t="shared" si="4"/>
        <v>2.08</v>
      </c>
      <c r="ADL21" s="758"/>
      <c r="ADN21" s="759">
        <v>1.1052631580000001</v>
      </c>
      <c r="ADO21" s="760"/>
      <c r="ADP21" s="759">
        <v>-1.42105263157895</v>
      </c>
      <c r="ADQ21" s="760"/>
      <c r="ADR21" s="591">
        <v>158</v>
      </c>
      <c r="ADS21" s="759">
        <f t="shared" si="9"/>
        <v>1.4305263160610502</v>
      </c>
      <c r="ADT21" s="760"/>
      <c r="ADU21" s="757">
        <f t="shared" si="5"/>
        <v>2.58</v>
      </c>
      <c r="ADV21" s="758"/>
      <c r="ADX21" s="759">
        <v>1.1052631580000001</v>
      </c>
      <c r="ADY21" s="760"/>
      <c r="ADZ21" s="759">
        <v>-1.42105263157895</v>
      </c>
      <c r="AEA21" s="760"/>
      <c r="AEB21" s="591">
        <v>208</v>
      </c>
      <c r="AEC21" s="759">
        <f t="shared" si="10"/>
        <v>1.9831578950610504</v>
      </c>
      <c r="AED21" s="760"/>
      <c r="AEE21" s="757">
        <f t="shared" si="6"/>
        <v>3.08</v>
      </c>
      <c r="AEF21" s="758"/>
      <c r="AEH21" s="759">
        <v>1.1052631580000001</v>
      </c>
      <c r="AEI21" s="760"/>
      <c r="AEJ21" s="759">
        <v>-1.42105263157895</v>
      </c>
      <c r="AEK21" s="760"/>
      <c r="AEL21" s="591">
        <v>258</v>
      </c>
      <c r="AEM21" s="759">
        <f t="shared" si="11"/>
        <v>2.5357894740610503</v>
      </c>
      <c r="AEN21" s="760"/>
      <c r="AEO21" s="757">
        <f t="shared" si="7"/>
        <v>3.58</v>
      </c>
      <c r="AEP21" s="758"/>
      <c r="AFA21" s="993"/>
      <c r="AFB21" s="994"/>
      <c r="AFC21" s="994"/>
      <c r="AFD21" s="994"/>
      <c r="AFE21" s="994"/>
      <c r="AFF21" s="994"/>
      <c r="AFG21" s="995"/>
      <c r="AFH21" s="981"/>
      <c r="AGJ21" s="377"/>
      <c r="AGK21" s="373"/>
      <c r="AGL21" s="54"/>
      <c r="AGM21" s="381" t="s">
        <v>1297</v>
      </c>
      <c r="AGN21" s="849"/>
      <c r="AGO21" s="800" t="s">
        <v>1446</v>
      </c>
      <c r="AGP21" s="982"/>
      <c r="AGQ21" s="926">
        <f>$GV$89</f>
        <v>30.233859458483881</v>
      </c>
      <c r="AGR21" s="926"/>
      <c r="AGS21" s="776" t="s">
        <v>160</v>
      </c>
      <c r="AGT21" s="776"/>
      <c r="AGU21" s="776"/>
      <c r="AGV21" s="776"/>
      <c r="AGW21" s="776"/>
      <c r="AGX21" s="776"/>
      <c r="AGY21" s="776"/>
      <c r="AGZ21" s="776"/>
      <c r="AHA21" s="815"/>
      <c r="AHB21" s="835">
        <f>(GV89-GW65-GW61)/1000</f>
        <v>2.923385945848388E-2</v>
      </c>
      <c r="AHC21" s="836"/>
      <c r="AHD21" s="1563" t="s">
        <v>45</v>
      </c>
      <c r="AHE21" s="1571"/>
      <c r="AHF21" s="1289"/>
      <c r="AHG21" s="1283" t="s">
        <v>1477</v>
      </c>
      <c r="AHH21" s="1283"/>
      <c r="AHI21" s="1283"/>
      <c r="AHJ21" s="1289"/>
      <c r="AHK21" s="1052"/>
      <c r="AHL21" s="1052"/>
      <c r="AHM21" s="1052"/>
      <c r="AHN21" s="1052"/>
      <c r="AHO21" s="1052"/>
      <c r="AHP21" s="1052"/>
      <c r="AHQ21" s="1052"/>
      <c r="AHR21" s="1052"/>
      <c r="AHS21" s="1052"/>
      <c r="AHT21" s="1052"/>
      <c r="AHU21" s="373"/>
      <c r="AHV21" s="373"/>
      <c r="AHW21" s="382" t="s">
        <v>798</v>
      </c>
      <c r="AIU21" s="673"/>
      <c r="AIV21" s="673"/>
      <c r="AIW21" s="673"/>
      <c r="AKV21" s="653"/>
      <c r="AKW21" s="653"/>
      <c r="AKX21" s="653"/>
      <c r="AKY21" s="653"/>
      <c r="AKZ21" s="653"/>
      <c r="ALA21" s="653"/>
      <c r="ALB21" s="653"/>
      <c r="ALC21" s="653"/>
      <c r="ALD21" s="653"/>
      <c r="ALE21" s="653"/>
      <c r="ALF21" s="653"/>
      <c r="ALG21" s="653"/>
      <c r="ALH21" s="653"/>
      <c r="AOL21" s="130"/>
      <c r="AQL21" s="130"/>
      <c r="AQV21" s="653"/>
      <c r="AQW21" s="653"/>
      <c r="AQX21" s="653"/>
      <c r="AQY21" s="653"/>
      <c r="AQZ21" s="653"/>
      <c r="ARA21" s="653"/>
      <c r="ARB21" s="653"/>
      <c r="ARC21" s="653"/>
      <c r="ARD21" s="653"/>
      <c r="ARE21" s="653"/>
      <c r="ARF21" s="653"/>
      <c r="ARG21" s="653"/>
      <c r="ARH21" s="653"/>
      <c r="ARI21" s="653"/>
      <c r="ARJ21" s="653"/>
      <c r="ARK21" s="653"/>
      <c r="ARL21" s="653"/>
      <c r="ARM21" s="653"/>
      <c r="ARN21" s="653"/>
      <c r="ARO21" s="653"/>
      <c r="ARU21" s="903"/>
      <c r="ARV21" s="904"/>
      <c r="ARW21" s="905"/>
      <c r="ARX21" s="851"/>
      <c r="ARY21" s="777"/>
      <c r="ARZ21" s="778"/>
      <c r="ASA21" s="778"/>
      <c r="ASB21" s="778"/>
      <c r="ASC21" s="778"/>
      <c r="ASD21" s="778"/>
      <c r="ASE21" s="778"/>
      <c r="ASF21" s="778"/>
      <c r="ASG21" s="778"/>
      <c r="ASH21" s="778"/>
      <c r="ASI21" s="778"/>
      <c r="ASJ21" s="1444"/>
      <c r="ASK21" s="773"/>
      <c r="ASL21" s="1185"/>
      <c r="ASM21" s="1186"/>
      <c r="ASN21" s="842"/>
      <c r="ASO21" s="845"/>
      <c r="ASP21" s="846"/>
      <c r="ASQ21" s="848"/>
      <c r="ASR21" s="1276"/>
      <c r="ASS21" s="1277"/>
      <c r="AST21" s="1278"/>
      <c r="AWB21" s="850"/>
      <c r="AWC21" s="856"/>
      <c r="AWD21" s="856"/>
      <c r="AWE21" s="856"/>
      <c r="AWF21" s="856"/>
      <c r="AWG21" s="856"/>
      <c r="AWH21" s="856"/>
      <c r="AWI21" s="856"/>
      <c r="AWJ21" s="856"/>
      <c r="AWK21" s="856"/>
      <c r="AWL21" s="856"/>
      <c r="AWM21" s="856"/>
      <c r="AWN21" s="856"/>
      <c r="AWO21" s="856"/>
      <c r="AWP21" s="835"/>
      <c r="AWQ21" s="836"/>
      <c r="AWR21" s="839"/>
      <c r="AWS21" s="840"/>
      <c r="AWT21" s="841"/>
      <c r="AWU21" s="843" t="s">
        <v>416</v>
      </c>
      <c r="AWV21" s="844"/>
      <c r="AWW21" s="847"/>
    </row>
    <row r="22" spans="1:996 1076:1297" ht="48" customHeight="1" thickBot="1">
      <c r="A22" s="130"/>
      <c r="B22" s="130"/>
      <c r="C22" s="130"/>
      <c r="D22" s="159"/>
      <c r="E22" s="160"/>
      <c r="F22" s="160"/>
      <c r="G22" s="160"/>
      <c r="H22" s="160"/>
      <c r="I22" s="160"/>
      <c r="J22" s="160"/>
      <c r="K22" s="160"/>
      <c r="L22" s="160"/>
      <c r="M22" s="160"/>
      <c r="N22" s="160"/>
      <c r="O22" s="160"/>
      <c r="P22" s="160"/>
      <c r="Q22" s="160"/>
      <c r="R22" s="160"/>
      <c r="S22" s="160"/>
      <c r="T22" s="160"/>
      <c r="U22" s="160"/>
      <c r="V22" s="160"/>
      <c r="W22" s="160"/>
      <c r="X22" s="160"/>
      <c r="Y22" s="161"/>
      <c r="AC22" s="130"/>
      <c r="AD22" s="130"/>
      <c r="AE22" s="130"/>
      <c r="BF22" s="653"/>
      <c r="BG22" s="653"/>
      <c r="BH22" s="653"/>
      <c r="BQ22" s="126"/>
      <c r="BR22" s="130"/>
      <c r="BS22" s="130"/>
      <c r="BT22" s="130"/>
      <c r="BU22" s="130"/>
      <c r="BV22" s="130"/>
      <c r="FE22" s="130"/>
      <c r="FF22" s="130"/>
      <c r="FG22" s="653"/>
      <c r="FH22" s="653"/>
      <c r="FI22" s="653"/>
      <c r="FJ22" s="653"/>
      <c r="FK22" s="653"/>
      <c r="FL22" s="653"/>
      <c r="FM22" s="653"/>
      <c r="FN22" s="653"/>
      <c r="FO22" s="653"/>
      <c r="FP22" s="653"/>
      <c r="FQ22" s="130"/>
      <c r="FR22" s="130"/>
      <c r="FS22" s="130"/>
      <c r="FT22" s="130"/>
      <c r="FU22" s="130"/>
      <c r="IR22" s="1052"/>
      <c r="IS22" s="852" t="s">
        <v>1028</v>
      </c>
      <c r="IT22" s="923"/>
      <c r="IU22" s="223"/>
      <c r="IV22" s="800" t="s">
        <v>1024</v>
      </c>
      <c r="IW22" s="801"/>
      <c r="IX22" s="761">
        <f>$AW$95</f>
        <v>0.19391178434038603</v>
      </c>
      <c r="IY22" s="761"/>
      <c r="IZ22" s="136"/>
      <c r="JA22" s="76" t="s">
        <v>441</v>
      </c>
      <c r="JB22" s="854" t="s">
        <v>435</v>
      </c>
      <c r="JC22" s="855"/>
      <c r="JD22" s="920" t="s">
        <v>111</v>
      </c>
      <c r="JE22" s="921"/>
      <c r="JF22" s="916" t="s">
        <v>704</v>
      </c>
      <c r="JG22" s="917"/>
      <c r="JH22" s="906" t="s">
        <v>447</v>
      </c>
      <c r="JI22" s="907"/>
      <c r="JJ22" s="907"/>
      <c r="JK22" s="907"/>
      <c r="JL22" s="1051" t="s">
        <v>436</v>
      </c>
      <c r="JM22" s="1051"/>
      <c r="JN22" s="1051"/>
      <c r="JO22" s="1051"/>
      <c r="JP22" s="1051"/>
      <c r="JQ22" s="1051"/>
      <c r="LF22" s="130"/>
      <c r="LG22" s="130"/>
      <c r="LH22" s="130"/>
      <c r="LI22" s="130"/>
      <c r="LJ22" s="130"/>
      <c r="LK22" s="130"/>
      <c r="LL22" s="130"/>
      <c r="LM22" s="130"/>
      <c r="LN22" s="130"/>
      <c r="LO22" s="130"/>
      <c r="LP22" s="130"/>
      <c r="LQ22" s="130"/>
      <c r="MB22" s="849"/>
      <c r="MC22" s="852" t="s">
        <v>416</v>
      </c>
      <c r="MD22" s="853"/>
      <c r="ME22" s="138"/>
      <c r="MF22" s="345" t="s">
        <v>423</v>
      </c>
      <c r="MG22" s="911">
        <f>$MS$19</f>
        <v>2.4390243902439023E-8</v>
      </c>
      <c r="MH22" s="912"/>
      <c r="MI22" s="913"/>
      <c r="MJ22" s="1399" t="s">
        <v>392</v>
      </c>
      <c r="MK22" s="1400"/>
      <c r="ML22" s="138"/>
      <c r="MM22" s="76" t="s">
        <v>441</v>
      </c>
      <c r="MN22" s="854" t="s">
        <v>435</v>
      </c>
      <c r="MO22" s="855"/>
      <c r="MP22" s="920" t="s">
        <v>111</v>
      </c>
      <c r="MQ22" s="921"/>
      <c r="MR22" s="916" t="s">
        <v>704</v>
      </c>
      <c r="MS22" s="917"/>
      <c r="MT22" s="906" t="s">
        <v>447</v>
      </c>
      <c r="MU22" s="907"/>
      <c r="MV22" s="907"/>
      <c r="MW22" s="908"/>
      <c r="MX22" s="906" t="s">
        <v>436</v>
      </c>
      <c r="MY22" s="907"/>
      <c r="MZ22" s="908"/>
      <c r="OF22" s="827"/>
      <c r="OG22" s="947"/>
      <c r="OH22" s="947"/>
      <c r="OI22" s="947"/>
      <c r="OJ22" s="947"/>
      <c r="OK22" s="948"/>
      <c r="OM22" s="1052"/>
      <c r="ON22" s="1052"/>
      <c r="OO22" s="1052"/>
      <c r="OP22" s="1052"/>
      <c r="OQ22" s="1052"/>
      <c r="OS22" s="827"/>
      <c r="OT22" s="947"/>
      <c r="OU22" s="947"/>
      <c r="OV22" s="948"/>
      <c r="PH22" s="377"/>
      <c r="PI22" s="373"/>
      <c r="PJ22" s="54"/>
      <c r="PK22" s="373"/>
      <c r="PL22" s="1628" t="s">
        <v>1567</v>
      </c>
      <c r="PM22" s="1628"/>
      <c r="PN22" s="1458" t="s">
        <v>1</v>
      </c>
      <c r="PO22" s="1280"/>
      <c r="PP22" s="1280"/>
      <c r="PQ22" s="1280"/>
      <c r="PR22" s="1281"/>
      <c r="PS22" s="509" t="s">
        <v>1586</v>
      </c>
      <c r="PT22" s="883">
        <f>$AP$5</f>
        <v>30000</v>
      </c>
      <c r="PU22" s="1252"/>
      <c r="PV22" s="884"/>
      <c r="PW22" s="1627" t="s">
        <v>393</v>
      </c>
      <c r="PX22" s="1627"/>
      <c r="PY22" s="373"/>
      <c r="PZ22" s="373"/>
      <c r="QA22" s="478" t="s">
        <v>911</v>
      </c>
      <c r="QB22" s="1615" t="str">
        <f>IF(OR(PT22 &gt; 250000,PT22 = 250000),
"Расчет по формуле данной последовательности",
"Данная переменная не используется в расчете")</f>
        <v>Данная переменная не используется в расчете</v>
      </c>
      <c r="QC22" s="1616"/>
      <c r="QD22" s="1616"/>
      <c r="QE22" s="1616"/>
      <c r="QF22" s="1616"/>
      <c r="QG22" s="1616"/>
      <c r="QH22" s="1616"/>
      <c r="QI22" s="1616"/>
      <c r="QJ22" s="1617"/>
      <c r="QK22" s="373"/>
      <c r="QL22" s="373"/>
      <c r="QM22" s="373"/>
      <c r="QN22" s="373"/>
      <c r="QO22" s="373"/>
      <c r="QP22" s="373"/>
      <c r="QQ22" s="373"/>
      <c r="QR22" s="373"/>
      <c r="QS22" s="373"/>
      <c r="QT22" s="373"/>
      <c r="QU22" s="373"/>
      <c r="QV22" s="373"/>
      <c r="QW22" s="373"/>
      <c r="QX22" s="373"/>
      <c r="QY22" s="373"/>
      <c r="QZ22" s="373"/>
      <c r="RA22" s="373"/>
      <c r="RB22" s="373"/>
      <c r="RC22" s="374"/>
      <c r="RE22" s="653"/>
      <c r="RF22" s="653"/>
      <c r="RG22" s="653"/>
      <c r="RH22" s="653"/>
      <c r="RI22" s="653"/>
      <c r="RJ22" s="653"/>
      <c r="RK22" s="653"/>
      <c r="RL22" s="653"/>
      <c r="RM22" s="653"/>
      <c r="RN22" s="653"/>
      <c r="RO22" s="653"/>
      <c r="RP22" s="653"/>
      <c r="RQ22" s="653"/>
      <c r="RR22" s="653"/>
      <c r="RS22" s="653"/>
      <c r="RT22" s="653"/>
      <c r="RU22" s="653"/>
      <c r="RV22" s="653"/>
      <c r="RW22" s="653"/>
      <c r="RX22" s="653"/>
      <c r="RY22" s="653"/>
      <c r="RZ22" s="850"/>
      <c r="SA22" s="502" t="s">
        <v>1457</v>
      </c>
      <c r="SB22" s="890">
        <f>$SN$18</f>
        <v>13.537795509105404</v>
      </c>
      <c r="SC22" s="890"/>
      <c r="SD22" s="797" t="s">
        <v>159</v>
      </c>
      <c r="SE22" s="797"/>
      <c r="SF22" s="797"/>
      <c r="SG22" s="797"/>
      <c r="SH22" s="797"/>
      <c r="SI22" s="797"/>
      <c r="SJ22" s="797"/>
      <c r="SK22" s="797"/>
      <c r="SL22" s="797"/>
      <c r="SM22" s="798"/>
      <c r="SN22" s="835">
        <f>1+(MP98/SN18)</f>
        <v>1.0287777591472789</v>
      </c>
      <c r="SO22" s="836"/>
      <c r="SP22" s="1341" t="s">
        <v>729</v>
      </c>
      <c r="SQ22" s="1342"/>
      <c r="SR22" s="1066"/>
      <c r="SS22" s="1170" t="s">
        <v>1202</v>
      </c>
      <c r="ST22" s="1172"/>
      <c r="SU22" s="847"/>
      <c r="SV22" s="827"/>
      <c r="SW22" s="947"/>
      <c r="SX22" s="947"/>
      <c r="SY22" s="948"/>
      <c r="TB22" s="653"/>
      <c r="TC22" s="653"/>
      <c r="TD22" s="653"/>
      <c r="TE22" s="653"/>
      <c r="TF22" s="653"/>
      <c r="TG22" s="653"/>
      <c r="TH22" s="653"/>
      <c r="TI22" s="653"/>
      <c r="TJ22" s="653"/>
      <c r="TK22" s="653"/>
      <c r="TL22" s="653"/>
      <c r="TM22" s="653"/>
      <c r="TN22" s="653"/>
      <c r="TO22" s="653"/>
      <c r="TP22" s="653"/>
      <c r="TQ22" s="653"/>
      <c r="TR22" s="653"/>
      <c r="TS22" s="653"/>
      <c r="TX22" s="653"/>
      <c r="TY22" s="653"/>
      <c r="TZ22" s="653"/>
      <c r="UA22" s="653"/>
      <c r="UB22" s="653"/>
      <c r="UC22" s="653"/>
      <c r="UD22" s="653"/>
      <c r="UE22" s="653"/>
      <c r="UF22" s="653"/>
      <c r="UG22" s="653"/>
      <c r="UH22" s="653"/>
      <c r="UI22" s="653"/>
      <c r="UJ22" s="653"/>
      <c r="UK22" s="653"/>
      <c r="UL22" s="653"/>
      <c r="UM22" s="653"/>
      <c r="UN22" s="653"/>
      <c r="UO22" s="653"/>
      <c r="UP22" s="653"/>
      <c r="UQ22" s="653"/>
      <c r="UR22" s="653"/>
      <c r="US22" s="653"/>
      <c r="UT22" s="653"/>
      <c r="UU22" s="653"/>
      <c r="UV22" s="653"/>
      <c r="UW22" s="653"/>
      <c r="UX22" s="653"/>
      <c r="UY22" s="653"/>
      <c r="UZ22" s="653"/>
      <c r="WE22" s="1831"/>
      <c r="WF22" s="1832"/>
      <c r="WG22" s="1832"/>
      <c r="WH22" s="1832"/>
      <c r="WI22" s="1832"/>
      <c r="WJ22" s="1833"/>
      <c r="WK22" s="173"/>
      <c r="WL22" s="173"/>
      <c r="WM22" s="173"/>
      <c r="WN22" s="173"/>
      <c r="WO22" s="173"/>
      <c r="WP22" s="173"/>
      <c r="WQ22" s="173"/>
      <c r="WR22" s="173"/>
      <c r="WS22" s="173"/>
      <c r="WT22" s="173"/>
      <c r="WU22" s="173"/>
      <c r="WV22" s="173"/>
      <c r="WW22" s="174"/>
      <c r="WX22" s="978"/>
      <c r="WY22" s="979"/>
      <c r="WZ22" s="754"/>
      <c r="XA22" s="755"/>
      <c r="XB22" s="169"/>
      <c r="XC22" s="170"/>
      <c r="XD22" s="170"/>
      <c r="XE22" s="170"/>
      <c r="XF22" s="172"/>
      <c r="XG22" s="967"/>
      <c r="XH22" s="967"/>
      <c r="XI22" s="967"/>
      <c r="XJ22" s="967"/>
      <c r="XK22" s="967"/>
      <c r="XL22" s="967"/>
      <c r="XM22" s="967"/>
      <c r="XN22" s="967"/>
      <c r="XO22" s="967"/>
      <c r="XP22" s="967"/>
      <c r="XQ22" s="967"/>
      <c r="XR22" s="967"/>
      <c r="XS22" s="967"/>
      <c r="XT22" s="967"/>
      <c r="XU22" s="967"/>
      <c r="XV22" s="967"/>
      <c r="XW22" s="967"/>
      <c r="XX22" s="967"/>
      <c r="XY22" s="967"/>
      <c r="XZ22" s="967"/>
      <c r="YA22" s="967"/>
      <c r="YB22" s="967"/>
      <c r="YC22" s="967"/>
      <c r="YD22" s="967"/>
      <c r="YE22" s="967"/>
      <c r="YF22" s="967"/>
      <c r="YG22" s="967"/>
      <c r="YH22" s="967"/>
      <c r="YI22" s="967"/>
      <c r="YJ22" s="967"/>
      <c r="YK22" s="967"/>
      <c r="YL22" s="967"/>
      <c r="YM22" s="967"/>
      <c r="YN22" s="967"/>
      <c r="YO22" s="967"/>
      <c r="YP22" s="967"/>
      <c r="YQ22" s="967"/>
      <c r="YR22" s="967"/>
      <c r="YS22" s="967"/>
      <c r="YT22" s="967"/>
      <c r="YU22" s="967"/>
      <c r="YV22" s="967"/>
      <c r="YW22" s="967"/>
      <c r="YX22" s="967"/>
      <c r="YY22" s="967"/>
      <c r="YZ22" s="967"/>
      <c r="ZA22" s="967"/>
      <c r="ZB22" s="967"/>
      <c r="ZC22" s="967"/>
      <c r="ZD22" s="967"/>
      <c r="ZE22" s="967"/>
      <c r="ZF22" s="967"/>
      <c r="ZG22" s="967"/>
      <c r="ZH22" s="967"/>
      <c r="ZI22" s="967"/>
      <c r="ZJ22" s="967"/>
      <c r="ZK22" s="967"/>
      <c r="ZL22" s="967"/>
      <c r="ZM22" s="967"/>
      <c r="ZN22" s="967"/>
      <c r="ZO22" s="967"/>
      <c r="ZP22" s="967"/>
      <c r="ZQ22" s="967"/>
      <c r="ZR22" s="967"/>
      <c r="ZS22" s="967"/>
      <c r="ZT22" s="967"/>
      <c r="ZU22" s="967"/>
      <c r="ZV22" s="967"/>
      <c r="ZW22" s="967"/>
      <c r="ZX22" s="967"/>
      <c r="ZY22" s="967"/>
      <c r="ZZ22" s="967"/>
      <c r="AAA22" s="967"/>
      <c r="AAB22" s="967"/>
      <c r="AAC22" s="967"/>
      <c r="AAD22" s="967"/>
      <c r="AAE22" s="967"/>
      <c r="AAF22" s="967"/>
      <c r="AAG22" s="967"/>
      <c r="AAH22" s="967"/>
      <c r="AAI22" s="967"/>
      <c r="AAJ22" s="967"/>
      <c r="AAK22" s="967"/>
      <c r="AAL22" s="967"/>
      <c r="AAM22" s="967"/>
      <c r="AAN22" s="967"/>
      <c r="AAO22" s="967"/>
      <c r="AAP22" s="967"/>
      <c r="AAQ22" s="967"/>
      <c r="AAR22" s="967"/>
      <c r="AAS22" s="967"/>
      <c r="AAT22" s="965"/>
      <c r="AAU22" s="754"/>
      <c r="AAV22" s="755"/>
      <c r="AAW22" s="175"/>
      <c r="AAX22" s="173"/>
      <c r="AAY22" s="173"/>
      <c r="AAZ22" s="173"/>
      <c r="ABA22" s="174"/>
      <c r="ABB22" s="158"/>
      <c r="ABC22" s="158"/>
      <c r="ABD22" s="163"/>
      <c r="ABE22" s="653"/>
      <c r="ABF22" s="653"/>
      <c r="ABG22" s="653"/>
      <c r="ABH22" s="653"/>
      <c r="ACJ22" s="759">
        <v>0.33333333300000001</v>
      </c>
      <c r="ACK22" s="760"/>
      <c r="ACL22" s="759">
        <v>-0.233333333</v>
      </c>
      <c r="ACM22" s="760"/>
      <c r="ACN22" s="592">
        <v>10</v>
      </c>
      <c r="ACO22" s="759">
        <f t="shared" si="0"/>
        <v>0.13333333330000005</v>
      </c>
      <c r="ACP22" s="760"/>
      <c r="ACQ22" s="757">
        <f t="shared" si="1"/>
        <v>1.1000000000000001</v>
      </c>
      <c r="ACR22" s="758"/>
      <c r="ACT22" s="759">
        <v>0.66666666699999999</v>
      </c>
      <c r="ACU22" s="760"/>
      <c r="ACV22" s="759">
        <v>-0.66666666699999999</v>
      </c>
      <c r="ACW22" s="760"/>
      <c r="ACX22" s="591">
        <v>60</v>
      </c>
      <c r="ACY22" s="759">
        <f t="shared" si="8"/>
        <v>0.40000000020000004</v>
      </c>
      <c r="ACZ22" s="760"/>
      <c r="ADA22" s="757">
        <f t="shared" si="2"/>
        <v>1.6</v>
      </c>
      <c r="ADB22" s="758"/>
      <c r="ADD22" s="759">
        <v>1</v>
      </c>
      <c r="ADE22" s="760"/>
      <c r="ADF22" s="759">
        <v>-1.2</v>
      </c>
      <c r="ADG22" s="760"/>
      <c r="ADH22" s="592">
        <v>109</v>
      </c>
      <c r="ADI22" s="759">
        <f t="shared" si="3"/>
        <v>0.8899999999999999</v>
      </c>
      <c r="ADJ22" s="760"/>
      <c r="ADK22" s="757">
        <f t="shared" si="4"/>
        <v>2.09</v>
      </c>
      <c r="ADL22" s="758"/>
      <c r="ADN22" s="759">
        <v>1.1052631580000001</v>
      </c>
      <c r="ADO22" s="760"/>
      <c r="ADP22" s="759">
        <v>-1.42105263157895</v>
      </c>
      <c r="ADQ22" s="760"/>
      <c r="ADR22" s="591">
        <v>159</v>
      </c>
      <c r="ADS22" s="759">
        <f t="shared" si="9"/>
        <v>1.4415789476410499</v>
      </c>
      <c r="ADT22" s="760"/>
      <c r="ADU22" s="757">
        <f t="shared" si="5"/>
        <v>2.59</v>
      </c>
      <c r="ADV22" s="758"/>
      <c r="ADX22" s="759">
        <v>1.1052631580000001</v>
      </c>
      <c r="ADY22" s="760"/>
      <c r="ADZ22" s="759">
        <v>-1.42105263157895</v>
      </c>
      <c r="AEA22" s="760"/>
      <c r="AEB22" s="591">
        <v>209</v>
      </c>
      <c r="AEC22" s="759">
        <f t="shared" si="10"/>
        <v>1.9942105266410501</v>
      </c>
      <c r="AED22" s="760"/>
      <c r="AEE22" s="757">
        <f t="shared" si="6"/>
        <v>3.09</v>
      </c>
      <c r="AEF22" s="758"/>
      <c r="AEH22" s="759">
        <v>1.1052631580000001</v>
      </c>
      <c r="AEI22" s="760"/>
      <c r="AEJ22" s="759">
        <v>-1.42105263157895</v>
      </c>
      <c r="AEK22" s="760"/>
      <c r="AEL22" s="591">
        <v>259</v>
      </c>
      <c r="AEM22" s="759">
        <f t="shared" si="11"/>
        <v>2.54684210564105</v>
      </c>
      <c r="AEN22" s="760"/>
      <c r="AEO22" s="757">
        <f t="shared" si="7"/>
        <v>3.59</v>
      </c>
      <c r="AEP22" s="758"/>
      <c r="AFA22" s="856" t="s">
        <v>1692</v>
      </c>
      <c r="AFB22" s="856"/>
      <c r="AFC22" s="856" t="s">
        <v>1693</v>
      </c>
      <c r="AFD22" s="856"/>
      <c r="AFE22" s="856" t="s">
        <v>1585</v>
      </c>
      <c r="AFF22" s="856"/>
      <c r="AFG22" s="856" t="s">
        <v>829</v>
      </c>
      <c r="AFH22" s="856"/>
      <c r="AGJ22" s="377"/>
      <c r="AGK22" s="373"/>
      <c r="AGL22" s="54"/>
      <c r="AGM22" s="373"/>
      <c r="AGN22" s="851"/>
      <c r="AGO22" s="802" t="s">
        <v>1080</v>
      </c>
      <c r="AGP22" s="1116"/>
      <c r="AGQ22" s="804">
        <f>$GW$61</f>
        <v>0.7</v>
      </c>
      <c r="AGR22" s="804"/>
      <c r="AGS22" s="778"/>
      <c r="AGT22" s="778"/>
      <c r="AGU22" s="778"/>
      <c r="AGV22" s="778"/>
      <c r="AGW22" s="778"/>
      <c r="AGX22" s="778"/>
      <c r="AGY22" s="778"/>
      <c r="AGZ22" s="778"/>
      <c r="AHA22" s="799"/>
      <c r="AHB22" s="837"/>
      <c r="AHC22" s="838"/>
      <c r="AHD22" s="1565"/>
      <c r="AHE22" s="1572"/>
      <c r="AHF22" s="1290"/>
      <c r="AHG22" s="1284"/>
      <c r="AHH22" s="1284"/>
      <c r="AHI22" s="1284"/>
      <c r="AHJ22" s="1290"/>
      <c r="AHK22" s="1053"/>
      <c r="AHL22" s="1053"/>
      <c r="AHM22" s="1053"/>
      <c r="AHN22" s="1053"/>
      <c r="AHO22" s="1053"/>
      <c r="AHP22" s="1053"/>
      <c r="AHQ22" s="1053"/>
      <c r="AHR22" s="1053"/>
      <c r="AHS22" s="1053"/>
      <c r="AHT22" s="1053"/>
      <c r="AHU22" s="373"/>
      <c r="AHV22" s="373"/>
      <c r="AHW22" s="382" t="s">
        <v>1583</v>
      </c>
      <c r="AIB22" s="1329" t="s">
        <v>923</v>
      </c>
      <c r="AIC22" s="1330"/>
      <c r="AIU22" s="673"/>
      <c r="AIV22" s="673"/>
      <c r="AIW22" s="673"/>
      <c r="AKV22" s="653"/>
      <c r="AKW22" s="653"/>
      <c r="AKX22" s="653"/>
      <c r="AKY22" s="653"/>
      <c r="AKZ22" s="653"/>
      <c r="ALA22" s="653"/>
      <c r="ALB22" s="653"/>
      <c r="ALC22" s="653"/>
      <c r="ALD22" s="653"/>
      <c r="ALE22" s="653"/>
      <c r="ALF22" s="653"/>
      <c r="ALG22" s="653"/>
      <c r="ALH22" s="653"/>
      <c r="AOL22" s="130"/>
      <c r="AQL22" s="130"/>
      <c r="AQV22" s="653"/>
      <c r="AQW22" s="653"/>
      <c r="AQX22" s="653"/>
      <c r="AQY22" s="653"/>
      <c r="AQZ22" s="653"/>
      <c r="ARA22" s="653"/>
      <c r="ARB22" s="653"/>
      <c r="ARC22" s="653"/>
      <c r="ARD22" s="653"/>
      <c r="ARE22" s="653"/>
      <c r="ARF22" s="653"/>
      <c r="ARG22" s="653"/>
      <c r="ARH22" s="653"/>
      <c r="ARI22" s="653"/>
      <c r="ARJ22" s="653"/>
      <c r="ARK22" s="653"/>
      <c r="ARL22" s="653"/>
      <c r="ARM22" s="653"/>
      <c r="ARN22" s="653"/>
      <c r="ARO22" s="653"/>
      <c r="AWB22" s="851"/>
      <c r="AWC22" s="857"/>
      <c r="AWD22" s="857"/>
      <c r="AWE22" s="857"/>
      <c r="AWF22" s="857"/>
      <c r="AWG22" s="857"/>
      <c r="AWH22" s="857"/>
      <c r="AWI22" s="857"/>
      <c r="AWJ22" s="857"/>
      <c r="AWK22" s="857"/>
      <c r="AWL22" s="857"/>
      <c r="AWM22" s="857"/>
      <c r="AWN22" s="857"/>
      <c r="AWO22" s="857"/>
      <c r="AWP22" s="837"/>
      <c r="AWQ22" s="838"/>
      <c r="AWR22" s="777"/>
      <c r="AWS22" s="799"/>
      <c r="AWT22" s="842"/>
      <c r="AWU22" s="845"/>
      <c r="AWV22" s="846"/>
      <c r="AWW22" s="848"/>
    </row>
    <row r="23" spans="1:996 1076:1297" ht="48" customHeight="1" thickBot="1">
      <c r="A23" s="130"/>
      <c r="B23" s="130"/>
      <c r="C23" s="130"/>
      <c r="D23" s="162"/>
      <c r="E23" s="158"/>
      <c r="F23" s="158"/>
      <c r="G23" s="158"/>
      <c r="H23" s="158"/>
      <c r="I23" s="1069" t="s">
        <v>1835</v>
      </c>
      <c r="J23" s="1070"/>
      <c r="K23" s="1070"/>
      <c r="L23" s="1070"/>
      <c r="M23" s="1070"/>
      <c r="N23" s="1070"/>
      <c r="O23" s="1070"/>
      <c r="P23" s="1070"/>
      <c r="Q23" s="1070"/>
      <c r="R23" s="1070"/>
      <c r="S23" s="1070"/>
      <c r="T23" s="1070"/>
      <c r="U23" s="1071"/>
      <c r="V23" s="731"/>
      <c r="W23" s="158"/>
      <c r="X23" s="158"/>
      <c r="Y23" s="163"/>
      <c r="Z23" s="130"/>
      <c r="AA23" s="130"/>
      <c r="AB23" s="130"/>
      <c r="AC23" s="130"/>
      <c r="AD23" s="130"/>
      <c r="AE23" s="130"/>
      <c r="AI23" s="504"/>
      <c r="AJ23" s="470"/>
      <c r="AK23" s="540" t="s">
        <v>911</v>
      </c>
      <c r="AL23" s="957" t="s">
        <v>1666</v>
      </c>
      <c r="AM23" s="957"/>
      <c r="AN23" s="957"/>
      <c r="AO23" s="957"/>
      <c r="AP23" s="957"/>
      <c r="AQ23" s="957"/>
      <c r="AR23" s="957"/>
      <c r="AS23" s="957"/>
      <c r="AT23" s="957"/>
      <c r="AU23" s="957"/>
      <c r="AV23" s="957"/>
      <c r="AW23" s="957"/>
      <c r="AX23" s="1709">
        <f>'Программные таблицы'!$Q$6</f>
        <v>0.313</v>
      </c>
      <c r="AY23" s="1710"/>
      <c r="AZ23" s="470"/>
      <c r="BA23" s="470"/>
      <c r="BB23" s="470"/>
      <c r="BC23" s="470"/>
      <c r="BD23" s="470"/>
      <c r="BE23" s="476"/>
      <c r="BF23" s="653"/>
      <c r="BG23" s="653"/>
      <c r="BH23" s="653"/>
      <c r="BI23" s="653"/>
      <c r="BV23" s="130"/>
      <c r="BX23" s="849"/>
      <c r="BY23" s="1257" t="s">
        <v>735</v>
      </c>
      <c r="BZ23" s="1257"/>
      <c r="CA23" s="124"/>
      <c r="CB23" s="76" t="s">
        <v>441</v>
      </c>
      <c r="CC23" s="854" t="s">
        <v>435</v>
      </c>
      <c r="CD23" s="855"/>
      <c r="CE23" s="920" t="s">
        <v>111</v>
      </c>
      <c r="CF23" s="921"/>
      <c r="CG23" s="916" t="s">
        <v>704</v>
      </c>
      <c r="CH23" s="917"/>
      <c r="CI23" s="906" t="s">
        <v>447</v>
      </c>
      <c r="CJ23" s="907"/>
      <c r="CK23" s="907"/>
      <c r="CL23" s="908"/>
      <c r="CM23" s="1051" t="s">
        <v>436</v>
      </c>
      <c r="CN23" s="1051"/>
      <c r="CO23" s="1051"/>
      <c r="CP23" s="1051"/>
      <c r="DZ23" s="897" t="s">
        <v>973</v>
      </c>
      <c r="EA23" s="898"/>
      <c r="EB23" s="899"/>
      <c r="EC23" s="849"/>
      <c r="ED23" s="852" t="s">
        <v>416</v>
      </c>
      <c r="EE23" s="853"/>
      <c r="EF23" s="199"/>
      <c r="EG23" s="806" t="s">
        <v>1799</v>
      </c>
      <c r="EH23" s="807"/>
      <c r="EI23" s="808"/>
      <c r="EJ23" s="76" t="s">
        <v>451</v>
      </c>
      <c r="EK23" s="132"/>
      <c r="EL23" s="76" t="s">
        <v>441</v>
      </c>
      <c r="EM23" s="854" t="s">
        <v>435</v>
      </c>
      <c r="EN23" s="855"/>
      <c r="EO23" s="920" t="s">
        <v>111</v>
      </c>
      <c r="EP23" s="921"/>
      <c r="EQ23" s="916" t="s">
        <v>704</v>
      </c>
      <c r="ER23" s="917"/>
      <c r="ES23" s="906" t="s">
        <v>447</v>
      </c>
      <c r="ET23" s="907"/>
      <c r="EU23" s="907"/>
      <c r="EV23" s="908"/>
      <c r="FB23" s="130"/>
      <c r="FC23" s="130"/>
      <c r="FD23" s="130"/>
      <c r="FE23" s="130"/>
      <c r="FF23" s="130"/>
      <c r="FG23" s="130"/>
      <c r="FH23" s="130"/>
      <c r="FK23" s="130"/>
      <c r="FL23" s="130"/>
      <c r="FM23" s="130"/>
      <c r="GF23" s="76" t="s">
        <v>793</v>
      </c>
      <c r="GG23" s="852" t="s">
        <v>416</v>
      </c>
      <c r="GH23" s="923"/>
      <c r="GI23" s="136"/>
      <c r="GJ23" s="76" t="s">
        <v>441</v>
      </c>
      <c r="GK23" s="854" t="s">
        <v>435</v>
      </c>
      <c r="GL23" s="855"/>
      <c r="GM23" s="920" t="s">
        <v>111</v>
      </c>
      <c r="GN23" s="921"/>
      <c r="GO23" s="916" t="s">
        <v>704</v>
      </c>
      <c r="GP23" s="917"/>
      <c r="GQ23" s="906" t="s">
        <v>447</v>
      </c>
      <c r="GR23" s="907"/>
      <c r="GS23" s="907"/>
      <c r="GT23" s="908"/>
      <c r="GU23" s="906" t="s">
        <v>436</v>
      </c>
      <c r="GV23" s="907"/>
      <c r="GW23" s="908"/>
      <c r="IR23" s="1052"/>
      <c r="IS23" s="225" t="s">
        <v>1014</v>
      </c>
      <c r="IT23" s="761">
        <f>$EJ$37</f>
        <v>0.97</v>
      </c>
      <c r="IU23" s="761"/>
      <c r="IV23" s="800" t="s">
        <v>1059</v>
      </c>
      <c r="IW23" s="801"/>
      <c r="IX23" s="1165">
        <f>$CL$95</f>
        <v>0.71874103885740337</v>
      </c>
      <c r="IY23" s="1165"/>
      <c r="IZ23" s="791" t="s">
        <v>1027</v>
      </c>
      <c r="JA23" s="792"/>
      <c r="JB23" s="792"/>
      <c r="JC23" s="792"/>
      <c r="JD23" s="835">
        <f>(IX23*IT24)/(IX24*IT23)*1000</f>
        <v>1.9</v>
      </c>
      <c r="JE23" s="836"/>
      <c r="JF23" s="1075" t="s">
        <v>17</v>
      </c>
      <c r="JG23" s="1076"/>
      <c r="JH23" s="1066"/>
      <c r="JI23" s="1148" t="s">
        <v>1025</v>
      </c>
      <c r="JJ23" s="1149"/>
      <c r="JK23" s="847"/>
      <c r="JL23" s="1052"/>
      <c r="JM23" s="1052"/>
      <c r="JN23" s="1052"/>
      <c r="JO23" s="1052"/>
      <c r="JP23" s="1052"/>
      <c r="JQ23" s="1052"/>
      <c r="LF23" s="130"/>
      <c r="LG23" s="130"/>
      <c r="LH23" s="130"/>
      <c r="LI23" s="130"/>
      <c r="LJ23" s="130"/>
      <c r="LK23" s="130"/>
      <c r="LL23" s="130"/>
      <c r="LM23" s="130"/>
      <c r="LN23" s="130"/>
      <c r="LO23" s="130"/>
      <c r="LP23" s="130"/>
      <c r="LQ23" s="130"/>
      <c r="MB23" s="850"/>
      <c r="MC23" s="935" t="s">
        <v>1208</v>
      </c>
      <c r="MD23" s="936"/>
      <c r="ME23" s="890">
        <f>CK111</f>
        <v>5.298</v>
      </c>
      <c r="MF23" s="890"/>
      <c r="MG23" s="1399" t="s">
        <v>1214</v>
      </c>
      <c r="MH23" s="1631"/>
      <c r="MI23" s="1400"/>
      <c r="MJ23" s="792" t="s">
        <v>69</v>
      </c>
      <c r="MK23" s="792"/>
      <c r="ML23" s="792"/>
      <c r="MM23" s="792"/>
      <c r="MN23" s="792"/>
      <c r="MO23" s="793"/>
      <c r="MP23" s="835">
        <f>(MG22*MH24)/(ME23*10^(-6)*ME24)</f>
        <v>0.14308700299628158</v>
      </c>
      <c r="MQ23" s="836"/>
      <c r="MR23" s="1188" t="s">
        <v>392</v>
      </c>
      <c r="MS23" s="1189"/>
      <c r="MT23" s="841"/>
      <c r="MU23" s="893" t="s">
        <v>853</v>
      </c>
      <c r="MV23" s="894"/>
      <c r="MW23" s="847"/>
      <c r="MX23" s="826"/>
      <c r="MY23" s="945"/>
      <c r="MZ23" s="946"/>
      <c r="OF23" s="828"/>
      <c r="OG23" s="949"/>
      <c r="OH23" s="949"/>
      <c r="OI23" s="949"/>
      <c r="OJ23" s="949"/>
      <c r="OK23" s="950"/>
      <c r="OM23" s="1053"/>
      <c r="ON23" s="1053"/>
      <c r="OO23" s="1053"/>
      <c r="OP23" s="1053"/>
      <c r="OQ23" s="1053"/>
      <c r="OS23" s="828"/>
      <c r="OT23" s="949"/>
      <c r="OU23" s="949"/>
      <c r="OV23" s="950"/>
      <c r="PH23" s="377"/>
      <c r="PI23" s="373"/>
      <c r="PJ23" s="54"/>
      <c r="PK23" s="373"/>
      <c r="PL23" s="373"/>
      <c r="PM23" s="373"/>
      <c r="PN23" s="373"/>
      <c r="PO23" s="373"/>
      <c r="PP23" s="373"/>
      <c r="PQ23" s="373"/>
      <c r="PR23" s="373"/>
      <c r="PS23" s="373"/>
      <c r="PT23" s="373"/>
      <c r="PU23" s="373"/>
      <c r="PV23" s="373"/>
      <c r="PW23" s="373"/>
      <c r="PX23" s="373"/>
      <c r="PY23" s="373"/>
      <c r="PZ23" s="373"/>
      <c r="QA23" s="373"/>
      <c r="QB23" s="373"/>
      <c r="QC23" s="373"/>
      <c r="QD23" s="373"/>
      <c r="QE23" s="373"/>
      <c r="QF23" s="373"/>
      <c r="QG23" s="373"/>
      <c r="QH23" s="373"/>
      <c r="QI23" s="373"/>
      <c r="QJ23" s="373"/>
      <c r="QK23" s="373"/>
      <c r="QL23" s="373"/>
      <c r="QM23" s="373"/>
      <c r="QN23" s="373"/>
      <c r="QO23" s="373"/>
      <c r="QP23" s="373"/>
      <c r="QQ23" s="373"/>
      <c r="QR23" s="373"/>
      <c r="QS23" s="373"/>
      <c r="QT23" s="373"/>
      <c r="QU23" s="373"/>
      <c r="QV23" s="373"/>
      <c r="QW23" s="373"/>
      <c r="QX23" s="373"/>
      <c r="QY23" s="373"/>
      <c r="QZ23" s="373"/>
      <c r="RA23" s="373"/>
      <c r="RB23" s="373"/>
      <c r="RC23" s="374"/>
      <c r="RE23" s="653"/>
      <c r="RF23" s="653"/>
      <c r="RG23" s="653"/>
      <c r="RH23" s="653"/>
      <c r="RI23" s="653"/>
      <c r="RJ23" s="653"/>
      <c r="RK23" s="653"/>
      <c r="RL23" s="653"/>
      <c r="RM23" s="653"/>
      <c r="RN23" s="653"/>
      <c r="RO23" s="653"/>
      <c r="RP23" s="653"/>
      <c r="RQ23" s="653"/>
      <c r="RR23" s="653"/>
      <c r="RS23" s="653"/>
      <c r="RT23" s="653"/>
      <c r="RU23" s="653"/>
      <c r="RV23" s="653"/>
      <c r="RW23" s="653"/>
      <c r="RX23" s="653"/>
      <c r="RY23" s="653"/>
      <c r="RZ23" s="851"/>
      <c r="SA23" s="528" t="s">
        <v>1335</v>
      </c>
      <c r="SB23" s="774">
        <f>$MP$98</f>
        <v>0.38958741854614803</v>
      </c>
      <c r="SC23" s="774"/>
      <c r="SD23" s="778"/>
      <c r="SE23" s="778"/>
      <c r="SF23" s="778"/>
      <c r="SG23" s="778"/>
      <c r="SH23" s="778"/>
      <c r="SI23" s="778"/>
      <c r="SJ23" s="778"/>
      <c r="SK23" s="778"/>
      <c r="SL23" s="778"/>
      <c r="SM23" s="799"/>
      <c r="SN23" s="837"/>
      <c r="SO23" s="838"/>
      <c r="SP23" s="1355"/>
      <c r="SQ23" s="1356"/>
      <c r="SR23" s="1067"/>
      <c r="SS23" s="1173"/>
      <c r="ST23" s="1175"/>
      <c r="SU23" s="848"/>
      <c r="SV23" s="828"/>
      <c r="SW23" s="949"/>
      <c r="SX23" s="949"/>
      <c r="SY23" s="950"/>
      <c r="TB23" s="653"/>
      <c r="TC23" s="653"/>
      <c r="TD23" s="653"/>
      <c r="TE23" s="653"/>
      <c r="TF23" s="653"/>
      <c r="TG23" s="653"/>
      <c r="TH23" s="653"/>
      <c r="TI23" s="653"/>
      <c r="TJ23" s="653"/>
      <c r="TK23" s="653"/>
      <c r="TL23" s="653"/>
      <c r="TM23" s="653"/>
      <c r="TN23" s="653"/>
      <c r="TO23" s="653"/>
      <c r="TP23" s="653"/>
      <c r="TQ23" s="653"/>
      <c r="TR23" s="653"/>
      <c r="TS23" s="653"/>
      <c r="TX23" s="653"/>
      <c r="TY23" s="653"/>
      <c r="TZ23" s="653"/>
      <c r="UA23" s="653"/>
      <c r="UB23" s="653"/>
      <c r="UC23" s="653"/>
      <c r="UD23" s="653"/>
      <c r="UE23" s="653"/>
      <c r="UF23" s="653"/>
      <c r="UG23" s="653"/>
      <c r="UH23" s="653"/>
      <c r="UI23" s="653"/>
      <c r="UJ23" s="653"/>
      <c r="UK23" s="653"/>
      <c r="UL23" s="653"/>
      <c r="UM23" s="653"/>
      <c r="UN23" s="653"/>
      <c r="UO23" s="653"/>
      <c r="UP23" s="653"/>
      <c r="UQ23" s="653"/>
      <c r="UR23" s="653"/>
      <c r="US23" s="653"/>
      <c r="UT23" s="653"/>
      <c r="UU23" s="653"/>
      <c r="UV23" s="653"/>
      <c r="UW23" s="653"/>
      <c r="UX23" s="653"/>
      <c r="UY23" s="653"/>
      <c r="UZ23" s="653"/>
      <c r="WE23" s="1831"/>
      <c r="WF23" s="1832"/>
      <c r="WG23" s="1832"/>
      <c r="WH23" s="1832"/>
      <c r="WI23" s="1832"/>
      <c r="WJ23" s="1833"/>
      <c r="WK23" s="861" t="s">
        <v>1679</v>
      </c>
      <c r="WL23" s="861"/>
      <c r="WM23" s="890">
        <f>$SN$43</f>
        <v>0.8003400905890462</v>
      </c>
      <c r="WN23" s="890"/>
      <c r="WO23" s="940" t="s">
        <v>1615</v>
      </c>
      <c r="WP23" s="941"/>
      <c r="WQ23" s="761">
        <f>$SN$39</f>
        <v>0</v>
      </c>
      <c r="WR23" s="761"/>
      <c r="WS23" s="800" t="s">
        <v>1243</v>
      </c>
      <c r="WT23" s="801"/>
      <c r="WU23" s="937">
        <f>$MP$86</f>
        <v>8.0207023726710278E-2</v>
      </c>
      <c r="WV23" s="937"/>
      <c r="WW23" s="171"/>
      <c r="WX23" s="976">
        <v>2</v>
      </c>
      <c r="WY23" s="977"/>
      <c r="WZ23" s="752" t="s">
        <v>392</v>
      </c>
      <c r="XA23" s="753"/>
      <c r="XB23" s="167"/>
      <c r="XC23" s="168"/>
      <c r="XD23" s="168"/>
      <c r="XE23" s="168"/>
      <c r="XF23" s="171"/>
      <c r="XG23" s="966">
        <f t="shared" ref="XG23:YL23" si="15">$WM$23+$WQ$23*$WU$23/XG19</f>
        <v>0.8003400905890462</v>
      </c>
      <c r="XH23" s="966">
        <f t="shared" si="15"/>
        <v>0.8003400905890462</v>
      </c>
      <c r="XI23" s="966">
        <f t="shared" si="15"/>
        <v>0.8003400905890462</v>
      </c>
      <c r="XJ23" s="966">
        <f t="shared" si="15"/>
        <v>0.8003400905890462</v>
      </c>
      <c r="XK23" s="966">
        <f t="shared" si="15"/>
        <v>0.8003400905890462</v>
      </c>
      <c r="XL23" s="966">
        <f t="shared" si="15"/>
        <v>0.8003400905890462</v>
      </c>
      <c r="XM23" s="966">
        <f t="shared" si="15"/>
        <v>0.8003400905890462</v>
      </c>
      <c r="XN23" s="966">
        <f t="shared" si="15"/>
        <v>0.8003400905890462</v>
      </c>
      <c r="XO23" s="966">
        <f t="shared" si="15"/>
        <v>0.8003400905890462</v>
      </c>
      <c r="XP23" s="966">
        <f t="shared" si="15"/>
        <v>0.8003400905890462</v>
      </c>
      <c r="XQ23" s="966">
        <f t="shared" si="15"/>
        <v>0.8003400905890462</v>
      </c>
      <c r="XR23" s="966">
        <f t="shared" si="15"/>
        <v>0.8003400905890462</v>
      </c>
      <c r="XS23" s="966">
        <f t="shared" si="15"/>
        <v>0.8003400905890462</v>
      </c>
      <c r="XT23" s="966">
        <f t="shared" si="15"/>
        <v>0.8003400905890462</v>
      </c>
      <c r="XU23" s="966">
        <f t="shared" si="15"/>
        <v>0.8003400905890462</v>
      </c>
      <c r="XV23" s="966">
        <f t="shared" si="15"/>
        <v>0.8003400905890462</v>
      </c>
      <c r="XW23" s="966">
        <f t="shared" si="15"/>
        <v>0.8003400905890462</v>
      </c>
      <c r="XX23" s="966">
        <f t="shared" si="15"/>
        <v>0.8003400905890462</v>
      </c>
      <c r="XY23" s="966">
        <f t="shared" si="15"/>
        <v>0.8003400905890462</v>
      </c>
      <c r="XZ23" s="966">
        <f t="shared" si="15"/>
        <v>0.8003400905890462</v>
      </c>
      <c r="YA23" s="966">
        <f t="shared" si="15"/>
        <v>0.8003400905890462</v>
      </c>
      <c r="YB23" s="966">
        <f t="shared" si="15"/>
        <v>0.8003400905890462</v>
      </c>
      <c r="YC23" s="966">
        <f t="shared" si="15"/>
        <v>0.8003400905890462</v>
      </c>
      <c r="YD23" s="966">
        <f t="shared" si="15"/>
        <v>0.8003400905890462</v>
      </c>
      <c r="YE23" s="966">
        <f t="shared" si="15"/>
        <v>0.8003400905890462</v>
      </c>
      <c r="YF23" s="966">
        <f t="shared" si="15"/>
        <v>0.8003400905890462</v>
      </c>
      <c r="YG23" s="966">
        <f t="shared" si="15"/>
        <v>0.8003400905890462</v>
      </c>
      <c r="YH23" s="966">
        <f t="shared" si="15"/>
        <v>0.8003400905890462</v>
      </c>
      <c r="YI23" s="966">
        <f t="shared" si="15"/>
        <v>0.8003400905890462</v>
      </c>
      <c r="YJ23" s="966">
        <f t="shared" si="15"/>
        <v>0.8003400905890462</v>
      </c>
      <c r="YK23" s="966">
        <f t="shared" si="15"/>
        <v>0.8003400905890462</v>
      </c>
      <c r="YL23" s="966">
        <f t="shared" si="15"/>
        <v>0.8003400905890462</v>
      </c>
      <c r="YM23" s="966">
        <f t="shared" ref="YM23:ZR23" si="16">$WM$23+$WQ$23*$WU$23/YM19</f>
        <v>0.8003400905890462</v>
      </c>
      <c r="YN23" s="966">
        <f t="shared" si="16"/>
        <v>0.8003400905890462</v>
      </c>
      <c r="YO23" s="966">
        <f t="shared" si="16"/>
        <v>0.8003400905890462</v>
      </c>
      <c r="YP23" s="966">
        <f t="shared" si="16"/>
        <v>0.8003400905890462</v>
      </c>
      <c r="YQ23" s="966">
        <f t="shared" si="16"/>
        <v>0.8003400905890462</v>
      </c>
      <c r="YR23" s="966">
        <f t="shared" si="16"/>
        <v>0.8003400905890462</v>
      </c>
      <c r="YS23" s="966">
        <f t="shared" si="16"/>
        <v>0.8003400905890462</v>
      </c>
      <c r="YT23" s="966">
        <f t="shared" si="16"/>
        <v>0.8003400905890462</v>
      </c>
      <c r="YU23" s="966">
        <f t="shared" si="16"/>
        <v>0.8003400905890462</v>
      </c>
      <c r="YV23" s="966">
        <f t="shared" si="16"/>
        <v>0.8003400905890462</v>
      </c>
      <c r="YW23" s="966">
        <f t="shared" si="16"/>
        <v>0.8003400905890462</v>
      </c>
      <c r="YX23" s="966">
        <f t="shared" si="16"/>
        <v>0.8003400905890462</v>
      </c>
      <c r="YY23" s="966">
        <f t="shared" si="16"/>
        <v>0.8003400905890462</v>
      </c>
      <c r="YZ23" s="966">
        <f t="shared" si="16"/>
        <v>0.8003400905890462</v>
      </c>
      <c r="ZA23" s="966">
        <f t="shared" si="16"/>
        <v>0.8003400905890462</v>
      </c>
      <c r="ZB23" s="966">
        <f t="shared" si="16"/>
        <v>0.8003400905890462</v>
      </c>
      <c r="ZC23" s="966">
        <f t="shared" si="16"/>
        <v>0.8003400905890462</v>
      </c>
      <c r="ZD23" s="966">
        <f t="shared" si="16"/>
        <v>0.8003400905890462</v>
      </c>
      <c r="ZE23" s="966">
        <f t="shared" si="16"/>
        <v>0.8003400905890462</v>
      </c>
      <c r="ZF23" s="966">
        <f t="shared" si="16"/>
        <v>0.8003400905890462</v>
      </c>
      <c r="ZG23" s="966">
        <f t="shared" si="16"/>
        <v>0.8003400905890462</v>
      </c>
      <c r="ZH23" s="966">
        <f t="shared" si="16"/>
        <v>0.8003400905890462</v>
      </c>
      <c r="ZI23" s="966">
        <f t="shared" si="16"/>
        <v>0.8003400905890462</v>
      </c>
      <c r="ZJ23" s="966">
        <f t="shared" si="16"/>
        <v>0.8003400905890462</v>
      </c>
      <c r="ZK23" s="966">
        <f t="shared" si="16"/>
        <v>0.8003400905890462</v>
      </c>
      <c r="ZL23" s="966">
        <f t="shared" si="16"/>
        <v>0.8003400905890462</v>
      </c>
      <c r="ZM23" s="966">
        <f t="shared" si="16"/>
        <v>0.8003400905890462</v>
      </c>
      <c r="ZN23" s="966">
        <f t="shared" si="16"/>
        <v>0.8003400905890462</v>
      </c>
      <c r="ZO23" s="966">
        <f t="shared" si="16"/>
        <v>0.8003400905890462</v>
      </c>
      <c r="ZP23" s="966">
        <f t="shared" si="16"/>
        <v>0.8003400905890462</v>
      </c>
      <c r="ZQ23" s="966">
        <f t="shared" si="16"/>
        <v>0.8003400905890462</v>
      </c>
      <c r="ZR23" s="966">
        <f t="shared" si="16"/>
        <v>0.8003400905890462</v>
      </c>
      <c r="ZS23" s="966">
        <f t="shared" ref="ZS23:AAS23" si="17">$WM$23+$WQ$23*$WU$23/ZS19</f>
        <v>0.8003400905890462</v>
      </c>
      <c r="ZT23" s="966">
        <f t="shared" si="17"/>
        <v>0.8003400905890462</v>
      </c>
      <c r="ZU23" s="966">
        <f t="shared" si="17"/>
        <v>0.8003400905890462</v>
      </c>
      <c r="ZV23" s="966">
        <f t="shared" si="17"/>
        <v>0.8003400905890462</v>
      </c>
      <c r="ZW23" s="966">
        <f t="shared" si="17"/>
        <v>0.8003400905890462</v>
      </c>
      <c r="ZX23" s="966">
        <f t="shared" si="17"/>
        <v>0.8003400905890462</v>
      </c>
      <c r="ZY23" s="966">
        <f t="shared" si="17"/>
        <v>0.8003400905890462</v>
      </c>
      <c r="ZZ23" s="966">
        <f t="shared" si="17"/>
        <v>0.8003400905890462</v>
      </c>
      <c r="AAA23" s="966">
        <f t="shared" si="17"/>
        <v>0.8003400905890462</v>
      </c>
      <c r="AAB23" s="966">
        <f t="shared" si="17"/>
        <v>0.8003400905890462</v>
      </c>
      <c r="AAC23" s="966">
        <f t="shared" si="17"/>
        <v>0.8003400905890462</v>
      </c>
      <c r="AAD23" s="966">
        <f t="shared" si="17"/>
        <v>0.8003400905890462</v>
      </c>
      <c r="AAE23" s="966">
        <f t="shared" si="17"/>
        <v>0.8003400905890462</v>
      </c>
      <c r="AAF23" s="966">
        <f t="shared" si="17"/>
        <v>0.8003400905890462</v>
      </c>
      <c r="AAG23" s="966">
        <f t="shared" si="17"/>
        <v>0.8003400905890462</v>
      </c>
      <c r="AAH23" s="966">
        <f t="shared" si="17"/>
        <v>0.8003400905890462</v>
      </c>
      <c r="AAI23" s="966">
        <f t="shared" si="17"/>
        <v>0.8003400905890462</v>
      </c>
      <c r="AAJ23" s="966">
        <f t="shared" si="17"/>
        <v>0.8003400905890462</v>
      </c>
      <c r="AAK23" s="966">
        <f t="shared" si="17"/>
        <v>0.8003400905890462</v>
      </c>
      <c r="AAL23" s="966">
        <f t="shared" si="17"/>
        <v>0.8003400905890462</v>
      </c>
      <c r="AAM23" s="966">
        <f t="shared" si="17"/>
        <v>0.8003400905890462</v>
      </c>
      <c r="AAN23" s="966">
        <f t="shared" si="17"/>
        <v>0.8003400905890462</v>
      </c>
      <c r="AAO23" s="966">
        <f t="shared" si="17"/>
        <v>0.8003400905890462</v>
      </c>
      <c r="AAP23" s="966">
        <f t="shared" si="17"/>
        <v>0.8003400905890462</v>
      </c>
      <c r="AAQ23" s="966">
        <f t="shared" si="17"/>
        <v>0.8003400905890462</v>
      </c>
      <c r="AAR23" s="966">
        <f t="shared" si="17"/>
        <v>0.8003400905890462</v>
      </c>
      <c r="AAS23" s="966">
        <f t="shared" si="17"/>
        <v>0.8003400905890462</v>
      </c>
      <c r="AAT23" s="964">
        <v>2</v>
      </c>
      <c r="AAU23" s="752" t="s">
        <v>392</v>
      </c>
      <c r="AAV23" s="753"/>
      <c r="AAW23" s="167"/>
      <c r="AAX23" s="168"/>
      <c r="AAY23" s="168"/>
      <c r="AAZ23" s="168"/>
      <c r="ABA23" s="171"/>
      <c r="ABB23" s="158"/>
      <c r="ABC23" s="158"/>
      <c r="ABD23" s="163"/>
      <c r="ACJ23" s="759">
        <v>0.33333333300000001</v>
      </c>
      <c r="ACK23" s="760"/>
      <c r="ACL23" s="759">
        <v>-0.233333333</v>
      </c>
      <c r="ACM23" s="760"/>
      <c r="ACN23" s="592">
        <v>11</v>
      </c>
      <c r="ACO23" s="759">
        <f t="shared" si="0"/>
        <v>0.13666666663000002</v>
      </c>
      <c r="ACP23" s="760"/>
      <c r="ACQ23" s="757">
        <f t="shared" si="1"/>
        <v>1.1100000000000001</v>
      </c>
      <c r="ACR23" s="758"/>
      <c r="ACT23" s="759">
        <v>1</v>
      </c>
      <c r="ACU23" s="760"/>
      <c r="ACV23" s="759">
        <v>-1.2000000000000002</v>
      </c>
      <c r="ACW23" s="760"/>
      <c r="ACX23" s="592">
        <v>61</v>
      </c>
      <c r="ACY23" s="759">
        <f t="shared" si="8"/>
        <v>0.4099999999999997</v>
      </c>
      <c r="ACZ23" s="760"/>
      <c r="ADA23" s="757">
        <f t="shared" si="2"/>
        <v>1.6099999999999999</v>
      </c>
      <c r="ADB23" s="758"/>
      <c r="ADD23" s="759">
        <v>1</v>
      </c>
      <c r="ADE23" s="760"/>
      <c r="ADF23" s="759">
        <v>-1.2</v>
      </c>
      <c r="ADG23" s="760"/>
      <c r="ADH23" s="592">
        <v>110</v>
      </c>
      <c r="ADI23" s="759">
        <f t="shared" si="3"/>
        <v>0.90000000000000013</v>
      </c>
      <c r="ADJ23" s="760"/>
      <c r="ADK23" s="757">
        <f t="shared" si="4"/>
        <v>2.1</v>
      </c>
      <c r="ADL23" s="758"/>
      <c r="ADN23" s="759">
        <v>1.1052631580000001</v>
      </c>
      <c r="ADO23" s="760"/>
      <c r="ADP23" s="759">
        <v>-1.42105263157895</v>
      </c>
      <c r="ADQ23" s="760"/>
      <c r="ADR23" s="591">
        <v>160</v>
      </c>
      <c r="ADS23" s="759">
        <f t="shared" si="9"/>
        <v>1.4526315792210505</v>
      </c>
      <c r="ADT23" s="760"/>
      <c r="ADU23" s="757">
        <f t="shared" si="5"/>
        <v>2.6</v>
      </c>
      <c r="ADV23" s="758"/>
      <c r="ADX23" s="759">
        <v>1.1052631580000001</v>
      </c>
      <c r="ADY23" s="760"/>
      <c r="ADZ23" s="759">
        <v>-1.42105263157895</v>
      </c>
      <c r="AEA23" s="760"/>
      <c r="AEB23" s="591">
        <v>210</v>
      </c>
      <c r="AEC23" s="759">
        <f t="shared" si="10"/>
        <v>2.0052631582210503</v>
      </c>
      <c r="AED23" s="760"/>
      <c r="AEE23" s="757">
        <f t="shared" si="6"/>
        <v>3.1</v>
      </c>
      <c r="AEF23" s="758"/>
      <c r="AEH23" s="759">
        <v>1.1052631580000001</v>
      </c>
      <c r="AEI23" s="760"/>
      <c r="AEJ23" s="759">
        <v>-1.42105263157895</v>
      </c>
      <c r="AEK23" s="760"/>
      <c r="AEL23" s="591">
        <v>260</v>
      </c>
      <c r="AEM23" s="759">
        <f t="shared" si="11"/>
        <v>2.5578947372210505</v>
      </c>
      <c r="AEN23" s="760"/>
      <c r="AEO23" s="757">
        <f t="shared" si="7"/>
        <v>3.6</v>
      </c>
      <c r="AEP23" s="758"/>
      <c r="AFA23" s="856">
        <v>1</v>
      </c>
      <c r="AFB23" s="856"/>
      <c r="AFC23" s="856">
        <v>0.1</v>
      </c>
      <c r="AFD23" s="856"/>
      <c r="AFE23" s="856">
        <f>(AFC24-AFC23)/(AFA24-AFA23)</f>
        <v>0.33333333333333331</v>
      </c>
      <c r="AFF23" s="856"/>
      <c r="AFG23" s="856">
        <f>AFC23-AFE23*AFA23</f>
        <v>-0.23333333333333331</v>
      </c>
      <c r="AFH23" s="856"/>
      <c r="AGJ23" s="377"/>
      <c r="AGK23" s="373"/>
      <c r="AGL23" s="54"/>
      <c r="AGM23" s="373"/>
      <c r="AGN23" s="373"/>
      <c r="AGO23" s="373"/>
      <c r="AGP23" s="373"/>
      <c r="AGQ23" s="373"/>
      <c r="AGR23" s="373"/>
      <c r="AGS23" s="373"/>
      <c r="AGT23" s="373"/>
      <c r="AGU23" s="373"/>
      <c r="AGV23" s="373"/>
      <c r="AGW23" s="373"/>
      <c r="AGX23" s="373"/>
      <c r="AGY23" s="373"/>
      <c r="AGZ23" s="373"/>
      <c r="AHA23" s="373"/>
      <c r="AHB23" s="373"/>
      <c r="AHC23" s="373"/>
      <c r="AHD23" s="373"/>
      <c r="AHE23" s="373"/>
      <c r="AHF23" s="373"/>
      <c r="AHG23" s="373"/>
      <c r="AHH23" s="373"/>
      <c r="AHI23" s="373"/>
      <c r="AHJ23" s="373"/>
      <c r="AHK23" s="373"/>
      <c r="AHL23" s="373"/>
      <c r="AHM23" s="373"/>
      <c r="AHN23" s="373"/>
      <c r="AHO23" s="373"/>
      <c r="AHP23" s="373"/>
      <c r="AHQ23" s="373"/>
      <c r="AHR23" s="373"/>
      <c r="AHS23" s="373"/>
      <c r="AHT23" s="373"/>
      <c r="AHU23" s="373"/>
      <c r="AHV23" s="373"/>
      <c r="AHW23" s="374"/>
      <c r="AIB23" s="1331"/>
      <c r="AIC23" s="1332"/>
      <c r="AIU23" s="673"/>
      <c r="AIV23" s="673"/>
      <c r="AIW23" s="673"/>
      <c r="AKV23" s="653"/>
      <c r="AKW23" s="653"/>
      <c r="AKX23" s="653"/>
      <c r="AKY23" s="653"/>
      <c r="AKZ23" s="653"/>
      <c r="ALA23" s="653"/>
      <c r="ALB23" s="653"/>
      <c r="ALC23" s="653"/>
      <c r="ALD23" s="653"/>
      <c r="ALE23" s="653"/>
      <c r="ALF23" s="653"/>
      <c r="ALG23" s="653"/>
      <c r="ALH23" s="653"/>
      <c r="AOL23" s="130"/>
      <c r="AQL23" s="130"/>
      <c r="AQV23" s="653"/>
      <c r="AQW23" s="653"/>
      <c r="AQX23" s="653"/>
      <c r="AQY23" s="653"/>
      <c r="AQZ23" s="653"/>
      <c r="ARA23" s="653"/>
      <c r="ARB23" s="653"/>
      <c r="ARC23" s="653"/>
      <c r="ARD23" s="653"/>
      <c r="ARE23" s="653"/>
      <c r="ARF23" s="653"/>
      <c r="ARG23" s="653"/>
      <c r="ARH23" s="653"/>
      <c r="ARI23" s="653"/>
      <c r="ARJ23" s="653"/>
      <c r="ARK23" s="653"/>
      <c r="ARL23" s="653"/>
      <c r="ARM23" s="653"/>
      <c r="ARN23" s="653"/>
      <c r="ARO23" s="653"/>
      <c r="ARR23" s="653"/>
      <c r="ARS23" s="653"/>
      <c r="ART23" s="653"/>
      <c r="ARU23" s="197" t="s">
        <v>849</v>
      </c>
      <c r="ARV23" s="852" t="s">
        <v>416</v>
      </c>
      <c r="ARW23" s="853"/>
      <c r="ARX23" s="202"/>
      <c r="ARY23" s="800" t="s">
        <v>1690</v>
      </c>
      <c r="ARZ23" s="982"/>
      <c r="ASA23" s="982"/>
      <c r="ASB23" s="982"/>
      <c r="ASC23" s="982"/>
      <c r="ASD23" s="982"/>
      <c r="ASE23" s="801"/>
      <c r="ASF23" s="883" t="str">
        <f>$M$73</f>
        <v>F</v>
      </c>
      <c r="ASG23" s="884"/>
      <c r="ASH23" s="202"/>
      <c r="ASI23" s="76" t="s">
        <v>441</v>
      </c>
      <c r="ASJ23" s="854" t="s">
        <v>435</v>
      </c>
      <c r="ASK23" s="891"/>
      <c r="ASL23" s="920" t="s">
        <v>111</v>
      </c>
      <c r="ASM23" s="921"/>
      <c r="ASN23" s="1386" t="s">
        <v>704</v>
      </c>
      <c r="ASO23" s="1386"/>
      <c r="ASP23" s="1386"/>
      <c r="ASQ23" s="907" t="s">
        <v>447</v>
      </c>
      <c r="ASR23" s="907"/>
      <c r="ASS23" s="907"/>
      <c r="AST23" s="908"/>
      <c r="ASU23" s="906" t="s">
        <v>863</v>
      </c>
      <c r="ASV23" s="907"/>
      <c r="ASW23" s="908"/>
      <c r="ASX23" s="653"/>
      <c r="ASY23" s="653"/>
      <c r="ASZ23" s="653"/>
      <c r="ATA23" s="653"/>
      <c r="ATB23" s="653"/>
      <c r="ATC23" s="653"/>
    </row>
    <row r="24" spans="1:996 1076:1297" ht="48" customHeight="1" thickBot="1">
      <c r="A24" s="130"/>
      <c r="B24" s="130"/>
      <c r="C24" s="130"/>
      <c r="D24" s="162"/>
      <c r="E24" s="158"/>
      <c r="F24" s="158"/>
      <c r="G24" s="158"/>
      <c r="H24" s="158"/>
      <c r="I24" s="158"/>
      <c r="J24" s="158"/>
      <c r="K24" s="158"/>
      <c r="L24" s="158"/>
      <c r="M24" s="158"/>
      <c r="N24" s="158"/>
      <c r="O24" s="158"/>
      <c r="P24" s="158"/>
      <c r="Q24" s="158"/>
      <c r="R24" s="158"/>
      <c r="S24" s="158"/>
      <c r="T24" s="158"/>
      <c r="U24" s="158"/>
      <c r="V24" s="158"/>
      <c r="W24" s="158"/>
      <c r="X24" s="158"/>
      <c r="Y24" s="163"/>
      <c r="Z24" s="130"/>
      <c r="AA24" s="130"/>
      <c r="AB24" s="130"/>
      <c r="AC24" s="130"/>
      <c r="AD24" s="130"/>
      <c r="AE24" s="130"/>
      <c r="AI24" s="897" t="s">
        <v>973</v>
      </c>
      <c r="AJ24" s="898"/>
      <c r="AK24" s="899"/>
      <c r="AL24" s="849"/>
      <c r="AM24" s="1684">
        <v>1.3</v>
      </c>
      <c r="AN24" s="1684"/>
      <c r="AO24" s="537"/>
      <c r="AP24" s="779" t="s">
        <v>1812</v>
      </c>
      <c r="AQ24" s="780"/>
      <c r="AR24" s="781"/>
      <c r="AS24" s="76" t="s">
        <v>451</v>
      </c>
      <c r="AT24" s="537"/>
      <c r="AU24" s="76" t="s">
        <v>441</v>
      </c>
      <c r="AV24" s="1676" t="s">
        <v>435</v>
      </c>
      <c r="AW24" s="1683"/>
      <c r="AX24" s="924" t="s">
        <v>111</v>
      </c>
      <c r="AY24" s="925"/>
      <c r="AZ24" s="916" t="s">
        <v>704</v>
      </c>
      <c r="BA24" s="917"/>
      <c r="BB24" s="906" t="s">
        <v>447</v>
      </c>
      <c r="BC24" s="907"/>
      <c r="BD24" s="907"/>
      <c r="BE24" s="908"/>
      <c r="BF24" s="653"/>
      <c r="BG24" s="653"/>
      <c r="BH24" s="653"/>
      <c r="BI24" s="653"/>
      <c r="BV24" s="130"/>
      <c r="BX24" s="850"/>
      <c r="BY24" s="1583" t="s">
        <v>444</v>
      </c>
      <c r="BZ24" s="1585"/>
      <c r="CA24" s="937">
        <f>$AP$49</f>
        <v>0.21284000000000003</v>
      </c>
      <c r="CB24" s="937"/>
      <c r="CC24" s="1882" t="s">
        <v>951</v>
      </c>
      <c r="CD24" s="1883"/>
      <c r="CE24" s="1167">
        <f>(3.14*CA24)/CA25</f>
        <v>55.693133333333336</v>
      </c>
      <c r="CF24" s="840"/>
      <c r="CG24" s="1183" t="s">
        <v>729</v>
      </c>
      <c r="CH24" s="1184"/>
      <c r="CI24" s="841"/>
      <c r="CJ24" s="843" t="s">
        <v>745</v>
      </c>
      <c r="CK24" s="844"/>
      <c r="CL24" s="847"/>
      <c r="CM24" s="1052"/>
      <c r="CN24" s="1052"/>
      <c r="CO24" s="1052"/>
      <c r="CP24" s="1052"/>
      <c r="DF24" s="130"/>
      <c r="DG24" s="130"/>
      <c r="DH24" s="130"/>
      <c r="DI24" s="130"/>
      <c r="DJ24" s="130"/>
      <c r="DK24" s="130"/>
      <c r="DL24" s="130"/>
      <c r="DM24" s="130"/>
      <c r="DN24" s="130"/>
      <c r="DO24" s="130"/>
      <c r="DP24" s="130"/>
      <c r="DQ24" s="130"/>
      <c r="DR24" s="130"/>
      <c r="DS24" s="130"/>
      <c r="DT24" s="130"/>
      <c r="DZ24" s="900"/>
      <c r="EA24" s="901"/>
      <c r="EB24" s="902"/>
      <c r="EC24" s="850"/>
      <c r="ED24" s="791" t="s">
        <v>1845</v>
      </c>
      <c r="EE24" s="797"/>
      <c r="EF24" s="797"/>
      <c r="EG24" s="797"/>
      <c r="EH24" s="797"/>
      <c r="EI24" s="797"/>
      <c r="EJ24" s="797"/>
      <c r="EK24" s="797"/>
      <c r="EL24" s="797"/>
      <c r="EM24" s="797"/>
      <c r="EN24" s="798"/>
      <c r="EO24" s="1193">
        <v>1.45</v>
      </c>
      <c r="EP24" s="1194"/>
      <c r="EQ24" s="1075" t="s">
        <v>17</v>
      </c>
      <c r="ER24" s="1076"/>
      <c r="ES24" s="841"/>
      <c r="ET24" s="843" t="s">
        <v>864</v>
      </c>
      <c r="EU24" s="844"/>
      <c r="EV24" s="847"/>
      <c r="FB24" s="130"/>
      <c r="FC24" s="130"/>
      <c r="FD24" s="130"/>
      <c r="FE24" s="130"/>
      <c r="FF24" s="130"/>
      <c r="FG24" s="130"/>
      <c r="FH24" s="130"/>
      <c r="FK24" s="130"/>
      <c r="FL24" s="130"/>
      <c r="FM24" s="130"/>
      <c r="GF24" s="849"/>
      <c r="GG24" s="236" t="s">
        <v>1076</v>
      </c>
      <c r="GH24" s="890">
        <f>$GM$20</f>
        <v>0.21124000000000004</v>
      </c>
      <c r="GI24" s="890"/>
      <c r="GJ24" s="809" t="s">
        <v>48</v>
      </c>
      <c r="GK24" s="797"/>
      <c r="GL24" s="797"/>
      <c r="GM24" s="1167">
        <f>(3.14*GM20)/GU16</f>
        <v>1.4419426086956524E-2</v>
      </c>
      <c r="GN24" s="840"/>
      <c r="GO24" s="1634" t="s">
        <v>706</v>
      </c>
      <c r="GP24" s="1635"/>
      <c r="GQ24" s="841"/>
      <c r="GR24" s="893" t="s">
        <v>953</v>
      </c>
      <c r="GS24" s="894"/>
      <c r="GT24" s="847"/>
      <c r="GU24" s="826"/>
      <c r="GV24" s="945"/>
      <c r="GW24" s="946"/>
      <c r="IR24" s="1052"/>
      <c r="IS24" s="225" t="s">
        <v>1015</v>
      </c>
      <c r="IT24" s="890">
        <f>$CL$40</f>
        <v>1.3923283333333335E-2</v>
      </c>
      <c r="IU24" s="890"/>
      <c r="IV24" s="800" t="s">
        <v>1107</v>
      </c>
      <c r="IW24" s="801"/>
      <c r="IX24" s="761">
        <f>$EN$28</f>
        <v>5.4298617077080698</v>
      </c>
      <c r="IY24" s="761"/>
      <c r="IZ24" s="823"/>
      <c r="JA24" s="824"/>
      <c r="JB24" s="824"/>
      <c r="JC24" s="824"/>
      <c r="JD24" s="837"/>
      <c r="JE24" s="838"/>
      <c r="JF24" s="1077"/>
      <c r="JG24" s="1078"/>
      <c r="JH24" s="1067"/>
      <c r="JI24" s="1150"/>
      <c r="JJ24" s="1151"/>
      <c r="JK24" s="848"/>
      <c r="JL24" s="1052"/>
      <c r="JM24" s="1052"/>
      <c r="JN24" s="1052"/>
      <c r="JO24" s="1052"/>
      <c r="JP24" s="1052"/>
      <c r="JQ24" s="1052"/>
      <c r="LF24" s="130"/>
      <c r="LG24" s="130"/>
      <c r="LH24" s="130"/>
      <c r="LI24" s="130"/>
      <c r="LJ24" s="130"/>
      <c r="LK24" s="130"/>
      <c r="LL24" s="130"/>
      <c r="LM24" s="130"/>
      <c r="LN24" s="861" t="s">
        <v>1086</v>
      </c>
      <c r="LO24" s="861"/>
      <c r="LP24" s="761">
        <f>$EK$49</f>
        <v>25.438111676802539</v>
      </c>
      <c r="LQ24" s="761"/>
      <c r="MB24" s="851"/>
      <c r="MC24" s="802" t="s">
        <v>739</v>
      </c>
      <c r="MD24" s="803"/>
      <c r="ME24" s="1534">
        <f>CM59</f>
        <v>2</v>
      </c>
      <c r="MF24" s="1534"/>
      <c r="MG24" s="351" t="s">
        <v>1209</v>
      </c>
      <c r="MH24" s="1187">
        <f>MM27</f>
        <v>62.162145233692577</v>
      </c>
      <c r="MI24" s="1187"/>
      <c r="MJ24" s="795"/>
      <c r="MK24" s="795"/>
      <c r="ML24" s="795"/>
      <c r="MM24" s="795"/>
      <c r="MN24" s="795"/>
      <c r="MO24" s="796"/>
      <c r="MP24" s="837"/>
      <c r="MQ24" s="838"/>
      <c r="MR24" s="1190"/>
      <c r="MS24" s="1191"/>
      <c r="MT24" s="842"/>
      <c r="MU24" s="918"/>
      <c r="MV24" s="919"/>
      <c r="MW24" s="848"/>
      <c r="MX24" s="828"/>
      <c r="MY24" s="949"/>
      <c r="MZ24" s="950"/>
      <c r="PH24" s="377"/>
      <c r="PI24" s="373"/>
      <c r="PJ24" s="54"/>
      <c r="PK24" s="373"/>
      <c r="PL24" s="373"/>
      <c r="PM24" s="373"/>
      <c r="PN24" s="373"/>
      <c r="PO24" s="373"/>
      <c r="PP24" s="373"/>
      <c r="PQ24" s="373"/>
      <c r="PR24" s="373"/>
      <c r="PS24" s="373"/>
      <c r="PT24" s="373"/>
      <c r="PU24" s="373"/>
      <c r="PV24" s="373"/>
      <c r="PW24" s="373"/>
      <c r="PX24" s="373"/>
      <c r="PY24" s="373"/>
      <c r="PZ24" s="373"/>
      <c r="QA24" s="373"/>
      <c r="QB24" s="373"/>
      <c r="QC24" s="373"/>
      <c r="QD24" s="373"/>
      <c r="QE24" s="373"/>
      <c r="QF24" s="373"/>
      <c r="QG24" s="373"/>
      <c r="QH24" s="373"/>
      <c r="QI24" s="373"/>
      <c r="QJ24" s="373"/>
      <c r="QK24" s="373"/>
      <c r="QL24" s="373"/>
      <c r="QM24" s="373"/>
      <c r="QN24" s="373"/>
      <c r="QO24" s="373"/>
      <c r="QP24" s="373"/>
      <c r="QQ24" s="373"/>
      <c r="QR24" s="373"/>
      <c r="QS24" s="373"/>
      <c r="QT24" s="373"/>
      <c r="QU24" s="373"/>
      <c r="QV24" s="373"/>
      <c r="QW24" s="373"/>
      <c r="QX24" s="373"/>
      <c r="QY24" s="373"/>
      <c r="QZ24" s="373"/>
      <c r="RA24" s="373"/>
      <c r="RB24" s="373"/>
      <c r="RC24" s="374"/>
      <c r="RE24" s="653"/>
      <c r="RF24" s="653"/>
      <c r="RG24" s="653"/>
      <c r="RH24" s="653"/>
      <c r="RI24" s="653"/>
      <c r="RJ24" s="653"/>
      <c r="RK24" s="653"/>
      <c r="RL24" s="653"/>
      <c r="RM24" s="653"/>
      <c r="RN24" s="653"/>
      <c r="RO24" s="653"/>
      <c r="RP24" s="653"/>
      <c r="RQ24" s="653"/>
      <c r="RR24" s="653"/>
      <c r="RS24" s="653"/>
      <c r="RT24" s="653"/>
      <c r="RU24" s="653"/>
      <c r="RV24" s="653"/>
      <c r="RW24" s="653"/>
      <c r="RX24" s="653"/>
      <c r="RY24" s="653"/>
      <c r="TB24" s="653"/>
      <c r="TC24" s="653"/>
      <c r="TD24" s="653"/>
      <c r="TE24" s="653"/>
      <c r="TF24" s="653"/>
      <c r="TG24" s="653"/>
      <c r="TH24" s="653"/>
      <c r="TI24" s="653"/>
      <c r="TJ24" s="653"/>
      <c r="TK24" s="653"/>
      <c r="TL24" s="653"/>
      <c r="TM24" s="653"/>
      <c r="TN24" s="653"/>
      <c r="TO24" s="653"/>
      <c r="TP24" s="653"/>
      <c r="TQ24" s="653"/>
      <c r="TR24" s="653"/>
      <c r="TS24" s="653"/>
      <c r="TX24" s="653"/>
      <c r="TY24" s="653"/>
      <c r="TZ24" s="653"/>
      <c r="UA24" s="653"/>
      <c r="UB24" s="653"/>
      <c r="UC24" s="653"/>
      <c r="UD24" s="653"/>
      <c r="UE24" s="653"/>
      <c r="UF24" s="653"/>
      <c r="UG24" s="653"/>
      <c r="UH24" s="653"/>
      <c r="UI24" s="653"/>
      <c r="UJ24" s="653"/>
      <c r="UK24" s="653"/>
      <c r="UL24" s="653"/>
      <c r="UM24" s="653"/>
      <c r="UN24" s="653"/>
      <c r="UO24" s="653"/>
      <c r="UP24" s="653"/>
      <c r="UQ24" s="653"/>
      <c r="UR24" s="653"/>
      <c r="US24" s="653"/>
      <c r="UT24" s="653"/>
      <c r="UU24" s="653"/>
      <c r="UV24" s="653"/>
      <c r="UW24" s="653"/>
      <c r="UX24" s="653"/>
      <c r="UY24" s="653"/>
      <c r="UZ24" s="653"/>
      <c r="VY24" s="940" t="s">
        <v>1617</v>
      </c>
      <c r="VZ24" s="941"/>
      <c r="WA24" s="890">
        <f>$SN$31</f>
        <v>1.0583836777160964</v>
      </c>
      <c r="WB24" s="890"/>
      <c r="WE24" s="1831"/>
      <c r="WF24" s="1832"/>
      <c r="WG24" s="1832"/>
      <c r="WH24" s="1832"/>
      <c r="WI24" s="1832"/>
      <c r="WJ24" s="1833"/>
      <c r="WK24" s="668"/>
      <c r="WL24" s="668"/>
      <c r="WM24" s="668"/>
      <c r="WN24" s="668"/>
      <c r="WO24" s="668"/>
      <c r="WP24" s="668"/>
      <c r="WQ24" s="170"/>
      <c r="WR24" s="170"/>
      <c r="WS24" s="170"/>
      <c r="WT24" s="170"/>
      <c r="WU24" s="170"/>
      <c r="WV24" s="170"/>
      <c r="WW24" s="172"/>
      <c r="WX24" s="978"/>
      <c r="WY24" s="979"/>
      <c r="WZ24" s="754"/>
      <c r="XA24" s="755"/>
      <c r="XB24" s="169"/>
      <c r="XC24" s="170"/>
      <c r="XD24" s="170"/>
      <c r="XE24" s="170"/>
      <c r="XF24" s="172"/>
      <c r="XG24" s="967"/>
      <c r="XH24" s="967"/>
      <c r="XI24" s="967"/>
      <c r="XJ24" s="967"/>
      <c r="XK24" s="967"/>
      <c r="XL24" s="967"/>
      <c r="XM24" s="967"/>
      <c r="XN24" s="967"/>
      <c r="XO24" s="967"/>
      <c r="XP24" s="967"/>
      <c r="XQ24" s="967"/>
      <c r="XR24" s="967"/>
      <c r="XS24" s="967"/>
      <c r="XT24" s="967"/>
      <c r="XU24" s="967"/>
      <c r="XV24" s="967"/>
      <c r="XW24" s="967"/>
      <c r="XX24" s="967"/>
      <c r="XY24" s="967"/>
      <c r="XZ24" s="967"/>
      <c r="YA24" s="967"/>
      <c r="YB24" s="967"/>
      <c r="YC24" s="967"/>
      <c r="YD24" s="967"/>
      <c r="YE24" s="967"/>
      <c r="YF24" s="967"/>
      <c r="YG24" s="967"/>
      <c r="YH24" s="967"/>
      <c r="YI24" s="967"/>
      <c r="YJ24" s="967"/>
      <c r="YK24" s="967"/>
      <c r="YL24" s="967"/>
      <c r="YM24" s="967"/>
      <c r="YN24" s="967"/>
      <c r="YO24" s="967"/>
      <c r="YP24" s="967"/>
      <c r="YQ24" s="967"/>
      <c r="YR24" s="967"/>
      <c r="YS24" s="967"/>
      <c r="YT24" s="967"/>
      <c r="YU24" s="967"/>
      <c r="YV24" s="967"/>
      <c r="YW24" s="967"/>
      <c r="YX24" s="967"/>
      <c r="YY24" s="967"/>
      <c r="YZ24" s="967"/>
      <c r="ZA24" s="967"/>
      <c r="ZB24" s="967"/>
      <c r="ZC24" s="967"/>
      <c r="ZD24" s="967"/>
      <c r="ZE24" s="967"/>
      <c r="ZF24" s="967"/>
      <c r="ZG24" s="967"/>
      <c r="ZH24" s="967"/>
      <c r="ZI24" s="967"/>
      <c r="ZJ24" s="967"/>
      <c r="ZK24" s="967"/>
      <c r="ZL24" s="967"/>
      <c r="ZM24" s="967"/>
      <c r="ZN24" s="967"/>
      <c r="ZO24" s="967"/>
      <c r="ZP24" s="967"/>
      <c r="ZQ24" s="967"/>
      <c r="ZR24" s="967"/>
      <c r="ZS24" s="967"/>
      <c r="ZT24" s="967"/>
      <c r="ZU24" s="967"/>
      <c r="ZV24" s="967"/>
      <c r="ZW24" s="967"/>
      <c r="ZX24" s="967"/>
      <c r="ZY24" s="967"/>
      <c r="ZZ24" s="967"/>
      <c r="AAA24" s="967"/>
      <c r="AAB24" s="967"/>
      <c r="AAC24" s="967"/>
      <c r="AAD24" s="967"/>
      <c r="AAE24" s="967"/>
      <c r="AAF24" s="967"/>
      <c r="AAG24" s="967"/>
      <c r="AAH24" s="967"/>
      <c r="AAI24" s="967"/>
      <c r="AAJ24" s="967"/>
      <c r="AAK24" s="967"/>
      <c r="AAL24" s="967"/>
      <c r="AAM24" s="967"/>
      <c r="AAN24" s="967"/>
      <c r="AAO24" s="967"/>
      <c r="AAP24" s="967"/>
      <c r="AAQ24" s="967"/>
      <c r="AAR24" s="967"/>
      <c r="AAS24" s="967"/>
      <c r="AAT24" s="965"/>
      <c r="AAU24" s="754"/>
      <c r="AAV24" s="755"/>
      <c r="AAW24" s="169"/>
      <c r="AAX24" s="170"/>
      <c r="AAY24" s="170"/>
      <c r="AAZ24" s="170"/>
      <c r="ABA24" s="172"/>
      <c r="ABB24" s="158"/>
      <c r="ABC24" s="158"/>
      <c r="ABD24" s="163"/>
      <c r="ACJ24" s="759">
        <v>0.33333333300000001</v>
      </c>
      <c r="ACK24" s="760"/>
      <c r="ACL24" s="759">
        <v>-0.233333333</v>
      </c>
      <c r="ACM24" s="760"/>
      <c r="ACN24" s="592">
        <v>12</v>
      </c>
      <c r="ACO24" s="759">
        <f t="shared" si="0"/>
        <v>0.13999999996000004</v>
      </c>
      <c r="ACP24" s="760"/>
      <c r="ACQ24" s="757">
        <f t="shared" si="1"/>
        <v>1.1200000000000001</v>
      </c>
      <c r="ACR24" s="758"/>
      <c r="ACT24" s="759">
        <v>1</v>
      </c>
      <c r="ACU24" s="760"/>
      <c r="ACV24" s="759">
        <v>-1.2000000000000002</v>
      </c>
      <c r="ACW24" s="760"/>
      <c r="ACX24" s="592">
        <v>62</v>
      </c>
      <c r="ACY24" s="759">
        <f t="shared" si="8"/>
        <v>0.41999999999999993</v>
      </c>
      <c r="ACZ24" s="760"/>
      <c r="ADA24" s="757">
        <f t="shared" si="2"/>
        <v>1.62</v>
      </c>
      <c r="ADB24" s="758"/>
      <c r="ADD24" s="1112">
        <v>1.1052631578947369</v>
      </c>
      <c r="ADE24" s="1112"/>
      <c r="ADF24" s="1112">
        <v>-1.4210526315789478</v>
      </c>
      <c r="ADG24" s="1112"/>
      <c r="ADH24" s="591">
        <v>111</v>
      </c>
      <c r="ADI24" s="759">
        <f t="shared" si="3"/>
        <v>0.91105263157894756</v>
      </c>
      <c r="ADJ24" s="760"/>
      <c r="ADK24" s="757">
        <f t="shared" si="4"/>
        <v>2.1100000000000003</v>
      </c>
      <c r="ADL24" s="758"/>
      <c r="ADN24" s="759">
        <v>1.1052631580000001</v>
      </c>
      <c r="ADO24" s="760"/>
      <c r="ADP24" s="759">
        <v>-1.42105263157895</v>
      </c>
      <c r="ADQ24" s="760"/>
      <c r="ADR24" s="591">
        <v>161</v>
      </c>
      <c r="ADS24" s="759">
        <f t="shared" si="9"/>
        <v>1.4636842108010506</v>
      </c>
      <c r="ADT24" s="760"/>
      <c r="ADU24" s="757">
        <f t="shared" si="5"/>
        <v>2.6100000000000003</v>
      </c>
      <c r="ADV24" s="758"/>
      <c r="ADX24" s="759">
        <v>1.1052631580000001</v>
      </c>
      <c r="ADY24" s="760"/>
      <c r="ADZ24" s="759">
        <v>-1.42105263157895</v>
      </c>
      <c r="AEA24" s="760"/>
      <c r="AEB24" s="591">
        <v>211</v>
      </c>
      <c r="AEC24" s="759">
        <f t="shared" si="10"/>
        <v>2.01631578980105</v>
      </c>
      <c r="AED24" s="760"/>
      <c r="AEE24" s="757">
        <f t="shared" si="6"/>
        <v>3.11</v>
      </c>
      <c r="AEF24" s="758"/>
      <c r="AEH24" s="759">
        <v>1.1052631580000001</v>
      </c>
      <c r="AEI24" s="760"/>
      <c r="AEJ24" s="759">
        <v>-1.42105263157895</v>
      </c>
      <c r="AEK24" s="760"/>
      <c r="AEL24" s="591">
        <v>261</v>
      </c>
      <c r="AEM24" s="759">
        <f t="shared" si="11"/>
        <v>2.5689473688010502</v>
      </c>
      <c r="AEN24" s="760"/>
      <c r="AEO24" s="757">
        <f t="shared" si="7"/>
        <v>3.61</v>
      </c>
      <c r="AEP24" s="758"/>
      <c r="AFA24" s="856">
        <v>1.3</v>
      </c>
      <c r="AFB24" s="856"/>
      <c r="AFC24" s="856">
        <v>0.2</v>
      </c>
      <c r="AFD24" s="856"/>
      <c r="AFE24" s="856">
        <f>(AFC25-AFC24)/(AFA25-AFA24)</f>
        <v>0.66666666666666663</v>
      </c>
      <c r="AFF24" s="856"/>
      <c r="AFG24" s="856">
        <f>AFC24-AFE24*AFA24</f>
        <v>-0.66666666666666674</v>
      </c>
      <c r="AFH24" s="856"/>
      <c r="AGJ24" s="377"/>
      <c r="AGK24" s="373"/>
      <c r="AGL24" s="54"/>
      <c r="AGM24" s="373"/>
      <c r="AGN24" s="76" t="s">
        <v>1654</v>
      </c>
      <c r="AGO24" s="852" t="s">
        <v>416</v>
      </c>
      <c r="AGP24" s="853"/>
      <c r="AGQ24" s="687"/>
      <c r="AGR24" s="78"/>
      <c r="AGS24" s="78"/>
      <c r="AGT24" s="78"/>
      <c r="AGU24" s="78"/>
      <c r="AGV24" s="78"/>
      <c r="AGW24" s="78"/>
      <c r="AGX24" s="687"/>
      <c r="AGY24" s="76" t="s">
        <v>441</v>
      </c>
      <c r="AGZ24" s="854" t="s">
        <v>435</v>
      </c>
      <c r="AHA24" s="855"/>
      <c r="AHB24" s="920" t="s">
        <v>111</v>
      </c>
      <c r="AHC24" s="921"/>
      <c r="AHD24" s="916" t="s">
        <v>704</v>
      </c>
      <c r="AHE24" s="922"/>
      <c r="AHF24" s="1051" t="s">
        <v>447</v>
      </c>
      <c r="AHG24" s="1051"/>
      <c r="AHH24" s="1051"/>
      <c r="AHI24" s="1051"/>
      <c r="AHJ24" s="1051"/>
      <c r="AHK24" s="1051"/>
      <c r="AHL24" s="1051" t="s">
        <v>436</v>
      </c>
      <c r="AHM24" s="1051"/>
      <c r="AHN24" s="1051"/>
      <c r="AHO24" s="1051"/>
      <c r="AHP24" s="1051"/>
      <c r="AHQ24" s="1051"/>
      <c r="AHR24" s="1051"/>
      <c r="AHS24" s="1051"/>
      <c r="AHT24" s="1051"/>
      <c r="AHU24" s="373"/>
      <c r="AHV24" s="373"/>
      <c r="AHW24" s="374"/>
      <c r="AIF24" s="130"/>
      <c r="AIG24" s="130"/>
      <c r="AIH24" s="130"/>
      <c r="AIU24" s="673"/>
      <c r="AIV24" s="673"/>
      <c r="AIW24" s="673"/>
      <c r="AIX24" s="130"/>
      <c r="AIY24" s="130"/>
      <c r="AIZ24" s="130"/>
      <c r="AKV24" s="653"/>
      <c r="AKW24" s="653"/>
      <c r="AKX24" s="653"/>
      <c r="AKY24" s="653"/>
      <c r="AKZ24" s="653"/>
      <c r="ALA24" s="653"/>
      <c r="ALB24" s="653"/>
      <c r="ALC24" s="653"/>
      <c r="ALD24" s="653"/>
      <c r="ALE24" s="653"/>
      <c r="ALF24" s="653"/>
      <c r="ALG24" s="653"/>
      <c r="ALH24" s="653"/>
      <c r="AOL24" s="130"/>
      <c r="AQL24" s="130"/>
      <c r="AQV24" s="653"/>
      <c r="AQW24" s="653"/>
      <c r="AQX24" s="653"/>
      <c r="AQY24" s="653"/>
      <c r="AQZ24" s="653"/>
      <c r="ARA24" s="800" t="s">
        <v>885</v>
      </c>
      <c r="ARB24" s="982"/>
      <c r="ARC24" s="982"/>
      <c r="ARD24" s="982"/>
      <c r="ARE24" s="801"/>
      <c r="ARF24" s="883" t="str">
        <f>'Вывод расчетов'!$M$67</f>
        <v>IP44</v>
      </c>
      <c r="ARG24" s="884"/>
      <c r="ARH24" s="653"/>
      <c r="ARI24" s="653"/>
      <c r="ARJ24" s="653"/>
      <c r="ARK24" s="653"/>
      <c r="ARL24" s="653"/>
      <c r="ARM24" s="653"/>
      <c r="ARN24" s="653"/>
      <c r="ARO24" s="653"/>
      <c r="ARR24" s="653"/>
      <c r="ARS24" s="653"/>
      <c r="ART24" s="653"/>
      <c r="ARU24" s="849"/>
      <c r="ARV24" s="1839" t="s">
        <v>911</v>
      </c>
      <c r="ARW24" s="1851"/>
      <c r="ARX24" s="1840"/>
      <c r="ARY24" s="791" t="s">
        <v>962</v>
      </c>
      <c r="ARZ24" s="792"/>
      <c r="ASA24" s="792"/>
      <c r="ASB24" s="792"/>
      <c r="ASC24" s="792"/>
      <c r="ASD24" s="792"/>
      <c r="ASE24" s="792"/>
      <c r="ASF24" s="792"/>
      <c r="ASG24" s="792"/>
      <c r="ASH24" s="792"/>
      <c r="ASI24" s="792"/>
      <c r="ASJ24" s="792"/>
      <c r="ASK24" s="793"/>
      <c r="ASL24" s="1442">
        <v>0.16</v>
      </c>
      <c r="ASM24" s="1443"/>
      <c r="ASN24" s="1607" t="s">
        <v>922</v>
      </c>
      <c r="ASO24" s="1207"/>
      <c r="ASP24" s="1208"/>
      <c r="ASQ24" s="841"/>
      <c r="ASR24" s="893" t="s">
        <v>897</v>
      </c>
      <c r="ASS24" s="894"/>
      <c r="AST24" s="1255"/>
      <c r="ASU24" s="1203" t="s">
        <v>862</v>
      </c>
      <c r="ASV24" s="1275"/>
      <c r="ASW24" s="1204"/>
      <c r="ASX24" s="653"/>
      <c r="ASY24" s="653"/>
      <c r="ASZ24" s="653"/>
      <c r="ATA24" s="653"/>
      <c r="AWB24" s="849"/>
      <c r="AWC24" s="133" t="s">
        <v>416</v>
      </c>
      <c r="AWD24" s="134"/>
      <c r="AWE24" s="138"/>
      <c r="AWF24" s="78"/>
      <c r="AWG24" s="78"/>
      <c r="AWH24" s="78"/>
      <c r="AWI24" s="78"/>
      <c r="AWJ24" s="78"/>
      <c r="AWK24" s="78"/>
      <c r="AWL24" s="138"/>
      <c r="AWM24" s="76" t="s">
        <v>441</v>
      </c>
      <c r="AWN24" s="854" t="s">
        <v>435</v>
      </c>
      <c r="AWO24" s="855"/>
      <c r="AWP24" s="920" t="s">
        <v>111</v>
      </c>
      <c r="AWQ24" s="921"/>
      <c r="AWR24" s="916" t="s">
        <v>704</v>
      </c>
      <c r="AWS24" s="917"/>
      <c r="AWT24" s="906" t="s">
        <v>447</v>
      </c>
      <c r="AWU24" s="907"/>
      <c r="AWV24" s="907"/>
      <c r="AWW24" s="908"/>
    </row>
    <row r="25" spans="1:996 1076:1297" ht="48" customHeight="1" thickBot="1">
      <c r="A25" s="130"/>
      <c r="B25" s="130"/>
      <c r="C25" s="130"/>
      <c r="D25" s="162"/>
      <c r="E25" s="782" t="s">
        <v>721</v>
      </c>
      <c r="F25" s="783"/>
      <c r="G25" s="784"/>
      <c r="H25" s="158"/>
      <c r="I25" s="158"/>
      <c r="J25" s="158"/>
      <c r="K25" s="158"/>
      <c r="L25" s="158"/>
      <c r="M25" s="158"/>
      <c r="N25" s="158"/>
      <c r="O25" s="158"/>
      <c r="P25" s="158"/>
      <c r="Q25" s="158"/>
      <c r="R25" s="158"/>
      <c r="S25" s="158"/>
      <c r="T25" s="158"/>
      <c r="U25" s="158"/>
      <c r="V25" s="158"/>
      <c r="W25" s="158"/>
      <c r="X25" s="158"/>
      <c r="Y25" s="163"/>
      <c r="Z25" s="130"/>
      <c r="AA25" s="130"/>
      <c r="AB25" s="130"/>
      <c r="AC25" s="130"/>
      <c r="AD25" s="130"/>
      <c r="AE25" s="130"/>
      <c r="AI25" s="900"/>
      <c r="AJ25" s="901"/>
      <c r="AK25" s="902"/>
      <c r="AL25" s="850"/>
      <c r="AM25" s="768" t="s">
        <v>1813</v>
      </c>
      <c r="AN25" s="762"/>
      <c r="AO25" s="762"/>
      <c r="AP25" s="762"/>
      <c r="AQ25" s="762"/>
      <c r="AR25" s="762"/>
      <c r="AS25" s="762"/>
      <c r="AT25" s="762"/>
      <c r="AU25" s="762"/>
      <c r="AV25" s="762"/>
      <c r="AW25" s="763"/>
      <c r="AX25" s="1712">
        <f>AX23</f>
        <v>0.313</v>
      </c>
      <c r="AY25" s="1713"/>
      <c r="AZ25" s="1261" t="s">
        <v>706</v>
      </c>
      <c r="BA25" s="1262"/>
      <c r="BB25" s="1066"/>
      <c r="BC25" s="893" t="s">
        <v>956</v>
      </c>
      <c r="BD25" s="894"/>
      <c r="BE25" s="847"/>
      <c r="BF25" s="653"/>
      <c r="BG25" s="653"/>
      <c r="BH25" s="653"/>
      <c r="BI25" s="653"/>
      <c r="BV25" s="130"/>
      <c r="BX25" s="851"/>
      <c r="BY25" s="1492" t="s">
        <v>1669</v>
      </c>
      <c r="BZ25" s="1493"/>
      <c r="CA25" s="774">
        <f>CM16</f>
        <v>1.2E-2</v>
      </c>
      <c r="CB25" s="774"/>
      <c r="CC25" s="1884"/>
      <c r="CD25" s="1885"/>
      <c r="CE25" s="1169"/>
      <c r="CF25" s="799"/>
      <c r="CG25" s="1185"/>
      <c r="CH25" s="1186"/>
      <c r="CI25" s="842"/>
      <c r="CJ25" s="845"/>
      <c r="CK25" s="846"/>
      <c r="CL25" s="848"/>
      <c r="CM25" s="1053"/>
      <c r="CN25" s="1053"/>
      <c r="CO25" s="1053"/>
      <c r="CP25" s="1053"/>
      <c r="DF25" s="130"/>
      <c r="DG25" s="130"/>
      <c r="DH25" s="130"/>
      <c r="DI25" s="130"/>
      <c r="DJ25" s="130"/>
      <c r="DK25" s="130"/>
      <c r="DL25" s="130"/>
      <c r="DM25" s="130"/>
      <c r="DN25" s="130"/>
      <c r="DO25" s="130"/>
      <c r="DP25" s="130"/>
      <c r="DQ25" s="130"/>
      <c r="DR25" s="130"/>
      <c r="DS25" s="130"/>
      <c r="DT25" s="130"/>
      <c r="DZ25" s="903"/>
      <c r="EA25" s="904"/>
      <c r="EB25" s="905"/>
      <c r="EC25" s="851"/>
      <c r="ED25" s="777"/>
      <c r="EE25" s="778"/>
      <c r="EF25" s="778"/>
      <c r="EG25" s="778"/>
      <c r="EH25" s="778"/>
      <c r="EI25" s="778"/>
      <c r="EJ25" s="778"/>
      <c r="EK25" s="778"/>
      <c r="EL25" s="778"/>
      <c r="EM25" s="778"/>
      <c r="EN25" s="799"/>
      <c r="EO25" s="1195"/>
      <c r="EP25" s="1196"/>
      <c r="EQ25" s="1077"/>
      <c r="ER25" s="1078"/>
      <c r="ES25" s="842"/>
      <c r="ET25" s="845"/>
      <c r="EU25" s="846"/>
      <c r="EV25" s="848"/>
      <c r="FB25" s="130"/>
      <c r="FC25" s="130"/>
      <c r="FD25" s="130"/>
      <c r="FE25" s="130"/>
      <c r="FF25" s="130"/>
      <c r="FG25" s="130"/>
      <c r="FH25" s="130"/>
      <c r="FI25" s="130"/>
      <c r="FJ25" s="130"/>
      <c r="FK25" s="130"/>
      <c r="FL25" s="130"/>
      <c r="FM25" s="130"/>
      <c r="GF25" s="851"/>
      <c r="GG25" s="226" t="s">
        <v>1070</v>
      </c>
      <c r="GH25" s="774">
        <f>$GU$16</f>
        <v>46</v>
      </c>
      <c r="GI25" s="774"/>
      <c r="GJ25" s="777"/>
      <c r="GK25" s="778"/>
      <c r="GL25" s="778"/>
      <c r="GM25" s="1169"/>
      <c r="GN25" s="799"/>
      <c r="GO25" s="1636"/>
      <c r="GP25" s="1637"/>
      <c r="GQ25" s="842"/>
      <c r="GR25" s="918"/>
      <c r="GS25" s="919"/>
      <c r="GT25" s="848"/>
      <c r="GU25" s="828"/>
      <c r="GV25" s="949"/>
      <c r="GW25" s="950"/>
      <c r="IR25" s="1053"/>
      <c r="IS25" s="226" t="s">
        <v>1018</v>
      </c>
      <c r="IT25" s="804">
        <f>$AW$95</f>
        <v>0.19391178434038603</v>
      </c>
      <c r="IU25" s="804"/>
      <c r="IV25" s="1060"/>
      <c r="IW25" s="1061"/>
      <c r="IX25" s="1061"/>
      <c r="IY25" s="1062"/>
      <c r="IZ25" s="794"/>
      <c r="JA25" s="795"/>
      <c r="JB25" s="795"/>
      <c r="JC25" s="795"/>
      <c r="JD25" s="812"/>
      <c r="JE25" s="813"/>
      <c r="JF25" s="813"/>
      <c r="JG25" s="813"/>
      <c r="JH25" s="813"/>
      <c r="JI25" s="813"/>
      <c r="JJ25" s="813"/>
      <c r="JK25" s="814"/>
      <c r="JL25" s="1053"/>
      <c r="JM25" s="1053"/>
      <c r="JN25" s="1053"/>
      <c r="JO25" s="1053"/>
      <c r="JP25" s="1053"/>
      <c r="JQ25" s="1053"/>
      <c r="LF25" s="130"/>
      <c r="LG25" s="130"/>
      <c r="LH25" s="130"/>
      <c r="LI25" s="130"/>
      <c r="LJ25" s="130"/>
      <c r="LK25" s="130"/>
      <c r="LL25" s="130"/>
      <c r="LM25" s="130"/>
      <c r="LN25" s="130"/>
      <c r="LO25" s="130"/>
      <c r="LP25" s="130"/>
      <c r="LQ25" s="130"/>
      <c r="OH25" s="897" t="s">
        <v>930</v>
      </c>
      <c r="OI25" s="898"/>
      <c r="OJ25" s="899"/>
      <c r="OK25" s="130"/>
      <c r="OL25" s="897" t="s">
        <v>929</v>
      </c>
      <c r="OM25" s="898"/>
      <c r="ON25" s="899"/>
      <c r="OP25" s="897" t="s">
        <v>973</v>
      </c>
      <c r="OQ25" s="898"/>
      <c r="OR25" s="899"/>
      <c r="OT25" s="897" t="s">
        <v>974</v>
      </c>
      <c r="OU25" s="898"/>
      <c r="OV25" s="899"/>
      <c r="PH25" s="377"/>
      <c r="PI25" s="373"/>
      <c r="PJ25" s="54"/>
      <c r="PK25" s="373"/>
      <c r="PL25" s="197" t="s">
        <v>849</v>
      </c>
      <c r="PM25" s="1257" t="s">
        <v>416</v>
      </c>
      <c r="PN25" s="1257"/>
      <c r="PO25" s="724"/>
      <c r="PP25" s="861" t="s">
        <v>1550</v>
      </c>
      <c r="PQ25" s="861"/>
      <c r="PR25" s="890">
        <f>$QA$57</f>
        <v>2.5</v>
      </c>
      <c r="PS25" s="890"/>
      <c r="PT25" s="724"/>
      <c r="PU25" s="78"/>
      <c r="PV25" s="78"/>
      <c r="PW25" s="78"/>
      <c r="PX25" s="728"/>
      <c r="PY25" s="76" t="s">
        <v>441</v>
      </c>
      <c r="PZ25" s="1464" t="s">
        <v>435</v>
      </c>
      <c r="QA25" s="854"/>
      <c r="QB25" s="1621" t="s">
        <v>111</v>
      </c>
      <c r="QC25" s="1622"/>
      <c r="QD25" s="1447" t="s">
        <v>704</v>
      </c>
      <c r="QE25" s="1386"/>
      <c r="QF25" s="1051" t="s">
        <v>447</v>
      </c>
      <c r="QG25" s="1051"/>
      <c r="QH25" s="1051"/>
      <c r="QI25" s="1051"/>
      <c r="QJ25" s="1051"/>
      <c r="QK25" s="1051" t="s">
        <v>436</v>
      </c>
      <c r="QL25" s="1051"/>
      <c r="QM25" s="1051"/>
      <c r="QN25" s="1051"/>
      <c r="QO25" s="1051"/>
      <c r="QP25" s="1051"/>
      <c r="QQ25" s="1051"/>
      <c r="QR25" s="1051"/>
      <c r="QS25" s="1051"/>
      <c r="QT25" s="1051"/>
      <c r="QU25" s="1051"/>
      <c r="QV25" s="1051"/>
      <c r="QW25" s="1051"/>
      <c r="QX25" s="1051"/>
      <c r="QY25" s="1051"/>
      <c r="QZ25" s="373"/>
      <c r="RA25" s="373"/>
      <c r="RB25" s="373"/>
      <c r="RC25" s="374"/>
      <c r="RE25" s="653"/>
      <c r="RF25" s="653"/>
      <c r="RG25" s="653"/>
      <c r="RH25" s="653"/>
      <c r="RI25" s="653"/>
      <c r="RJ25" s="653"/>
      <c r="RK25" s="653"/>
      <c r="RL25" s="653"/>
      <c r="RM25" s="653"/>
      <c r="RN25" s="653"/>
      <c r="RO25" s="653"/>
      <c r="RP25" s="653"/>
      <c r="RQ25" s="653"/>
      <c r="RR25" s="653"/>
      <c r="RS25" s="653"/>
      <c r="RT25" s="653"/>
      <c r="RU25" s="653"/>
      <c r="RV25" s="653"/>
      <c r="RW25" s="653"/>
      <c r="RX25" s="653"/>
      <c r="RY25" s="653"/>
      <c r="RZ25" s="849"/>
      <c r="SA25" s="852" t="s">
        <v>416</v>
      </c>
      <c r="SB25" s="853"/>
      <c r="SC25" s="629"/>
      <c r="SD25" s="800" t="s">
        <v>1558</v>
      </c>
      <c r="SE25" s="982"/>
      <c r="SF25" s="801"/>
      <c r="SG25" s="883">
        <f>$PZ$17</f>
        <v>493.21924905867229</v>
      </c>
      <c r="SH25" s="884"/>
      <c r="SI25" s="78"/>
      <c r="SJ25" s="629"/>
      <c r="SK25" s="76" t="s">
        <v>441</v>
      </c>
      <c r="SL25" s="854" t="s">
        <v>435</v>
      </c>
      <c r="SM25" s="855"/>
      <c r="SN25" s="920" t="s">
        <v>111</v>
      </c>
      <c r="SO25" s="921"/>
      <c r="SP25" s="916" t="s">
        <v>704</v>
      </c>
      <c r="SQ25" s="917"/>
      <c r="SR25" s="906" t="s">
        <v>447</v>
      </c>
      <c r="SS25" s="907"/>
      <c r="ST25" s="907"/>
      <c r="SU25" s="908"/>
      <c r="SV25" s="906" t="s">
        <v>436</v>
      </c>
      <c r="SW25" s="907"/>
      <c r="SX25" s="907"/>
      <c r="SY25" s="907"/>
      <c r="SZ25" s="907"/>
      <c r="TA25" s="908"/>
      <c r="TB25" s="653"/>
      <c r="TC25" s="653"/>
      <c r="TD25" s="653"/>
      <c r="TE25" s="653"/>
      <c r="TF25" s="653"/>
      <c r="TG25" s="653"/>
      <c r="TH25" s="653"/>
      <c r="TI25" s="653"/>
      <c r="TJ25" s="653"/>
      <c r="TK25" s="653"/>
      <c r="TL25" s="653"/>
      <c r="TM25" s="653"/>
      <c r="TN25" s="653"/>
      <c r="TO25" s="653"/>
      <c r="TP25" s="653"/>
      <c r="TQ25" s="653"/>
      <c r="TR25" s="653"/>
      <c r="TS25" s="653"/>
      <c r="TX25" s="653"/>
      <c r="TY25" s="653"/>
      <c r="TZ25" s="653"/>
      <c r="UA25" s="653"/>
      <c r="UB25" s="653"/>
      <c r="UC25" s="653"/>
      <c r="UD25" s="653"/>
      <c r="UE25" s="653"/>
      <c r="UF25" s="653"/>
      <c r="UG25" s="653"/>
      <c r="UH25" s="653"/>
      <c r="UI25" s="653"/>
      <c r="UJ25" s="653"/>
      <c r="UK25" s="653"/>
      <c r="UL25" s="653"/>
      <c r="UM25" s="653"/>
      <c r="UN25" s="653"/>
      <c r="UO25" s="653"/>
      <c r="UP25" s="653"/>
      <c r="UQ25" s="653"/>
      <c r="UR25" s="653"/>
      <c r="US25" s="653"/>
      <c r="UT25" s="653"/>
      <c r="UU25" s="653"/>
      <c r="UV25" s="653"/>
      <c r="UW25" s="653"/>
      <c r="UX25" s="653"/>
      <c r="UY25" s="653"/>
      <c r="UZ25" s="653"/>
      <c r="VY25" s="800" t="s">
        <v>1243</v>
      </c>
      <c r="VZ25" s="801"/>
      <c r="WA25" s="937">
        <f>$MP$86</f>
        <v>8.0207023726710278E-2</v>
      </c>
      <c r="WB25" s="937"/>
      <c r="WE25" s="1831"/>
      <c r="WF25" s="1832"/>
      <c r="WG25" s="1832"/>
      <c r="WH25" s="1832"/>
      <c r="WI25" s="1832"/>
      <c r="WJ25" s="1833"/>
      <c r="WK25" s="167"/>
      <c r="WL25" s="168"/>
      <c r="WM25" s="168"/>
      <c r="WN25" s="168"/>
      <c r="WO25" s="168"/>
      <c r="WP25" s="168"/>
      <c r="WQ25" s="168"/>
      <c r="WR25" s="168"/>
      <c r="WS25" s="168"/>
      <c r="WT25" s="168"/>
      <c r="WU25" s="168"/>
      <c r="WV25" s="168"/>
      <c r="WW25" s="171"/>
      <c r="WX25" s="976">
        <v>3</v>
      </c>
      <c r="WY25" s="977"/>
      <c r="WZ25" s="752" t="s">
        <v>392</v>
      </c>
      <c r="XA25" s="753"/>
      <c r="XB25" s="167"/>
      <c r="XC25" s="168"/>
      <c r="XD25" s="168"/>
      <c r="XE25" s="168"/>
      <c r="XF25" s="171"/>
      <c r="XG25" s="966">
        <f>(XG21^2+XG23^2)^0.5</f>
        <v>85.040775661004901</v>
      </c>
      <c r="XH25" s="966">
        <f t="shared" ref="XH25:XU25" si="18">(XH21^2+XH23^2)^0.5</f>
        <v>42.59962595625224</v>
      </c>
      <c r="XI25" s="966">
        <f t="shared" si="18"/>
        <v>28.455063901721587</v>
      </c>
      <c r="XJ25" s="966">
        <f t="shared" si="18"/>
        <v>21.384637900623847</v>
      </c>
      <c r="XK25" s="966">
        <f t="shared" si="18"/>
        <v>17.143857316986868</v>
      </c>
      <c r="XL25" s="966">
        <f t="shared" si="18"/>
        <v>14.317891684097308</v>
      </c>
      <c r="XM25" s="966">
        <f t="shared" si="18"/>
        <v>12.30038487728446</v>
      </c>
      <c r="XN25" s="966">
        <f t="shared" si="18"/>
        <v>10.788158657228887</v>
      </c>
      <c r="XO25" s="966">
        <f t="shared" si="18"/>
        <v>9.612780517816347</v>
      </c>
      <c r="XP25" s="966">
        <f t="shared" si="18"/>
        <v>8.6731908253412229</v>
      </c>
      <c r="XQ25" s="966">
        <f t="shared" si="18"/>
        <v>7.905078790915411</v>
      </c>
      <c r="XR25" s="966">
        <f t="shared" si="18"/>
        <v>7.2655704567015107</v>
      </c>
      <c r="XS25" s="966">
        <f t="shared" si="18"/>
        <v>6.7249837654393509</v>
      </c>
      <c r="XT25" s="966">
        <f t="shared" si="18"/>
        <v>6.2621171716100132</v>
      </c>
      <c r="XU25" s="966">
        <f t="shared" si="18"/>
        <v>5.8614228081315485</v>
      </c>
      <c r="XV25" s="966">
        <f t="shared" ref="XV25:ZC25" si="19">(XV21^2+XV23^2)^0.5</f>
        <v>5.5112397155337227</v>
      </c>
      <c r="XW25" s="966">
        <f t="shared" si="19"/>
        <v>5.202650637290164</v>
      </c>
      <c r="XX25" s="966">
        <f t="shared" si="19"/>
        <v>4.9287198833516062</v>
      </c>
      <c r="XY25" s="966">
        <f t="shared" si="19"/>
        <v>4.6839718683269611</v>
      </c>
      <c r="XZ25" s="966">
        <f t="shared" si="19"/>
        <v>4.464026088180475</v>
      </c>
      <c r="YA25" s="966">
        <f t="shared" si="19"/>
        <v>4.2653363892684339</v>
      </c>
      <c r="YB25" s="966">
        <f t="shared" si="19"/>
        <v>4.0850013457852006</v>
      </c>
      <c r="YC25" s="966">
        <f t="shared" si="19"/>
        <v>3.920624103925153</v>
      </c>
      <c r="YD25" s="966">
        <f t="shared" si="19"/>
        <v>3.7702072649652227</v>
      </c>
      <c r="YE25" s="966">
        <f t="shared" si="19"/>
        <v>3.6320729963673757</v>
      </c>
      <c r="YF25" s="966">
        <f t="shared" si="19"/>
        <v>3.5048015787393449</v>
      </c>
      <c r="YG25" s="966">
        <f t="shared" si="19"/>
        <v>3.3871836089844423</v>
      </c>
      <c r="YH25" s="966">
        <f t="shared" si="19"/>
        <v>3.278182445591272</v>
      </c>
      <c r="YI25" s="966">
        <f t="shared" si="19"/>
        <v>3.176904423821016</v>
      </c>
      <c r="YJ25" s="966">
        <f t="shared" si="19"/>
        <v>3.0825750278147774</v>
      </c>
      <c r="YK25" s="966">
        <f t="shared" si="19"/>
        <v>2.9945196745088047</v>
      </c>
      <c r="YL25" s="966">
        <f t="shared" si="19"/>
        <v>2.9121481005236332</v>
      </c>
      <c r="YM25" s="966">
        <f t="shared" si="19"/>
        <v>2.834941587759126</v>
      </c>
      <c r="YN25" s="966">
        <f t="shared" si="19"/>
        <v>2.7624424432553347</v>
      </c>
      <c r="YO25" s="966">
        <f t="shared" si="19"/>
        <v>2.6942452824655216</v>
      </c>
      <c r="YP25" s="966">
        <f t="shared" si="19"/>
        <v>2.6299897652775117</v>
      </c>
      <c r="YQ25" s="966">
        <f t="shared" si="19"/>
        <v>2.5693545099388806</v>
      </c>
      <c r="YR25" s="966">
        <f t="shared" si="19"/>
        <v>2.5120519679035729</v>
      </c>
      <c r="YS25" s="966">
        <f t="shared" si="19"/>
        <v>2.4578240871268671</v>
      </c>
      <c r="YT25" s="966">
        <f t="shared" si="19"/>
        <v>2.4064386258303085</v>
      </c>
      <c r="YU25" s="966">
        <f t="shared" si="19"/>
        <v>2.3576860056809172</v>
      </c>
      <c r="YV25" s="966">
        <f t="shared" si="19"/>
        <v>2.3113766144825365</v>
      </c>
      <c r="YW25" s="966">
        <f t="shared" si="19"/>
        <v>2.2673384852032146</v>
      </c>
      <c r="YX25" s="966">
        <f t="shared" si="19"/>
        <v>2.2254152914673333</v>
      </c>
      <c r="YY25" s="966">
        <f t="shared" si="19"/>
        <v>2.1854646102850395</v>
      </c>
      <c r="YZ25" s="966">
        <f t="shared" si="19"/>
        <v>2.1473564113528654</v>
      </c>
      <c r="ZA25" s="966">
        <f t="shared" si="19"/>
        <v>2.110971739181378</v>
      </c>
      <c r="ZB25" s="966">
        <f t="shared" si="19"/>
        <v>2.0762015599297508</v>
      </c>
      <c r="ZC25" s="966">
        <f t="shared" si="19"/>
        <v>2.0429457494182306</v>
      </c>
      <c r="ZD25" s="966">
        <f t="shared" ref="ZD25:AAS25" si="20">(ZD21^2+ZD23^2)^0.5</f>
        <v>2.0111122025541408</v>
      </c>
      <c r="ZE25" s="966">
        <f t="shared" si="20"/>
        <v>1.9806160475073815</v>
      </c>
      <c r="ZF25" s="966">
        <f t="shared" si="20"/>
        <v>1.9513789505351196</v>
      </c>
      <c r="ZG25" s="966">
        <f t="shared" si="20"/>
        <v>1.9233284994836994</v>
      </c>
      <c r="ZH25" s="966">
        <f t="shared" si="20"/>
        <v>1.8963976557694797</v>
      </c>
      <c r="ZI25" s="966">
        <f t="shared" si="20"/>
        <v>1.8705242661236754</v>
      </c>
      <c r="ZJ25" s="966">
        <f t="shared" si="20"/>
        <v>1.8456506266312978</v>
      </c>
      <c r="ZK25" s="966">
        <f t="shared" si="20"/>
        <v>1.8217230926426928</v>
      </c>
      <c r="ZL25" s="966">
        <f t="shared" si="20"/>
        <v>1.7986917290219093</v>
      </c>
      <c r="ZM25" s="966">
        <f t="shared" si="20"/>
        <v>1.7765099959467432</v>
      </c>
      <c r="ZN25" s="966">
        <f t="shared" si="20"/>
        <v>1.755134466113327</v>
      </c>
      <c r="ZO25" s="966">
        <f t="shared" si="20"/>
        <v>1.7345245697420173</v>
      </c>
      <c r="ZP25" s="966">
        <f t="shared" si="20"/>
        <v>1.7146423642462625</v>
      </c>
      <c r="ZQ25" s="966">
        <f t="shared" si="20"/>
        <v>1.6954523258246559</v>
      </c>
      <c r="ZR25" s="966">
        <f t="shared" si="20"/>
        <v>1.6769211605788361</v>
      </c>
      <c r="ZS25" s="966">
        <f t="shared" si="20"/>
        <v>1.6590176330549578</v>
      </c>
      <c r="ZT25" s="966">
        <f t="shared" si="20"/>
        <v>1.6417124103612661</v>
      </c>
      <c r="ZU25" s="966">
        <f t="shared" si="20"/>
        <v>1.6249779202348951</v>
      </c>
      <c r="ZV25" s="966">
        <f t="shared" si="20"/>
        <v>1.6087882216223974</v>
      </c>
      <c r="ZW25" s="966">
        <f t="shared" si="20"/>
        <v>1.5931188865049426</v>
      </c>
      <c r="ZX25" s="966">
        <f t="shared" si="20"/>
        <v>1.5779468918441444</v>
      </c>
      <c r="ZY25" s="966">
        <f t="shared" si="20"/>
        <v>1.5632505206511211</v>
      </c>
      <c r="ZZ25" s="966">
        <f t="shared" si="20"/>
        <v>1.5490092712922059</v>
      </c>
      <c r="AAA25" s="966">
        <f t="shared" si="20"/>
        <v>1.5352037742418727</v>
      </c>
      <c r="AAB25" s="966">
        <f t="shared" si="20"/>
        <v>1.5218157155787819</v>
      </c>
      <c r="AAC25" s="966">
        <f t="shared" si="20"/>
        <v>1.5088277665959327</v>
      </c>
      <c r="AAD25" s="966">
        <f t="shared" si="20"/>
        <v>1.4962235189621274</v>
      </c>
      <c r="AAE25" s="966">
        <f t="shared" si="20"/>
        <v>1.4839874249303973</v>
      </c>
      <c r="AAF25" s="966">
        <f t="shared" si="20"/>
        <v>1.4721047421407722</v>
      </c>
      <c r="AAG25" s="966">
        <f t="shared" si="20"/>
        <v>1.4605614826105924</v>
      </c>
      <c r="AAH25" s="966">
        <f t="shared" si="20"/>
        <v>1.4493443655462326</v>
      </c>
      <c r="AAI25" s="966">
        <f t="shared" si="20"/>
        <v>1.4384407736462634</v>
      </c>
      <c r="AAJ25" s="966">
        <f t="shared" si="20"/>
        <v>1.4278387125982572</v>
      </c>
      <c r="AAK25" s="966">
        <f t="shared" si="20"/>
        <v>1.4175267735001311</v>
      </c>
      <c r="AAL25" s="966">
        <f t="shared" si="20"/>
        <v>1.4074940979625548</v>
      </c>
      <c r="AAM25" s="966">
        <f t="shared" si="20"/>
        <v>1.3977303456718442</v>
      </c>
      <c r="AAN25" s="966">
        <f t="shared" si="20"/>
        <v>1.3882256642132762</v>
      </c>
      <c r="AAO25" s="966">
        <f t="shared" si="20"/>
        <v>1.3789706609731547</v>
      </c>
      <c r="AAP25" s="966">
        <f t="shared" si="20"/>
        <v>1.3699563769544501</v>
      </c>
      <c r="AAQ25" s="966">
        <f t="shared" si="20"/>
        <v>1.3611742623556944</v>
      </c>
      <c r="AAR25" s="966">
        <f t="shared" si="20"/>
        <v>1.3526161537761481</v>
      </c>
      <c r="AAS25" s="966">
        <f t="shared" si="20"/>
        <v>1.3442742529223024</v>
      </c>
      <c r="AAT25" s="964">
        <v>3</v>
      </c>
      <c r="AAU25" s="752" t="s">
        <v>392</v>
      </c>
      <c r="AAV25" s="753"/>
      <c r="AAW25" s="175"/>
      <c r="AAX25" s="173"/>
      <c r="AAY25" s="173"/>
      <c r="AAZ25" s="174"/>
      <c r="ABA25" s="158"/>
      <c r="ABB25" s="158"/>
      <c r="ABC25" s="158"/>
      <c r="ABD25" s="163"/>
      <c r="ACJ25" s="759">
        <v>0.33333333300000001</v>
      </c>
      <c r="ACK25" s="760"/>
      <c r="ACL25" s="759">
        <v>-0.233333333</v>
      </c>
      <c r="ACM25" s="760"/>
      <c r="ACN25" s="592">
        <v>13</v>
      </c>
      <c r="ACO25" s="759">
        <f t="shared" si="0"/>
        <v>0.14333333328999995</v>
      </c>
      <c r="ACP25" s="760"/>
      <c r="ACQ25" s="757">
        <f t="shared" si="1"/>
        <v>1.1299999999999999</v>
      </c>
      <c r="ACR25" s="758"/>
      <c r="ACT25" s="759">
        <v>1</v>
      </c>
      <c r="ACU25" s="760"/>
      <c r="ACV25" s="759">
        <v>-1.2</v>
      </c>
      <c r="ACW25" s="760"/>
      <c r="ACX25" s="592">
        <v>63</v>
      </c>
      <c r="ACY25" s="759">
        <f t="shared" si="8"/>
        <v>0.42999999999999994</v>
      </c>
      <c r="ACZ25" s="760"/>
      <c r="ADA25" s="757">
        <f t="shared" si="2"/>
        <v>1.63</v>
      </c>
      <c r="ADB25" s="758"/>
      <c r="ADD25" s="1112">
        <v>1.1052631578947369</v>
      </c>
      <c r="ADE25" s="1112"/>
      <c r="ADF25" s="1112">
        <v>-1.4210526315789478</v>
      </c>
      <c r="ADG25" s="1112"/>
      <c r="ADH25" s="591">
        <v>112</v>
      </c>
      <c r="ADI25" s="759">
        <f t="shared" si="3"/>
        <v>0.92210526315789476</v>
      </c>
      <c r="ADJ25" s="760"/>
      <c r="ADK25" s="757">
        <f t="shared" si="4"/>
        <v>2.12</v>
      </c>
      <c r="ADL25" s="758"/>
      <c r="ADN25" s="759">
        <v>1.1052631580000001</v>
      </c>
      <c r="ADO25" s="760"/>
      <c r="ADP25" s="759">
        <v>-1.42105263157895</v>
      </c>
      <c r="ADQ25" s="760"/>
      <c r="ADR25" s="591">
        <v>162</v>
      </c>
      <c r="ADS25" s="759">
        <f t="shared" si="9"/>
        <v>1.4747368423810503</v>
      </c>
      <c r="ADT25" s="760"/>
      <c r="ADU25" s="757">
        <f t="shared" si="5"/>
        <v>2.62</v>
      </c>
      <c r="ADV25" s="758"/>
      <c r="ADX25" s="759">
        <v>1.1052631580000001</v>
      </c>
      <c r="ADY25" s="760"/>
      <c r="ADZ25" s="759">
        <v>-1.42105263157895</v>
      </c>
      <c r="AEA25" s="760"/>
      <c r="AEB25" s="591">
        <v>212</v>
      </c>
      <c r="AEC25" s="759">
        <f t="shared" si="10"/>
        <v>2.0273684213810506</v>
      </c>
      <c r="AED25" s="760"/>
      <c r="AEE25" s="757">
        <f t="shared" si="6"/>
        <v>3.12</v>
      </c>
      <c r="AEF25" s="758"/>
      <c r="AEH25" s="759">
        <v>1.1052631580000001</v>
      </c>
      <c r="AEI25" s="760"/>
      <c r="AEJ25" s="759">
        <v>-1.42105263157895</v>
      </c>
      <c r="AEK25" s="760"/>
      <c r="AEL25" s="591">
        <v>262</v>
      </c>
      <c r="AEM25" s="759">
        <f t="shared" si="11"/>
        <v>2.5800000003810504</v>
      </c>
      <c r="AEN25" s="760"/>
      <c r="AEO25" s="757">
        <f t="shared" si="7"/>
        <v>3.62</v>
      </c>
      <c r="AEP25" s="758"/>
      <c r="AEQ25" s="653"/>
      <c r="AER25" s="653"/>
      <c r="AES25" s="653"/>
      <c r="AET25" s="653"/>
      <c r="AEU25" s="653"/>
      <c r="AEV25" s="653"/>
      <c r="AEW25" s="653"/>
      <c r="AEX25" s="653"/>
      <c r="AEY25" s="653"/>
      <c r="AEZ25" s="653"/>
      <c r="AFA25" s="856">
        <v>1.6</v>
      </c>
      <c r="AFB25" s="856"/>
      <c r="AFC25" s="856">
        <v>0.4</v>
      </c>
      <c r="AFD25" s="856"/>
      <c r="AFE25" s="856">
        <f>(AFC26-AFC25)/(AFA26-AFA25)</f>
        <v>1</v>
      </c>
      <c r="AFF25" s="856"/>
      <c r="AFG25" s="856">
        <f>AFC25-AFE25*AFA25</f>
        <v>-1.2000000000000002</v>
      </c>
      <c r="AFH25" s="856"/>
      <c r="AGJ25" s="377"/>
      <c r="AGK25" s="373"/>
      <c r="AGL25" s="54"/>
      <c r="AGM25" s="381" t="s">
        <v>1297</v>
      </c>
      <c r="AGN25" s="849"/>
      <c r="AGO25" s="1314" t="s">
        <v>1199</v>
      </c>
      <c r="AGP25" s="1315"/>
      <c r="AGQ25" s="883">
        <f>$AHA$15</f>
        <v>1</v>
      </c>
      <c r="AGR25" s="884"/>
      <c r="AGS25" s="792" t="s">
        <v>1429</v>
      </c>
      <c r="AGT25" s="792"/>
      <c r="AGU25" s="792"/>
      <c r="AGV25" s="792"/>
      <c r="AGW25" s="792"/>
      <c r="AGX25" s="792"/>
      <c r="AGY25" s="792"/>
      <c r="AGZ25" s="792"/>
      <c r="AHA25" s="793"/>
      <c r="AHB25" s="835">
        <f>65.15*AHB21*AHA15</f>
        <v>1.904585943720225</v>
      </c>
      <c r="AHC25" s="836"/>
      <c r="AHD25" s="1563" t="s">
        <v>45</v>
      </c>
      <c r="AHE25" s="1564"/>
      <c r="AHF25" s="1289"/>
      <c r="AHG25" s="1305" t="s">
        <v>1431</v>
      </c>
      <c r="AHH25" s="1305"/>
      <c r="AHI25" s="1305"/>
      <c r="AHJ25" s="1305"/>
      <c r="AHK25" s="1289"/>
      <c r="AHL25" s="1052"/>
      <c r="AHM25" s="1052"/>
      <c r="AHN25" s="1052"/>
      <c r="AHO25" s="1052"/>
      <c r="AHP25" s="1052"/>
      <c r="AHQ25" s="1052"/>
      <c r="AHR25" s="1052"/>
      <c r="AHS25" s="1052"/>
      <c r="AHT25" s="1052"/>
      <c r="AHU25" s="373"/>
      <c r="AHV25" s="373"/>
      <c r="AHW25" s="374"/>
      <c r="AIF25" s="130"/>
      <c r="AIG25" s="130"/>
      <c r="AIH25" s="130"/>
      <c r="AIP25" s="136"/>
      <c r="AIQ25" s="1257" t="s">
        <v>865</v>
      </c>
      <c r="AIR25" s="1257"/>
      <c r="AIS25" s="136"/>
      <c r="AIT25" s="957" t="s">
        <v>1411</v>
      </c>
      <c r="AIU25" s="957"/>
      <c r="AIV25" s="957"/>
      <c r="AIW25" s="957"/>
      <c r="AIX25" s="957"/>
      <c r="AIY25" s="957"/>
      <c r="AIZ25" s="957"/>
      <c r="AJA25" s="957"/>
      <c r="AJB25" s="957"/>
      <c r="AJC25" s="957"/>
      <c r="AJD25" s="957"/>
      <c r="AJE25" s="136"/>
      <c r="AKV25" s="653"/>
      <c r="AKW25" s="653"/>
      <c r="AKX25" s="653"/>
      <c r="AKY25" s="653"/>
      <c r="AKZ25" s="653"/>
      <c r="ALA25" s="653"/>
      <c r="ALB25" s="653"/>
      <c r="ALC25" s="653"/>
      <c r="ALD25" s="653"/>
      <c r="ALE25" s="653"/>
      <c r="ALF25" s="653"/>
      <c r="ALG25" s="653"/>
      <c r="ALH25" s="653"/>
      <c r="AOL25" s="130"/>
      <c r="AQL25" s="130"/>
      <c r="AQV25" s="653"/>
      <c r="AQW25" s="653"/>
      <c r="AQX25" s="653"/>
      <c r="AQY25" s="653"/>
      <c r="AQZ25" s="653"/>
      <c r="ARA25" s="653"/>
      <c r="ARB25" s="653"/>
      <c r="ARC25" s="653"/>
      <c r="ARD25" s="653"/>
      <c r="ARE25" s="653"/>
      <c r="ARF25" s="653"/>
      <c r="ARG25" s="653"/>
      <c r="ARH25" s="653"/>
      <c r="ARI25" s="653"/>
      <c r="ARJ25" s="653"/>
      <c r="ARK25" s="653"/>
      <c r="ARL25" s="653"/>
      <c r="ARM25" s="653"/>
      <c r="ARN25" s="653"/>
      <c r="ARO25" s="653"/>
      <c r="ARP25" s="653"/>
      <c r="ARQ25" s="653"/>
      <c r="ARR25" s="653"/>
      <c r="ARS25" s="653"/>
      <c r="ART25" s="653"/>
      <c r="ARU25" s="850"/>
      <c r="ARV25" s="1841"/>
      <c r="ARW25" s="1508"/>
      <c r="ARX25" s="1842"/>
      <c r="ARY25" s="823"/>
      <c r="ARZ25" s="824"/>
      <c r="ASA25" s="824"/>
      <c r="ASB25" s="824"/>
      <c r="ASC25" s="824"/>
      <c r="ASD25" s="824"/>
      <c r="ASE25" s="824"/>
      <c r="ASF25" s="824"/>
      <c r="ASG25" s="824"/>
      <c r="ASH25" s="824"/>
      <c r="ASI25" s="824"/>
      <c r="ASJ25" s="824"/>
      <c r="ASK25" s="1049"/>
      <c r="ASL25" s="1846"/>
      <c r="ASM25" s="1847"/>
      <c r="ASN25" s="1848"/>
      <c r="ASO25" s="1849"/>
      <c r="ASP25" s="1850"/>
      <c r="ASQ25" s="842"/>
      <c r="ASR25" s="918"/>
      <c r="ASS25" s="919"/>
      <c r="AST25" s="1256"/>
      <c r="ASU25" s="1205"/>
      <c r="ASV25" s="1845"/>
      <c r="ASW25" s="1206"/>
      <c r="ASX25" s="653"/>
      <c r="ASY25" s="653"/>
      <c r="ASZ25" s="653"/>
      <c r="ATA25" s="653"/>
      <c r="AWB25" s="850"/>
      <c r="AWC25" s="856"/>
      <c r="AWD25" s="856"/>
      <c r="AWE25" s="856"/>
      <c r="AWF25" s="856"/>
      <c r="AWG25" s="856"/>
      <c r="AWH25" s="856"/>
      <c r="AWI25" s="856"/>
      <c r="AWJ25" s="856"/>
      <c r="AWK25" s="856"/>
      <c r="AWL25" s="856"/>
      <c r="AWM25" s="856"/>
      <c r="AWN25" s="856"/>
      <c r="AWO25" s="856"/>
      <c r="AWP25" s="835"/>
      <c r="AWQ25" s="836"/>
      <c r="AWR25" s="839"/>
      <c r="AWS25" s="840"/>
      <c r="AWT25" s="841"/>
      <c r="AWU25" s="843" t="s">
        <v>416</v>
      </c>
      <c r="AWV25" s="844"/>
      <c r="AWW25" s="847"/>
    </row>
    <row r="26" spans="1:996 1076:1297" ht="48" customHeight="1" thickBot="1">
      <c r="A26" s="130"/>
      <c r="B26" s="130"/>
      <c r="C26" s="130"/>
      <c r="D26" s="162"/>
      <c r="E26" s="785"/>
      <c r="F26" s="786"/>
      <c r="G26" s="787"/>
      <c r="H26" s="158"/>
      <c r="I26" s="865" t="s">
        <v>911</v>
      </c>
      <c r="J26" s="867" t="s">
        <v>1830</v>
      </c>
      <c r="K26" s="868"/>
      <c r="L26" s="868"/>
      <c r="M26" s="868"/>
      <c r="N26" s="868"/>
      <c r="O26" s="868"/>
      <c r="P26" s="868"/>
      <c r="Q26" s="868"/>
      <c r="R26" s="869"/>
      <c r="S26" s="158"/>
      <c r="T26" s="158"/>
      <c r="U26" s="158"/>
      <c r="V26" s="158"/>
      <c r="W26" s="158"/>
      <c r="X26" s="158"/>
      <c r="Y26" s="163"/>
      <c r="AE26" s="130"/>
      <c r="AI26" s="903"/>
      <c r="AJ26" s="904"/>
      <c r="AK26" s="905"/>
      <c r="AL26" s="851"/>
      <c r="AM26" s="769"/>
      <c r="AN26" s="764"/>
      <c r="AO26" s="764"/>
      <c r="AP26" s="764"/>
      <c r="AQ26" s="764"/>
      <c r="AR26" s="764"/>
      <c r="AS26" s="764"/>
      <c r="AT26" s="764"/>
      <c r="AU26" s="764"/>
      <c r="AV26" s="764"/>
      <c r="AW26" s="765"/>
      <c r="AX26" s="1714"/>
      <c r="AY26" s="1715"/>
      <c r="AZ26" s="1263"/>
      <c r="BA26" s="1264"/>
      <c r="BB26" s="1067"/>
      <c r="BC26" s="918"/>
      <c r="BD26" s="919"/>
      <c r="BE26" s="848"/>
      <c r="BF26" s="653"/>
      <c r="BG26" s="653"/>
      <c r="BH26" s="653"/>
      <c r="BI26" s="653"/>
      <c r="BJ26" s="653"/>
      <c r="BK26" s="653"/>
      <c r="BN26" s="130"/>
      <c r="BO26" s="130"/>
      <c r="BP26" s="130"/>
      <c r="BQ26" s="130"/>
      <c r="BR26" s="130"/>
      <c r="BS26" s="130"/>
      <c r="BT26" s="130"/>
      <c r="BU26" s="130"/>
      <c r="BV26" s="130"/>
      <c r="DF26" s="130"/>
      <c r="DG26" s="130"/>
      <c r="DH26" s="130"/>
      <c r="DI26" s="130"/>
      <c r="DJ26" s="130"/>
      <c r="DK26" s="130"/>
      <c r="DL26" s="130"/>
      <c r="DM26" s="130"/>
      <c r="DN26" s="130"/>
      <c r="DO26" s="130"/>
      <c r="DP26" s="130"/>
      <c r="DQ26" s="130"/>
      <c r="DU26" s="130"/>
      <c r="DV26" s="130"/>
      <c r="DW26" s="130"/>
      <c r="DX26" s="130"/>
      <c r="FB26" s="130"/>
      <c r="FC26" s="130"/>
      <c r="FD26" s="130"/>
      <c r="FE26" s="130"/>
      <c r="FF26" s="130"/>
      <c r="FG26" s="130"/>
      <c r="FH26" s="130"/>
      <c r="FI26" s="130"/>
      <c r="FJ26" s="130"/>
      <c r="FK26" s="130"/>
      <c r="FL26" s="130"/>
      <c r="FM26" s="130"/>
      <c r="HL26" s="130"/>
      <c r="HM26" s="130"/>
      <c r="HN26" s="130"/>
      <c r="HO26" s="130"/>
      <c r="HP26" s="130"/>
      <c r="HQ26" s="130"/>
      <c r="HR26" s="130"/>
      <c r="LF26" s="130"/>
      <c r="LG26" s="130"/>
      <c r="LH26" s="130"/>
      <c r="LI26" s="130"/>
      <c r="LJ26" s="130"/>
      <c r="LK26" s="130"/>
      <c r="LL26" s="130"/>
      <c r="LM26" s="130"/>
      <c r="LN26" s="130"/>
      <c r="LO26" s="130"/>
      <c r="LP26" s="130"/>
      <c r="LQ26" s="130"/>
      <c r="MB26" s="76" t="s">
        <v>793</v>
      </c>
      <c r="MC26" s="852" t="s">
        <v>416</v>
      </c>
      <c r="MD26" s="853"/>
      <c r="ME26" s="344"/>
      <c r="MF26" s="78"/>
      <c r="MG26" s="78"/>
      <c r="MH26" s="78"/>
      <c r="MI26" s="344"/>
      <c r="MJ26" s="76" t="s">
        <v>441</v>
      </c>
      <c r="MK26" s="854" t="s">
        <v>435</v>
      </c>
      <c r="ML26" s="1111"/>
      <c r="MM26" s="1072" t="s">
        <v>111</v>
      </c>
      <c r="MN26" s="1074"/>
      <c r="MO26" s="916" t="s">
        <v>704</v>
      </c>
      <c r="MP26" s="917"/>
      <c r="MQ26" s="906" t="s">
        <v>447</v>
      </c>
      <c r="MR26" s="907"/>
      <c r="MS26" s="907"/>
      <c r="MT26" s="908"/>
      <c r="MU26" s="1051" t="s">
        <v>436</v>
      </c>
      <c r="MV26" s="1051"/>
      <c r="MW26" s="1051"/>
      <c r="MX26" s="1051"/>
      <c r="OH26" s="900"/>
      <c r="OI26" s="901"/>
      <c r="OJ26" s="902"/>
      <c r="OK26" s="130"/>
      <c r="OL26" s="900"/>
      <c r="OM26" s="901"/>
      <c r="ON26" s="902"/>
      <c r="OP26" s="900"/>
      <c r="OQ26" s="901"/>
      <c r="OR26" s="902"/>
      <c r="OT26" s="900"/>
      <c r="OU26" s="901"/>
      <c r="OV26" s="902"/>
      <c r="OW26" s="130"/>
      <c r="OX26" s="130"/>
      <c r="PH26" s="377"/>
      <c r="PI26" s="373"/>
      <c r="PJ26" s="54"/>
      <c r="PK26" s="54"/>
      <c r="PL26" s="1052"/>
      <c r="PM26" s="861" t="s">
        <v>1104</v>
      </c>
      <c r="PN26" s="861"/>
      <c r="PO26" s="761">
        <f>$JD$23</f>
        <v>1.9</v>
      </c>
      <c r="PP26" s="761"/>
      <c r="PQ26" s="729" t="s">
        <v>425</v>
      </c>
      <c r="PR26" s="1192">
        <f>$QA$53</f>
        <v>1.5</v>
      </c>
      <c r="PS26" s="1192"/>
      <c r="PT26" s="791" t="s">
        <v>1553</v>
      </c>
      <c r="PU26" s="792"/>
      <c r="PV26" s="792"/>
      <c r="PW26" s="792"/>
      <c r="PX26" s="792"/>
      <c r="PY26" s="792"/>
      <c r="PZ26" s="792"/>
      <c r="QA26" s="793"/>
      <c r="QB26" s="885">
        <f>PR25*(PR27/50)*(PR28^2*PO28+PO26*PO27)</f>
        <v>217.74283360422794</v>
      </c>
      <c r="QC26" s="886"/>
      <c r="QD26" s="1591" t="s">
        <v>3</v>
      </c>
      <c r="QE26" s="1592"/>
      <c r="QF26" s="1248"/>
      <c r="QG26" s="1538" t="s">
        <v>1537</v>
      </c>
      <c r="QH26" s="1538"/>
      <c r="QI26" s="1538"/>
      <c r="QJ26" s="1289"/>
      <c r="QK26" s="1052"/>
      <c r="QL26" s="1052"/>
      <c r="QM26" s="1052"/>
      <c r="QN26" s="1052"/>
      <c r="QO26" s="1052"/>
      <c r="QP26" s="1052"/>
      <c r="QQ26" s="1052"/>
      <c r="QR26" s="1052"/>
      <c r="QS26" s="1052"/>
      <c r="QT26" s="1052"/>
      <c r="QU26" s="1052"/>
      <c r="QV26" s="1052"/>
      <c r="QW26" s="1052"/>
      <c r="QX26" s="1052"/>
      <c r="QY26" s="1052"/>
      <c r="QZ26" s="373"/>
      <c r="RA26" s="373"/>
      <c r="RB26" s="373"/>
      <c r="RC26" s="374"/>
      <c r="RE26" s="653"/>
      <c r="RF26" s="653"/>
      <c r="RG26" s="653"/>
      <c r="RH26" s="653"/>
      <c r="RI26" s="653"/>
      <c r="RJ26" s="653"/>
      <c r="RK26" s="653"/>
      <c r="RL26" s="653"/>
      <c r="RM26" s="653"/>
      <c r="RN26" s="653"/>
      <c r="RO26" s="653"/>
      <c r="RP26" s="653"/>
      <c r="RQ26" s="653"/>
      <c r="RR26" s="653"/>
      <c r="RS26" s="653"/>
      <c r="RT26" s="653"/>
      <c r="RU26" s="653"/>
      <c r="RV26" s="653"/>
      <c r="RW26" s="653"/>
      <c r="RX26" s="653"/>
      <c r="RY26" s="653"/>
      <c r="RZ26" s="850"/>
      <c r="SA26" s="631" t="s">
        <v>1216</v>
      </c>
      <c r="SB26" s="766">
        <f>$AP$7</f>
        <v>220</v>
      </c>
      <c r="SC26" s="766"/>
      <c r="SD26" s="856" t="s">
        <v>124</v>
      </c>
      <c r="SE26" s="856"/>
      <c r="SF26" s="856"/>
      <c r="SG26" s="856"/>
      <c r="SH26" s="856"/>
      <c r="SI26" s="856"/>
      <c r="SJ26" s="856"/>
      <c r="SK26" s="856"/>
      <c r="SL26" s="856"/>
      <c r="SM26" s="1069"/>
      <c r="SN26" s="835">
        <f>(SG25+3*SB27^2*SB28)/(3*SB26)</f>
        <v>0.91906384518855788</v>
      </c>
      <c r="SO26" s="836"/>
      <c r="SP26" s="1188" t="s">
        <v>32</v>
      </c>
      <c r="SQ26" s="1189"/>
      <c r="SR26" s="1066"/>
      <c r="SS26" s="1170" t="s">
        <v>1203</v>
      </c>
      <c r="ST26" s="1172"/>
      <c r="SU26" s="847"/>
      <c r="SV26" s="826"/>
      <c r="SW26" s="945"/>
      <c r="SX26" s="945"/>
      <c r="SY26" s="945"/>
      <c r="SZ26" s="945"/>
      <c r="TA26" s="946"/>
      <c r="TB26" s="653"/>
      <c r="TC26" s="653"/>
      <c r="TD26" s="653"/>
      <c r="TE26" s="653"/>
      <c r="TF26" s="653"/>
      <c r="TG26" s="653"/>
      <c r="TH26" s="653"/>
      <c r="TI26" s="653"/>
      <c r="TJ26" s="653"/>
      <c r="TK26" s="653"/>
      <c r="TL26" s="653"/>
      <c r="TM26" s="653"/>
      <c r="TN26" s="653"/>
      <c r="TO26" s="653"/>
      <c r="TP26" s="653"/>
      <c r="TQ26" s="653"/>
      <c r="TR26" s="653"/>
      <c r="TS26" s="653"/>
      <c r="TX26" s="653"/>
      <c r="TY26" s="653"/>
      <c r="TZ26" s="653"/>
      <c r="UA26" s="653"/>
      <c r="UB26" s="653"/>
      <c r="UC26" s="653"/>
      <c r="UD26" s="653"/>
      <c r="UE26" s="653"/>
      <c r="UF26" s="653"/>
      <c r="UG26" s="653"/>
      <c r="UH26" s="653"/>
      <c r="UI26" s="653"/>
      <c r="UJ26" s="653"/>
      <c r="UK26" s="653"/>
      <c r="UL26" s="653"/>
      <c r="UM26" s="653"/>
      <c r="UN26" s="653"/>
      <c r="UO26" s="653"/>
      <c r="UP26" s="653"/>
      <c r="UQ26" s="653"/>
      <c r="UR26" s="653"/>
      <c r="US26" s="653"/>
      <c r="UT26" s="653"/>
      <c r="UU26" s="653"/>
      <c r="UV26" s="653"/>
      <c r="UW26" s="653"/>
      <c r="UX26" s="653"/>
      <c r="UY26" s="653"/>
      <c r="UZ26" s="653"/>
      <c r="WE26" s="1831"/>
      <c r="WF26" s="1832"/>
      <c r="WG26" s="1832"/>
      <c r="WH26" s="1832"/>
      <c r="WI26" s="1832"/>
      <c r="WJ26" s="1833"/>
      <c r="WK26" s="169"/>
      <c r="WL26" s="170"/>
      <c r="WM26" s="170"/>
      <c r="WN26" s="170"/>
      <c r="WO26" s="170"/>
      <c r="WP26" s="170"/>
      <c r="WQ26" s="170"/>
      <c r="WR26" s="170"/>
      <c r="WS26" s="170"/>
      <c r="WT26" s="170"/>
      <c r="WU26" s="170"/>
      <c r="WV26" s="170"/>
      <c r="WW26" s="172"/>
      <c r="WX26" s="978"/>
      <c r="WY26" s="979"/>
      <c r="WZ26" s="754"/>
      <c r="XA26" s="755"/>
      <c r="XB26" s="169"/>
      <c r="XC26" s="170"/>
      <c r="XD26" s="170"/>
      <c r="XE26" s="170"/>
      <c r="XF26" s="172"/>
      <c r="XG26" s="967"/>
      <c r="XH26" s="967"/>
      <c r="XI26" s="967"/>
      <c r="XJ26" s="967"/>
      <c r="XK26" s="967"/>
      <c r="XL26" s="967"/>
      <c r="XM26" s="967"/>
      <c r="XN26" s="967"/>
      <c r="XO26" s="967"/>
      <c r="XP26" s="967"/>
      <c r="XQ26" s="967"/>
      <c r="XR26" s="967"/>
      <c r="XS26" s="967"/>
      <c r="XT26" s="967"/>
      <c r="XU26" s="967"/>
      <c r="XV26" s="967"/>
      <c r="XW26" s="967"/>
      <c r="XX26" s="967"/>
      <c r="XY26" s="967"/>
      <c r="XZ26" s="967"/>
      <c r="YA26" s="967"/>
      <c r="YB26" s="967"/>
      <c r="YC26" s="967"/>
      <c r="YD26" s="967"/>
      <c r="YE26" s="967"/>
      <c r="YF26" s="967"/>
      <c r="YG26" s="967"/>
      <c r="YH26" s="967"/>
      <c r="YI26" s="967"/>
      <c r="YJ26" s="967"/>
      <c r="YK26" s="967"/>
      <c r="YL26" s="967"/>
      <c r="YM26" s="967"/>
      <c r="YN26" s="967"/>
      <c r="YO26" s="967"/>
      <c r="YP26" s="967"/>
      <c r="YQ26" s="967"/>
      <c r="YR26" s="967"/>
      <c r="YS26" s="967"/>
      <c r="YT26" s="967"/>
      <c r="YU26" s="967"/>
      <c r="YV26" s="967"/>
      <c r="YW26" s="967"/>
      <c r="YX26" s="967"/>
      <c r="YY26" s="967"/>
      <c r="YZ26" s="967"/>
      <c r="ZA26" s="967"/>
      <c r="ZB26" s="967"/>
      <c r="ZC26" s="967"/>
      <c r="ZD26" s="967"/>
      <c r="ZE26" s="967"/>
      <c r="ZF26" s="967"/>
      <c r="ZG26" s="967"/>
      <c r="ZH26" s="967"/>
      <c r="ZI26" s="967"/>
      <c r="ZJ26" s="967"/>
      <c r="ZK26" s="967"/>
      <c r="ZL26" s="967"/>
      <c r="ZM26" s="967"/>
      <c r="ZN26" s="967"/>
      <c r="ZO26" s="967"/>
      <c r="ZP26" s="967"/>
      <c r="ZQ26" s="967"/>
      <c r="ZR26" s="967"/>
      <c r="ZS26" s="967"/>
      <c r="ZT26" s="967"/>
      <c r="ZU26" s="967"/>
      <c r="ZV26" s="967"/>
      <c r="ZW26" s="967"/>
      <c r="ZX26" s="967"/>
      <c r="ZY26" s="967"/>
      <c r="ZZ26" s="967"/>
      <c r="AAA26" s="967"/>
      <c r="AAB26" s="967"/>
      <c r="AAC26" s="967"/>
      <c r="AAD26" s="967"/>
      <c r="AAE26" s="967"/>
      <c r="AAF26" s="967"/>
      <c r="AAG26" s="967"/>
      <c r="AAH26" s="967"/>
      <c r="AAI26" s="967"/>
      <c r="AAJ26" s="967"/>
      <c r="AAK26" s="967"/>
      <c r="AAL26" s="967"/>
      <c r="AAM26" s="967"/>
      <c r="AAN26" s="967"/>
      <c r="AAO26" s="967"/>
      <c r="AAP26" s="967"/>
      <c r="AAQ26" s="967"/>
      <c r="AAR26" s="967"/>
      <c r="AAS26" s="967"/>
      <c r="AAT26" s="965"/>
      <c r="AAU26" s="754"/>
      <c r="AAV26" s="755"/>
      <c r="AAW26" s="169"/>
      <c r="AAX26" s="170"/>
      <c r="AAY26" s="170"/>
      <c r="AAZ26" s="172"/>
      <c r="ABA26" s="158"/>
      <c r="ABB26" s="158"/>
      <c r="ABC26" s="158"/>
      <c r="ABD26" s="163"/>
      <c r="ACJ26" s="759">
        <v>0.33333333300000001</v>
      </c>
      <c r="ACK26" s="760"/>
      <c r="ACL26" s="759">
        <v>-0.233333333</v>
      </c>
      <c r="ACM26" s="760"/>
      <c r="ACN26" s="592">
        <v>14</v>
      </c>
      <c r="ACO26" s="759">
        <f t="shared" si="0"/>
        <v>0.14666666662000002</v>
      </c>
      <c r="ACP26" s="760"/>
      <c r="ACQ26" s="757">
        <f t="shared" si="1"/>
        <v>1.1400000000000001</v>
      </c>
      <c r="ACR26" s="758"/>
      <c r="ACT26" s="759">
        <v>1</v>
      </c>
      <c r="ACU26" s="760"/>
      <c r="ACV26" s="759">
        <v>-1.2</v>
      </c>
      <c r="ACW26" s="760"/>
      <c r="ACX26" s="592">
        <v>64</v>
      </c>
      <c r="ACY26" s="759">
        <f t="shared" si="8"/>
        <v>0.44000000000000017</v>
      </c>
      <c r="ACZ26" s="760"/>
      <c r="ADA26" s="757">
        <f t="shared" si="2"/>
        <v>1.6400000000000001</v>
      </c>
      <c r="ADB26" s="758"/>
      <c r="ADD26" s="1112">
        <v>1.1052631578947401</v>
      </c>
      <c r="ADE26" s="1112"/>
      <c r="ADF26" s="1112">
        <v>-1.42105263157895</v>
      </c>
      <c r="ADG26" s="1112"/>
      <c r="ADH26" s="591">
        <v>113</v>
      </c>
      <c r="ADI26" s="759">
        <f t="shared" si="3"/>
        <v>0.9331578947368464</v>
      </c>
      <c r="ADJ26" s="760"/>
      <c r="ADK26" s="757">
        <f t="shared" si="4"/>
        <v>2.13</v>
      </c>
      <c r="ADL26" s="758"/>
      <c r="ADN26" s="759">
        <v>1.1052631580000001</v>
      </c>
      <c r="ADO26" s="760"/>
      <c r="ADP26" s="759">
        <v>-1.42105263157895</v>
      </c>
      <c r="ADQ26" s="760"/>
      <c r="ADR26" s="591">
        <v>163</v>
      </c>
      <c r="ADS26" s="759">
        <f t="shared" si="9"/>
        <v>1.48578947396105</v>
      </c>
      <c r="ADT26" s="760"/>
      <c r="ADU26" s="757">
        <f t="shared" si="5"/>
        <v>2.63</v>
      </c>
      <c r="ADV26" s="758"/>
      <c r="ADX26" s="759">
        <v>1.1052631580000001</v>
      </c>
      <c r="ADY26" s="760"/>
      <c r="ADZ26" s="759">
        <v>-1.42105263157895</v>
      </c>
      <c r="AEA26" s="760"/>
      <c r="AEB26" s="591">
        <v>213</v>
      </c>
      <c r="AEC26" s="759">
        <f t="shared" si="10"/>
        <v>2.0384210529610503</v>
      </c>
      <c r="AED26" s="760"/>
      <c r="AEE26" s="757">
        <f t="shared" si="6"/>
        <v>3.13</v>
      </c>
      <c r="AEF26" s="758"/>
      <c r="AEH26" s="759">
        <v>1.1052631580000001</v>
      </c>
      <c r="AEI26" s="760"/>
      <c r="AEJ26" s="759">
        <v>-1.42105263157895</v>
      </c>
      <c r="AEK26" s="760"/>
      <c r="AEL26" s="591">
        <v>263</v>
      </c>
      <c r="AEM26" s="759">
        <f t="shared" si="11"/>
        <v>2.5910526319610505</v>
      </c>
      <c r="AEN26" s="760"/>
      <c r="AEO26" s="757">
        <f t="shared" si="7"/>
        <v>3.63</v>
      </c>
      <c r="AEP26" s="758"/>
      <c r="AEQ26" s="653"/>
      <c r="AER26" s="653"/>
      <c r="AES26" s="653"/>
      <c r="AET26" s="653"/>
      <c r="AEU26" s="653"/>
      <c r="AEV26" s="653"/>
      <c r="AEW26" s="653"/>
      <c r="AEX26" s="653"/>
      <c r="AEY26" s="653"/>
      <c r="AEZ26" s="653"/>
      <c r="AFA26" s="856">
        <v>2.1</v>
      </c>
      <c r="AFB26" s="856"/>
      <c r="AFC26" s="856">
        <v>0.9</v>
      </c>
      <c r="AFD26" s="856"/>
      <c r="AFE26" s="856">
        <f>(AFC27-AFC26)/(AFA27-AFA26)</f>
        <v>1.1052631578947369</v>
      </c>
      <c r="AFF26" s="856"/>
      <c r="AFG26" s="856">
        <f>AFC26-AFE26*AFA26</f>
        <v>-1.4210526315789478</v>
      </c>
      <c r="AFH26" s="856"/>
      <c r="AGJ26" s="377"/>
      <c r="AGK26" s="373"/>
      <c r="AGL26" s="54"/>
      <c r="AGM26" s="373"/>
      <c r="AGN26" s="851"/>
      <c r="AGO26" s="802" t="s">
        <v>1463</v>
      </c>
      <c r="AGP26" s="1116"/>
      <c r="AGQ26" s="1108">
        <f>$AHB$21</f>
        <v>2.923385945848388E-2</v>
      </c>
      <c r="AGR26" s="1109"/>
      <c r="AGS26" s="795"/>
      <c r="AGT26" s="795"/>
      <c r="AGU26" s="795"/>
      <c r="AGV26" s="795"/>
      <c r="AGW26" s="795"/>
      <c r="AGX26" s="795"/>
      <c r="AGY26" s="795"/>
      <c r="AGZ26" s="795"/>
      <c r="AHA26" s="796"/>
      <c r="AHB26" s="837"/>
      <c r="AHC26" s="838"/>
      <c r="AHD26" s="1565"/>
      <c r="AHE26" s="1566"/>
      <c r="AHF26" s="1290"/>
      <c r="AHG26" s="1306"/>
      <c r="AHH26" s="1306"/>
      <c r="AHI26" s="1306"/>
      <c r="AHJ26" s="1306"/>
      <c r="AHK26" s="1290"/>
      <c r="AHL26" s="1053"/>
      <c r="AHM26" s="1053"/>
      <c r="AHN26" s="1053"/>
      <c r="AHO26" s="1053"/>
      <c r="AHP26" s="1053"/>
      <c r="AHQ26" s="1053"/>
      <c r="AHR26" s="1053"/>
      <c r="AHS26" s="1053"/>
      <c r="AHT26" s="1053"/>
      <c r="AHU26" s="373"/>
      <c r="AHV26" s="373"/>
      <c r="AHW26" s="374"/>
      <c r="AIP26" s="199"/>
      <c r="AIQ26" s="852" t="s">
        <v>866</v>
      </c>
      <c r="AIR26" s="923"/>
      <c r="AIS26" s="199"/>
      <c r="AIT26" s="1069" t="s">
        <v>1004</v>
      </c>
      <c r="AIU26" s="1070"/>
      <c r="AIV26" s="1070"/>
      <c r="AIW26" s="1070"/>
      <c r="AIX26" s="1070"/>
      <c r="AIY26" s="1070"/>
      <c r="AIZ26" s="1070"/>
      <c r="AJA26" s="1070"/>
      <c r="AJB26" s="1070"/>
      <c r="AJC26" s="1070"/>
      <c r="AJD26" s="1071"/>
      <c r="AJE26" s="199"/>
      <c r="AKV26" s="653"/>
      <c r="AKW26" s="653"/>
      <c r="AKX26" s="653"/>
      <c r="AKY26" s="653"/>
      <c r="AKZ26" s="653"/>
      <c r="ALA26" s="653"/>
      <c r="ALB26" s="653"/>
      <c r="ALC26" s="653"/>
      <c r="ALD26" s="653"/>
      <c r="ALE26" s="653"/>
      <c r="ALF26" s="653"/>
      <c r="ALG26" s="653"/>
      <c r="ALH26" s="653"/>
      <c r="AOL26" s="130"/>
      <c r="AQL26" s="130"/>
      <c r="AQV26" s="653"/>
      <c r="AQW26" s="653"/>
      <c r="AQX26" s="653"/>
      <c r="ARH26" s="653"/>
      <c r="ARI26" s="653"/>
      <c r="ARJ26" s="653"/>
      <c r="ARK26" s="653"/>
      <c r="ARL26" s="653"/>
      <c r="ARM26" s="653"/>
      <c r="ARN26" s="653"/>
      <c r="ARO26" s="653"/>
      <c r="ARP26" s="653"/>
      <c r="ARQ26" s="653"/>
      <c r="ARR26" s="653"/>
      <c r="ARS26" s="653"/>
      <c r="ART26" s="653"/>
      <c r="ARU26" s="851"/>
      <c r="ARV26" s="1852"/>
      <c r="ARW26" s="1511"/>
      <c r="ARX26" s="1853"/>
      <c r="ARY26" s="794"/>
      <c r="ARZ26" s="795"/>
      <c r="ASA26" s="795"/>
      <c r="ASB26" s="795"/>
      <c r="ASC26" s="795"/>
      <c r="ASD26" s="795"/>
      <c r="ASE26" s="795"/>
      <c r="ASF26" s="795"/>
      <c r="ASG26" s="795"/>
      <c r="ASH26" s="795"/>
      <c r="ASI26" s="795"/>
      <c r="ASJ26" s="795"/>
      <c r="ASK26" s="796"/>
      <c r="ASL26" s="1444"/>
      <c r="ASM26" s="773"/>
      <c r="ASN26" s="1608"/>
      <c r="ASO26" s="1209"/>
      <c r="ASP26" s="1210"/>
      <c r="ASQ26" s="205"/>
      <c r="ASR26" s="205"/>
      <c r="ASS26" s="205"/>
      <c r="AST26" s="205"/>
      <c r="ASU26" s="1276"/>
      <c r="ASV26" s="1277"/>
      <c r="ASW26" s="1278"/>
      <c r="ASX26" s="653"/>
      <c r="ASY26" s="653"/>
      <c r="ASZ26" s="653"/>
      <c r="ATA26" s="653"/>
      <c r="AWB26" s="851"/>
      <c r="AWC26" s="857"/>
      <c r="AWD26" s="857"/>
      <c r="AWE26" s="857"/>
      <c r="AWF26" s="857"/>
      <c r="AWG26" s="857"/>
      <c r="AWH26" s="857"/>
      <c r="AWI26" s="857"/>
      <c r="AWJ26" s="857"/>
      <c r="AWK26" s="857"/>
      <c r="AWL26" s="857"/>
      <c r="AWM26" s="857"/>
      <c r="AWN26" s="857"/>
      <c r="AWO26" s="857"/>
      <c r="AWP26" s="837"/>
      <c r="AWQ26" s="838"/>
      <c r="AWR26" s="777"/>
      <c r="AWS26" s="799"/>
      <c r="AWT26" s="842"/>
      <c r="AWU26" s="845"/>
      <c r="AWV26" s="846"/>
      <c r="AWW26" s="848"/>
    </row>
    <row r="27" spans="1:996 1076:1297" ht="48" customHeight="1" thickBot="1">
      <c r="C27" s="207"/>
      <c r="D27" s="162"/>
      <c r="E27" s="788"/>
      <c r="F27" s="789"/>
      <c r="G27" s="790"/>
      <c r="H27" s="158"/>
      <c r="I27" s="866"/>
      <c r="J27" s="870"/>
      <c r="K27" s="871"/>
      <c r="L27" s="871"/>
      <c r="M27" s="871"/>
      <c r="N27" s="871"/>
      <c r="O27" s="871"/>
      <c r="P27" s="871"/>
      <c r="Q27" s="871"/>
      <c r="R27" s="872"/>
      <c r="S27" s="158"/>
      <c r="T27" s="158"/>
      <c r="U27" s="158"/>
      <c r="V27" s="158"/>
      <c r="W27" s="158"/>
      <c r="X27" s="158"/>
      <c r="Y27" s="163"/>
      <c r="Z27" s="207"/>
      <c r="AA27" s="207"/>
      <c r="AB27" s="207"/>
      <c r="AC27" s="130"/>
      <c r="AD27" s="130"/>
      <c r="AE27" s="130"/>
      <c r="BI27" s="653"/>
      <c r="BJ27" s="653"/>
      <c r="BK27" s="653"/>
      <c r="BQ27" s="130"/>
      <c r="BR27" s="130"/>
      <c r="BS27" s="130"/>
      <c r="BT27" s="130"/>
      <c r="BU27" s="130"/>
      <c r="BV27" s="130"/>
      <c r="BX27" s="897" t="s">
        <v>930</v>
      </c>
      <c r="BY27" s="898"/>
      <c r="BZ27" s="899"/>
      <c r="CA27" s="849"/>
      <c r="CB27" s="1257" t="s">
        <v>20</v>
      </c>
      <c r="CC27" s="1257"/>
      <c r="CD27" s="124"/>
      <c r="CE27" s="78"/>
      <c r="CF27" s="78"/>
      <c r="CG27" s="78"/>
      <c r="CH27" s="78"/>
      <c r="CI27" s="78"/>
      <c r="CJ27" s="78"/>
      <c r="CK27" s="124"/>
      <c r="CL27" s="76" t="s">
        <v>441</v>
      </c>
      <c r="CM27" s="854" t="s">
        <v>435</v>
      </c>
      <c r="CN27" s="855"/>
      <c r="CO27" s="920" t="s">
        <v>111</v>
      </c>
      <c r="CP27" s="921"/>
      <c r="CQ27" s="916" t="s">
        <v>704</v>
      </c>
      <c r="CR27" s="917"/>
      <c r="CS27" s="906" t="s">
        <v>447</v>
      </c>
      <c r="CT27" s="907"/>
      <c r="CU27" s="907"/>
      <c r="CV27" s="908"/>
      <c r="DF27" s="130"/>
      <c r="DG27" s="130"/>
      <c r="DH27" s="130"/>
      <c r="DI27" s="130"/>
      <c r="DJ27" s="130"/>
      <c r="DK27" s="130"/>
      <c r="DL27" s="130"/>
      <c r="DM27" s="130"/>
      <c r="DN27" s="130"/>
      <c r="DO27" s="130"/>
      <c r="DP27" s="130"/>
      <c r="DQ27" s="130"/>
      <c r="DU27" s="130"/>
      <c r="DV27" s="130"/>
      <c r="DW27" s="130"/>
      <c r="DX27" s="130"/>
      <c r="DY27" s="130"/>
      <c r="DZ27" s="1052"/>
      <c r="EA27" s="852" t="s">
        <v>1028</v>
      </c>
      <c r="EB27" s="923"/>
      <c r="EC27" s="242"/>
      <c r="ED27" s="245" t="s">
        <v>1024</v>
      </c>
      <c r="EE27" s="761">
        <f>$AW$95</f>
        <v>0.19391178434038603</v>
      </c>
      <c r="EF27" s="761"/>
      <c r="EG27" s="78"/>
      <c r="EH27" s="78"/>
      <c r="EI27" s="78"/>
      <c r="EJ27" s="136"/>
      <c r="EK27" s="76" t="s">
        <v>441</v>
      </c>
      <c r="EL27" s="854" t="s">
        <v>435</v>
      </c>
      <c r="EM27" s="855"/>
      <c r="EN27" s="920" t="s">
        <v>111</v>
      </c>
      <c r="EO27" s="921"/>
      <c r="EP27" s="916" t="s">
        <v>704</v>
      </c>
      <c r="EQ27" s="917"/>
      <c r="ER27" s="906" t="s">
        <v>447</v>
      </c>
      <c r="ES27" s="907"/>
      <c r="ET27" s="907"/>
      <c r="EU27" s="907"/>
      <c r="EV27" s="906" t="s">
        <v>436</v>
      </c>
      <c r="EW27" s="907"/>
      <c r="EX27" s="907"/>
      <c r="EY27" s="907"/>
      <c r="EZ27" s="907"/>
      <c r="FA27" s="908"/>
      <c r="FH27" s="130"/>
      <c r="FI27" s="130"/>
      <c r="FJ27" s="130"/>
      <c r="FK27" s="130"/>
      <c r="FL27" s="130"/>
      <c r="GF27" s="76" t="s">
        <v>793</v>
      </c>
      <c r="GG27" s="852" t="s">
        <v>416</v>
      </c>
      <c r="GH27" s="923"/>
      <c r="GI27" s="136"/>
      <c r="GJ27" s="76" t="s">
        <v>441</v>
      </c>
      <c r="GK27" s="854" t="s">
        <v>435</v>
      </c>
      <c r="GL27" s="855"/>
      <c r="GM27" s="924" t="s">
        <v>111</v>
      </c>
      <c r="GN27" s="925"/>
      <c r="GO27" s="916" t="s">
        <v>704</v>
      </c>
      <c r="GP27" s="917"/>
      <c r="GQ27" s="906" t="s">
        <v>447</v>
      </c>
      <c r="GR27" s="907"/>
      <c r="GS27" s="907"/>
      <c r="GT27" s="908"/>
      <c r="GU27" s="1051" t="s">
        <v>436</v>
      </c>
      <c r="GV27" s="1051"/>
      <c r="GW27" s="1051"/>
      <c r="GX27" s="1051"/>
      <c r="GY27" s="1051"/>
      <c r="HN27" s="130"/>
      <c r="HO27" s="130"/>
      <c r="HP27" s="130"/>
      <c r="HQ27" s="130"/>
      <c r="HR27" s="130"/>
      <c r="IR27" s="1052"/>
      <c r="IS27" s="852" t="s">
        <v>416</v>
      </c>
      <c r="IT27" s="923"/>
      <c r="IU27" s="224"/>
      <c r="IV27" s="230" t="s">
        <v>1016</v>
      </c>
      <c r="IW27" s="883">
        <f>$EN$28</f>
        <v>5.4298617077080698</v>
      </c>
      <c r="IX27" s="884"/>
      <c r="IY27" s="136"/>
      <c r="IZ27" s="78"/>
      <c r="JA27" s="78"/>
      <c r="JB27" s="136"/>
      <c r="JC27" s="76" t="s">
        <v>441</v>
      </c>
      <c r="JD27" s="854" t="s">
        <v>435</v>
      </c>
      <c r="JE27" s="1111"/>
      <c r="JF27" s="920" t="s">
        <v>111</v>
      </c>
      <c r="JG27" s="921"/>
      <c r="JH27" s="916" t="s">
        <v>704</v>
      </c>
      <c r="JI27" s="917"/>
      <c r="JJ27" s="906" t="s">
        <v>447</v>
      </c>
      <c r="JK27" s="907"/>
      <c r="JL27" s="907"/>
      <c r="JM27" s="908"/>
      <c r="JN27" s="1051" t="s">
        <v>436</v>
      </c>
      <c r="JO27" s="1051"/>
      <c r="JP27" s="1051"/>
      <c r="JQ27" s="1051"/>
      <c r="JR27" s="1051"/>
      <c r="JZ27" s="185"/>
      <c r="KA27" s="852" t="s">
        <v>836</v>
      </c>
      <c r="KB27" s="923"/>
      <c r="KC27" s="185"/>
      <c r="KD27" s="1069" t="s">
        <v>64</v>
      </c>
      <c r="KE27" s="1070"/>
      <c r="KF27" s="1070"/>
      <c r="KG27" s="1070"/>
      <c r="KH27" s="1070"/>
      <c r="KI27" s="1070"/>
      <c r="KJ27" s="1070"/>
      <c r="KK27" s="1070"/>
      <c r="KL27" s="1070"/>
      <c r="KM27" s="1070"/>
      <c r="KN27" s="1071"/>
      <c r="KO27" s="185"/>
      <c r="LF27" s="130"/>
      <c r="LG27" s="130"/>
      <c r="LH27" s="130"/>
      <c r="LI27" s="130"/>
      <c r="LJ27" s="130"/>
      <c r="LK27" s="130"/>
      <c r="LL27" s="130"/>
      <c r="LM27" s="130"/>
      <c r="LN27" s="130"/>
      <c r="LO27" s="130"/>
      <c r="LP27" s="130"/>
      <c r="LQ27" s="130"/>
      <c r="MB27" s="849"/>
      <c r="MC27" s="935" t="s">
        <v>1204</v>
      </c>
      <c r="MD27" s="936"/>
      <c r="ME27" s="761">
        <f>$MP$31</f>
        <v>0.91414919461312616</v>
      </c>
      <c r="MF27" s="761"/>
      <c r="MG27" s="791" t="s">
        <v>70</v>
      </c>
      <c r="MH27" s="792"/>
      <c r="MI27" s="792"/>
      <c r="MJ27" s="792"/>
      <c r="MK27" s="792"/>
      <c r="ML27" s="793"/>
      <c r="MM27" s="1623">
        <f>(MP31)*CL71</f>
        <v>62.162145233692577</v>
      </c>
      <c r="MN27" s="1624"/>
      <c r="MO27" s="1261" t="s">
        <v>706</v>
      </c>
      <c r="MP27" s="1262"/>
      <c r="MQ27" s="841"/>
      <c r="MR27" s="893" t="s">
        <v>938</v>
      </c>
      <c r="MS27" s="894"/>
      <c r="MT27" s="847"/>
      <c r="MU27" s="827"/>
      <c r="MV27" s="947"/>
      <c r="MW27" s="947"/>
      <c r="MX27" s="948"/>
      <c r="OH27" s="903"/>
      <c r="OI27" s="904"/>
      <c r="OJ27" s="905"/>
      <c r="OL27" s="903"/>
      <c r="OM27" s="904"/>
      <c r="ON27" s="905"/>
      <c r="OP27" s="903"/>
      <c r="OQ27" s="904"/>
      <c r="OR27" s="905"/>
      <c r="OT27" s="903"/>
      <c r="OU27" s="904"/>
      <c r="OV27" s="905"/>
      <c r="OW27" s="130"/>
      <c r="OX27" s="130"/>
      <c r="OY27" s="130"/>
      <c r="OZ27" s="130"/>
      <c r="PA27" s="130"/>
      <c r="PB27" s="130"/>
      <c r="PC27" s="130"/>
      <c r="PD27" s="130"/>
      <c r="PE27" s="130"/>
      <c r="PF27" s="130"/>
      <c r="PG27" s="130"/>
      <c r="PH27" s="377"/>
      <c r="PI27" s="373"/>
      <c r="PJ27" s="54"/>
      <c r="PK27" s="373"/>
      <c r="PL27" s="1052"/>
      <c r="PM27" s="1325" t="s">
        <v>1555</v>
      </c>
      <c r="PN27" s="1325"/>
      <c r="PO27" s="1192">
        <f>$PZ$49</f>
        <v>32.734547777960586</v>
      </c>
      <c r="PP27" s="1192"/>
      <c r="PQ27" s="725" t="s">
        <v>1244</v>
      </c>
      <c r="PR27" s="766">
        <f>$AP$8</f>
        <v>50</v>
      </c>
      <c r="PS27" s="766"/>
      <c r="PT27" s="823"/>
      <c r="PU27" s="824"/>
      <c r="PV27" s="824"/>
      <c r="PW27" s="824"/>
      <c r="PX27" s="824"/>
      <c r="PY27" s="824"/>
      <c r="PZ27" s="824"/>
      <c r="QA27" s="1049"/>
      <c r="QB27" s="1813"/>
      <c r="QC27" s="1814"/>
      <c r="QD27" s="1593"/>
      <c r="QE27" s="1594"/>
      <c r="QF27" s="841"/>
      <c r="QG27" s="1806"/>
      <c r="QH27" s="1806"/>
      <c r="QI27" s="1806"/>
      <c r="QJ27" s="847"/>
      <c r="QK27" s="1052"/>
      <c r="QL27" s="1052"/>
      <c r="QM27" s="1052"/>
      <c r="QN27" s="1052"/>
      <c r="QO27" s="1052"/>
      <c r="QP27" s="1052"/>
      <c r="QQ27" s="1052"/>
      <c r="QR27" s="1052"/>
      <c r="QS27" s="1052"/>
      <c r="QT27" s="1052"/>
      <c r="QU27" s="1052"/>
      <c r="QV27" s="1052"/>
      <c r="QW27" s="1052"/>
      <c r="QX27" s="1052"/>
      <c r="QY27" s="1052"/>
      <c r="QZ27" s="373"/>
      <c r="RA27" s="373"/>
      <c r="RB27" s="373"/>
      <c r="RC27" s="374"/>
      <c r="RE27" s="653"/>
      <c r="RF27" s="653"/>
      <c r="RG27" s="653"/>
      <c r="RH27" s="653"/>
      <c r="RI27" s="653"/>
      <c r="RJ27" s="653"/>
      <c r="RK27" s="653"/>
      <c r="RL27" s="653"/>
      <c r="RM27" s="653"/>
      <c r="RN27" s="653"/>
      <c r="RO27" s="653"/>
      <c r="RP27" s="653"/>
      <c r="RQ27" s="653"/>
      <c r="RR27" s="653"/>
      <c r="RS27" s="653"/>
      <c r="RT27" s="653"/>
      <c r="RU27" s="653"/>
      <c r="RV27" s="653"/>
      <c r="RW27" s="653"/>
      <c r="RX27" s="653"/>
      <c r="RY27" s="653"/>
      <c r="RZ27" s="850"/>
      <c r="SA27" s="631" t="s">
        <v>1179</v>
      </c>
      <c r="SB27" s="761">
        <f>$KL$99</f>
        <v>16.250799463770147</v>
      </c>
      <c r="SC27" s="761"/>
      <c r="SD27" s="856"/>
      <c r="SE27" s="856"/>
      <c r="SF27" s="856"/>
      <c r="SG27" s="856"/>
      <c r="SH27" s="856"/>
      <c r="SI27" s="856"/>
      <c r="SJ27" s="856"/>
      <c r="SK27" s="856"/>
      <c r="SL27" s="856"/>
      <c r="SM27" s="1069"/>
      <c r="SN27" s="837"/>
      <c r="SO27" s="838"/>
      <c r="SP27" s="1190"/>
      <c r="SQ27" s="1191"/>
      <c r="SR27" s="1067"/>
      <c r="SS27" s="1173"/>
      <c r="ST27" s="1175"/>
      <c r="SU27" s="848"/>
      <c r="SV27" s="827"/>
      <c r="SW27" s="947"/>
      <c r="SX27" s="947"/>
      <c r="SY27" s="947"/>
      <c r="SZ27" s="947"/>
      <c r="TA27" s="948"/>
      <c r="TB27" s="653"/>
      <c r="TC27" s="653"/>
      <c r="TD27" s="653"/>
      <c r="TE27" s="653"/>
      <c r="TF27" s="653"/>
      <c r="TG27" s="653"/>
      <c r="TH27" s="653"/>
      <c r="TI27" s="653"/>
      <c r="TJ27" s="653"/>
      <c r="TK27" s="653"/>
      <c r="TL27" s="653"/>
      <c r="TM27" s="653"/>
      <c r="TN27" s="653"/>
      <c r="TO27" s="653"/>
      <c r="TP27" s="653"/>
      <c r="TQ27" s="653"/>
      <c r="TR27" s="653"/>
      <c r="TS27" s="653"/>
      <c r="TX27" s="653"/>
      <c r="TY27" s="653"/>
      <c r="TZ27" s="653"/>
      <c r="UA27" s="653"/>
      <c r="UB27" s="653"/>
      <c r="UC27" s="653"/>
      <c r="UD27" s="653"/>
      <c r="UE27" s="653"/>
      <c r="UF27" s="653"/>
      <c r="UG27" s="653"/>
      <c r="UH27" s="653"/>
      <c r="UI27" s="653"/>
      <c r="UJ27" s="653"/>
      <c r="UK27" s="653"/>
      <c r="UL27" s="653"/>
      <c r="UM27" s="653"/>
      <c r="UN27" s="653"/>
      <c r="UO27" s="653"/>
      <c r="UP27" s="653"/>
      <c r="UQ27" s="653"/>
      <c r="UR27" s="653"/>
      <c r="US27" s="653"/>
      <c r="UT27" s="653"/>
      <c r="UU27" s="653"/>
      <c r="UV27" s="653"/>
      <c r="UW27" s="653"/>
      <c r="UX27" s="653"/>
      <c r="UY27" s="653"/>
      <c r="UZ27" s="653"/>
      <c r="WE27" s="1831"/>
      <c r="WF27" s="1832"/>
      <c r="WG27" s="1832"/>
      <c r="WH27" s="1832"/>
      <c r="WI27" s="1832"/>
      <c r="WJ27" s="1833"/>
      <c r="WK27" s="800" t="s">
        <v>1216</v>
      </c>
      <c r="WL27" s="801"/>
      <c r="WM27" s="889">
        <f>$AP$7</f>
        <v>220</v>
      </c>
      <c r="WN27" s="1157"/>
      <c r="WO27" s="168"/>
      <c r="WP27" s="168"/>
      <c r="WQ27" s="168"/>
      <c r="WR27" s="168"/>
      <c r="WS27" s="168"/>
      <c r="WT27" s="168"/>
      <c r="WU27" s="168"/>
      <c r="WV27" s="168"/>
      <c r="WW27" s="171"/>
      <c r="WX27" s="976">
        <v>4</v>
      </c>
      <c r="WY27" s="977"/>
      <c r="WZ27" s="752" t="s">
        <v>32</v>
      </c>
      <c r="XA27" s="753"/>
      <c r="XB27" s="167"/>
      <c r="XC27" s="168"/>
      <c r="XD27" s="168"/>
      <c r="XE27" s="168"/>
      <c r="XF27" s="171"/>
      <c r="XG27" s="966">
        <f t="shared" ref="XG27:YL27" si="21">$WM$27/XG25</f>
        <v>2.5869942776272219</v>
      </c>
      <c r="XH27" s="966">
        <f t="shared" si="21"/>
        <v>5.1643645938565141</v>
      </c>
      <c r="XI27" s="966">
        <f t="shared" si="21"/>
        <v>7.7314885237945141</v>
      </c>
      <c r="XJ27" s="966">
        <f t="shared" si="21"/>
        <v>10.287758952120578</v>
      </c>
      <c r="XK27" s="966">
        <f t="shared" si="21"/>
        <v>12.832584635548418</v>
      </c>
      <c r="XL27" s="966">
        <f t="shared" si="21"/>
        <v>15.365390719106436</v>
      </c>
      <c r="XM27" s="966">
        <f t="shared" si="21"/>
        <v>17.885619205808876</v>
      </c>
      <c r="XN27" s="966">
        <f t="shared" si="21"/>
        <v>20.392729379501965</v>
      </c>
      <c r="XO27" s="966">
        <f t="shared" si="21"/>
        <v>22.886198180875091</v>
      </c>
      <c r="XP27" s="966">
        <f t="shared" si="21"/>
        <v>25.365520536825581</v>
      </c>
      <c r="XQ27" s="966">
        <f t="shared" si="21"/>
        <v>27.830209643555484</v>
      </c>
      <c r="XR27" s="966">
        <f t="shared" si="21"/>
        <v>30.27979720395934</v>
      </c>
      <c r="XS27" s="966">
        <f t="shared" si="21"/>
        <v>32.713833620032112</v>
      </c>
      <c r="XT27" s="966">
        <f t="shared" si="21"/>
        <v>35.131888141185513</v>
      </c>
      <c r="XU27" s="966">
        <f t="shared" si="21"/>
        <v>37.533548969508587</v>
      </c>
      <c r="XV27" s="966">
        <f t="shared" si="21"/>
        <v>39.918423323144204</v>
      </c>
      <c r="XW27" s="966">
        <f t="shared" si="21"/>
        <v>42.286137459075768</v>
      </c>
      <c r="XX27" s="966">
        <f t="shared" si="21"/>
        <v>44.636336656729732</v>
      </c>
      <c r="XY27" s="966">
        <f t="shared" si="21"/>
        <v>46.968685163897121</v>
      </c>
      <c r="XZ27" s="966">
        <f t="shared" si="21"/>
        <v>49.28286610656243</v>
      </c>
      <c r="YA27" s="966">
        <f t="shared" si="21"/>
        <v>51.578581364301996</v>
      </c>
      <c r="YB27" s="966">
        <f t="shared" si="21"/>
        <v>53.855551412973306</v>
      </c>
      <c r="YC27" s="966">
        <f t="shared" si="21"/>
        <v>56.113515136466631</v>
      </c>
      <c r="YD27" s="966">
        <f t="shared" si="21"/>
        <v>58.352229609326088</v>
      </c>
      <c r="YE27" s="966">
        <f t="shared" si="21"/>
        <v>60.571469852074394</v>
      </c>
      <c r="YF27" s="966">
        <f t="shared" si="21"/>
        <v>62.771028561089786</v>
      </c>
      <c r="YG27" s="966">
        <f t="shared" si="21"/>
        <v>64.950715814889406</v>
      </c>
      <c r="YH27" s="966">
        <f t="shared" si="21"/>
        <v>67.110358758668639</v>
      </c>
      <c r="YI27" s="966">
        <f t="shared" si="21"/>
        <v>69.249801268933169</v>
      </c>
      <c r="YJ27" s="966">
        <f t="shared" si="21"/>
        <v>71.368903600038877</v>
      </c>
      <c r="YK27" s="966">
        <f t="shared" si="21"/>
        <v>73.467542014425703</v>
      </c>
      <c r="YL27" s="966">
        <f t="shared" si="21"/>
        <v>75.545608398296025</v>
      </c>
      <c r="YM27" s="966">
        <f t="shared" ref="YM27:ZR27" si="22">$WM$27/YM25</f>
        <v>77.603009864446122</v>
      </c>
      <c r="YN27" s="966">
        <f t="shared" si="22"/>
        <v>79.639668343911708</v>
      </c>
      <c r="YO27" s="966">
        <f t="shared" si="22"/>
        <v>81.655520168036276</v>
      </c>
      <c r="YP27" s="966">
        <f t="shared" si="22"/>
        <v>83.650515642514677</v>
      </c>
      <c r="YQ27" s="966">
        <f t="shared" si="22"/>
        <v>85.624618614903909</v>
      </c>
      <c r="YR27" s="966">
        <f t="shared" si="22"/>
        <v>87.577806037030555</v>
      </c>
      <c r="YS27" s="966">
        <f t="shared" si="22"/>
        <v>89.510067523658421</v>
      </c>
      <c r="YT27" s="966">
        <f t="shared" si="22"/>
        <v>91.4214049087132</v>
      </c>
      <c r="YU27" s="966">
        <f t="shared" si="22"/>
        <v>93.311831800291984</v>
      </c>
      <c r="YV27" s="966">
        <f t="shared" si="22"/>
        <v>95.181373135616369</v>
      </c>
      <c r="YW27" s="966">
        <f t="shared" si="22"/>
        <v>97.030064737017895</v>
      </c>
      <c r="YX27" s="966">
        <f t="shared" si="22"/>
        <v>98.857952869975307</v>
      </c>
      <c r="YY27" s="966">
        <f t="shared" si="22"/>
        <v>100.66509380415292</v>
      </c>
      <c r="YZ27" s="966">
        <f t="shared" si="22"/>
        <v>102.45155337832198</v>
      </c>
      <c r="ZA27" s="966">
        <f t="shared" si="22"/>
        <v>104.21740656997837</v>
      </c>
      <c r="ZB27" s="966">
        <f t="shared" si="22"/>
        <v>105.96273707040457</v>
      </c>
      <c r="ZC27" s="966">
        <f t="shared" si="22"/>
        <v>107.68763686585871</v>
      </c>
      <c r="ZD27" s="966">
        <f t="shared" si="22"/>
        <v>109.39220582551133</v>
      </c>
      <c r="ZE27" s="966">
        <f t="shared" si="22"/>
        <v>111.07655129668946</v>
      </c>
      <c r="ZF27" s="966">
        <f t="shared" si="22"/>
        <v>112.74078770792839</v>
      </c>
      <c r="ZG27" s="966">
        <f t="shared" si="22"/>
        <v>114.38503618027657</v>
      </c>
      <c r="ZH27" s="966">
        <f t="shared" si="22"/>
        <v>116.00942414724358</v>
      </c>
      <c r="ZI27" s="966">
        <f t="shared" si="22"/>
        <v>117.61408498373045</v>
      </c>
      <c r="ZJ27" s="966">
        <f t="shared" si="22"/>
        <v>119.1991576442322</v>
      </c>
      <c r="ZK27" s="966">
        <f t="shared" si="22"/>
        <v>120.76478631055599</v>
      </c>
      <c r="ZL27" s="966">
        <f t="shared" si="22"/>
        <v>122.31112004925455</v>
      </c>
      <c r="ZM27" s="966">
        <f t="shared" si="22"/>
        <v>123.83831247893256</v>
      </c>
      <c r="ZN27" s="966">
        <f t="shared" si="22"/>
        <v>125.34652144754523</v>
      </c>
      <c r="ZO27" s="966">
        <f t="shared" si="22"/>
        <v>126.83590871977182</v>
      </c>
      <c r="ZP27" s="966">
        <f t="shared" si="22"/>
        <v>128.30663967451284</v>
      </c>
      <c r="ZQ27" s="966">
        <f t="shared" si="22"/>
        <v>129.75888301252797</v>
      </c>
      <c r="ZR27" s="966">
        <f t="shared" si="22"/>
        <v>131.19281047420313</v>
      </c>
      <c r="ZS27" s="966">
        <f t="shared" ref="ZS27:AAS27" si="23">$WM$27/ZS25</f>
        <v>132.60859656740737</v>
      </c>
      <c r="ZT27" s="966">
        <f t="shared" si="23"/>
        <v>134.00641830537666</v>
      </c>
      <c r="ZU27" s="966">
        <f t="shared" si="23"/>
        <v>135.38645495453773</v>
      </c>
      <c r="ZV27" s="966">
        <f t="shared" si="23"/>
        <v>136.7488877921663</v>
      </c>
      <c r="ZW27" s="966">
        <f t="shared" si="23"/>
        <v>138.093899873754</v>
      </c>
      <c r="ZX27" s="966">
        <f t="shared" si="23"/>
        <v>139.42167580994206</v>
      </c>
      <c r="ZY27" s="966">
        <f t="shared" si="23"/>
        <v>140.73240155286572</v>
      </c>
      <c r="ZZ27" s="966">
        <f t="shared" si="23"/>
        <v>142.02626419173905</v>
      </c>
      <c r="AAA27" s="966">
        <f t="shared" si="23"/>
        <v>143.30345175749861</v>
      </c>
      <c r="AAB27" s="966">
        <f t="shared" si="23"/>
        <v>144.56415303631482</v>
      </c>
      <c r="AAC27" s="966">
        <f t="shared" si="23"/>
        <v>145.80855739177053</v>
      </c>
      <c r="AAD27" s="966">
        <f t="shared" si="23"/>
        <v>147.03685459549888</v>
      </c>
      <c r="AAE27" s="966">
        <f t="shared" si="23"/>
        <v>148.24923466606771</v>
      </c>
      <c r="AAF27" s="966">
        <f t="shared" si="23"/>
        <v>149.44588771589065</v>
      </c>
      <c r="AAG27" s="966">
        <f t="shared" si="23"/>
        <v>150.62700380594339</v>
      </c>
      <c r="AAH27" s="966">
        <f t="shared" si="23"/>
        <v>151.7927728080592</v>
      </c>
      <c r="AAI27" s="966">
        <f t="shared" si="23"/>
        <v>152.9433842745768</v>
      </c>
      <c r="AAJ27" s="966">
        <f t="shared" si="23"/>
        <v>154.07902731511115</v>
      </c>
      <c r="AAK27" s="966">
        <f t="shared" si="23"/>
        <v>155.19989048022001</v>
      </c>
      <c r="AAL27" s="966">
        <f t="shared" si="23"/>
        <v>156.3061616517364</v>
      </c>
      <c r="AAM27" s="966">
        <f t="shared" si="23"/>
        <v>157.39802793954013</v>
      </c>
      <c r="AAN27" s="966">
        <f t="shared" si="23"/>
        <v>158.4756755845431</v>
      </c>
      <c r="AAO27" s="966">
        <f t="shared" si="23"/>
        <v>159.53928986766374</v>
      </c>
      <c r="AAP27" s="966">
        <f t="shared" si="23"/>
        <v>160.58905502457091</v>
      </c>
      <c r="AAQ27" s="966">
        <f t="shared" si="23"/>
        <v>161.62515416597765</v>
      </c>
      <c r="AAR27" s="966">
        <f t="shared" si="23"/>
        <v>162.64776920327171</v>
      </c>
      <c r="AAS27" s="966">
        <f t="shared" si="23"/>
        <v>163.65708077927144</v>
      </c>
      <c r="AAT27" s="964">
        <v>4</v>
      </c>
      <c r="AAU27" s="752" t="s">
        <v>32</v>
      </c>
      <c r="AAV27" s="753"/>
      <c r="AAW27" s="167"/>
      <c r="AAX27" s="168"/>
      <c r="AAY27" s="168"/>
      <c r="AAZ27" s="171"/>
      <c r="ABA27" s="158"/>
      <c r="ABB27" s="158"/>
      <c r="ABC27" s="158"/>
      <c r="ABD27" s="163"/>
      <c r="ACJ27" s="759">
        <v>0.33333333300000001</v>
      </c>
      <c r="ACK27" s="760"/>
      <c r="ACL27" s="759">
        <v>-0.233333333</v>
      </c>
      <c r="ACM27" s="760"/>
      <c r="ACN27" s="592">
        <v>15</v>
      </c>
      <c r="ACO27" s="759">
        <f t="shared" si="0"/>
        <v>0.14999999994999999</v>
      </c>
      <c r="ACP27" s="760"/>
      <c r="ACQ27" s="757">
        <f t="shared" si="1"/>
        <v>1.1499999999999999</v>
      </c>
      <c r="ACR27" s="758"/>
      <c r="ACT27" s="759">
        <v>1</v>
      </c>
      <c r="ACU27" s="760"/>
      <c r="ACV27" s="759">
        <v>-1.2</v>
      </c>
      <c r="ACW27" s="760"/>
      <c r="ACX27" s="592">
        <v>65</v>
      </c>
      <c r="ACY27" s="759">
        <f t="shared" si="8"/>
        <v>0.44999999999999996</v>
      </c>
      <c r="ACZ27" s="760"/>
      <c r="ADA27" s="757">
        <f t="shared" si="2"/>
        <v>1.65</v>
      </c>
      <c r="ADB27" s="758"/>
      <c r="ADD27" s="1112">
        <v>1.1052631578947401</v>
      </c>
      <c r="ADE27" s="1112"/>
      <c r="ADF27" s="1112">
        <v>-1.42105263157895</v>
      </c>
      <c r="ADG27" s="1112"/>
      <c r="ADH27" s="591">
        <v>114</v>
      </c>
      <c r="ADI27" s="759">
        <f t="shared" si="3"/>
        <v>0.94421052631579405</v>
      </c>
      <c r="ADJ27" s="760"/>
      <c r="ADK27" s="757">
        <f t="shared" si="4"/>
        <v>2.14</v>
      </c>
      <c r="ADL27" s="758"/>
      <c r="ADN27" s="759">
        <v>1.1052631580000001</v>
      </c>
      <c r="ADO27" s="760"/>
      <c r="ADP27" s="759">
        <v>-1.42105263157895</v>
      </c>
      <c r="ADQ27" s="760"/>
      <c r="ADR27" s="591">
        <v>164</v>
      </c>
      <c r="ADS27" s="759">
        <f t="shared" si="9"/>
        <v>1.4968421055410501</v>
      </c>
      <c r="ADT27" s="760"/>
      <c r="ADU27" s="757">
        <f t="shared" si="5"/>
        <v>2.64</v>
      </c>
      <c r="ADV27" s="758"/>
      <c r="ADX27" s="759">
        <v>1.1052631580000001</v>
      </c>
      <c r="ADY27" s="760"/>
      <c r="ADZ27" s="759">
        <v>-1.42105263157895</v>
      </c>
      <c r="AEA27" s="760"/>
      <c r="AEB27" s="591">
        <v>214</v>
      </c>
      <c r="AEC27" s="759">
        <f t="shared" si="10"/>
        <v>2.0494736845410504</v>
      </c>
      <c r="AED27" s="760"/>
      <c r="AEE27" s="757">
        <f t="shared" si="6"/>
        <v>3.14</v>
      </c>
      <c r="AEF27" s="758"/>
      <c r="AEH27" s="759">
        <v>1.1052631580000001</v>
      </c>
      <c r="AEI27" s="760"/>
      <c r="AEJ27" s="759">
        <v>-1.42105263157895</v>
      </c>
      <c r="AEK27" s="760"/>
      <c r="AEL27" s="591">
        <v>264</v>
      </c>
      <c r="AEM27" s="759">
        <f t="shared" si="11"/>
        <v>2.6021052635410507</v>
      </c>
      <c r="AEN27" s="760"/>
      <c r="AEO27" s="757">
        <f t="shared" si="7"/>
        <v>3.64</v>
      </c>
      <c r="AEP27" s="758"/>
      <c r="AEQ27" s="653"/>
      <c r="AER27" s="653"/>
      <c r="AES27" s="653"/>
      <c r="AET27" s="653"/>
      <c r="AEU27" s="653"/>
      <c r="AEV27" s="653"/>
      <c r="AEW27" s="653"/>
      <c r="AEX27" s="653"/>
      <c r="AEY27" s="653"/>
      <c r="AEZ27" s="653"/>
      <c r="AFA27" s="856">
        <v>4</v>
      </c>
      <c r="AFB27" s="856"/>
      <c r="AFC27" s="856">
        <v>3</v>
      </c>
      <c r="AFD27" s="856"/>
      <c r="AFE27" s="1124"/>
      <c r="AFF27" s="1125"/>
      <c r="AFG27" s="1125"/>
      <c r="AFH27" s="1126"/>
      <c r="AGJ27" s="377"/>
      <c r="AGK27" s="373"/>
      <c r="AGL27" s="54"/>
      <c r="AGM27" s="373"/>
      <c r="AGN27" s="373"/>
      <c r="AGO27" s="373"/>
      <c r="AGP27" s="373"/>
      <c r="AGQ27" s="373"/>
      <c r="AGR27" s="373"/>
      <c r="AGS27" s="373"/>
      <c r="AGT27" s="373"/>
      <c r="AGU27" s="373"/>
      <c r="AGV27" s="373"/>
      <c r="AGW27" s="373"/>
      <c r="AGX27" s="373"/>
      <c r="AGY27" s="373"/>
      <c r="AGZ27" s="373"/>
      <c r="AHA27" s="373"/>
      <c r="AHB27" s="373"/>
      <c r="AHC27" s="373"/>
      <c r="AHD27" s="373"/>
      <c r="AHE27" s="373"/>
      <c r="AHF27" s="373"/>
      <c r="AHG27" s="373"/>
      <c r="AHH27" s="373"/>
      <c r="AHI27" s="373"/>
      <c r="AHJ27" s="373"/>
      <c r="AHK27" s="373"/>
      <c r="AHL27" s="373"/>
      <c r="AHM27" s="373"/>
      <c r="AHN27" s="373"/>
      <c r="AHO27" s="373"/>
      <c r="AHP27" s="373"/>
      <c r="AHQ27" s="373"/>
      <c r="AHR27" s="373"/>
      <c r="AHS27" s="373"/>
      <c r="AHT27" s="373"/>
      <c r="AHU27" s="373"/>
      <c r="AHV27" s="373"/>
      <c r="AHW27" s="374"/>
      <c r="AIQ27" s="130"/>
      <c r="AIR27" s="130"/>
      <c r="AIS27" s="130"/>
      <c r="AIT27" s="130"/>
      <c r="AIU27" s="673"/>
      <c r="AIV27" s="673"/>
      <c r="AIW27" s="673"/>
      <c r="AOL27" s="130"/>
      <c r="AQL27" s="130"/>
      <c r="AQV27" s="653"/>
      <c r="AQW27" s="653"/>
      <c r="AQX27" s="653"/>
      <c r="AQY27" s="653"/>
      <c r="AQZ27" s="653"/>
      <c r="ARA27" s="653"/>
      <c r="ARB27" s="653"/>
      <c r="ARC27" s="653"/>
      <c r="ARD27" s="653"/>
      <c r="ARE27" s="653"/>
      <c r="ARF27" s="653"/>
      <c r="ARG27" s="653"/>
      <c r="ARH27" s="653"/>
      <c r="ARI27" s="653"/>
      <c r="ARJ27" s="653"/>
      <c r="ARK27" s="653"/>
      <c r="ARL27" s="653"/>
      <c r="ARM27" s="653"/>
      <c r="ARN27" s="653"/>
      <c r="ARO27" s="653"/>
      <c r="ARP27" s="653"/>
      <c r="ARQ27" s="653"/>
      <c r="ARR27" s="653"/>
      <c r="ARS27" s="653"/>
      <c r="ART27" s="653"/>
      <c r="ASA27" s="675"/>
      <c r="ASB27" s="675"/>
      <c r="ASC27" s="675"/>
      <c r="ASD27" s="675"/>
      <c r="ASE27" s="675"/>
      <c r="ASF27" s="675"/>
      <c r="ASG27" s="675"/>
      <c r="ASH27" s="675"/>
      <c r="ASX27" s="653"/>
      <c r="ASY27" s="653"/>
      <c r="ASZ27" s="653"/>
      <c r="ATA27" s="653"/>
      <c r="ATB27" s="653"/>
      <c r="ATC27" s="653"/>
    </row>
    <row r="28" spans="1:996 1076:1297" ht="48" customHeight="1" thickBot="1">
      <c r="C28" s="207"/>
      <c r="D28" s="162"/>
      <c r="E28" s="158"/>
      <c r="F28" s="158"/>
      <c r="G28" s="158"/>
      <c r="H28" s="158"/>
      <c r="I28" s="158"/>
      <c r="J28" s="158"/>
      <c r="K28" s="158"/>
      <c r="L28" s="158"/>
      <c r="M28" s="158"/>
      <c r="N28" s="158"/>
      <c r="O28" s="158"/>
      <c r="P28" s="158"/>
      <c r="Q28" s="158"/>
      <c r="R28" s="158"/>
      <c r="S28" s="158"/>
      <c r="T28" s="158"/>
      <c r="U28" s="158"/>
      <c r="V28" s="158"/>
      <c r="W28" s="158"/>
      <c r="X28" s="158"/>
      <c r="Y28" s="163"/>
      <c r="Z28" s="207"/>
      <c r="AA28" s="207"/>
      <c r="AB28" s="207"/>
      <c r="AD28" s="130"/>
      <c r="AE28" s="130"/>
      <c r="AI28" s="504"/>
      <c r="AJ28" s="470"/>
      <c r="AK28" s="540" t="s">
        <v>911</v>
      </c>
      <c r="AL28" s="1117" t="s">
        <v>1665</v>
      </c>
      <c r="AM28" s="1118"/>
      <c r="AN28" s="1118"/>
      <c r="AO28" s="1118"/>
      <c r="AP28" s="1118"/>
      <c r="AQ28" s="1118"/>
      <c r="AR28" s="1118"/>
      <c r="AS28" s="1118"/>
      <c r="AT28" s="1118"/>
      <c r="AU28" s="1118"/>
      <c r="AV28" s="1118"/>
      <c r="AW28" s="1119"/>
      <c r="AX28" s="862">
        <f>'Программные таблицы'!P12</f>
        <v>180</v>
      </c>
      <c r="AY28" s="864"/>
      <c r="AZ28" s="470"/>
      <c r="BA28" s="470"/>
      <c r="BB28" s="470"/>
      <c r="BC28" s="470"/>
      <c r="BD28" s="470"/>
      <c r="BE28" s="470"/>
      <c r="BF28" s="470"/>
      <c r="BG28" s="470"/>
      <c r="BH28" s="476"/>
      <c r="BI28" s="653"/>
      <c r="BJ28" s="653"/>
      <c r="BK28" s="653"/>
      <c r="BL28" s="126"/>
      <c r="BM28" s="126"/>
      <c r="BQ28" s="130"/>
      <c r="BR28" s="130"/>
      <c r="BS28" s="130"/>
      <c r="BT28" s="130"/>
      <c r="BU28" s="130"/>
      <c r="BV28" s="130"/>
      <c r="BX28" s="900"/>
      <c r="BY28" s="901"/>
      <c r="BZ28" s="902"/>
      <c r="CA28" s="850"/>
      <c r="CB28" s="768" t="s">
        <v>736</v>
      </c>
      <c r="CC28" s="770"/>
      <c r="CD28" s="770"/>
      <c r="CE28" s="770"/>
      <c r="CF28" s="770"/>
      <c r="CG28" s="770"/>
      <c r="CH28" s="770"/>
      <c r="CI28" s="770"/>
      <c r="CJ28" s="770"/>
      <c r="CK28" s="770"/>
      <c r="CL28" s="770"/>
      <c r="CM28" s="770"/>
      <c r="CN28" s="770"/>
      <c r="CO28" s="1640">
        <v>48</v>
      </c>
      <c r="CP28" s="1641"/>
      <c r="CQ28" s="1183" t="s">
        <v>726</v>
      </c>
      <c r="CR28" s="1184"/>
      <c r="CS28" s="841"/>
      <c r="CT28" s="843" t="s">
        <v>1560</v>
      </c>
      <c r="CU28" s="844"/>
      <c r="CV28" s="847"/>
      <c r="DF28" s="130"/>
      <c r="DG28" s="130"/>
      <c r="DH28" s="130"/>
      <c r="DI28" s="130"/>
      <c r="DJ28" s="130"/>
      <c r="DK28" s="130"/>
      <c r="DL28" s="130"/>
      <c r="DM28" s="130"/>
      <c r="DN28" s="130"/>
      <c r="DP28" s="130"/>
      <c r="DQ28" s="130"/>
      <c r="DU28" s="130"/>
      <c r="DV28" s="130"/>
      <c r="DW28" s="130"/>
      <c r="DX28" s="130"/>
      <c r="DY28" s="130"/>
      <c r="DZ28" s="1052"/>
      <c r="EA28" s="243" t="s">
        <v>1014</v>
      </c>
      <c r="EB28" s="761">
        <f>$EJ$37</f>
        <v>0.97</v>
      </c>
      <c r="EC28" s="761"/>
      <c r="ED28" s="245" t="s">
        <v>1059</v>
      </c>
      <c r="EE28" s="1165">
        <f>$CL$95</f>
        <v>0.71874103885740337</v>
      </c>
      <c r="EF28" s="1265"/>
      <c r="EG28" s="957" t="s">
        <v>1103</v>
      </c>
      <c r="EH28" s="957"/>
      <c r="EI28" s="957"/>
      <c r="EJ28" s="957"/>
      <c r="EK28" s="957"/>
      <c r="EL28" s="957"/>
      <c r="EM28" s="1117"/>
      <c r="EN28" s="1378">
        <f>(EE28*EB29*EB30*1000)/(EE29*EE27*EB28)</f>
        <v>5.4298617077080698</v>
      </c>
      <c r="EO28" s="1379"/>
      <c r="EP28" s="1075" t="s">
        <v>45</v>
      </c>
      <c r="EQ28" s="1076"/>
      <c r="ER28" s="1066"/>
      <c r="ES28" s="893" t="s">
        <v>1089</v>
      </c>
      <c r="ET28" s="1149"/>
      <c r="EU28" s="847"/>
      <c r="EV28" s="826"/>
      <c r="EW28" s="945"/>
      <c r="EX28" s="945"/>
      <c r="EY28" s="945"/>
      <c r="EZ28" s="945"/>
      <c r="FA28" s="946"/>
      <c r="FD28" s="653"/>
      <c r="FE28" s="653"/>
      <c r="FF28" s="653"/>
      <c r="FG28" s="653"/>
      <c r="FH28" s="653"/>
      <c r="FI28" s="653"/>
      <c r="FJ28" s="653"/>
      <c r="FK28" s="653"/>
      <c r="FL28" s="653"/>
      <c r="GD28" s="653"/>
      <c r="GF28" s="849"/>
      <c r="GG28" s="236" t="s">
        <v>1034</v>
      </c>
      <c r="GH28" s="937">
        <f>$AX$25</f>
        <v>0.313</v>
      </c>
      <c r="GI28" s="937"/>
      <c r="GJ28" s="791" t="s">
        <v>1798</v>
      </c>
      <c r="GK28" s="792"/>
      <c r="GL28" s="792"/>
      <c r="GM28" s="1382">
        <f>GH28*GH29</f>
        <v>7.1989999999999998E-2</v>
      </c>
      <c r="GN28" s="1383"/>
      <c r="GO28" s="1634" t="s">
        <v>706</v>
      </c>
      <c r="GP28" s="1635"/>
      <c r="GQ28" s="1066"/>
      <c r="GR28" s="893" t="s">
        <v>803</v>
      </c>
      <c r="GS28" s="894"/>
      <c r="GT28" s="847"/>
      <c r="GU28" s="1052"/>
      <c r="GV28" s="1052"/>
      <c r="GW28" s="1052"/>
      <c r="GX28" s="1052"/>
      <c r="GY28" s="1052"/>
      <c r="HR28" s="130"/>
      <c r="HS28" s="130"/>
      <c r="HT28" s="130"/>
      <c r="HU28" s="130"/>
      <c r="HV28" s="130"/>
      <c r="HW28" s="130"/>
      <c r="HX28" s="130"/>
      <c r="HY28" s="130"/>
      <c r="HZ28" s="130"/>
      <c r="IA28" s="130"/>
      <c r="IB28" s="130"/>
      <c r="IC28" s="130"/>
      <c r="ID28" s="130"/>
      <c r="IE28" s="130"/>
      <c r="IF28" s="130"/>
      <c r="IG28" s="130"/>
      <c r="IR28" s="1052"/>
      <c r="IS28" s="225" t="s">
        <v>1053</v>
      </c>
      <c r="IT28" s="761">
        <f>$JC$32</f>
        <v>10.370834374225831</v>
      </c>
      <c r="IU28" s="761"/>
      <c r="IV28" s="228" t="s">
        <v>1024</v>
      </c>
      <c r="IW28" s="761">
        <f>$AW$95</f>
        <v>0.19391178434038603</v>
      </c>
      <c r="IX28" s="761"/>
      <c r="IY28" s="791" t="s">
        <v>1047</v>
      </c>
      <c r="IZ28" s="792"/>
      <c r="JA28" s="792"/>
      <c r="JB28" s="792"/>
      <c r="JC28" s="792"/>
      <c r="JD28" s="792"/>
      <c r="JE28" s="793"/>
      <c r="JF28" s="835">
        <f>(IT28*IT29)/(IW27*IW28*IW29)</f>
        <v>1.9690339100020442</v>
      </c>
      <c r="JG28" s="836"/>
      <c r="JH28" s="1183" t="s">
        <v>729</v>
      </c>
      <c r="JI28" s="1184"/>
      <c r="JJ28" s="841"/>
      <c r="JK28" s="1170" t="s">
        <v>1011</v>
      </c>
      <c r="JL28" s="1172"/>
      <c r="JM28" s="847"/>
      <c r="JN28" s="1052"/>
      <c r="JO28" s="1052"/>
      <c r="JP28" s="1052"/>
      <c r="JQ28" s="1052"/>
      <c r="JR28" s="1052"/>
      <c r="LF28" s="130"/>
      <c r="LG28" s="130"/>
      <c r="LH28" s="130"/>
      <c r="LI28" s="130"/>
      <c r="LJ28" s="130"/>
      <c r="LK28" s="130"/>
      <c r="LL28" s="130"/>
      <c r="LM28" s="130"/>
      <c r="LN28" s="130"/>
      <c r="LO28" s="130"/>
      <c r="LP28" s="130"/>
      <c r="LQ28" s="130"/>
      <c r="MB28" s="851"/>
      <c r="MC28" s="1408" t="s">
        <v>1068</v>
      </c>
      <c r="MD28" s="1409"/>
      <c r="ME28" s="1433">
        <f>$CL$71</f>
        <v>68</v>
      </c>
      <c r="MF28" s="1433"/>
      <c r="MG28" s="794"/>
      <c r="MH28" s="795"/>
      <c r="MI28" s="795"/>
      <c r="MJ28" s="795"/>
      <c r="MK28" s="795"/>
      <c r="ML28" s="796"/>
      <c r="MM28" s="1625"/>
      <c r="MN28" s="1626"/>
      <c r="MO28" s="1263"/>
      <c r="MP28" s="1264"/>
      <c r="MQ28" s="842"/>
      <c r="MR28" s="918"/>
      <c r="MS28" s="919"/>
      <c r="MT28" s="848"/>
      <c r="MU28" s="828"/>
      <c r="MV28" s="949"/>
      <c r="MW28" s="949"/>
      <c r="MX28" s="950"/>
      <c r="OP28" s="130"/>
      <c r="OQ28" s="130"/>
      <c r="OR28" s="130"/>
      <c r="OS28" s="130"/>
      <c r="OT28" s="130"/>
      <c r="OU28" s="130"/>
      <c r="OV28" s="130"/>
      <c r="OW28" s="130"/>
      <c r="OX28" s="130"/>
      <c r="OY28" s="130"/>
      <c r="OZ28" s="130"/>
      <c r="PA28" s="130"/>
      <c r="PB28" s="130"/>
      <c r="PC28" s="130"/>
      <c r="PD28" s="130"/>
      <c r="PE28" s="130"/>
      <c r="PF28" s="130"/>
      <c r="PG28" s="130"/>
      <c r="PH28" s="377"/>
      <c r="PI28" s="373"/>
      <c r="PJ28" s="54"/>
      <c r="PK28" s="373"/>
      <c r="PL28" s="1053"/>
      <c r="PM28" s="1163" t="s">
        <v>1554</v>
      </c>
      <c r="PN28" s="1163"/>
      <c r="PO28" s="879">
        <f>$PZ$45</f>
        <v>9.7271455717054867</v>
      </c>
      <c r="PP28" s="879"/>
      <c r="PQ28" s="726" t="s">
        <v>1105</v>
      </c>
      <c r="PR28" s="804">
        <f>$KL$16</f>
        <v>1.6000000000000005</v>
      </c>
      <c r="PS28" s="804"/>
      <c r="PT28" s="794"/>
      <c r="PU28" s="795"/>
      <c r="PV28" s="795"/>
      <c r="PW28" s="795"/>
      <c r="PX28" s="795"/>
      <c r="PY28" s="795"/>
      <c r="PZ28" s="795"/>
      <c r="QA28" s="796"/>
      <c r="QB28" s="1618"/>
      <c r="QC28" s="1619"/>
      <c r="QD28" s="1619"/>
      <c r="QE28" s="1619"/>
      <c r="QF28" s="1619"/>
      <c r="QG28" s="1619"/>
      <c r="QH28" s="1619"/>
      <c r="QI28" s="1619"/>
      <c r="QJ28" s="1620"/>
      <c r="QK28" s="1053"/>
      <c r="QL28" s="1053"/>
      <c r="QM28" s="1053"/>
      <c r="QN28" s="1053"/>
      <c r="QO28" s="1053"/>
      <c r="QP28" s="1053"/>
      <c r="QQ28" s="1053"/>
      <c r="QR28" s="1053"/>
      <c r="QS28" s="1053"/>
      <c r="QT28" s="1053"/>
      <c r="QU28" s="1053"/>
      <c r="QV28" s="1053"/>
      <c r="QW28" s="1053"/>
      <c r="QX28" s="1053"/>
      <c r="QY28" s="1053"/>
      <c r="QZ28" s="373"/>
      <c r="RA28" s="373"/>
      <c r="RB28" s="373"/>
      <c r="RC28" s="374"/>
      <c r="RE28" s="653"/>
      <c r="RF28" s="653"/>
      <c r="RG28" s="653"/>
      <c r="RH28" s="653"/>
      <c r="RI28" s="653"/>
      <c r="RJ28" s="653"/>
      <c r="RK28" s="653"/>
      <c r="RL28" s="653"/>
      <c r="RM28" s="653"/>
      <c r="RN28" s="653"/>
      <c r="RO28" s="653"/>
      <c r="RP28" s="653"/>
      <c r="RQ28" s="653"/>
      <c r="RR28" s="653"/>
      <c r="RS28" s="653"/>
      <c r="RT28" s="653"/>
      <c r="RU28" s="653"/>
      <c r="RV28" s="653"/>
      <c r="RW28" s="653"/>
      <c r="RX28" s="653"/>
      <c r="RY28" s="653"/>
      <c r="RZ28" s="851"/>
      <c r="SA28" s="633" t="s">
        <v>1455</v>
      </c>
      <c r="SB28" s="1288">
        <f>$MP$23</f>
        <v>0.14308700299628158</v>
      </c>
      <c r="SC28" s="1288"/>
      <c r="SD28" s="857"/>
      <c r="SE28" s="857"/>
      <c r="SF28" s="857"/>
      <c r="SG28" s="857"/>
      <c r="SH28" s="857"/>
      <c r="SI28" s="857"/>
      <c r="SJ28" s="857"/>
      <c r="SK28" s="857"/>
      <c r="SL28" s="857"/>
      <c r="SM28" s="857"/>
      <c r="SN28" s="942"/>
      <c r="SO28" s="943"/>
      <c r="SP28" s="943"/>
      <c r="SQ28" s="943"/>
      <c r="SR28" s="943"/>
      <c r="SS28" s="943"/>
      <c r="ST28" s="943"/>
      <c r="SU28" s="944"/>
      <c r="SV28" s="828"/>
      <c r="SW28" s="949"/>
      <c r="SX28" s="949"/>
      <c r="SY28" s="949"/>
      <c r="SZ28" s="949"/>
      <c r="TA28" s="950"/>
      <c r="TB28" s="653"/>
      <c r="TC28" s="653"/>
      <c r="TD28" s="653"/>
      <c r="TE28" s="653"/>
      <c r="TF28" s="653"/>
      <c r="TG28" s="653"/>
      <c r="TH28" s="653"/>
      <c r="TI28" s="653"/>
      <c r="TJ28" s="653"/>
      <c r="TK28" s="653"/>
      <c r="TL28" s="653"/>
      <c r="TM28" s="653"/>
      <c r="TN28" s="653"/>
      <c r="TO28" s="653"/>
      <c r="TP28" s="653"/>
      <c r="TQ28" s="653"/>
      <c r="TR28" s="653"/>
      <c r="TS28" s="653"/>
      <c r="TX28" s="653"/>
      <c r="TY28" s="653"/>
      <c r="TZ28" s="653"/>
      <c r="UA28" s="653"/>
      <c r="UB28" s="653"/>
      <c r="UC28" s="653"/>
      <c r="UD28" s="653"/>
      <c r="UE28" s="653"/>
      <c r="UF28" s="653"/>
      <c r="UG28" s="653"/>
      <c r="UH28" s="653"/>
      <c r="UI28" s="653"/>
      <c r="UJ28" s="653"/>
      <c r="UK28" s="653"/>
      <c r="UL28" s="653"/>
      <c r="UM28" s="653"/>
      <c r="UN28" s="653"/>
      <c r="UO28" s="653"/>
      <c r="UP28" s="653"/>
      <c r="UQ28" s="653"/>
      <c r="UR28" s="653"/>
      <c r="US28" s="653"/>
      <c r="UT28" s="653"/>
      <c r="UU28" s="653"/>
      <c r="UV28" s="653"/>
      <c r="UW28" s="653"/>
      <c r="UX28" s="653"/>
      <c r="UY28" s="653"/>
      <c r="UZ28" s="653"/>
      <c r="WE28" s="1831"/>
      <c r="WF28" s="1832"/>
      <c r="WG28" s="1832"/>
      <c r="WH28" s="1832"/>
      <c r="WI28" s="1832"/>
      <c r="WJ28" s="1833"/>
      <c r="WK28" s="169"/>
      <c r="WL28" s="170"/>
      <c r="WM28" s="170"/>
      <c r="WN28" s="170"/>
      <c r="WO28" s="170"/>
      <c r="WP28" s="170"/>
      <c r="WQ28" s="170"/>
      <c r="WR28" s="170"/>
      <c r="WS28" s="170"/>
      <c r="WT28" s="170"/>
      <c r="WU28" s="170"/>
      <c r="WV28" s="170"/>
      <c r="WW28" s="172"/>
      <c r="WX28" s="978"/>
      <c r="WY28" s="979"/>
      <c r="WZ28" s="754"/>
      <c r="XA28" s="755"/>
      <c r="XB28" s="169"/>
      <c r="XC28" s="170"/>
      <c r="XD28" s="170"/>
      <c r="XE28" s="170"/>
      <c r="XF28" s="172"/>
      <c r="XG28" s="967"/>
      <c r="XH28" s="967"/>
      <c r="XI28" s="967"/>
      <c r="XJ28" s="967"/>
      <c r="XK28" s="967"/>
      <c r="XL28" s="967"/>
      <c r="XM28" s="967"/>
      <c r="XN28" s="967"/>
      <c r="XO28" s="967"/>
      <c r="XP28" s="967"/>
      <c r="XQ28" s="967"/>
      <c r="XR28" s="967"/>
      <c r="XS28" s="967"/>
      <c r="XT28" s="967"/>
      <c r="XU28" s="967"/>
      <c r="XV28" s="967"/>
      <c r="XW28" s="967"/>
      <c r="XX28" s="967"/>
      <c r="XY28" s="967"/>
      <c r="XZ28" s="967"/>
      <c r="YA28" s="967"/>
      <c r="YB28" s="967"/>
      <c r="YC28" s="967"/>
      <c r="YD28" s="967"/>
      <c r="YE28" s="967"/>
      <c r="YF28" s="967"/>
      <c r="YG28" s="967"/>
      <c r="YH28" s="967"/>
      <c r="YI28" s="967"/>
      <c r="YJ28" s="967"/>
      <c r="YK28" s="967"/>
      <c r="YL28" s="967"/>
      <c r="YM28" s="967"/>
      <c r="YN28" s="967"/>
      <c r="YO28" s="967"/>
      <c r="YP28" s="967"/>
      <c r="YQ28" s="967"/>
      <c r="YR28" s="967"/>
      <c r="YS28" s="967"/>
      <c r="YT28" s="967"/>
      <c r="YU28" s="967"/>
      <c r="YV28" s="967"/>
      <c r="YW28" s="967"/>
      <c r="YX28" s="967"/>
      <c r="YY28" s="967"/>
      <c r="YZ28" s="967"/>
      <c r="ZA28" s="967"/>
      <c r="ZB28" s="967"/>
      <c r="ZC28" s="967"/>
      <c r="ZD28" s="967"/>
      <c r="ZE28" s="967"/>
      <c r="ZF28" s="967"/>
      <c r="ZG28" s="967"/>
      <c r="ZH28" s="967"/>
      <c r="ZI28" s="967"/>
      <c r="ZJ28" s="967"/>
      <c r="ZK28" s="967"/>
      <c r="ZL28" s="967"/>
      <c r="ZM28" s="967"/>
      <c r="ZN28" s="967"/>
      <c r="ZO28" s="967"/>
      <c r="ZP28" s="967"/>
      <c r="ZQ28" s="967"/>
      <c r="ZR28" s="967"/>
      <c r="ZS28" s="967"/>
      <c r="ZT28" s="967"/>
      <c r="ZU28" s="967"/>
      <c r="ZV28" s="967"/>
      <c r="ZW28" s="967"/>
      <c r="ZX28" s="967"/>
      <c r="ZY28" s="967"/>
      <c r="ZZ28" s="967"/>
      <c r="AAA28" s="967"/>
      <c r="AAB28" s="967"/>
      <c r="AAC28" s="967"/>
      <c r="AAD28" s="967"/>
      <c r="AAE28" s="967"/>
      <c r="AAF28" s="967"/>
      <c r="AAG28" s="967"/>
      <c r="AAH28" s="967"/>
      <c r="AAI28" s="967"/>
      <c r="AAJ28" s="967"/>
      <c r="AAK28" s="967"/>
      <c r="AAL28" s="967"/>
      <c r="AAM28" s="967"/>
      <c r="AAN28" s="967"/>
      <c r="AAO28" s="967"/>
      <c r="AAP28" s="967"/>
      <c r="AAQ28" s="967"/>
      <c r="AAR28" s="967"/>
      <c r="AAS28" s="967"/>
      <c r="AAT28" s="965"/>
      <c r="AAU28" s="754"/>
      <c r="AAV28" s="755"/>
      <c r="AAW28" s="169"/>
      <c r="AAX28" s="170"/>
      <c r="AAY28" s="170"/>
      <c r="AAZ28" s="172"/>
      <c r="ABA28" s="158"/>
      <c r="ABB28" s="158"/>
      <c r="ABC28" s="158"/>
      <c r="ABD28" s="163"/>
      <c r="ACJ28" s="759">
        <v>0.33333333300000001</v>
      </c>
      <c r="ACK28" s="760"/>
      <c r="ACL28" s="759">
        <v>-0.233333333</v>
      </c>
      <c r="ACM28" s="760"/>
      <c r="ACN28" s="592">
        <v>16</v>
      </c>
      <c r="ACO28" s="759">
        <f t="shared" si="0"/>
        <v>0.15333333327999996</v>
      </c>
      <c r="ACP28" s="760"/>
      <c r="ACQ28" s="757">
        <f t="shared" si="1"/>
        <v>1.1599999999999999</v>
      </c>
      <c r="ACR28" s="758"/>
      <c r="ACT28" s="759">
        <v>1</v>
      </c>
      <c r="ACU28" s="760"/>
      <c r="ACV28" s="759">
        <v>-1.2</v>
      </c>
      <c r="ACW28" s="760"/>
      <c r="ACX28" s="592">
        <v>66</v>
      </c>
      <c r="ACY28" s="759">
        <f t="shared" si="8"/>
        <v>0.46000000000000019</v>
      </c>
      <c r="ACZ28" s="760"/>
      <c r="ADA28" s="757">
        <f t="shared" si="2"/>
        <v>1.6600000000000001</v>
      </c>
      <c r="ADB28" s="758"/>
      <c r="ADD28" s="1112">
        <v>1.1052631578947401</v>
      </c>
      <c r="ADE28" s="1112"/>
      <c r="ADF28" s="1112">
        <v>-1.42105263157895</v>
      </c>
      <c r="ADG28" s="1112"/>
      <c r="ADH28" s="591">
        <v>115</v>
      </c>
      <c r="ADI28" s="759">
        <f t="shared" si="3"/>
        <v>0.9552631578947417</v>
      </c>
      <c r="ADJ28" s="760"/>
      <c r="ADK28" s="757">
        <f t="shared" si="4"/>
        <v>2.1500000000000004</v>
      </c>
      <c r="ADL28" s="758"/>
      <c r="ADN28" s="759">
        <v>1.1052631580000001</v>
      </c>
      <c r="ADO28" s="760"/>
      <c r="ADP28" s="759">
        <v>-1.42105263157895</v>
      </c>
      <c r="ADQ28" s="760"/>
      <c r="ADR28" s="591">
        <v>165</v>
      </c>
      <c r="ADS28" s="759">
        <f t="shared" si="9"/>
        <v>1.5078947371210507</v>
      </c>
      <c r="ADT28" s="760"/>
      <c r="ADU28" s="757">
        <f t="shared" si="5"/>
        <v>2.6500000000000004</v>
      </c>
      <c r="ADV28" s="758"/>
      <c r="ADX28" s="759">
        <v>1.1052631580000001</v>
      </c>
      <c r="ADY28" s="760"/>
      <c r="ADZ28" s="759">
        <v>-1.42105263157895</v>
      </c>
      <c r="AEA28" s="760"/>
      <c r="AEB28" s="591">
        <v>215</v>
      </c>
      <c r="AEC28" s="759">
        <f t="shared" si="10"/>
        <v>2.0605263161210501</v>
      </c>
      <c r="AED28" s="760"/>
      <c r="AEE28" s="757">
        <f t="shared" si="6"/>
        <v>3.15</v>
      </c>
      <c r="AEF28" s="758"/>
      <c r="AEH28" s="759">
        <v>1.1052631580000001</v>
      </c>
      <c r="AEI28" s="760"/>
      <c r="AEJ28" s="759">
        <v>-1.42105263157895</v>
      </c>
      <c r="AEK28" s="760"/>
      <c r="AEL28" s="591">
        <v>265</v>
      </c>
      <c r="AEM28" s="759">
        <f t="shared" si="11"/>
        <v>2.6131578951210499</v>
      </c>
      <c r="AEN28" s="760"/>
      <c r="AEO28" s="757">
        <f t="shared" si="7"/>
        <v>3.65</v>
      </c>
      <c r="AEP28" s="758"/>
      <c r="AEQ28" s="653"/>
      <c r="AER28" s="653"/>
      <c r="AES28" s="653"/>
      <c r="AET28" s="653"/>
      <c r="AEU28" s="653"/>
      <c r="AEV28" s="653"/>
      <c r="AEW28" s="653"/>
      <c r="AEX28" s="653"/>
      <c r="AEY28" s="653"/>
      <c r="AEZ28" s="653"/>
      <c r="AFA28" s="653"/>
      <c r="AFB28" s="653"/>
      <c r="AFC28" s="653"/>
      <c r="AFD28" s="653"/>
      <c r="AFE28" s="653"/>
      <c r="AGJ28" s="377"/>
      <c r="AGK28" s="373"/>
      <c r="AGL28" s="54"/>
      <c r="AGM28" s="373"/>
      <c r="AGN28" s="197" t="s">
        <v>849</v>
      </c>
      <c r="AGO28" s="852" t="s">
        <v>416</v>
      </c>
      <c r="AGP28" s="853"/>
      <c r="AGQ28" s="687"/>
      <c r="AGR28" s="78"/>
      <c r="AGS28" s="78"/>
      <c r="AGT28" s="78"/>
      <c r="AGU28" s="78"/>
      <c r="AGV28" s="78"/>
      <c r="AGW28" s="78"/>
      <c r="AGX28" s="687"/>
      <c r="AGY28" s="76" t="s">
        <v>441</v>
      </c>
      <c r="AGZ28" s="854" t="s">
        <v>435</v>
      </c>
      <c r="AHA28" s="1111"/>
      <c r="AHB28" s="924" t="s">
        <v>111</v>
      </c>
      <c r="AHC28" s="925"/>
      <c r="AHD28" s="916" t="s">
        <v>704</v>
      </c>
      <c r="AHE28" s="917"/>
      <c r="AHF28" s="1051" t="s">
        <v>447</v>
      </c>
      <c r="AHG28" s="1051"/>
      <c r="AHH28" s="1051"/>
      <c r="AHI28" s="1051"/>
      <c r="AHJ28" s="1051"/>
      <c r="AHK28" s="1051"/>
      <c r="AHL28" s="1051" t="s">
        <v>436</v>
      </c>
      <c r="AHM28" s="1051"/>
      <c r="AHN28" s="1051"/>
      <c r="AHO28" s="1051"/>
      <c r="AHP28" s="1051"/>
      <c r="AHQ28" s="1051"/>
      <c r="AHR28" s="1051"/>
      <c r="AHS28" s="1051"/>
      <c r="AHT28" s="1051"/>
      <c r="AHU28" s="373"/>
      <c r="AHV28" s="373"/>
      <c r="AHW28" s="374"/>
      <c r="AIQ28" s="130"/>
      <c r="AIR28" s="130"/>
      <c r="AIS28" s="130"/>
      <c r="AIT28" s="130"/>
      <c r="AIU28" s="673"/>
      <c r="AIV28" s="673"/>
      <c r="AIW28" s="673"/>
      <c r="AOL28" s="130"/>
      <c r="AQL28" s="130"/>
      <c r="AQV28" s="653"/>
      <c r="AQW28" s="653"/>
      <c r="AQX28" s="653"/>
      <c r="AQY28" s="653"/>
      <c r="AQZ28" s="653"/>
      <c r="ARA28" s="653"/>
      <c r="ARB28" s="653"/>
      <c r="ARC28" s="653"/>
      <c r="ARD28" s="653"/>
      <c r="ARE28" s="653"/>
      <c r="ARF28" s="653"/>
      <c r="ARG28" s="653"/>
      <c r="ARH28" s="653"/>
      <c r="ARI28" s="653"/>
      <c r="ARJ28" s="653"/>
      <c r="ARK28" s="653"/>
      <c r="ARL28" s="653"/>
      <c r="ARM28" s="653"/>
      <c r="ARN28" s="653"/>
      <c r="ARO28" s="653"/>
      <c r="ARP28" s="653"/>
      <c r="ARQ28" s="653"/>
      <c r="ARR28" s="653"/>
      <c r="ARS28" s="653"/>
      <c r="ART28" s="653"/>
      <c r="ARU28" s="197" t="s">
        <v>849</v>
      </c>
      <c r="ARV28" s="852" t="s">
        <v>416</v>
      </c>
      <c r="ARW28" s="853"/>
      <c r="ARX28" s="737"/>
      <c r="ARY28" s="800" t="s">
        <v>1690</v>
      </c>
      <c r="ARZ28" s="982"/>
      <c r="ASA28" s="982"/>
      <c r="ASB28" s="982"/>
      <c r="ASC28" s="982"/>
      <c r="ASD28" s="982"/>
      <c r="ASE28" s="883" t="str">
        <f>$M$73</f>
        <v>F</v>
      </c>
      <c r="ASF28" s="884"/>
      <c r="ASG28" s="737"/>
      <c r="ASH28" s="76" t="s">
        <v>441</v>
      </c>
      <c r="ASI28" s="854" t="s">
        <v>435</v>
      </c>
      <c r="ASJ28" s="891"/>
      <c r="ASK28" s="924" t="s">
        <v>111</v>
      </c>
      <c r="ASL28" s="925"/>
      <c r="ASM28" s="916" t="s">
        <v>704</v>
      </c>
      <c r="ASN28" s="917"/>
      <c r="ASO28" s="907" t="s">
        <v>447</v>
      </c>
      <c r="ASP28" s="907"/>
      <c r="ASQ28" s="907"/>
      <c r="ASR28" s="908"/>
      <c r="ASS28" s="906" t="s">
        <v>863</v>
      </c>
      <c r="AST28" s="907"/>
      <c r="ASU28" s="908"/>
      <c r="ASX28" s="653"/>
      <c r="ASY28" s="653"/>
      <c r="ASZ28" s="653"/>
      <c r="ATA28" s="653"/>
      <c r="ATB28" s="653"/>
      <c r="ATC28" s="653"/>
      <c r="AWB28" s="849"/>
      <c r="AWC28" s="133" t="s">
        <v>416</v>
      </c>
      <c r="AWD28" s="134"/>
      <c r="AWE28" s="138"/>
      <c r="AWF28" s="78"/>
      <c r="AWG28" s="78"/>
      <c r="AWH28" s="78"/>
      <c r="AWI28" s="78"/>
      <c r="AWJ28" s="78"/>
      <c r="AWK28" s="78"/>
      <c r="AWL28" s="138"/>
      <c r="AWM28" s="76" t="s">
        <v>441</v>
      </c>
      <c r="AWN28" s="854" t="s">
        <v>435</v>
      </c>
      <c r="AWO28" s="855"/>
      <c r="AWP28" s="920" t="s">
        <v>111</v>
      </c>
      <c r="AWQ28" s="921"/>
      <c r="AWR28" s="916" t="s">
        <v>704</v>
      </c>
      <c r="AWS28" s="917"/>
      <c r="AWT28" s="906" t="s">
        <v>447</v>
      </c>
      <c r="AWU28" s="907"/>
      <c r="AWV28" s="907"/>
      <c r="AWW28" s="908"/>
    </row>
    <row r="29" spans="1:996 1076:1297" ht="48" customHeight="1" thickBot="1">
      <c r="C29" s="207"/>
      <c r="D29" s="162"/>
      <c r="E29" s="800" t="s">
        <v>402</v>
      </c>
      <c r="F29" s="801"/>
      <c r="G29" s="158"/>
      <c r="H29" s="158"/>
      <c r="I29" s="736" t="s">
        <v>911</v>
      </c>
      <c r="J29" s="873" t="s">
        <v>1831</v>
      </c>
      <c r="K29" s="874"/>
      <c r="L29" s="874"/>
      <c r="M29" s="874"/>
      <c r="N29" s="874"/>
      <c r="O29" s="874"/>
      <c r="P29" s="874"/>
      <c r="Q29" s="874"/>
      <c r="R29" s="874"/>
      <c r="S29" s="874"/>
      <c r="T29" s="875"/>
      <c r="U29" s="158"/>
      <c r="V29" s="158"/>
      <c r="W29" s="158"/>
      <c r="X29" s="158"/>
      <c r="Y29" s="163"/>
      <c r="AI29" s="897" t="s">
        <v>973</v>
      </c>
      <c r="AJ29" s="898"/>
      <c r="AK29" s="899"/>
      <c r="AL29" s="897" t="s">
        <v>974</v>
      </c>
      <c r="AM29" s="898"/>
      <c r="AN29" s="899"/>
      <c r="AO29" s="849"/>
      <c r="AP29" s="1684">
        <v>1.4</v>
      </c>
      <c r="AQ29" s="1684"/>
      <c r="AR29" s="611"/>
      <c r="AS29" s="779" t="s">
        <v>1812</v>
      </c>
      <c r="AT29" s="780"/>
      <c r="AU29" s="781"/>
      <c r="AV29" s="76" t="s">
        <v>451</v>
      </c>
      <c r="AW29" s="611"/>
      <c r="AX29" s="76" t="s">
        <v>441</v>
      </c>
      <c r="AY29" s="1676" t="s">
        <v>435</v>
      </c>
      <c r="AZ29" s="1683"/>
      <c r="BA29" s="924" t="s">
        <v>111</v>
      </c>
      <c r="BB29" s="925"/>
      <c r="BC29" s="916" t="s">
        <v>704</v>
      </c>
      <c r="BD29" s="917"/>
      <c r="BE29" s="906" t="s">
        <v>447</v>
      </c>
      <c r="BF29" s="907"/>
      <c r="BG29" s="907"/>
      <c r="BH29" s="908"/>
      <c r="BI29" s="653"/>
      <c r="BJ29" s="653"/>
      <c r="BK29" s="653"/>
      <c r="BL29" s="126"/>
      <c r="BM29" s="126"/>
      <c r="BN29" s="130"/>
      <c r="BO29" s="130"/>
      <c r="BP29" s="130"/>
      <c r="BQ29" s="130"/>
      <c r="BR29" s="126"/>
      <c r="BX29" s="903"/>
      <c r="BY29" s="904"/>
      <c r="BZ29" s="905"/>
      <c r="CA29" s="851"/>
      <c r="CB29" s="811"/>
      <c r="CC29" s="772"/>
      <c r="CD29" s="772"/>
      <c r="CE29" s="772"/>
      <c r="CF29" s="772"/>
      <c r="CG29" s="772"/>
      <c r="CH29" s="772"/>
      <c r="CI29" s="772"/>
      <c r="CJ29" s="772"/>
      <c r="CK29" s="772"/>
      <c r="CL29" s="772"/>
      <c r="CM29" s="772"/>
      <c r="CN29" s="772"/>
      <c r="CO29" s="1642"/>
      <c r="CP29" s="1643"/>
      <c r="CQ29" s="1185"/>
      <c r="CR29" s="1186"/>
      <c r="CS29" s="842"/>
      <c r="CT29" s="845"/>
      <c r="CU29" s="846"/>
      <c r="CV29" s="848"/>
      <c r="DV29" s="130"/>
      <c r="DW29" s="130"/>
      <c r="DX29" s="130"/>
      <c r="DY29" s="130"/>
      <c r="DZ29" s="1052"/>
      <c r="EA29" s="243" t="s">
        <v>1015</v>
      </c>
      <c r="EB29" s="890">
        <f>$CL$40</f>
        <v>1.3923283333333335E-2</v>
      </c>
      <c r="EC29" s="890"/>
      <c r="ED29" s="245" t="s">
        <v>1104</v>
      </c>
      <c r="EE29" s="761">
        <f>$EO$20</f>
        <v>1.9</v>
      </c>
      <c r="EF29" s="883"/>
      <c r="EG29" s="957"/>
      <c r="EH29" s="957"/>
      <c r="EI29" s="957"/>
      <c r="EJ29" s="957"/>
      <c r="EK29" s="957"/>
      <c r="EL29" s="957"/>
      <c r="EM29" s="1117"/>
      <c r="EN29" s="1380"/>
      <c r="EO29" s="1381"/>
      <c r="EP29" s="1077"/>
      <c r="EQ29" s="1078"/>
      <c r="ER29" s="1558"/>
      <c r="ES29" s="1822"/>
      <c r="ET29" s="1823"/>
      <c r="EU29" s="1554"/>
      <c r="EV29" s="827"/>
      <c r="EW29" s="947"/>
      <c r="EX29" s="947"/>
      <c r="EY29" s="947"/>
      <c r="EZ29" s="947"/>
      <c r="FA29" s="948"/>
      <c r="FD29" s="653"/>
      <c r="FE29" s="653"/>
      <c r="FF29" s="653"/>
      <c r="FG29" s="653"/>
      <c r="FH29" s="653"/>
      <c r="FI29" s="653"/>
      <c r="FJ29" s="653"/>
      <c r="FK29" s="653"/>
      <c r="FL29" s="653"/>
      <c r="GC29" s="653"/>
      <c r="GD29" s="653"/>
      <c r="GF29" s="851"/>
      <c r="GG29" s="237" t="s">
        <v>1072</v>
      </c>
      <c r="GH29" s="805">
        <f>$GU$32</f>
        <v>0.23</v>
      </c>
      <c r="GI29" s="805"/>
      <c r="GJ29" s="794"/>
      <c r="GK29" s="795"/>
      <c r="GL29" s="795"/>
      <c r="GM29" s="1384"/>
      <c r="GN29" s="1385"/>
      <c r="GO29" s="1636"/>
      <c r="GP29" s="1637"/>
      <c r="GQ29" s="1067"/>
      <c r="GR29" s="918"/>
      <c r="GS29" s="919"/>
      <c r="GT29" s="848"/>
      <c r="GU29" s="1053"/>
      <c r="GV29" s="1053"/>
      <c r="GW29" s="1053"/>
      <c r="GX29" s="1053"/>
      <c r="GY29" s="1053"/>
      <c r="HR29" s="130"/>
      <c r="HS29" s="130"/>
      <c r="HT29" s="130"/>
      <c r="HU29" s="130"/>
      <c r="HV29" s="130"/>
      <c r="HW29" s="130"/>
      <c r="HX29" s="130"/>
      <c r="HY29" s="130"/>
      <c r="HZ29" s="130"/>
      <c r="IA29" s="130"/>
      <c r="IB29" s="130"/>
      <c r="IC29" s="130"/>
      <c r="ID29" s="130"/>
      <c r="IE29" s="130"/>
      <c r="IF29" s="130"/>
      <c r="IG29" s="130"/>
      <c r="IH29" s="130"/>
      <c r="II29" s="130"/>
      <c r="IJ29" s="130"/>
      <c r="IR29" s="1053"/>
      <c r="IS29" s="232" t="s">
        <v>1018</v>
      </c>
      <c r="IT29" s="805">
        <f>$AW$95</f>
        <v>0.19391178434038603</v>
      </c>
      <c r="IU29" s="805"/>
      <c r="IV29" s="226" t="s">
        <v>1014</v>
      </c>
      <c r="IW29" s="804">
        <f>$EJ$37</f>
        <v>0.97</v>
      </c>
      <c r="IX29" s="804"/>
      <c r="IY29" s="794"/>
      <c r="IZ29" s="795"/>
      <c r="JA29" s="795"/>
      <c r="JB29" s="795"/>
      <c r="JC29" s="795"/>
      <c r="JD29" s="795"/>
      <c r="JE29" s="796"/>
      <c r="JF29" s="837"/>
      <c r="JG29" s="838"/>
      <c r="JH29" s="1185"/>
      <c r="JI29" s="1186"/>
      <c r="JJ29" s="842"/>
      <c r="JK29" s="1173"/>
      <c r="JL29" s="1175"/>
      <c r="JM29" s="848"/>
      <c r="JN29" s="1053"/>
      <c r="JO29" s="1053"/>
      <c r="JP29" s="1053"/>
      <c r="JQ29" s="1053"/>
      <c r="JR29" s="1053"/>
      <c r="JX29" s="849"/>
      <c r="JY29" s="852" t="s">
        <v>416</v>
      </c>
      <c r="JZ29" s="923"/>
      <c r="KA29" s="142"/>
      <c r="KB29" s="78"/>
      <c r="KC29" s="78"/>
      <c r="KD29" s="78"/>
      <c r="KE29" s="142"/>
      <c r="KF29" s="76" t="s">
        <v>441</v>
      </c>
      <c r="KG29" s="854" t="s">
        <v>435</v>
      </c>
      <c r="KH29" s="1111"/>
      <c r="KI29" s="924" t="s">
        <v>111</v>
      </c>
      <c r="KJ29" s="925"/>
      <c r="KK29" s="916" t="s">
        <v>704</v>
      </c>
      <c r="KL29" s="917"/>
      <c r="KM29" s="906" t="s">
        <v>447</v>
      </c>
      <c r="KN29" s="907"/>
      <c r="KO29" s="907"/>
      <c r="KP29" s="908"/>
      <c r="KQ29" s="1051" t="s">
        <v>436</v>
      </c>
      <c r="KR29" s="1051"/>
      <c r="KS29" s="1051"/>
      <c r="KT29" s="1051"/>
      <c r="LF29" s="130"/>
      <c r="LG29" s="130"/>
      <c r="LH29" s="130"/>
      <c r="LI29" s="130"/>
      <c r="LJ29" s="130"/>
      <c r="LK29" s="130"/>
      <c r="LL29" s="130"/>
      <c r="LM29" s="130"/>
      <c r="NC29" s="130"/>
      <c r="ND29" s="130"/>
      <c r="OH29" s="197" t="s">
        <v>849</v>
      </c>
      <c r="OI29" s="906" t="s">
        <v>863</v>
      </c>
      <c r="OJ29" s="907"/>
      <c r="OK29" s="908"/>
      <c r="OP29" s="130"/>
      <c r="OQ29" s="130"/>
      <c r="OR29" s="130"/>
      <c r="OS29" s="130"/>
      <c r="OT29" s="130"/>
      <c r="OU29" s="130"/>
      <c r="OV29" s="130"/>
      <c r="OW29" s="130"/>
      <c r="OX29" s="130"/>
      <c r="OY29" s="130"/>
      <c r="OZ29" s="130"/>
      <c r="PA29" s="130"/>
      <c r="PB29" s="130"/>
      <c r="PC29" s="130"/>
      <c r="PD29" s="130"/>
      <c r="PE29" s="130"/>
      <c r="PF29" s="130"/>
      <c r="PG29" s="130"/>
      <c r="PH29" s="377"/>
      <c r="PI29" s="373"/>
      <c r="PJ29" s="54"/>
      <c r="PK29" s="373"/>
      <c r="PL29" s="373"/>
      <c r="PM29" s="373"/>
      <c r="PN29" s="373"/>
      <c r="PO29" s="373"/>
      <c r="PP29" s="373"/>
      <c r="PQ29" s="373"/>
      <c r="PR29" s="373"/>
      <c r="PS29" s="373"/>
      <c r="PT29" s="373"/>
      <c r="PU29" s="373"/>
      <c r="PV29" s="373"/>
      <c r="PW29" s="373"/>
      <c r="PX29" s="373"/>
      <c r="PY29" s="373"/>
      <c r="PZ29" s="1815" t="s">
        <v>1</v>
      </c>
      <c r="QA29" s="1816"/>
      <c r="QB29" s="1817"/>
      <c r="QC29" s="1817"/>
      <c r="QD29" s="1818"/>
      <c r="QE29" s="648" t="s">
        <v>1565</v>
      </c>
      <c r="QF29" s="1750">
        <f>$AP$5</f>
        <v>30000</v>
      </c>
      <c r="QG29" s="1751"/>
      <c r="QH29" s="1752"/>
      <c r="QI29" s="1821" t="s">
        <v>393</v>
      </c>
      <c r="QJ29" s="1821"/>
      <c r="QK29" s="373"/>
      <c r="QL29" s="373"/>
      <c r="QM29" s="373"/>
      <c r="QN29" s="373"/>
      <c r="QO29" s="373"/>
      <c r="QP29" s="373"/>
      <c r="QQ29" s="373"/>
      <c r="QR29" s="373"/>
      <c r="QS29" s="373"/>
      <c r="QT29" s="373"/>
      <c r="QU29" s="373"/>
      <c r="QV29" s="373"/>
      <c r="QW29" s="373"/>
      <c r="QX29" s="373"/>
      <c r="QY29" s="373"/>
      <c r="QZ29" s="373"/>
      <c r="RA29" s="373"/>
      <c r="RB29" s="373"/>
      <c r="RC29" s="374"/>
      <c r="RE29" s="653"/>
      <c r="RF29" s="653"/>
      <c r="RG29" s="653"/>
      <c r="RH29" s="653"/>
      <c r="RI29" s="653"/>
      <c r="RJ29" s="653"/>
      <c r="RK29" s="653"/>
      <c r="RL29" s="653"/>
      <c r="RM29" s="653"/>
      <c r="RN29" s="653"/>
      <c r="RO29" s="653"/>
      <c r="RP29" s="653"/>
      <c r="RQ29" s="653"/>
      <c r="RR29" s="653"/>
      <c r="RS29" s="653"/>
      <c r="RT29" s="653"/>
      <c r="RU29" s="653"/>
      <c r="RV29" s="653"/>
      <c r="RW29" s="653"/>
      <c r="RX29" s="653"/>
      <c r="RY29" s="653"/>
      <c r="TB29" s="653"/>
      <c r="TC29" s="653"/>
      <c r="TD29" s="653"/>
      <c r="TE29" s="653"/>
      <c r="TF29" s="653"/>
      <c r="TG29" s="653"/>
      <c r="TH29" s="653"/>
      <c r="TI29" s="653"/>
      <c r="TJ29" s="653"/>
      <c r="TK29" s="653"/>
      <c r="TL29" s="653"/>
      <c r="TM29" s="653"/>
      <c r="TN29" s="653"/>
      <c r="TO29" s="653"/>
      <c r="TP29" s="653"/>
      <c r="TQ29" s="653"/>
      <c r="TR29" s="653"/>
      <c r="TS29" s="653"/>
      <c r="TX29" s="653"/>
      <c r="TY29" s="653"/>
      <c r="TZ29" s="653"/>
      <c r="UA29" s="653"/>
      <c r="UB29" s="653"/>
      <c r="UC29" s="653"/>
      <c r="UD29" s="653"/>
      <c r="UE29" s="653"/>
      <c r="UF29" s="653"/>
      <c r="UG29" s="653"/>
      <c r="UH29" s="653"/>
      <c r="UI29" s="653"/>
      <c r="UJ29" s="653"/>
      <c r="UK29" s="653"/>
      <c r="UL29" s="653"/>
      <c r="UM29" s="653"/>
      <c r="UN29" s="653"/>
      <c r="UO29" s="653"/>
      <c r="UP29" s="653"/>
      <c r="UQ29" s="653"/>
      <c r="UR29" s="653"/>
      <c r="US29" s="653"/>
      <c r="UT29" s="653"/>
      <c r="UU29" s="653"/>
      <c r="UV29" s="653"/>
      <c r="UW29" s="653"/>
      <c r="UX29" s="653"/>
      <c r="UY29" s="653"/>
      <c r="UZ29" s="653"/>
      <c r="WE29" s="1831"/>
      <c r="WF29" s="1832"/>
      <c r="WG29" s="1832"/>
      <c r="WH29" s="1832"/>
      <c r="WI29" s="1832"/>
      <c r="WJ29" s="1833"/>
      <c r="WK29" s="167"/>
      <c r="WL29" s="168"/>
      <c r="WM29" s="168"/>
      <c r="WN29" s="168"/>
      <c r="WO29" s="168"/>
      <c r="WP29" s="168"/>
      <c r="WQ29" s="168"/>
      <c r="WR29" s="168"/>
      <c r="WS29" s="168"/>
      <c r="WT29" s="168"/>
      <c r="WU29" s="168"/>
      <c r="WV29" s="168"/>
      <c r="WW29" s="171"/>
      <c r="WX29" s="976">
        <v>5</v>
      </c>
      <c r="WY29" s="977"/>
      <c r="WZ29" s="752" t="s">
        <v>381</v>
      </c>
      <c r="XA29" s="753"/>
      <c r="XB29" s="167"/>
      <c r="XC29" s="168"/>
      <c r="XD29" s="168"/>
      <c r="XE29" s="168"/>
      <c r="XF29" s="171"/>
      <c r="XG29" s="966">
        <f>XG21/XG25</f>
        <v>0.99995571319602639</v>
      </c>
      <c r="XH29" s="966">
        <f t="shared" ref="XH29:ZS29" si="24">XH21/XH25</f>
        <v>0.99982349951416394</v>
      </c>
      <c r="XI29" s="966">
        <f t="shared" si="24"/>
        <v>0.99960437298815252</v>
      </c>
      <c r="XJ29" s="966">
        <f t="shared" si="24"/>
        <v>0.99929940423806096</v>
      </c>
      <c r="XK29" s="966">
        <f t="shared" si="24"/>
        <v>0.99890971791073135</v>
      </c>
      <c r="XL29" s="966">
        <f t="shared" si="24"/>
        <v>0.99843649005528845</v>
      </c>
      <c r="XM29" s="966">
        <f t="shared" si="24"/>
        <v>0.99788094544387518</v>
      </c>
      <c r="XN29" s="966">
        <f t="shared" si="24"/>
        <v>0.99724435484769913</v>
      </c>
      <c r="XO29" s="966">
        <f t="shared" si="24"/>
        <v>0.99652803227834685</v>
      </c>
      <c r="XP29" s="966">
        <f t="shared" si="24"/>
        <v>0.99573333220414073</v>
      </c>
      <c r="XQ29" s="966">
        <f t="shared" si="24"/>
        <v>0.99486164675109168</v>
      </c>
      <c r="XR29" s="966">
        <f t="shared" si="24"/>
        <v>0.99391440289771582</v>
      </c>
      <c r="XS29" s="966">
        <f t="shared" si="24"/>
        <v>0.99289305967268582</v>
      </c>
      <c r="XT29" s="966">
        <f t="shared" si="24"/>
        <v>0.99179910536392557</v>
      </c>
      <c r="XU29" s="966">
        <f t="shared" si="24"/>
        <v>0.99063405474738109</v>
      </c>
      <c r="XV29" s="966">
        <f t="shared" si="24"/>
        <v>0.98939944634329213</v>
      </c>
      <c r="XW29" s="966">
        <f t="shared" si="24"/>
        <v>0.98809683970734952</v>
      </c>
      <c r="XX29" s="966">
        <f t="shared" si="24"/>
        <v>0.98672781276367849</v>
      </c>
      <c r="XY29" s="966">
        <f t="shared" si="24"/>
        <v>0.98529395918611096</v>
      </c>
      <c r="XZ29" s="966">
        <f t="shared" si="24"/>
        <v>0.98379688583373592</v>
      </c>
      <c r="YA29" s="966">
        <f t="shared" si="24"/>
        <v>0.9822382102462266</v>
      </c>
      <c r="YB29" s="966">
        <f t="shared" si="24"/>
        <v>0.98061955820395008</v>
      </c>
      <c r="YC29" s="966">
        <f t="shared" si="24"/>
        <v>0.97894256135737556</v>
      </c>
      <c r="YD29" s="966">
        <f t="shared" si="24"/>
        <v>0.97720885492980325</v>
      </c>
      <c r="YE29" s="966">
        <f t="shared" si="24"/>
        <v>0.97542007549695786</v>
      </c>
      <c r="YF29" s="966">
        <f t="shared" si="24"/>
        <v>0.97357785884650894</v>
      </c>
      <c r="YG29" s="966">
        <f t="shared" si="24"/>
        <v>0.97168383792012025</v>
      </c>
      <c r="YH29" s="966">
        <f t="shared" si="24"/>
        <v>0.96973964084017639</v>
      </c>
      <c r="YI29" s="966">
        <f t="shared" si="24"/>
        <v>0.9677468890229024</v>
      </c>
      <c r="YJ29" s="966">
        <f t="shared" si="24"/>
        <v>0.96570719537917005</v>
      </c>
      <c r="YK29" s="966">
        <f t="shared" si="24"/>
        <v>0.96362216260388645</v>
      </c>
      <c r="YL29" s="966">
        <f t="shared" si="24"/>
        <v>0.96149338155447928</v>
      </c>
      <c r="YM29" s="966">
        <f t="shared" si="24"/>
        <v>0.95932242971863446</v>
      </c>
      <c r="YN29" s="966">
        <f t="shared" si="24"/>
        <v>0.95711086977110404</v>
      </c>
      <c r="YO29" s="966">
        <f t="shared" si="24"/>
        <v>0.954860248219084</v>
      </c>
      <c r="YP29" s="966">
        <f t="shared" si="24"/>
        <v>0.95257209413537358</v>
      </c>
      <c r="YQ29" s="966">
        <f t="shared" si="24"/>
        <v>0.95024791797824992</v>
      </c>
      <c r="YR29" s="966">
        <f t="shared" si="24"/>
        <v>0.94788921049675046</v>
      </c>
      <c r="YS29" s="966">
        <f t="shared" si="24"/>
        <v>0.94549744171982419</v>
      </c>
      <c r="YT29" s="966">
        <f t="shared" si="24"/>
        <v>0.94307406002761363</v>
      </c>
      <c r="YU29" s="966">
        <f t="shared" si="24"/>
        <v>0.94062049130294356</v>
      </c>
      <c r="YV29" s="966">
        <f t="shared" si="24"/>
        <v>0.93813813816093505</v>
      </c>
      <c r="YW29" s="966">
        <f t="shared" si="24"/>
        <v>0.93562837925451714</v>
      </c>
      <c r="YX29" s="966">
        <f t="shared" si="24"/>
        <v>0.93309256865349466</v>
      </c>
      <c r="YY29" s="966">
        <f t="shared" si="24"/>
        <v>0.93053203529472084</v>
      </c>
      <c r="YZ29" s="966">
        <f t="shared" si="24"/>
        <v>0.92794808250084393</v>
      </c>
      <c r="ZA29" s="966">
        <f t="shared" si="24"/>
        <v>0.92534198756502584</v>
      </c>
      <c r="ZB29" s="966">
        <f t="shared" si="24"/>
        <v>0.92271500139898388</v>
      </c>
      <c r="ZC29" s="966">
        <f t="shared" si="24"/>
        <v>0.92006834824165895</v>
      </c>
      <c r="ZD29" s="966">
        <f t="shared" si="24"/>
        <v>0.91740322542580877</v>
      </c>
      <c r="ZE29" s="966">
        <f t="shared" si="24"/>
        <v>0.91472080319979543</v>
      </c>
      <c r="ZF29" s="966">
        <f t="shared" si="24"/>
        <v>0.91202222460185089</v>
      </c>
      <c r="ZG29" s="966">
        <f t="shared" si="24"/>
        <v>0.90930860538411495</v>
      </c>
      <c r="ZH29" s="966">
        <f t="shared" si="24"/>
        <v>0.90658103398375844</v>
      </c>
      <c r="ZI29" s="966">
        <f t="shared" si="24"/>
        <v>0.90384057153854414</v>
      </c>
      <c r="ZJ29" s="966">
        <f t="shared" si="24"/>
        <v>0.90108825194421038</v>
      </c>
      <c r="ZK29" s="966">
        <f t="shared" si="24"/>
        <v>0.8983250819511166</v>
      </c>
      <c r="ZL29" s="966">
        <f t="shared" si="24"/>
        <v>0.89555204129763832</v>
      </c>
      <c r="ZM29" s="966">
        <f t="shared" si="24"/>
        <v>0.89277008287786552</v>
      </c>
      <c r="ZN29" s="966">
        <f t="shared" si="24"/>
        <v>0.8899801329412137</v>
      </c>
      <c r="ZO29" s="966">
        <f t="shared" si="24"/>
        <v>0.88718309132163653</v>
      </c>
      <c r="ZP29" s="966">
        <f t="shared" si="24"/>
        <v>0.88437983169418999</v>
      </c>
      <c r="ZQ29" s="966">
        <f t="shared" si="24"/>
        <v>0.88157120185678273</v>
      </c>
      <c r="ZR29" s="966">
        <f t="shared" si="24"/>
        <v>0.87875802403501857</v>
      </c>
      <c r="ZS29" s="966">
        <f t="shared" si="24"/>
        <v>0.87594109520811536</v>
      </c>
      <c r="ZT29" s="966">
        <f t="shared" ref="ZT29:AAS29" si="25">ZT21/ZT25</f>
        <v>0.87312118745397205</v>
      </c>
      <c r="ZU29" s="966">
        <f t="shared" si="25"/>
        <v>0.87029904831152571</v>
      </c>
      <c r="ZV29" s="966">
        <f t="shared" si="25"/>
        <v>0.86747540115863164</v>
      </c>
      <c r="ZW29" s="966">
        <f t="shared" si="25"/>
        <v>0.86465094560377265</v>
      </c>
      <c r="ZX29" s="966">
        <f t="shared" si="25"/>
        <v>0.86182635788999007</v>
      </c>
      <c r="ZY29" s="966">
        <f t="shared" si="25"/>
        <v>0.85900229130950589</v>
      </c>
      <c r="ZZ29" s="966">
        <f t="shared" si="25"/>
        <v>0.85617937662758259</v>
      </c>
      <c r="AAA29" s="966">
        <f t="shared" si="25"/>
        <v>0.85335822251425153</v>
      </c>
      <c r="AAB29" s="966">
        <f t="shared" si="25"/>
        <v>0.85053941598260763</v>
      </c>
      <c r="AAC29" s="966">
        <f t="shared" si="25"/>
        <v>0.84772352283244812</v>
      </c>
      <c r="AAD29" s="966">
        <f t="shared" si="25"/>
        <v>0.84491108809810733</v>
      </c>
      <c r="AAE29" s="966">
        <f t="shared" si="25"/>
        <v>0.8421026364994022</v>
      </c>
      <c r="AAF29" s="966">
        <f t="shared" si="25"/>
        <v>0.83929867289467974</v>
      </c>
      <c r="AAG29" s="966">
        <f t="shared" si="25"/>
        <v>0.83649968273502029</v>
      </c>
      <c r="AAH29" s="966">
        <f t="shared" si="25"/>
        <v>0.83370613251871306</v>
      </c>
      <c r="AAI29" s="966">
        <f t="shared" si="25"/>
        <v>0.83091847024518384</v>
      </c>
      <c r="AAJ29" s="966">
        <f t="shared" si="25"/>
        <v>0.82813712586761534</v>
      </c>
      <c r="AAK29" s="966">
        <f t="shared" si="25"/>
        <v>0.82536251174355479</v>
      </c>
      <c r="AAL29" s="966">
        <f t="shared" si="25"/>
        <v>0.82259502308285737</v>
      </c>
      <c r="AAM29" s="966">
        <f t="shared" si="25"/>
        <v>0.81983503839237182</v>
      </c>
      <c r="AAN29" s="966">
        <f t="shared" si="25"/>
        <v>0.81708291991681603</v>
      </c>
      <c r="AAO29" s="966">
        <f t="shared" si="25"/>
        <v>0.81433901407534437</v>
      </c>
      <c r="AAP29" s="966">
        <f t="shared" si="25"/>
        <v>0.81160365189335193</v>
      </c>
      <c r="AAQ29" s="966">
        <f t="shared" si="25"/>
        <v>0.80887714942910149</v>
      </c>
      <c r="AAR29" s="966">
        <f t="shared" si="25"/>
        <v>0.80615980819480038</v>
      </c>
      <c r="AAS29" s="966">
        <f t="shared" si="25"/>
        <v>0.80345191557179829</v>
      </c>
      <c r="AAT29" s="964">
        <v>5</v>
      </c>
      <c r="AAU29" s="752" t="s">
        <v>381</v>
      </c>
      <c r="AAV29" s="753"/>
      <c r="AAW29" s="167"/>
      <c r="AAX29" s="168"/>
      <c r="AAY29" s="168"/>
      <c r="AAZ29" s="171"/>
      <c r="ABA29" s="158"/>
      <c r="ABB29" s="158"/>
      <c r="ABC29" s="158"/>
      <c r="ABD29" s="163"/>
      <c r="ACJ29" s="759">
        <v>0.33333333300000001</v>
      </c>
      <c r="ACK29" s="760"/>
      <c r="ACL29" s="759">
        <v>-0.233333333</v>
      </c>
      <c r="ACM29" s="760"/>
      <c r="ACN29" s="592">
        <v>17</v>
      </c>
      <c r="ACO29" s="759">
        <f t="shared" si="0"/>
        <v>0.15666666660999998</v>
      </c>
      <c r="ACP29" s="760"/>
      <c r="ACQ29" s="757">
        <f t="shared" si="1"/>
        <v>1.17</v>
      </c>
      <c r="ACR29" s="758"/>
      <c r="ACT29" s="759">
        <v>1</v>
      </c>
      <c r="ACU29" s="760"/>
      <c r="ACV29" s="759">
        <v>-1.2</v>
      </c>
      <c r="ACW29" s="760"/>
      <c r="ACX29" s="592">
        <v>67</v>
      </c>
      <c r="ACY29" s="759">
        <f t="shared" si="8"/>
        <v>0.47</v>
      </c>
      <c r="ACZ29" s="760"/>
      <c r="ADA29" s="757">
        <f t="shared" si="2"/>
        <v>1.67</v>
      </c>
      <c r="ADB29" s="758"/>
      <c r="ADD29" s="1112">
        <v>1.1052631578947401</v>
      </c>
      <c r="ADE29" s="1112"/>
      <c r="ADF29" s="1112">
        <v>-1.42105263157895</v>
      </c>
      <c r="ADG29" s="1112"/>
      <c r="ADH29" s="591">
        <v>116</v>
      </c>
      <c r="ADI29" s="759">
        <f t="shared" si="3"/>
        <v>0.96631578947368846</v>
      </c>
      <c r="ADJ29" s="760"/>
      <c r="ADK29" s="757">
        <f t="shared" si="4"/>
        <v>2.16</v>
      </c>
      <c r="ADL29" s="758"/>
      <c r="ADN29" s="759">
        <v>1.1052631580000001</v>
      </c>
      <c r="ADO29" s="760"/>
      <c r="ADP29" s="759">
        <v>-1.42105263157895</v>
      </c>
      <c r="ADQ29" s="760"/>
      <c r="ADR29" s="591">
        <v>166</v>
      </c>
      <c r="ADS29" s="759">
        <f t="shared" si="9"/>
        <v>1.5189473687010504</v>
      </c>
      <c r="ADT29" s="760"/>
      <c r="ADU29" s="757">
        <f t="shared" si="5"/>
        <v>2.66</v>
      </c>
      <c r="ADV29" s="758"/>
      <c r="ADX29" s="759">
        <v>1.1052631580000001</v>
      </c>
      <c r="ADY29" s="760"/>
      <c r="ADZ29" s="759">
        <v>-1.42105263157895</v>
      </c>
      <c r="AEA29" s="760"/>
      <c r="AEB29" s="591">
        <v>216</v>
      </c>
      <c r="AEC29" s="759">
        <f t="shared" si="10"/>
        <v>2.0715789477010502</v>
      </c>
      <c r="AED29" s="760"/>
      <c r="AEE29" s="757">
        <f t="shared" si="6"/>
        <v>3.16</v>
      </c>
      <c r="AEF29" s="758"/>
      <c r="AEH29" s="759">
        <v>1.1052631580000001</v>
      </c>
      <c r="AEI29" s="760"/>
      <c r="AEJ29" s="759">
        <v>-1.42105263157895</v>
      </c>
      <c r="AEK29" s="760"/>
      <c r="AEL29" s="591">
        <v>266</v>
      </c>
      <c r="AEM29" s="759">
        <f t="shared" si="11"/>
        <v>2.62421052670105</v>
      </c>
      <c r="AEN29" s="760"/>
      <c r="AEO29" s="757">
        <f t="shared" si="7"/>
        <v>3.66</v>
      </c>
      <c r="AEP29" s="758"/>
      <c r="AEQ29" s="653"/>
      <c r="AER29" s="653"/>
      <c r="AES29" s="653"/>
      <c r="AET29" s="653"/>
      <c r="AEU29" s="653"/>
      <c r="AEW29" s="653"/>
      <c r="AEX29" s="653"/>
      <c r="AEY29" s="653"/>
      <c r="AEZ29" s="653"/>
      <c r="AFA29" s="653"/>
      <c r="AFB29" s="653"/>
      <c r="AFC29" s="653"/>
      <c r="AFD29" s="653"/>
      <c r="AFE29" s="653"/>
      <c r="AGJ29" s="377"/>
      <c r="AGK29" s="373"/>
      <c r="AGL29" s="54"/>
      <c r="AGM29" s="381" t="s">
        <v>1297</v>
      </c>
      <c r="AGN29" s="849"/>
      <c r="AGO29" s="1314" t="s">
        <v>1199</v>
      </c>
      <c r="AGP29" s="1315"/>
      <c r="AGQ29" s="883">
        <f>$AHA$15</f>
        <v>1</v>
      </c>
      <c r="AGR29" s="884"/>
      <c r="AGS29" s="792" t="s">
        <v>1430</v>
      </c>
      <c r="AGT29" s="792"/>
      <c r="AGU29" s="792"/>
      <c r="AGV29" s="792"/>
      <c r="AGW29" s="792"/>
      <c r="AGX29" s="792"/>
      <c r="AGY29" s="792"/>
      <c r="AGZ29" s="792"/>
      <c r="AHA29" s="793"/>
      <c r="AHB29" s="835">
        <f>63.61*AGQ30*AGQ29^(1/2)</f>
        <v>1.8595658001541595</v>
      </c>
      <c r="AHC29" s="836"/>
      <c r="AHD29" s="1341" t="s">
        <v>729</v>
      </c>
      <c r="AHE29" s="1342"/>
      <c r="AHF29" s="1289"/>
      <c r="AHG29" s="1305" t="s">
        <v>1431</v>
      </c>
      <c r="AHH29" s="1305"/>
      <c r="AHI29" s="1305"/>
      <c r="AHJ29" s="1305"/>
      <c r="AHK29" s="1289"/>
      <c r="AHL29" s="1052"/>
      <c r="AHM29" s="1052"/>
      <c r="AHN29" s="1052"/>
      <c r="AHO29" s="1052"/>
      <c r="AHP29" s="1052"/>
      <c r="AHQ29" s="1052"/>
      <c r="AHR29" s="1052"/>
      <c r="AHS29" s="1052"/>
      <c r="AHT29" s="1052"/>
      <c r="AHU29" s="373"/>
      <c r="AHV29" s="373"/>
      <c r="AHW29" s="374"/>
      <c r="AIQ29" s="130"/>
      <c r="AIR29" s="130"/>
      <c r="AIS29" s="130"/>
      <c r="AIT29" s="130"/>
      <c r="AIU29" s="673"/>
      <c r="AIV29" s="673"/>
      <c r="AIW29" s="673"/>
      <c r="AOL29" s="130"/>
      <c r="AQL29" s="130"/>
      <c r="ARI29" s="653"/>
      <c r="ARJ29" s="653"/>
      <c r="ARK29" s="653"/>
      <c r="ARL29" s="653"/>
      <c r="ARM29" s="653"/>
      <c r="ARN29" s="653"/>
      <c r="ARO29" s="653"/>
      <c r="ARP29" s="653"/>
      <c r="ARQ29" s="653"/>
      <c r="ARR29" s="653"/>
      <c r="ARS29" s="653"/>
      <c r="ART29" s="653"/>
      <c r="ARU29" s="1052"/>
      <c r="ARV29" s="1839" t="s">
        <v>911</v>
      </c>
      <c r="ARW29" s="1851"/>
      <c r="ARX29" s="1840"/>
      <c r="ARY29" s="791" t="s">
        <v>914</v>
      </c>
      <c r="ARZ29" s="792"/>
      <c r="ASA29" s="792"/>
      <c r="ASB29" s="792"/>
      <c r="ASC29" s="792"/>
      <c r="ASD29" s="792"/>
      <c r="ASE29" s="792"/>
      <c r="ASF29" s="792"/>
      <c r="ASG29" s="792"/>
      <c r="ASH29" s="792"/>
      <c r="ASI29" s="792"/>
      <c r="ASJ29" s="793"/>
      <c r="ASK29" s="1183" t="s">
        <v>729</v>
      </c>
      <c r="ASL29" s="1184"/>
      <c r="ASM29" s="1183" t="s">
        <v>729</v>
      </c>
      <c r="ASN29" s="1184"/>
      <c r="ASO29" s="841"/>
      <c r="ASP29" s="893" t="s">
        <v>893</v>
      </c>
      <c r="ASQ29" s="894"/>
      <c r="ASR29" s="847"/>
      <c r="ASS29" s="1203" t="s">
        <v>862</v>
      </c>
      <c r="AST29" s="1275"/>
      <c r="ASU29" s="1204"/>
      <c r="ASX29" s="653"/>
      <c r="ASY29" s="653"/>
      <c r="ASZ29" s="653"/>
      <c r="ATA29" s="653"/>
      <c r="ATB29" s="653"/>
      <c r="ATC29" s="653"/>
      <c r="AVI29" s="130"/>
      <c r="AVJ29" s="130"/>
      <c r="AVK29" s="130"/>
      <c r="AVL29" s="130"/>
      <c r="AVM29" s="130"/>
      <c r="AVN29" s="130"/>
      <c r="AVO29" s="130"/>
      <c r="AVP29" s="130"/>
      <c r="AWB29" s="850"/>
      <c r="AWC29" s="856"/>
      <c r="AWD29" s="856"/>
      <c r="AWE29" s="856"/>
      <c r="AWF29" s="856"/>
      <c r="AWG29" s="856"/>
      <c r="AWH29" s="856"/>
      <c r="AWI29" s="856"/>
      <c r="AWJ29" s="856"/>
      <c r="AWK29" s="856"/>
      <c r="AWL29" s="856"/>
      <c r="AWM29" s="856"/>
      <c r="AWN29" s="856"/>
      <c r="AWO29" s="856"/>
      <c r="AWP29" s="835"/>
      <c r="AWQ29" s="836"/>
      <c r="AWR29" s="839"/>
      <c r="AWS29" s="840"/>
      <c r="AWT29" s="841"/>
      <c r="AWU29" s="843" t="s">
        <v>416</v>
      </c>
      <c r="AWV29" s="844"/>
      <c r="AWW29" s="847"/>
    </row>
    <row r="30" spans="1:996 1076:1297" ht="48" customHeight="1" thickBot="1">
      <c r="C30" s="207"/>
      <c r="D30" s="162"/>
      <c r="E30" s="158"/>
      <c r="F30" s="158"/>
      <c r="G30" s="158"/>
      <c r="H30" s="158"/>
      <c r="I30" s="158"/>
      <c r="J30" s="158"/>
      <c r="K30" s="158"/>
      <c r="L30" s="158"/>
      <c r="M30" s="158"/>
      <c r="N30" s="158"/>
      <c r="O30" s="158"/>
      <c r="P30" s="158"/>
      <c r="Q30" s="158"/>
      <c r="R30" s="158"/>
      <c r="S30" s="158"/>
      <c r="T30" s="158"/>
      <c r="U30" s="158"/>
      <c r="V30" s="158"/>
      <c r="W30" s="158"/>
      <c r="X30" s="158"/>
      <c r="Y30" s="163"/>
      <c r="AI30" s="900"/>
      <c r="AJ30" s="901"/>
      <c r="AK30" s="902"/>
      <c r="AL30" s="900"/>
      <c r="AM30" s="901"/>
      <c r="AN30" s="902"/>
      <c r="AO30" s="850"/>
      <c r="AP30" s="768" t="s">
        <v>380</v>
      </c>
      <c r="AQ30" s="762"/>
      <c r="AR30" s="762"/>
      <c r="AS30" s="762"/>
      <c r="AT30" s="762"/>
      <c r="AU30" s="762"/>
      <c r="AV30" s="762"/>
      <c r="AW30" s="762"/>
      <c r="AX30" s="762"/>
      <c r="AY30" s="762"/>
      <c r="AZ30" s="763"/>
      <c r="BA30" s="1640">
        <f>AX28</f>
        <v>180</v>
      </c>
      <c r="BB30" s="1641"/>
      <c r="BC30" s="1261" t="s">
        <v>45</v>
      </c>
      <c r="BD30" s="1262"/>
      <c r="BE30" s="847"/>
      <c r="BF30" s="893" t="s">
        <v>212</v>
      </c>
      <c r="BG30" s="894"/>
      <c r="BH30" s="847"/>
      <c r="BI30" s="653"/>
      <c r="BJ30" s="653"/>
      <c r="BK30" s="653"/>
      <c r="BL30" s="126"/>
      <c r="BM30" s="126"/>
      <c r="BN30" s="130"/>
      <c r="BO30" s="130"/>
      <c r="BP30" s="130"/>
      <c r="BQ30" s="130"/>
      <c r="BR30" s="126"/>
      <c r="BX30" s="751" t="s">
        <v>1874</v>
      </c>
      <c r="DV30" s="130"/>
      <c r="DW30" s="130"/>
      <c r="DX30" s="130"/>
      <c r="DY30" s="130"/>
      <c r="DZ30" s="1053"/>
      <c r="EA30" s="244" t="s">
        <v>1018</v>
      </c>
      <c r="EB30" s="804">
        <f>$AW$95</f>
        <v>0.19391178434038603</v>
      </c>
      <c r="EC30" s="804"/>
      <c r="ED30" s="1060"/>
      <c r="EE30" s="1061"/>
      <c r="EF30" s="1061"/>
      <c r="EG30" s="1147"/>
      <c r="EH30" s="1147"/>
      <c r="EI30" s="1147"/>
      <c r="EJ30" s="1147"/>
      <c r="EK30" s="1147"/>
      <c r="EL30" s="1147"/>
      <c r="EM30" s="1147"/>
      <c r="EN30" s="942"/>
      <c r="EO30" s="943"/>
      <c r="EP30" s="943"/>
      <c r="EQ30" s="943"/>
      <c r="ER30" s="813"/>
      <c r="ES30" s="813"/>
      <c r="ET30" s="813"/>
      <c r="EU30" s="813"/>
      <c r="EV30" s="828"/>
      <c r="EW30" s="949"/>
      <c r="EX30" s="949"/>
      <c r="EY30" s="949"/>
      <c r="EZ30" s="949"/>
      <c r="FA30" s="950"/>
      <c r="FD30" s="653"/>
      <c r="FE30" s="653"/>
      <c r="FF30" s="653"/>
      <c r="FG30" s="653"/>
      <c r="FH30" s="653"/>
      <c r="FI30" s="653"/>
      <c r="FJ30" s="653"/>
      <c r="FK30" s="653"/>
      <c r="FL30" s="653"/>
      <c r="FM30" s="653"/>
      <c r="FN30" s="653"/>
      <c r="FO30" s="653"/>
      <c r="FP30" s="653"/>
      <c r="FQ30" s="653"/>
      <c r="FR30" s="653"/>
      <c r="FS30" s="653"/>
      <c r="FT30" s="653"/>
      <c r="FU30" s="653"/>
      <c r="FV30" s="653"/>
      <c r="FW30" s="653"/>
      <c r="FX30" s="653"/>
      <c r="FY30" s="653"/>
      <c r="FZ30" s="653"/>
      <c r="GA30" s="653"/>
      <c r="GB30" s="653"/>
      <c r="GC30" s="653"/>
      <c r="GD30" s="653"/>
      <c r="HR30" s="130"/>
      <c r="HS30" s="130"/>
      <c r="HT30" s="130"/>
      <c r="HU30" s="130"/>
      <c r="HV30" s="130"/>
      <c r="HW30" s="130"/>
      <c r="HX30" s="130"/>
      <c r="HY30" s="130"/>
      <c r="HZ30" s="130"/>
      <c r="IA30" s="130"/>
      <c r="IB30" s="130"/>
      <c r="IC30" s="130"/>
      <c r="ID30" s="130"/>
      <c r="IE30" s="130"/>
      <c r="IF30" s="130"/>
      <c r="IG30" s="130"/>
      <c r="IH30" s="130"/>
      <c r="II30" s="130"/>
      <c r="IJ30" s="130"/>
      <c r="JX30" s="850"/>
      <c r="JY30" s="321" t="s">
        <v>1145</v>
      </c>
      <c r="JZ30" s="766">
        <f>$KI$34</f>
        <v>226.36111766629</v>
      </c>
      <c r="KA30" s="766"/>
      <c r="KB30" s="791" t="s">
        <v>1870</v>
      </c>
      <c r="KC30" s="797"/>
      <c r="KD30" s="797"/>
      <c r="KE30" s="797"/>
      <c r="KF30" s="797"/>
      <c r="KG30" s="797"/>
      <c r="KH30" s="798"/>
      <c r="KI30" s="1471">
        <f>KI34/1000*JG90</f>
        <v>117.7077811864708</v>
      </c>
      <c r="KJ30" s="1472"/>
      <c r="KK30" s="931" t="s">
        <v>32</v>
      </c>
      <c r="KL30" s="932"/>
      <c r="KM30" s="1066"/>
      <c r="KN30" s="843" t="s">
        <v>1167</v>
      </c>
      <c r="KO30" s="844"/>
      <c r="KP30" s="847"/>
      <c r="KQ30" s="827"/>
      <c r="KR30" s="947"/>
      <c r="KS30" s="947"/>
      <c r="KT30" s="948"/>
      <c r="LF30" s="130"/>
      <c r="LG30" s="130"/>
      <c r="LH30" s="130"/>
      <c r="LI30" s="130"/>
      <c r="LJ30" s="130"/>
      <c r="LK30" s="130"/>
      <c r="LL30" s="130"/>
      <c r="LM30" s="130"/>
      <c r="MB30" s="76" t="s">
        <v>793</v>
      </c>
      <c r="MC30" s="852" t="s">
        <v>416</v>
      </c>
      <c r="MD30" s="853"/>
      <c r="ME30" s="138"/>
      <c r="MF30" s="78"/>
      <c r="MG30" s="78"/>
      <c r="MH30" s="78"/>
      <c r="MI30" s="78"/>
      <c r="MJ30" s="78"/>
      <c r="MK30" s="78"/>
      <c r="ML30" s="138"/>
      <c r="MM30" s="76" t="s">
        <v>441</v>
      </c>
      <c r="MN30" s="854" t="s">
        <v>435</v>
      </c>
      <c r="MO30" s="855"/>
      <c r="MP30" s="920" t="s">
        <v>111</v>
      </c>
      <c r="MQ30" s="921"/>
      <c r="MR30" s="916" t="s">
        <v>704</v>
      </c>
      <c r="MS30" s="917"/>
      <c r="MT30" s="906" t="s">
        <v>447</v>
      </c>
      <c r="MU30" s="907"/>
      <c r="MV30" s="907"/>
      <c r="MW30" s="908"/>
      <c r="MX30" s="906" t="s">
        <v>436</v>
      </c>
      <c r="MY30" s="907"/>
      <c r="MZ30" s="907"/>
      <c r="NA30" s="907"/>
      <c r="NB30" s="908"/>
      <c r="NC30" s="130"/>
      <c r="ND30" s="130"/>
      <c r="OH30" s="849"/>
      <c r="OI30" s="1203" t="s">
        <v>862</v>
      </c>
      <c r="OJ30" s="1275"/>
      <c r="OK30" s="1204"/>
      <c r="OY30" s="130"/>
      <c r="OZ30" s="130"/>
      <c r="PA30" s="130"/>
      <c r="PB30" s="130"/>
      <c r="PC30" s="130"/>
      <c r="PD30" s="130"/>
      <c r="PE30" s="130"/>
      <c r="PF30" s="130"/>
      <c r="PG30" s="130"/>
      <c r="PH30" s="377"/>
      <c r="PI30" s="373"/>
      <c r="PJ30" s="54"/>
      <c r="PK30" s="373"/>
      <c r="PL30" s="849"/>
      <c r="PM30" s="1257" t="s">
        <v>416</v>
      </c>
      <c r="PN30" s="1257"/>
      <c r="PO30" s="670"/>
      <c r="PP30" s="78"/>
      <c r="PQ30" s="78"/>
      <c r="PR30" s="78"/>
      <c r="PS30" s="78"/>
      <c r="PT30" s="78"/>
      <c r="PU30" s="78"/>
      <c r="PV30" s="670"/>
      <c r="PW30" s="76" t="s">
        <v>441</v>
      </c>
      <c r="PX30" s="854" t="s">
        <v>435</v>
      </c>
      <c r="PY30" s="1111"/>
      <c r="PZ30" s="1072" t="s">
        <v>111</v>
      </c>
      <c r="QA30" s="1074"/>
      <c r="QB30" s="916" t="s">
        <v>704</v>
      </c>
      <c r="QC30" s="917"/>
      <c r="QD30" s="1051" t="s">
        <v>447</v>
      </c>
      <c r="QE30" s="1051"/>
      <c r="QF30" s="1051"/>
      <c r="QG30" s="1051"/>
      <c r="QH30" s="1051"/>
      <c r="QI30" s="906" t="s">
        <v>863</v>
      </c>
      <c r="QJ30" s="907"/>
      <c r="QK30" s="908"/>
      <c r="QL30" s="373"/>
      <c r="QM30" s="373"/>
      <c r="QN30" s="373"/>
      <c r="QO30" s="373"/>
      <c r="QP30" s="373"/>
      <c r="QQ30" s="373"/>
      <c r="QR30" s="373"/>
      <c r="QS30" s="373"/>
      <c r="QT30" s="373"/>
      <c r="QU30" s="373"/>
      <c r="QV30" s="373"/>
      <c r="QW30" s="373"/>
      <c r="QX30" s="373"/>
      <c r="QY30" s="373"/>
      <c r="QZ30" s="373"/>
      <c r="RA30" s="373"/>
      <c r="RB30" s="373"/>
      <c r="RC30" s="374"/>
      <c r="RE30" s="653"/>
      <c r="RF30" s="653"/>
      <c r="RG30" s="653"/>
      <c r="RH30" s="653"/>
      <c r="RI30" s="653"/>
      <c r="RJ30" s="653"/>
      <c r="RK30" s="653"/>
      <c r="RL30" s="653"/>
      <c r="RM30" s="653"/>
      <c r="RN30" s="653"/>
      <c r="RO30" s="653"/>
      <c r="RP30" s="653"/>
      <c r="RQ30" s="653"/>
      <c r="RR30" s="653"/>
      <c r="RS30" s="653"/>
      <c r="RT30" s="653"/>
      <c r="RU30" s="653"/>
      <c r="RV30" s="653"/>
      <c r="RW30" s="653"/>
      <c r="RX30" s="653"/>
      <c r="RY30" s="653"/>
      <c r="RZ30" s="849"/>
      <c r="SA30" s="852" t="s">
        <v>416</v>
      </c>
      <c r="SB30" s="853"/>
      <c r="SC30" s="479"/>
      <c r="SD30" s="78"/>
      <c r="SE30" s="78"/>
      <c r="SF30" s="78"/>
      <c r="SG30" s="78"/>
      <c r="SH30" s="78"/>
      <c r="SI30" s="78"/>
      <c r="SJ30" s="479"/>
      <c r="SK30" s="76" t="s">
        <v>441</v>
      </c>
      <c r="SL30" s="854" t="s">
        <v>435</v>
      </c>
      <c r="SM30" s="855"/>
      <c r="SN30" s="920" t="s">
        <v>111</v>
      </c>
      <c r="SO30" s="921"/>
      <c r="SP30" s="916" t="s">
        <v>704</v>
      </c>
      <c r="SQ30" s="917"/>
      <c r="SR30" s="906" t="s">
        <v>447</v>
      </c>
      <c r="SS30" s="907"/>
      <c r="ST30" s="907"/>
      <c r="SU30" s="908"/>
      <c r="SV30" s="1051" t="s">
        <v>436</v>
      </c>
      <c r="SW30" s="1051"/>
      <c r="SX30" s="1051"/>
      <c r="SY30" s="1051"/>
      <c r="TB30" s="653"/>
      <c r="TC30" s="653"/>
      <c r="TD30" s="653"/>
      <c r="TE30" s="653"/>
      <c r="TF30" s="653"/>
      <c r="TG30" s="653"/>
      <c r="TH30" s="653"/>
      <c r="TI30" s="653"/>
      <c r="TJ30" s="653"/>
      <c r="TK30" s="653"/>
      <c r="TL30" s="653"/>
      <c r="TM30" s="653"/>
      <c r="TN30" s="653"/>
      <c r="TO30" s="653"/>
      <c r="TP30" s="653"/>
      <c r="TQ30" s="653"/>
      <c r="TR30" s="653"/>
      <c r="TS30" s="653"/>
      <c r="TX30" s="653"/>
      <c r="TY30" s="653"/>
      <c r="TZ30" s="653"/>
      <c r="UA30" s="653"/>
      <c r="UB30" s="653"/>
      <c r="UC30" s="653"/>
      <c r="UD30" s="653"/>
      <c r="UE30" s="653"/>
      <c r="UF30" s="653"/>
      <c r="UG30" s="653"/>
      <c r="UH30" s="653"/>
      <c r="UI30" s="653"/>
      <c r="UJ30" s="653"/>
      <c r="UK30" s="653"/>
      <c r="UL30" s="653"/>
      <c r="UM30" s="653"/>
      <c r="UN30" s="653"/>
      <c r="UO30" s="653"/>
      <c r="UP30" s="653"/>
      <c r="UQ30" s="653"/>
      <c r="UR30" s="653"/>
      <c r="US30" s="653"/>
      <c r="UT30" s="653"/>
      <c r="UU30" s="653"/>
      <c r="UV30" s="653"/>
      <c r="UW30" s="653"/>
      <c r="UX30" s="653"/>
      <c r="UY30" s="653"/>
      <c r="UZ30" s="653"/>
      <c r="WE30" s="1834"/>
      <c r="WF30" s="1835"/>
      <c r="WG30" s="1835"/>
      <c r="WH30" s="1835"/>
      <c r="WI30" s="1835"/>
      <c r="WJ30" s="1836"/>
      <c r="WK30" s="169"/>
      <c r="WL30" s="170"/>
      <c r="WM30" s="170"/>
      <c r="WN30" s="170"/>
      <c r="WO30" s="170"/>
      <c r="WP30" s="170"/>
      <c r="WQ30" s="170"/>
      <c r="WR30" s="170"/>
      <c r="WS30" s="170"/>
      <c r="WT30" s="170"/>
      <c r="WU30" s="170"/>
      <c r="WV30" s="170"/>
      <c r="WW30" s="172"/>
      <c r="WX30" s="978"/>
      <c r="WY30" s="979"/>
      <c r="WZ30" s="754"/>
      <c r="XA30" s="755"/>
      <c r="XB30" s="169"/>
      <c r="XC30" s="170"/>
      <c r="XD30" s="170"/>
      <c r="XE30" s="170"/>
      <c r="XF30" s="172"/>
      <c r="XG30" s="967"/>
      <c r="XH30" s="967"/>
      <c r="XI30" s="967"/>
      <c r="XJ30" s="967"/>
      <c r="XK30" s="967"/>
      <c r="XL30" s="967"/>
      <c r="XM30" s="967"/>
      <c r="XN30" s="967"/>
      <c r="XO30" s="967"/>
      <c r="XP30" s="967"/>
      <c r="XQ30" s="967"/>
      <c r="XR30" s="967"/>
      <c r="XS30" s="967"/>
      <c r="XT30" s="967"/>
      <c r="XU30" s="967"/>
      <c r="XV30" s="967"/>
      <c r="XW30" s="967"/>
      <c r="XX30" s="967"/>
      <c r="XY30" s="967"/>
      <c r="XZ30" s="967"/>
      <c r="YA30" s="967"/>
      <c r="YB30" s="967"/>
      <c r="YC30" s="967"/>
      <c r="YD30" s="967"/>
      <c r="YE30" s="967"/>
      <c r="YF30" s="967"/>
      <c r="YG30" s="967"/>
      <c r="YH30" s="967"/>
      <c r="YI30" s="967"/>
      <c r="YJ30" s="967"/>
      <c r="YK30" s="967"/>
      <c r="YL30" s="967"/>
      <c r="YM30" s="967"/>
      <c r="YN30" s="967"/>
      <c r="YO30" s="967"/>
      <c r="YP30" s="967"/>
      <c r="YQ30" s="967"/>
      <c r="YR30" s="967"/>
      <c r="YS30" s="967"/>
      <c r="YT30" s="967"/>
      <c r="YU30" s="967"/>
      <c r="YV30" s="967"/>
      <c r="YW30" s="967"/>
      <c r="YX30" s="967"/>
      <c r="YY30" s="967"/>
      <c r="YZ30" s="967"/>
      <c r="ZA30" s="967"/>
      <c r="ZB30" s="967"/>
      <c r="ZC30" s="967"/>
      <c r="ZD30" s="967"/>
      <c r="ZE30" s="967"/>
      <c r="ZF30" s="967"/>
      <c r="ZG30" s="967"/>
      <c r="ZH30" s="967"/>
      <c r="ZI30" s="967"/>
      <c r="ZJ30" s="967"/>
      <c r="ZK30" s="967"/>
      <c r="ZL30" s="967"/>
      <c r="ZM30" s="967"/>
      <c r="ZN30" s="967"/>
      <c r="ZO30" s="967"/>
      <c r="ZP30" s="967"/>
      <c r="ZQ30" s="967"/>
      <c r="ZR30" s="967"/>
      <c r="ZS30" s="967"/>
      <c r="ZT30" s="967"/>
      <c r="ZU30" s="967"/>
      <c r="ZV30" s="967"/>
      <c r="ZW30" s="967"/>
      <c r="ZX30" s="967"/>
      <c r="ZY30" s="967"/>
      <c r="ZZ30" s="967"/>
      <c r="AAA30" s="967"/>
      <c r="AAB30" s="967"/>
      <c r="AAC30" s="967"/>
      <c r="AAD30" s="967"/>
      <c r="AAE30" s="967"/>
      <c r="AAF30" s="967"/>
      <c r="AAG30" s="967"/>
      <c r="AAH30" s="967"/>
      <c r="AAI30" s="967"/>
      <c r="AAJ30" s="967"/>
      <c r="AAK30" s="967"/>
      <c r="AAL30" s="967"/>
      <c r="AAM30" s="967"/>
      <c r="AAN30" s="967"/>
      <c r="AAO30" s="967"/>
      <c r="AAP30" s="967"/>
      <c r="AAQ30" s="967"/>
      <c r="AAR30" s="967"/>
      <c r="AAS30" s="967"/>
      <c r="AAT30" s="965"/>
      <c r="AAU30" s="754"/>
      <c r="AAV30" s="755"/>
      <c r="AAW30" s="169"/>
      <c r="AAX30" s="170"/>
      <c r="AAY30" s="170"/>
      <c r="AAZ30" s="172"/>
      <c r="ABA30" s="158"/>
      <c r="ABB30" s="158"/>
      <c r="ABC30" s="158"/>
      <c r="ABD30" s="163"/>
      <c r="ACJ30" s="759">
        <v>0.33333333300000001</v>
      </c>
      <c r="ACK30" s="760"/>
      <c r="ACL30" s="759">
        <v>-0.233333333</v>
      </c>
      <c r="ACM30" s="760"/>
      <c r="ACN30" s="592">
        <v>18</v>
      </c>
      <c r="ACO30" s="759">
        <f t="shared" si="0"/>
        <v>0.15999999994</v>
      </c>
      <c r="ACP30" s="760"/>
      <c r="ACQ30" s="757">
        <f t="shared" si="1"/>
        <v>1.18</v>
      </c>
      <c r="ACR30" s="758"/>
      <c r="ACT30" s="759">
        <v>1</v>
      </c>
      <c r="ACU30" s="760"/>
      <c r="ACV30" s="759">
        <v>-1.2</v>
      </c>
      <c r="ACW30" s="760"/>
      <c r="ACX30" s="592">
        <v>68</v>
      </c>
      <c r="ACY30" s="759">
        <f t="shared" si="8"/>
        <v>0.4800000000000002</v>
      </c>
      <c r="ACZ30" s="760"/>
      <c r="ADA30" s="757">
        <f t="shared" si="2"/>
        <v>1.6800000000000002</v>
      </c>
      <c r="ADB30" s="758"/>
      <c r="ADD30" s="1112">
        <v>1.1052631578947401</v>
      </c>
      <c r="ADE30" s="1112"/>
      <c r="ADF30" s="1112">
        <v>-1.42105263157895</v>
      </c>
      <c r="ADG30" s="1112"/>
      <c r="ADH30" s="591">
        <v>117</v>
      </c>
      <c r="ADI30" s="759">
        <f t="shared" si="3"/>
        <v>0.97736842105263566</v>
      </c>
      <c r="ADJ30" s="760"/>
      <c r="ADK30" s="757">
        <f t="shared" si="4"/>
        <v>2.17</v>
      </c>
      <c r="ADL30" s="758"/>
      <c r="ADN30" s="759">
        <v>1.1052631580000001</v>
      </c>
      <c r="ADO30" s="760"/>
      <c r="ADP30" s="759">
        <v>-1.42105263157895</v>
      </c>
      <c r="ADQ30" s="760"/>
      <c r="ADR30" s="591">
        <v>167</v>
      </c>
      <c r="ADS30" s="759">
        <f t="shared" si="9"/>
        <v>1.5300000002810501</v>
      </c>
      <c r="ADT30" s="760"/>
      <c r="ADU30" s="757">
        <f t="shared" si="5"/>
        <v>2.67</v>
      </c>
      <c r="ADV30" s="758"/>
      <c r="ADX30" s="759">
        <v>1.1052631580000001</v>
      </c>
      <c r="ADY30" s="760"/>
      <c r="ADZ30" s="759">
        <v>-1.42105263157895</v>
      </c>
      <c r="AEA30" s="760"/>
      <c r="AEB30" s="591">
        <v>217</v>
      </c>
      <c r="AEC30" s="759">
        <f t="shared" si="10"/>
        <v>2.0826315792810504</v>
      </c>
      <c r="AED30" s="760"/>
      <c r="AEE30" s="757">
        <f t="shared" si="6"/>
        <v>3.17</v>
      </c>
      <c r="AEF30" s="758"/>
      <c r="AEH30" s="759">
        <v>1.1052631580000001</v>
      </c>
      <c r="AEI30" s="760"/>
      <c r="AEJ30" s="759">
        <v>-1.42105263157895</v>
      </c>
      <c r="AEK30" s="760"/>
      <c r="AEL30" s="591">
        <v>267</v>
      </c>
      <c r="AEM30" s="759">
        <f t="shared" si="11"/>
        <v>2.6352631582810502</v>
      </c>
      <c r="AEN30" s="760"/>
      <c r="AEO30" s="757">
        <f t="shared" si="7"/>
        <v>3.67</v>
      </c>
      <c r="AEP30" s="758"/>
      <c r="AGJ30" s="377"/>
      <c r="AGK30" s="373"/>
      <c r="AGL30" s="54"/>
      <c r="AGM30" s="373"/>
      <c r="AGN30" s="851"/>
      <c r="AGO30" s="802" t="s">
        <v>1463</v>
      </c>
      <c r="AGP30" s="1116"/>
      <c r="AGQ30" s="1108">
        <f>$AHB$21</f>
        <v>2.923385945848388E-2</v>
      </c>
      <c r="AGR30" s="1109"/>
      <c r="AGS30" s="795"/>
      <c r="AGT30" s="795"/>
      <c r="AGU30" s="795"/>
      <c r="AGV30" s="795"/>
      <c r="AGW30" s="795"/>
      <c r="AGX30" s="795"/>
      <c r="AGY30" s="795"/>
      <c r="AGZ30" s="795"/>
      <c r="AHA30" s="796"/>
      <c r="AHB30" s="837"/>
      <c r="AHC30" s="838"/>
      <c r="AHD30" s="1355"/>
      <c r="AHE30" s="1356"/>
      <c r="AHF30" s="1290"/>
      <c r="AHG30" s="1306"/>
      <c r="AHH30" s="1306"/>
      <c r="AHI30" s="1306"/>
      <c r="AHJ30" s="1306"/>
      <c r="AHK30" s="1290"/>
      <c r="AHL30" s="1053"/>
      <c r="AHM30" s="1053"/>
      <c r="AHN30" s="1053"/>
      <c r="AHO30" s="1053"/>
      <c r="AHP30" s="1053"/>
      <c r="AHQ30" s="1053"/>
      <c r="AHR30" s="1053"/>
      <c r="AHS30" s="1053"/>
      <c r="AHT30" s="1053"/>
      <c r="AHU30" s="373"/>
      <c r="AHV30" s="373"/>
      <c r="AHW30" s="374"/>
      <c r="AIA30" s="130"/>
      <c r="AIB30" s="130"/>
      <c r="AIC30" s="130"/>
      <c r="AID30" s="130"/>
      <c r="AIE30" s="130"/>
      <c r="AIF30" s="130"/>
      <c r="AIG30" s="130"/>
      <c r="AIH30" s="130"/>
      <c r="AIQ30" s="130"/>
      <c r="AIR30" s="130"/>
      <c r="AIS30" s="130"/>
      <c r="AIT30" s="130"/>
      <c r="AIU30" s="673"/>
      <c r="AIV30" s="673"/>
      <c r="AIW30" s="673"/>
      <c r="AOL30" s="130"/>
      <c r="AQL30" s="130"/>
      <c r="ARI30" s="653"/>
      <c r="ARJ30" s="653"/>
      <c r="ARK30" s="653"/>
      <c r="ARL30" s="653"/>
      <c r="ARM30" s="653"/>
      <c r="ARN30" s="653"/>
      <c r="ARO30" s="653"/>
      <c r="ARP30" s="653"/>
      <c r="ARQ30" s="653"/>
      <c r="ARR30" s="653"/>
      <c r="ARS30" s="653"/>
      <c r="ART30" s="653"/>
      <c r="ARU30" s="1052"/>
      <c r="ARV30" s="1841"/>
      <c r="ARW30" s="1508"/>
      <c r="ARX30" s="1842"/>
      <c r="ARY30" s="823"/>
      <c r="ARZ30" s="824"/>
      <c r="ASA30" s="824"/>
      <c r="ASB30" s="824"/>
      <c r="ASC30" s="824"/>
      <c r="ASD30" s="824"/>
      <c r="ASE30" s="824"/>
      <c r="ASF30" s="824"/>
      <c r="ASG30" s="824"/>
      <c r="ASH30" s="824"/>
      <c r="ASI30" s="824"/>
      <c r="ASJ30" s="1049"/>
      <c r="ASK30" s="1185"/>
      <c r="ASL30" s="1186"/>
      <c r="ASM30" s="1185"/>
      <c r="ASN30" s="1186"/>
      <c r="ASO30" s="892"/>
      <c r="ASP30" s="895"/>
      <c r="ASQ30" s="896"/>
      <c r="ASR30" s="1166"/>
      <c r="ASS30" s="1205"/>
      <c r="AST30" s="1845"/>
      <c r="ASU30" s="1206"/>
      <c r="ASX30" s="653"/>
      <c r="ASY30" s="653"/>
      <c r="ASZ30" s="653"/>
      <c r="ATA30" s="653"/>
      <c r="ATB30" s="653"/>
      <c r="ATC30" s="653"/>
      <c r="AVI30" s="130"/>
      <c r="AVJ30" s="130"/>
      <c r="AVK30" s="130"/>
      <c r="AVL30" s="130"/>
      <c r="AVM30" s="130"/>
      <c r="AVN30" s="130"/>
      <c r="AVO30" s="130"/>
      <c r="AVP30" s="130"/>
      <c r="AWB30" s="851"/>
      <c r="AWC30" s="857"/>
      <c r="AWD30" s="857"/>
      <c r="AWE30" s="857"/>
      <c r="AWF30" s="857"/>
      <c r="AWG30" s="857"/>
      <c r="AWH30" s="857"/>
      <c r="AWI30" s="857"/>
      <c r="AWJ30" s="857"/>
      <c r="AWK30" s="857"/>
      <c r="AWL30" s="857"/>
      <c r="AWM30" s="857"/>
      <c r="AWN30" s="857"/>
      <c r="AWO30" s="857"/>
      <c r="AWP30" s="837"/>
      <c r="AWQ30" s="838"/>
      <c r="AWR30" s="777"/>
      <c r="AWS30" s="799"/>
      <c r="AWT30" s="842"/>
      <c r="AWU30" s="845"/>
      <c r="AWV30" s="846"/>
      <c r="AWW30" s="848"/>
    </row>
    <row r="31" spans="1:996 1076:1297" ht="48" customHeight="1" thickBot="1">
      <c r="C31" s="207"/>
      <c r="D31" s="162"/>
      <c r="E31" s="732" t="s">
        <v>1085</v>
      </c>
      <c r="F31" s="861" t="s">
        <v>1564</v>
      </c>
      <c r="G31" s="861"/>
      <c r="H31" s="158"/>
      <c r="I31" s="736" t="s">
        <v>911</v>
      </c>
      <c r="J31" s="862" t="s">
        <v>1829</v>
      </c>
      <c r="K31" s="863"/>
      <c r="L31" s="863"/>
      <c r="M31" s="863"/>
      <c r="N31" s="863"/>
      <c r="O31" s="863"/>
      <c r="P31" s="863"/>
      <c r="Q31" s="864"/>
      <c r="R31" s="158"/>
      <c r="S31" s="158"/>
      <c r="T31" s="158"/>
      <c r="U31" s="158"/>
      <c r="V31" s="158"/>
      <c r="W31" s="158"/>
      <c r="X31" s="158"/>
      <c r="Y31" s="163"/>
      <c r="AI31" s="903"/>
      <c r="AJ31" s="904"/>
      <c r="AK31" s="905"/>
      <c r="AL31" s="903"/>
      <c r="AM31" s="904"/>
      <c r="AN31" s="905"/>
      <c r="AO31" s="851"/>
      <c r="AP31" s="769"/>
      <c r="AQ31" s="764"/>
      <c r="AR31" s="764"/>
      <c r="AS31" s="764"/>
      <c r="AT31" s="764"/>
      <c r="AU31" s="764"/>
      <c r="AV31" s="764"/>
      <c r="AW31" s="764"/>
      <c r="AX31" s="764"/>
      <c r="AY31" s="764"/>
      <c r="AZ31" s="765"/>
      <c r="BA31" s="1642"/>
      <c r="BB31" s="1643"/>
      <c r="BC31" s="1263"/>
      <c r="BD31" s="1264"/>
      <c r="BE31" s="848"/>
      <c r="BF31" s="918"/>
      <c r="BG31" s="919"/>
      <c r="BH31" s="848"/>
      <c r="BI31" s="653"/>
      <c r="BJ31" s="653"/>
      <c r="BK31" s="653"/>
      <c r="BL31" s="126"/>
      <c r="BM31" s="126"/>
      <c r="BN31" s="130"/>
      <c r="BO31" s="130"/>
      <c r="BP31" s="130"/>
      <c r="BQ31" s="130"/>
      <c r="BR31" s="126"/>
      <c r="DV31" s="130"/>
      <c r="FC31" s="130"/>
      <c r="FD31" s="653"/>
      <c r="FE31" s="653"/>
      <c r="FF31" s="653"/>
      <c r="FG31" s="653"/>
      <c r="FH31" s="653"/>
      <c r="FI31" s="653"/>
      <c r="FJ31" s="653"/>
      <c r="FK31" s="653"/>
      <c r="FL31" s="653"/>
      <c r="FM31" s="653"/>
      <c r="FN31" s="653"/>
      <c r="FO31" s="653"/>
      <c r="FP31" s="653"/>
      <c r="FQ31" s="653"/>
      <c r="FR31" s="653"/>
      <c r="FS31" s="653"/>
      <c r="FT31" s="653"/>
      <c r="FU31" s="653"/>
      <c r="FV31" s="653"/>
      <c r="FW31" s="653"/>
      <c r="FX31" s="653"/>
      <c r="FY31" s="653"/>
      <c r="FZ31" s="653"/>
      <c r="GA31" s="653"/>
      <c r="GB31" s="653"/>
      <c r="GC31" s="653"/>
      <c r="GD31" s="653"/>
      <c r="GE31" s="653"/>
      <c r="GF31" s="897" t="s">
        <v>973</v>
      </c>
      <c r="GG31" s="898"/>
      <c r="GH31" s="899"/>
      <c r="GI31" s="849"/>
      <c r="GJ31" s="852" t="s">
        <v>416</v>
      </c>
      <c r="GK31" s="853"/>
      <c r="GL31" s="138"/>
      <c r="GM31" s="806" t="s">
        <v>1793</v>
      </c>
      <c r="GN31" s="807"/>
      <c r="GO31" s="808"/>
      <c r="GP31" s="75" t="s">
        <v>451</v>
      </c>
      <c r="GQ31" s="138"/>
      <c r="GR31" s="76" t="s">
        <v>441</v>
      </c>
      <c r="GS31" s="854" t="s">
        <v>435</v>
      </c>
      <c r="GT31" s="1111"/>
      <c r="GU31" s="924" t="s">
        <v>111</v>
      </c>
      <c r="GV31" s="925"/>
      <c r="GW31" s="916" t="s">
        <v>704</v>
      </c>
      <c r="GX31" s="917"/>
      <c r="GY31" s="906" t="s">
        <v>447</v>
      </c>
      <c r="GZ31" s="907"/>
      <c r="HA31" s="907"/>
      <c r="HB31" s="908"/>
      <c r="HC31" s="653"/>
      <c r="HD31" s="653"/>
      <c r="HE31" s="653"/>
      <c r="HS31" s="130"/>
      <c r="HT31" s="602"/>
      <c r="HU31" s="852" t="s">
        <v>831</v>
      </c>
      <c r="HV31" s="923"/>
      <c r="HW31" s="602"/>
      <c r="HX31" s="1069" t="s">
        <v>61</v>
      </c>
      <c r="HY31" s="1070"/>
      <c r="HZ31" s="1070"/>
      <c r="IA31" s="1070"/>
      <c r="IB31" s="1070"/>
      <c r="IC31" s="1070"/>
      <c r="ID31" s="1070"/>
      <c r="IE31" s="1070"/>
      <c r="IF31" s="1070"/>
      <c r="IG31" s="1070"/>
      <c r="IH31" s="1071"/>
      <c r="II31" s="602"/>
      <c r="IJ31" s="130"/>
      <c r="IR31" s="849"/>
      <c r="IS31" s="852" t="s">
        <v>416</v>
      </c>
      <c r="IT31" s="853"/>
      <c r="IU31" s="233"/>
      <c r="IV31" s="78"/>
      <c r="IW31" s="78"/>
      <c r="IX31" s="78"/>
      <c r="IY31" s="136"/>
      <c r="IZ31" s="76" t="s">
        <v>441</v>
      </c>
      <c r="JA31" s="854" t="s">
        <v>435</v>
      </c>
      <c r="JB31" s="1111"/>
      <c r="JC31" s="1072" t="s">
        <v>111</v>
      </c>
      <c r="JD31" s="1074"/>
      <c r="JE31" s="916" t="s">
        <v>704</v>
      </c>
      <c r="JF31" s="917"/>
      <c r="JG31" s="906" t="s">
        <v>447</v>
      </c>
      <c r="JH31" s="907"/>
      <c r="JI31" s="907"/>
      <c r="JJ31" s="908"/>
      <c r="JK31" s="1051" t="s">
        <v>436</v>
      </c>
      <c r="JL31" s="1051"/>
      <c r="JM31" s="1051"/>
      <c r="JN31" s="1051"/>
      <c r="JO31" s="1051"/>
      <c r="JW31" s="130"/>
      <c r="JX31" s="851"/>
      <c r="JY31" s="323" t="s">
        <v>1146</v>
      </c>
      <c r="JZ31" s="879">
        <f>$JG$90</f>
        <v>520</v>
      </c>
      <c r="KA31" s="879"/>
      <c r="KB31" s="777"/>
      <c r="KC31" s="778"/>
      <c r="KD31" s="778"/>
      <c r="KE31" s="778"/>
      <c r="KF31" s="778"/>
      <c r="KG31" s="778"/>
      <c r="KH31" s="799"/>
      <c r="KI31" s="1473"/>
      <c r="KJ31" s="1474"/>
      <c r="KK31" s="933"/>
      <c r="KL31" s="934"/>
      <c r="KM31" s="1067"/>
      <c r="KN31" s="845"/>
      <c r="KO31" s="846"/>
      <c r="KP31" s="848"/>
      <c r="KQ31" s="828"/>
      <c r="KR31" s="949"/>
      <c r="KS31" s="949"/>
      <c r="KT31" s="950"/>
      <c r="MB31" s="849"/>
      <c r="MC31" s="345" t="s">
        <v>1018</v>
      </c>
      <c r="MD31" s="761">
        <f>$AW$95</f>
        <v>0.19391178434038603</v>
      </c>
      <c r="ME31" s="761"/>
      <c r="MF31" s="797" t="s">
        <v>71</v>
      </c>
      <c r="MG31" s="797"/>
      <c r="MH31" s="797"/>
      <c r="MI31" s="797"/>
      <c r="MJ31" s="797"/>
      <c r="MK31" s="797"/>
      <c r="ML31" s="797"/>
      <c r="MM31" s="797"/>
      <c r="MN31" s="797"/>
      <c r="MO31" s="798"/>
      <c r="MP31" s="835">
        <f>2*(MD31+MP35)</f>
        <v>0.91414919461312616</v>
      </c>
      <c r="MQ31" s="836"/>
      <c r="MR31" s="1563" t="s">
        <v>45</v>
      </c>
      <c r="MS31" s="1564"/>
      <c r="MT31" s="841"/>
      <c r="MU31" s="1170" t="s">
        <v>888</v>
      </c>
      <c r="MV31" s="1172"/>
      <c r="MW31" s="847"/>
      <c r="MX31" s="826"/>
      <c r="MY31" s="945"/>
      <c r="MZ31" s="945"/>
      <c r="NA31" s="945"/>
      <c r="NB31" s="946"/>
      <c r="NC31" s="130"/>
      <c r="ND31" s="130"/>
      <c r="OH31" s="851"/>
      <c r="OI31" s="1276"/>
      <c r="OJ31" s="1277"/>
      <c r="OK31" s="1278"/>
      <c r="OQ31" s="130"/>
      <c r="OR31" s="130"/>
      <c r="OS31" s="130"/>
      <c r="OT31" s="130"/>
      <c r="OU31" s="130"/>
      <c r="OV31" s="130"/>
      <c r="OW31" s="130"/>
      <c r="OX31" s="130"/>
      <c r="OY31" s="130"/>
      <c r="OZ31" s="130"/>
      <c r="PA31" s="130"/>
      <c r="PB31" s="130"/>
      <c r="PC31" s="130"/>
      <c r="PD31" s="130"/>
      <c r="PE31" s="130"/>
      <c r="PH31" s="377"/>
      <c r="PI31" s="373"/>
      <c r="PJ31" s="54"/>
      <c r="PK31" s="54"/>
      <c r="PL31" s="850"/>
      <c r="PM31" s="809" t="s">
        <v>1557</v>
      </c>
      <c r="PN31" s="797"/>
      <c r="PO31" s="797"/>
      <c r="PP31" s="797"/>
      <c r="PQ31" s="797"/>
      <c r="PR31" s="797"/>
      <c r="PS31" s="797"/>
      <c r="PT31" s="797"/>
      <c r="PU31" s="797"/>
      <c r="PV31" s="797"/>
      <c r="PW31" s="797"/>
      <c r="PX31" s="797"/>
      <c r="PY31" s="798"/>
      <c r="PZ31" s="1442">
        <f>IF(QF29&lt;250000,PZ17,
IF(OR(QF29&gt;250000,QF29 = 250000),QB26))</f>
        <v>493.21924905867229</v>
      </c>
      <c r="QA31" s="1443"/>
      <c r="QB31" s="1591" t="s">
        <v>3</v>
      </c>
      <c r="QC31" s="1592"/>
      <c r="QD31" s="1289"/>
      <c r="QE31" s="1538" t="s">
        <v>1537</v>
      </c>
      <c r="QF31" s="1538"/>
      <c r="QG31" s="1538"/>
      <c r="QH31" s="1289"/>
      <c r="QI31" s="1203" t="s">
        <v>862</v>
      </c>
      <c r="QJ31" s="1275"/>
      <c r="QK31" s="1204"/>
      <c r="QL31" s="373"/>
      <c r="QM31" s="373"/>
      <c r="QN31" s="373"/>
      <c r="QO31" s="373"/>
      <c r="QP31" s="373"/>
      <c r="QQ31" s="373"/>
      <c r="QR31" s="373"/>
      <c r="QS31" s="373"/>
      <c r="QT31" s="373"/>
      <c r="QU31" s="373"/>
      <c r="QV31" s="373"/>
      <c r="QW31" s="373"/>
      <c r="QX31" s="373"/>
      <c r="QY31" s="373"/>
      <c r="QZ31" s="373"/>
      <c r="RA31" s="373"/>
      <c r="RB31" s="373"/>
      <c r="RC31" s="374"/>
      <c r="RE31" s="653"/>
      <c r="RF31" s="653"/>
      <c r="RG31" s="653"/>
      <c r="RH31" s="653"/>
      <c r="RI31" s="653"/>
      <c r="RJ31" s="653"/>
      <c r="RK31" s="653"/>
      <c r="RL31" s="653"/>
      <c r="RM31" s="653"/>
      <c r="RN31" s="653"/>
      <c r="RO31" s="653"/>
      <c r="RP31" s="653"/>
      <c r="RQ31" s="653"/>
      <c r="RR31" s="653"/>
      <c r="RS31" s="653"/>
      <c r="RT31" s="653"/>
      <c r="RU31" s="653"/>
      <c r="RV31" s="653"/>
      <c r="RW31" s="653"/>
      <c r="RX31" s="653"/>
      <c r="RY31" s="653"/>
      <c r="RZ31" s="850"/>
      <c r="SA31" s="632" t="s">
        <v>1674</v>
      </c>
      <c r="SB31" s="937">
        <f>$SN$22</f>
        <v>1.0287777591472789</v>
      </c>
      <c r="SC31" s="937"/>
      <c r="SD31" s="791" t="s">
        <v>1616</v>
      </c>
      <c r="SE31" s="792"/>
      <c r="SF31" s="792"/>
      <c r="SG31" s="792"/>
      <c r="SH31" s="792"/>
      <c r="SI31" s="792"/>
      <c r="SJ31" s="792"/>
      <c r="SK31" s="792"/>
      <c r="SL31" s="792"/>
      <c r="SM31" s="793"/>
      <c r="SN31" s="835">
        <f>SB31^2</f>
        <v>1.0583836777160964</v>
      </c>
      <c r="SO31" s="836"/>
      <c r="SP31" s="1253" t="s">
        <v>392</v>
      </c>
      <c r="SQ31" s="1189"/>
      <c r="SR31" s="1066"/>
      <c r="SS31" s="1170" t="s">
        <v>1614</v>
      </c>
      <c r="ST31" s="1172"/>
      <c r="SU31" s="847"/>
      <c r="SV31" s="827"/>
      <c r="SW31" s="947"/>
      <c r="SX31" s="947"/>
      <c r="SY31" s="948"/>
      <c r="TB31" s="653"/>
      <c r="TC31" s="653"/>
      <c r="TD31" s="653"/>
      <c r="TE31" s="653"/>
      <c r="TF31" s="653"/>
      <c r="TG31" s="653"/>
      <c r="TH31" s="653"/>
      <c r="TI31" s="653"/>
      <c r="TJ31" s="653"/>
      <c r="TK31" s="653"/>
      <c r="TL31" s="653"/>
      <c r="TM31" s="653"/>
      <c r="TN31" s="653"/>
      <c r="TO31" s="653"/>
      <c r="TP31" s="653"/>
      <c r="TQ31" s="653"/>
      <c r="TR31" s="653"/>
      <c r="TS31" s="653"/>
      <c r="TX31" s="653"/>
      <c r="TY31" s="653"/>
      <c r="TZ31" s="653"/>
      <c r="UA31" s="653"/>
      <c r="UB31" s="653"/>
      <c r="UC31" s="653"/>
      <c r="UD31" s="653"/>
      <c r="UE31" s="653"/>
      <c r="UF31" s="653"/>
      <c r="UG31" s="653"/>
      <c r="UH31" s="653"/>
      <c r="UI31" s="653"/>
      <c r="UJ31" s="653"/>
      <c r="UK31" s="653"/>
      <c r="UL31" s="653"/>
      <c r="UM31" s="653"/>
      <c r="UN31" s="653"/>
      <c r="UO31" s="653"/>
      <c r="UP31" s="653"/>
      <c r="UQ31" s="653"/>
      <c r="UR31" s="653"/>
      <c r="US31" s="653"/>
      <c r="UT31" s="653"/>
      <c r="UU31" s="653"/>
      <c r="UV31" s="653"/>
      <c r="UW31" s="653"/>
      <c r="UX31" s="653"/>
      <c r="UY31" s="653"/>
      <c r="UZ31" s="653"/>
      <c r="WE31" s="159"/>
      <c r="WF31" s="160"/>
      <c r="WG31" s="160"/>
      <c r="WH31" s="160"/>
      <c r="WI31" s="160"/>
      <c r="WJ31" s="161"/>
      <c r="WK31" s="167"/>
      <c r="WL31" s="168"/>
      <c r="WM31" s="168"/>
      <c r="WN31" s="168"/>
      <c r="WO31" s="168"/>
      <c r="WP31" s="168"/>
      <c r="WQ31" s="168"/>
      <c r="WR31" s="168"/>
      <c r="WS31" s="168"/>
      <c r="WT31" s="168"/>
      <c r="WU31" s="168"/>
      <c r="WV31" s="168"/>
      <c r="WW31" s="171"/>
      <c r="WX31" s="976">
        <v>6</v>
      </c>
      <c r="WY31" s="977"/>
      <c r="WZ31" s="752" t="s">
        <v>381</v>
      </c>
      <c r="XA31" s="753"/>
      <c r="XB31" s="167"/>
      <c r="XC31" s="168"/>
      <c r="XD31" s="168"/>
      <c r="XE31" s="168"/>
      <c r="XF31" s="171"/>
      <c r="XG31" s="966">
        <f>XG23/XG25</f>
        <v>9.4112510659523398E-3</v>
      </c>
      <c r="XH31" s="966">
        <f t="shared" ref="XH31:ZS31" si="26">XH23/XH25</f>
        <v>1.8787491031281751E-2</v>
      </c>
      <c r="XI31" s="966">
        <f t="shared" si="26"/>
        <v>2.8126455570553967E-2</v>
      </c>
      <c r="XJ31" s="966">
        <f t="shared" si="26"/>
        <v>3.7425936053174798E-2</v>
      </c>
      <c r="XK31" s="966">
        <f t="shared" si="26"/>
        <v>4.6683781589574654E-2</v>
      </c>
      <c r="XL31" s="966">
        <f t="shared" si="26"/>
        <v>5.5897900909389703E-2</v>
      </c>
      <c r="XM31" s="966">
        <f t="shared" si="26"/>
        <v>6.5066264070083007E-2</v>
      </c>
      <c r="XN31" s="966">
        <f t="shared" si="26"/>
        <v>7.4186903995220488E-2</v>
      </c>
      <c r="XO31" s="966">
        <f t="shared" si="26"/>
        <v>8.3257917842365609E-2</v>
      </c>
      <c r="XP31" s="966">
        <f t="shared" si="26"/>
        <v>9.227746820127862E-2</v>
      </c>
      <c r="XQ31" s="966">
        <f t="shared" si="26"/>
        <v>0.10124378412379702</v>
      </c>
      <c r="XR31" s="966">
        <f t="shared" si="26"/>
        <v>0.11015516198743076</v>
      </c>
      <c r="XS31" s="966">
        <f t="shared" si="26"/>
        <v>0.11900996619532495</v>
      </c>
      <c r="XT31" s="966">
        <f t="shared" si="26"/>
        <v>0.12780662971582116</v>
      </c>
      <c r="XU31" s="966">
        <f t="shared" si="26"/>
        <v>0.13654365446538591</v>
      </c>
      <c r="XV31" s="966">
        <f t="shared" si="26"/>
        <v>0.14521961153916876</v>
      </c>
      <c r="XW31" s="966">
        <f t="shared" si="26"/>
        <v>0.153833141293898</v>
      </c>
      <c r="XX31" s="966">
        <f t="shared" si="26"/>
        <v>0.16238295328822835</v>
      </c>
      <c r="XY31" s="966">
        <f t="shared" si="26"/>
        <v>0.17086782608600823</v>
      </c>
      <c r="XZ31" s="966">
        <f t="shared" si="26"/>
        <v>0.1792866069282455</v>
      </c>
      <c r="YA31" s="966">
        <f t="shared" si="26"/>
        <v>0.18763821127981795</v>
      </c>
      <c r="YB31" s="966">
        <f t="shared" si="26"/>
        <v>0.19592162225719131</v>
      </c>
      <c r="YC31" s="966">
        <f t="shared" si="26"/>
        <v>0.20413588994358872</v>
      </c>
      <c r="YD31" s="966">
        <f t="shared" si="26"/>
        <v>0.21228013059818576</v>
      </c>
      <c r="YE31" s="966">
        <f t="shared" si="26"/>
        <v>0.22035352576600409</v>
      </c>
      <c r="YF31" s="966">
        <f t="shared" si="26"/>
        <v>0.2283553212952282</v>
      </c>
      <c r="YG31" s="966">
        <f t="shared" si="26"/>
        <v>0.23628482626869085</v>
      </c>
      <c r="YH31" s="966">
        <f t="shared" si="26"/>
        <v>0.24414141185625568</v>
      </c>
      <c r="YI31" s="966">
        <f t="shared" si="26"/>
        <v>0.25192451009477917</v>
      </c>
      <c r="YJ31" s="966">
        <f t="shared" si="26"/>
        <v>0.25963361260225465</v>
      </c>
      <c r="YK31" s="966">
        <f t="shared" si="26"/>
        <v>0.26726826923263647</v>
      </c>
      <c r="YL31" s="966">
        <f t="shared" si="26"/>
        <v>0.27482808667771297</v>
      </c>
      <c r="YM31" s="966">
        <f t="shared" si="26"/>
        <v>0.28231272702224297</v>
      </c>
      <c r="YN31" s="966">
        <f t="shared" si="26"/>
        <v>0.2897219062583995</v>
      </c>
      <c r="YO31" s="966">
        <f t="shared" si="26"/>
        <v>0.29705539276537202</v>
      </c>
      <c r="YP31" s="966">
        <f t="shared" si="26"/>
        <v>0.30431300575977555</v>
      </c>
      <c r="YQ31" s="966">
        <f t="shared" si="26"/>
        <v>0.31149461372229426</v>
      </c>
      <c r="YR31" s="966">
        <f t="shared" si="26"/>
        <v>0.31860013280575888</v>
      </c>
      <c r="YS31" s="966">
        <f t="shared" si="26"/>
        <v>0.32562952522962013</v>
      </c>
      <c r="YT31" s="966">
        <f t="shared" si="26"/>
        <v>0.33258279766553361</v>
      </c>
      <c r="YU31" s="966">
        <f t="shared" si="26"/>
        <v>0.33945999961852513</v>
      </c>
      <c r="YV31" s="966">
        <f t="shared" si="26"/>
        <v>0.34626122180795005</v>
      </c>
      <c r="YW31" s="966">
        <f t="shared" si="26"/>
        <v>0.35298659455220871</v>
      </c>
      <c r="YX31" s="966">
        <f t="shared" si="26"/>
        <v>0.35963628616092591</v>
      </c>
      <c r="YY31" s="966">
        <f t="shared" si="26"/>
        <v>0.36621050133804811</v>
      </c>
      <c r="YZ31" s="966">
        <f t="shared" si="26"/>
        <v>0.37270947959906686</v>
      </c>
      <c r="ZA31" s="966">
        <f t="shared" si="26"/>
        <v>0.37913349370532701</v>
      </c>
      <c r="ZB31" s="966">
        <f t="shared" si="26"/>
        <v>0.38548284811814038</v>
      </c>
      <c r="ZC31" s="966">
        <f t="shared" si="26"/>
        <v>0.39175787747518942</v>
      </c>
      <c r="ZD31" s="966">
        <f t="shared" si="26"/>
        <v>0.39795894509147872</v>
      </c>
      <c r="ZE31" s="966">
        <f t="shared" si="26"/>
        <v>0.40408644148686945</v>
      </c>
      <c r="ZF31" s="966">
        <f t="shared" si="26"/>
        <v>0.41014078294201739</v>
      </c>
      <c r="ZG31" s="966">
        <f t="shared" si="26"/>
        <v>0.41612241008433581</v>
      </c>
      <c r="ZH31" s="966">
        <f t="shared" si="26"/>
        <v>0.42203178650540007</v>
      </c>
      <c r="ZI31" s="966">
        <f t="shared" si="26"/>
        <v>0.42786939741103003</v>
      </c>
      <c r="ZJ31" s="966">
        <f t="shared" si="26"/>
        <v>0.4336357483051036</v>
      </c>
      <c r="ZK31" s="966">
        <f t="shared" si="26"/>
        <v>0.43933136370798725</v>
      </c>
      <c r="ZL31" s="966">
        <f t="shared" si="26"/>
        <v>0.44495678591030952</v>
      </c>
      <c r="ZM31" s="966">
        <f t="shared" si="26"/>
        <v>0.45051257376265225</v>
      </c>
      <c r="ZN31" s="966">
        <f t="shared" si="26"/>
        <v>0.45599930150159174</v>
      </c>
      <c r="ZO31" s="966">
        <f t="shared" si="26"/>
        <v>0.46141755761239173</v>
      </c>
      <c r="ZP31" s="966">
        <f t="shared" si="26"/>
        <v>0.46676794372852598</v>
      </c>
      <c r="ZQ31" s="966">
        <f t="shared" si="26"/>
        <v>0.47205107356809134</v>
      </c>
      <c r="ZR31" s="966">
        <f t="shared" si="26"/>
        <v>0.47726757190706959</v>
      </c>
      <c r="ZS31" s="966">
        <f t="shared" si="26"/>
        <v>0.48241807358929595</v>
      </c>
      <c r="ZT31" s="966">
        <f t="shared" ref="ZT31:AAS31" si="27">ZT23/ZT25</f>
        <v>0.48750322257290352</v>
      </c>
      <c r="ZU31" s="966">
        <f t="shared" si="27"/>
        <v>0.49252367101292971</v>
      </c>
      <c r="ZV31" s="966">
        <f t="shared" si="27"/>
        <v>0.4974800783796986</v>
      </c>
      <c r="ZW31" s="966">
        <f t="shared" si="27"/>
        <v>0.50237311061252254</v>
      </c>
      <c r="ZX31" s="966">
        <f t="shared" si="27"/>
        <v>0.50720343930820755</v>
      </c>
      <c r="ZY31" s="966">
        <f t="shared" si="27"/>
        <v>0.51197174094379361</v>
      </c>
      <c r="ZZ31" s="966">
        <f t="shared" si="27"/>
        <v>0.51667869613291018</v>
      </c>
      <c r="AAA31" s="966">
        <f t="shared" si="27"/>
        <v>0.52132498891508838</v>
      </c>
      <c r="AAB31" s="966">
        <f t="shared" si="27"/>
        <v>0.52591130607733161</v>
      </c>
      <c r="AAC31" s="966">
        <f t="shared" si="27"/>
        <v>0.53043833650721717</v>
      </c>
      <c r="AAD31" s="966">
        <f t="shared" si="27"/>
        <v>0.53490677057677272</v>
      </c>
      <c r="AAE31" s="966">
        <f t="shared" si="27"/>
        <v>0.53931729955635177</v>
      </c>
      <c r="AAF31" s="966">
        <f t="shared" si="27"/>
        <v>0.54367061505771064</v>
      </c>
      <c r="AAG31" s="966">
        <f t="shared" si="27"/>
        <v>0.54796740850547876</v>
      </c>
      <c r="AAH31" s="966">
        <f t="shared" si="27"/>
        <v>0.55220837063620276</v>
      </c>
      <c r="AAI31" s="966">
        <f t="shared" si="27"/>
        <v>0.55639419102413679</v>
      </c>
      <c r="AAJ31" s="966">
        <f t="shared" si="27"/>
        <v>0.5605255576329462</v>
      </c>
      <c r="AAK31" s="966">
        <f t="shared" si="27"/>
        <v>0.56460315639249703</v>
      </c>
      <c r="AAL31" s="966">
        <f t="shared" si="27"/>
        <v>0.56862767079989462</v>
      </c>
      <c r="AAM31" s="966">
        <f t="shared" si="27"/>
        <v>0.57259978154394897</v>
      </c>
      <c r="AAN31" s="966">
        <f t="shared" si="27"/>
        <v>0.57652016615224322</v>
      </c>
      <c r="AAO31" s="966">
        <f t="shared" si="27"/>
        <v>0.58038949865999134</v>
      </c>
      <c r="AAP31" s="966">
        <f t="shared" si="27"/>
        <v>0.58420844929988369</v>
      </c>
      <c r="AAQ31" s="966">
        <f t="shared" si="27"/>
        <v>0.58797768421212315</v>
      </c>
      <c r="AAR31" s="966">
        <f t="shared" si="27"/>
        <v>0.59169786517387613</v>
      </c>
      <c r="AAS31" s="966">
        <f t="shared" si="27"/>
        <v>0.59536964934736791</v>
      </c>
      <c r="AAT31" s="964">
        <v>6</v>
      </c>
      <c r="AAU31" s="752" t="s">
        <v>381</v>
      </c>
      <c r="AAV31" s="753"/>
      <c r="AAW31" s="167"/>
      <c r="AAX31" s="168"/>
      <c r="AAY31" s="168"/>
      <c r="AAZ31" s="171"/>
      <c r="ABA31" s="158"/>
      <c r="ABB31" s="158"/>
      <c r="ABC31" s="158"/>
      <c r="ABD31" s="163"/>
      <c r="ACJ31" s="759">
        <v>0.33333333300000001</v>
      </c>
      <c r="ACK31" s="760"/>
      <c r="ACL31" s="759">
        <v>-0.233333333</v>
      </c>
      <c r="ACM31" s="760"/>
      <c r="ACN31" s="592">
        <v>19</v>
      </c>
      <c r="ACO31" s="759">
        <f t="shared" si="0"/>
        <v>0.16333333326999996</v>
      </c>
      <c r="ACP31" s="760"/>
      <c r="ACQ31" s="757">
        <f t="shared" si="1"/>
        <v>1.19</v>
      </c>
      <c r="ACR31" s="758"/>
      <c r="ACT31" s="759">
        <v>1</v>
      </c>
      <c r="ACU31" s="760"/>
      <c r="ACV31" s="759">
        <v>-1.2</v>
      </c>
      <c r="ACW31" s="760"/>
      <c r="ACX31" s="592">
        <v>69</v>
      </c>
      <c r="ACY31" s="759">
        <f t="shared" si="8"/>
        <v>0.49</v>
      </c>
      <c r="ACZ31" s="760"/>
      <c r="ADA31" s="757">
        <f t="shared" si="2"/>
        <v>1.69</v>
      </c>
      <c r="ADB31" s="758"/>
      <c r="ADD31" s="1112">
        <v>1.1052631578947401</v>
      </c>
      <c r="ADE31" s="1112"/>
      <c r="ADF31" s="1112">
        <v>-1.42105263157895</v>
      </c>
      <c r="ADG31" s="1112"/>
      <c r="ADH31" s="591">
        <v>118</v>
      </c>
      <c r="ADI31" s="759">
        <f t="shared" si="3"/>
        <v>0.98842105263158286</v>
      </c>
      <c r="ADJ31" s="760"/>
      <c r="ADK31" s="757">
        <f t="shared" si="4"/>
        <v>2.1799999999999997</v>
      </c>
      <c r="ADL31" s="758"/>
      <c r="ADN31" s="759">
        <v>1.1052631580000001</v>
      </c>
      <c r="ADO31" s="760"/>
      <c r="ADP31" s="759">
        <v>-1.42105263157895</v>
      </c>
      <c r="ADQ31" s="760"/>
      <c r="ADR31" s="591">
        <v>168</v>
      </c>
      <c r="ADS31" s="759">
        <f t="shared" si="9"/>
        <v>1.5410526318610498</v>
      </c>
      <c r="ADT31" s="760"/>
      <c r="ADU31" s="757">
        <f t="shared" si="5"/>
        <v>2.6799999999999997</v>
      </c>
      <c r="ADV31" s="758"/>
      <c r="ADX31" s="759">
        <v>1.1052631580000001</v>
      </c>
      <c r="ADY31" s="760"/>
      <c r="ADZ31" s="759">
        <v>-1.42105263157895</v>
      </c>
      <c r="AEA31" s="760"/>
      <c r="AEB31" s="591">
        <v>218</v>
      </c>
      <c r="AEC31" s="759">
        <f t="shared" si="10"/>
        <v>2.0936842108610505</v>
      </c>
      <c r="AED31" s="760"/>
      <c r="AEE31" s="757">
        <f t="shared" si="6"/>
        <v>3.18</v>
      </c>
      <c r="AEF31" s="758"/>
      <c r="AEH31" s="759">
        <v>1.1052631580000001</v>
      </c>
      <c r="AEI31" s="760"/>
      <c r="AEJ31" s="759">
        <v>-1.42105263157895</v>
      </c>
      <c r="AEK31" s="760"/>
      <c r="AEL31" s="591">
        <v>268</v>
      </c>
      <c r="AEM31" s="759">
        <f t="shared" si="11"/>
        <v>2.6463157898610503</v>
      </c>
      <c r="AEN31" s="760"/>
      <c r="AEO31" s="757">
        <f t="shared" si="7"/>
        <v>3.68</v>
      </c>
      <c r="AEP31" s="758"/>
      <c r="AGJ31" s="377"/>
      <c r="AGK31" s="373"/>
      <c r="AGL31" s="54"/>
      <c r="AGM31" s="373"/>
      <c r="AGN31" s="373"/>
      <c r="AGO31" s="373"/>
      <c r="AGP31" s="373"/>
      <c r="AGQ31" s="373"/>
      <c r="AGR31" s="373"/>
      <c r="AGS31" s="373"/>
      <c r="AGT31" s="373"/>
      <c r="AGU31" s="373"/>
      <c r="AGV31" s="373"/>
      <c r="AGW31" s="373"/>
      <c r="AGX31" s="373"/>
      <c r="AGY31" s="373"/>
      <c r="AGZ31" s="373"/>
      <c r="AHA31" s="373"/>
      <c r="AHB31" s="373"/>
      <c r="AHC31" s="373"/>
      <c r="AHD31" s="373"/>
      <c r="AHE31" s="373"/>
      <c r="AHF31" s="373"/>
      <c r="AHG31" s="373"/>
      <c r="AHH31" s="373"/>
      <c r="AHI31" s="373"/>
      <c r="AHJ31" s="373"/>
      <c r="AHK31" s="373"/>
      <c r="AHL31" s="373"/>
      <c r="AHM31" s="373"/>
      <c r="AHN31" s="373"/>
      <c r="AHO31" s="373"/>
      <c r="AHP31" s="373"/>
      <c r="AHQ31" s="373"/>
      <c r="AHR31" s="373"/>
      <c r="AHS31" s="373"/>
      <c r="AHT31" s="373"/>
      <c r="AHU31" s="373"/>
      <c r="AHV31" s="373"/>
      <c r="AHW31" s="374"/>
      <c r="AHY31" s="130"/>
      <c r="AHZ31" s="130"/>
      <c r="AIA31" s="130"/>
      <c r="AIB31" s="130"/>
      <c r="AIC31" s="130"/>
      <c r="AID31" s="130"/>
      <c r="AIE31" s="130"/>
      <c r="AIF31" s="130"/>
      <c r="AIG31" s="130"/>
      <c r="AIH31" s="130"/>
      <c r="AII31" s="130"/>
      <c r="AIJ31" s="130"/>
      <c r="AIK31" s="130"/>
      <c r="AIL31" s="130"/>
      <c r="AIM31" s="130"/>
      <c r="AIN31" s="130"/>
      <c r="AIO31" s="130"/>
      <c r="AIP31" s="130"/>
      <c r="AIQ31" s="130"/>
      <c r="AIR31" s="130"/>
      <c r="AIS31" s="130"/>
      <c r="AIT31" s="130"/>
      <c r="AIU31" s="673"/>
      <c r="AIV31" s="673"/>
      <c r="AIW31" s="673"/>
      <c r="AOL31" s="130"/>
      <c r="AQL31" s="130"/>
      <c r="ARI31" s="653"/>
      <c r="ARJ31" s="653"/>
      <c r="ARK31" s="653"/>
      <c r="ARL31" s="653"/>
      <c r="ARM31" s="653"/>
      <c r="ARN31" s="653"/>
      <c r="ARO31" s="653"/>
      <c r="ARP31" s="653"/>
      <c r="ARQ31" s="653"/>
      <c r="ARR31" s="653"/>
      <c r="ARS31" s="653"/>
      <c r="ART31" s="653"/>
      <c r="ARU31" s="1053"/>
      <c r="ARV31" s="1852"/>
      <c r="ARW31" s="1511"/>
      <c r="ARX31" s="1853"/>
      <c r="ARY31" s="794"/>
      <c r="ARZ31" s="795"/>
      <c r="ASA31" s="795"/>
      <c r="ASB31" s="795"/>
      <c r="ASC31" s="795"/>
      <c r="ASD31" s="795"/>
      <c r="ASE31" s="795"/>
      <c r="ASF31" s="795"/>
      <c r="ASG31" s="795"/>
      <c r="ASH31" s="795"/>
      <c r="ASI31" s="795"/>
      <c r="ASJ31" s="796"/>
      <c r="ASK31" s="942"/>
      <c r="ASL31" s="943"/>
      <c r="ASM31" s="943"/>
      <c r="ASN31" s="943"/>
      <c r="ASO31" s="943"/>
      <c r="ASP31" s="943"/>
      <c r="ASQ31" s="943"/>
      <c r="ASR31" s="944"/>
      <c r="ASS31" s="1276"/>
      <c r="AST31" s="1277"/>
      <c r="ASU31" s="1278"/>
      <c r="ASX31" s="653"/>
      <c r="ASY31" s="653"/>
      <c r="ASZ31" s="653"/>
      <c r="ATA31" s="653"/>
      <c r="ATB31" s="653"/>
      <c r="ATC31" s="653"/>
      <c r="AVI31" s="130"/>
      <c r="AVJ31" s="130"/>
      <c r="AVK31" s="130"/>
      <c r="AVL31" s="130"/>
      <c r="AVM31" s="130"/>
      <c r="AVN31" s="130"/>
      <c r="AVO31" s="130"/>
      <c r="AVP31" s="130"/>
    </row>
    <row r="32" spans="1:996 1076:1297" ht="48" customHeight="1" thickBot="1">
      <c r="C32" s="207"/>
      <c r="D32" s="162"/>
      <c r="E32" s="158"/>
      <c r="F32" s="158"/>
      <c r="G32" s="158"/>
      <c r="H32" s="158"/>
      <c r="I32" s="158"/>
      <c r="J32" s="158"/>
      <c r="K32" s="158"/>
      <c r="L32" s="158"/>
      <c r="M32" s="158"/>
      <c r="N32" s="158"/>
      <c r="O32" s="158"/>
      <c r="P32" s="158"/>
      <c r="Q32" s="158"/>
      <c r="R32" s="158"/>
      <c r="S32" s="158"/>
      <c r="T32" s="158"/>
      <c r="U32" s="158"/>
      <c r="V32" s="158"/>
      <c r="W32" s="158"/>
      <c r="X32" s="158"/>
      <c r="Y32" s="163"/>
      <c r="Z32" s="207"/>
      <c r="AA32" s="207"/>
      <c r="AB32" s="207"/>
      <c r="BK32" s="126"/>
      <c r="BL32" s="126"/>
      <c r="BM32" s="126"/>
      <c r="BN32" s="126"/>
      <c r="BO32" s="126"/>
      <c r="BP32" s="126"/>
      <c r="BQ32" s="126"/>
      <c r="BR32" s="126"/>
      <c r="BS32" s="126"/>
      <c r="BT32" s="126"/>
      <c r="DF32" s="130"/>
      <c r="DG32" s="130"/>
      <c r="DH32" s="130"/>
      <c r="DI32" s="130"/>
      <c r="DJ32" s="130"/>
      <c r="DK32" s="130"/>
      <c r="DL32" s="130"/>
      <c r="DM32" s="130"/>
      <c r="DN32" s="130"/>
      <c r="DO32" s="130"/>
      <c r="DP32" s="130"/>
      <c r="DQ32" s="130"/>
      <c r="DR32" s="130"/>
      <c r="DS32" s="130"/>
      <c r="DT32" s="130"/>
      <c r="DU32" s="130"/>
      <c r="DV32" s="130"/>
      <c r="DZ32" s="76" t="s">
        <v>793</v>
      </c>
      <c r="EA32" s="852" t="s">
        <v>416</v>
      </c>
      <c r="EB32" s="923" t="s">
        <v>44</v>
      </c>
      <c r="EC32" s="242"/>
      <c r="ED32" s="525" t="s">
        <v>1598</v>
      </c>
      <c r="EE32" s="937">
        <f>$AW$95</f>
        <v>0.19391178434038603</v>
      </c>
      <c r="EF32" s="937"/>
      <c r="EG32" s="136"/>
      <c r="EH32" s="76" t="s">
        <v>441</v>
      </c>
      <c r="EI32" s="854" t="s">
        <v>435</v>
      </c>
      <c r="EJ32" s="855"/>
      <c r="EK32" s="920" t="s">
        <v>111</v>
      </c>
      <c r="EL32" s="921"/>
      <c r="EM32" s="916" t="s">
        <v>704</v>
      </c>
      <c r="EN32" s="917"/>
      <c r="EO32" s="906" t="s">
        <v>447</v>
      </c>
      <c r="EP32" s="907"/>
      <c r="EQ32" s="907"/>
      <c r="ER32" s="908"/>
      <c r="ES32" s="1051" t="s">
        <v>436</v>
      </c>
      <c r="ET32" s="1051"/>
      <c r="EU32" s="1051"/>
      <c r="EV32" s="1051"/>
      <c r="EW32" s="1051"/>
      <c r="FC32" s="130"/>
      <c r="FD32" s="130"/>
      <c r="FM32" s="130"/>
      <c r="GD32" s="653"/>
      <c r="GE32" s="653"/>
      <c r="GF32" s="900"/>
      <c r="GG32" s="901"/>
      <c r="GH32" s="902"/>
      <c r="GI32" s="850"/>
      <c r="GJ32" s="809" t="s">
        <v>49</v>
      </c>
      <c r="GK32" s="797"/>
      <c r="GL32" s="797"/>
      <c r="GM32" s="797"/>
      <c r="GN32" s="797"/>
      <c r="GO32" s="797"/>
      <c r="GP32" s="797"/>
      <c r="GQ32" s="797"/>
      <c r="GR32" s="797"/>
      <c r="GS32" s="797"/>
      <c r="GT32" s="877"/>
      <c r="GU32" s="1453">
        <v>0.23</v>
      </c>
      <c r="GV32" s="1454"/>
      <c r="GW32" s="1183" t="s">
        <v>729</v>
      </c>
      <c r="GX32" s="1184"/>
      <c r="GY32" s="1066"/>
      <c r="GZ32" s="1170" t="s">
        <v>1623</v>
      </c>
      <c r="HA32" s="1172"/>
      <c r="HB32" s="847"/>
      <c r="HC32" s="653"/>
      <c r="HD32" s="653"/>
      <c r="HE32" s="653"/>
      <c r="HS32" s="130"/>
      <c r="HT32" s="130"/>
      <c r="HU32" s="130"/>
      <c r="HV32" s="130"/>
      <c r="HW32" s="130"/>
      <c r="HX32" s="130"/>
      <c r="HY32" s="130"/>
      <c r="HZ32" s="130"/>
      <c r="IA32" s="130"/>
      <c r="IB32" s="130"/>
      <c r="IC32" s="130"/>
      <c r="ID32" s="130"/>
      <c r="IE32" s="130"/>
      <c r="IF32" s="130"/>
      <c r="IG32" s="130"/>
      <c r="IH32" s="130"/>
      <c r="II32" s="130"/>
      <c r="IJ32" s="130"/>
      <c r="IR32" s="850"/>
      <c r="IS32" s="800" t="s">
        <v>1054</v>
      </c>
      <c r="IT32" s="801"/>
      <c r="IU32" s="883">
        <f>$EN$62</f>
        <v>8.9200941784447281</v>
      </c>
      <c r="IV32" s="884"/>
      <c r="IW32" s="791" t="s">
        <v>1047</v>
      </c>
      <c r="IX32" s="792"/>
      <c r="IY32" s="792"/>
      <c r="IZ32" s="792"/>
      <c r="JA32" s="792"/>
      <c r="JB32" s="792"/>
      <c r="JC32" s="1623">
        <f>(IU33+IU32)/2</f>
        <v>10.370834374225831</v>
      </c>
      <c r="JD32" s="1624"/>
      <c r="JE32" s="1183" t="s">
        <v>729</v>
      </c>
      <c r="JF32" s="1184"/>
      <c r="JG32" s="1066"/>
      <c r="JH32" s="1170" t="s">
        <v>1012</v>
      </c>
      <c r="JI32" s="1172"/>
      <c r="JJ32" s="847"/>
      <c r="JK32" s="1052"/>
      <c r="JL32" s="1052"/>
      <c r="JM32" s="1052"/>
      <c r="JN32" s="1052"/>
      <c r="JO32" s="1052"/>
      <c r="LO32" s="130"/>
      <c r="LP32" s="130"/>
      <c r="LQ32" s="130"/>
      <c r="LR32" s="130"/>
      <c r="LS32" s="130"/>
      <c r="LT32" s="130"/>
      <c r="LU32" s="130"/>
      <c r="LV32" s="130"/>
      <c r="MB32" s="851"/>
      <c r="MC32" s="346" t="s">
        <v>1210</v>
      </c>
      <c r="MD32" s="1534">
        <f>$MP$35</f>
        <v>0.26316281296617705</v>
      </c>
      <c r="ME32" s="1534"/>
      <c r="MF32" s="778"/>
      <c r="MG32" s="778"/>
      <c r="MH32" s="778"/>
      <c r="MI32" s="778"/>
      <c r="MJ32" s="778"/>
      <c r="MK32" s="778"/>
      <c r="ML32" s="778"/>
      <c r="MM32" s="778"/>
      <c r="MN32" s="778"/>
      <c r="MO32" s="799"/>
      <c r="MP32" s="837"/>
      <c r="MQ32" s="838"/>
      <c r="MR32" s="1565"/>
      <c r="MS32" s="1566"/>
      <c r="MT32" s="842"/>
      <c r="MU32" s="1173"/>
      <c r="MV32" s="1175"/>
      <c r="MW32" s="848"/>
      <c r="MX32" s="828"/>
      <c r="MY32" s="949"/>
      <c r="MZ32" s="949"/>
      <c r="NA32" s="949"/>
      <c r="NB32" s="950"/>
      <c r="NC32" s="130"/>
      <c r="ND32" s="130"/>
      <c r="OQ32" s="130"/>
      <c r="OR32" s="130"/>
      <c r="OS32" s="130"/>
      <c r="OT32" s="130"/>
      <c r="OU32" s="130"/>
      <c r="OV32" s="130"/>
      <c r="OW32" s="130"/>
      <c r="OX32" s="130"/>
      <c r="OY32" s="130"/>
      <c r="OZ32" s="130"/>
      <c r="PA32" s="130"/>
      <c r="PB32" s="130"/>
      <c r="PC32" s="130"/>
      <c r="PD32" s="130"/>
      <c r="PE32" s="130"/>
      <c r="PH32" s="377"/>
      <c r="PI32" s="373"/>
      <c r="PJ32" s="373"/>
      <c r="PK32" s="373"/>
      <c r="PL32" s="851"/>
      <c r="PM32" s="777"/>
      <c r="PN32" s="778"/>
      <c r="PO32" s="778"/>
      <c r="PP32" s="778"/>
      <c r="PQ32" s="778"/>
      <c r="PR32" s="778"/>
      <c r="PS32" s="778"/>
      <c r="PT32" s="778"/>
      <c r="PU32" s="778"/>
      <c r="PV32" s="778"/>
      <c r="PW32" s="778"/>
      <c r="PX32" s="778"/>
      <c r="PY32" s="799"/>
      <c r="PZ32" s="1444"/>
      <c r="QA32" s="773"/>
      <c r="QB32" s="1826"/>
      <c r="QC32" s="1827"/>
      <c r="QD32" s="1290"/>
      <c r="QE32" s="1539"/>
      <c r="QF32" s="1539"/>
      <c r="QG32" s="1539"/>
      <c r="QH32" s="1290"/>
      <c r="QI32" s="1276"/>
      <c r="QJ32" s="1277"/>
      <c r="QK32" s="1278"/>
      <c r="QL32" s="373"/>
      <c r="QM32" s="373"/>
      <c r="QN32" s="373"/>
      <c r="QO32" s="373"/>
      <c r="QP32" s="373"/>
      <c r="QQ32" s="373"/>
      <c r="QR32" s="373"/>
      <c r="QS32" s="373"/>
      <c r="QT32" s="373"/>
      <c r="QU32" s="373"/>
      <c r="QV32" s="373"/>
      <c r="QW32" s="373"/>
      <c r="QX32" s="373"/>
      <c r="QY32" s="373"/>
      <c r="QZ32" s="373"/>
      <c r="RA32" s="373"/>
      <c r="RB32" s="373"/>
      <c r="RC32" s="374"/>
      <c r="RE32" s="653"/>
      <c r="RF32" s="653"/>
      <c r="RG32" s="653"/>
      <c r="RH32" s="653"/>
      <c r="RI32" s="653"/>
      <c r="RJ32" s="653"/>
      <c r="RK32" s="653"/>
      <c r="RL32" s="653"/>
      <c r="RM32" s="653"/>
      <c r="RN32" s="653"/>
      <c r="RO32" s="653"/>
      <c r="RP32" s="653"/>
      <c r="RQ32" s="653"/>
      <c r="RR32" s="653"/>
      <c r="RS32" s="653"/>
      <c r="RT32" s="653"/>
      <c r="RU32" s="653"/>
      <c r="RV32" s="653"/>
      <c r="RW32" s="653"/>
      <c r="RX32" s="653"/>
      <c r="RY32" s="653"/>
      <c r="RZ32" s="851"/>
      <c r="SA32" s="481"/>
      <c r="SB32" s="1187"/>
      <c r="SC32" s="1187"/>
      <c r="SD32" s="794"/>
      <c r="SE32" s="795"/>
      <c r="SF32" s="795"/>
      <c r="SG32" s="795"/>
      <c r="SH32" s="795"/>
      <c r="SI32" s="795"/>
      <c r="SJ32" s="795"/>
      <c r="SK32" s="795"/>
      <c r="SL32" s="795"/>
      <c r="SM32" s="796"/>
      <c r="SN32" s="837"/>
      <c r="SO32" s="838"/>
      <c r="SP32" s="1254"/>
      <c r="SQ32" s="1191"/>
      <c r="SR32" s="1067"/>
      <c r="SS32" s="1173"/>
      <c r="ST32" s="1175"/>
      <c r="SU32" s="848"/>
      <c r="SV32" s="828"/>
      <c r="SW32" s="949"/>
      <c r="SX32" s="949"/>
      <c r="SY32" s="950"/>
      <c r="TX32" s="653"/>
      <c r="TY32" s="653"/>
      <c r="TZ32" s="653"/>
      <c r="UA32" s="653"/>
      <c r="UB32" s="653"/>
      <c r="UC32" s="653"/>
      <c r="UD32" s="653"/>
      <c r="UE32" s="653"/>
      <c r="UF32" s="653"/>
      <c r="UG32" s="653"/>
      <c r="UH32" s="653"/>
      <c r="UI32" s="653"/>
      <c r="UJ32" s="653"/>
      <c r="UK32" s="653"/>
      <c r="UL32" s="653"/>
      <c r="UM32" s="653"/>
      <c r="UN32" s="653"/>
      <c r="UO32" s="653"/>
      <c r="UP32" s="653"/>
      <c r="UQ32" s="653"/>
      <c r="UR32" s="653"/>
      <c r="US32" s="653"/>
      <c r="UT32" s="653"/>
      <c r="UU32" s="653"/>
      <c r="UV32" s="653"/>
      <c r="UW32" s="653"/>
      <c r="UX32" s="653"/>
      <c r="UY32" s="653"/>
      <c r="UZ32" s="653"/>
      <c r="WE32" s="162"/>
      <c r="WF32" s="158"/>
      <c r="WG32" s="158"/>
      <c r="WH32" s="158"/>
      <c r="WI32" s="158"/>
      <c r="WJ32" s="163"/>
      <c r="WK32" s="169"/>
      <c r="WL32" s="170"/>
      <c r="WM32" s="170"/>
      <c r="WN32" s="170"/>
      <c r="WO32" s="170"/>
      <c r="WP32" s="170"/>
      <c r="WQ32" s="170"/>
      <c r="WR32" s="170"/>
      <c r="WS32" s="170"/>
      <c r="WT32" s="170"/>
      <c r="WU32" s="170"/>
      <c r="WV32" s="170"/>
      <c r="WW32" s="172"/>
      <c r="WX32" s="978"/>
      <c r="WY32" s="979"/>
      <c r="WZ32" s="754"/>
      <c r="XA32" s="755"/>
      <c r="XB32" s="169"/>
      <c r="XC32" s="170"/>
      <c r="XD32" s="170"/>
      <c r="XE32" s="170"/>
      <c r="XF32" s="172"/>
      <c r="XG32" s="967"/>
      <c r="XH32" s="967"/>
      <c r="XI32" s="967"/>
      <c r="XJ32" s="967"/>
      <c r="XK32" s="967"/>
      <c r="XL32" s="967"/>
      <c r="XM32" s="967"/>
      <c r="XN32" s="967"/>
      <c r="XO32" s="967"/>
      <c r="XP32" s="967"/>
      <c r="XQ32" s="967"/>
      <c r="XR32" s="967"/>
      <c r="XS32" s="967"/>
      <c r="XT32" s="967"/>
      <c r="XU32" s="967"/>
      <c r="XV32" s="967"/>
      <c r="XW32" s="967"/>
      <c r="XX32" s="967"/>
      <c r="XY32" s="967"/>
      <c r="XZ32" s="967"/>
      <c r="YA32" s="967"/>
      <c r="YB32" s="967"/>
      <c r="YC32" s="967"/>
      <c r="YD32" s="967"/>
      <c r="YE32" s="967"/>
      <c r="YF32" s="967"/>
      <c r="YG32" s="967"/>
      <c r="YH32" s="967"/>
      <c r="YI32" s="967"/>
      <c r="YJ32" s="967"/>
      <c r="YK32" s="967"/>
      <c r="YL32" s="967"/>
      <c r="YM32" s="967"/>
      <c r="YN32" s="967"/>
      <c r="YO32" s="967"/>
      <c r="YP32" s="967"/>
      <c r="YQ32" s="967"/>
      <c r="YR32" s="967"/>
      <c r="YS32" s="967"/>
      <c r="YT32" s="967"/>
      <c r="YU32" s="967"/>
      <c r="YV32" s="967"/>
      <c r="YW32" s="967"/>
      <c r="YX32" s="967"/>
      <c r="YY32" s="967"/>
      <c r="YZ32" s="967"/>
      <c r="ZA32" s="967"/>
      <c r="ZB32" s="967"/>
      <c r="ZC32" s="967"/>
      <c r="ZD32" s="967"/>
      <c r="ZE32" s="967"/>
      <c r="ZF32" s="967"/>
      <c r="ZG32" s="967"/>
      <c r="ZH32" s="967"/>
      <c r="ZI32" s="967"/>
      <c r="ZJ32" s="967"/>
      <c r="ZK32" s="967"/>
      <c r="ZL32" s="967"/>
      <c r="ZM32" s="967"/>
      <c r="ZN32" s="967"/>
      <c r="ZO32" s="967"/>
      <c r="ZP32" s="967"/>
      <c r="ZQ32" s="967"/>
      <c r="ZR32" s="967"/>
      <c r="ZS32" s="967"/>
      <c r="ZT32" s="967"/>
      <c r="ZU32" s="967"/>
      <c r="ZV32" s="967"/>
      <c r="ZW32" s="967"/>
      <c r="ZX32" s="967"/>
      <c r="ZY32" s="967"/>
      <c r="ZZ32" s="967"/>
      <c r="AAA32" s="967"/>
      <c r="AAB32" s="967"/>
      <c r="AAC32" s="967"/>
      <c r="AAD32" s="967"/>
      <c r="AAE32" s="967"/>
      <c r="AAF32" s="967"/>
      <c r="AAG32" s="967"/>
      <c r="AAH32" s="967"/>
      <c r="AAI32" s="967"/>
      <c r="AAJ32" s="967"/>
      <c r="AAK32" s="967"/>
      <c r="AAL32" s="967"/>
      <c r="AAM32" s="967"/>
      <c r="AAN32" s="967"/>
      <c r="AAO32" s="967"/>
      <c r="AAP32" s="967"/>
      <c r="AAQ32" s="967"/>
      <c r="AAR32" s="967"/>
      <c r="AAS32" s="967"/>
      <c r="AAT32" s="965"/>
      <c r="AAU32" s="754"/>
      <c r="AAV32" s="755"/>
      <c r="AAW32" s="169"/>
      <c r="AAX32" s="170"/>
      <c r="AAY32" s="170"/>
      <c r="AAZ32" s="172"/>
      <c r="ABA32" s="158"/>
      <c r="ABB32" s="158"/>
      <c r="ABC32" s="158"/>
      <c r="ABD32" s="163"/>
      <c r="ABE32" s="653"/>
      <c r="ABF32" s="653"/>
      <c r="ABG32" s="653"/>
      <c r="ABH32" s="653"/>
      <c r="ACJ32" s="759">
        <v>0.33333333300000001</v>
      </c>
      <c r="ACK32" s="760"/>
      <c r="ACL32" s="759">
        <v>-0.233333333</v>
      </c>
      <c r="ACM32" s="760"/>
      <c r="ACN32" s="592">
        <v>20</v>
      </c>
      <c r="ACO32" s="759">
        <f t="shared" si="0"/>
        <v>0.16666666659999999</v>
      </c>
      <c r="ACP32" s="760"/>
      <c r="ACQ32" s="757">
        <f t="shared" si="1"/>
        <v>1.2</v>
      </c>
      <c r="ACR32" s="758"/>
      <c r="ACT32" s="759">
        <v>1</v>
      </c>
      <c r="ACU32" s="760"/>
      <c r="ACV32" s="759">
        <v>-1.2</v>
      </c>
      <c r="ACW32" s="760"/>
      <c r="ACX32" s="592">
        <v>70</v>
      </c>
      <c r="ACY32" s="759">
        <f t="shared" si="8"/>
        <v>0.50000000000000022</v>
      </c>
      <c r="ACZ32" s="760"/>
      <c r="ADA32" s="757">
        <f t="shared" si="2"/>
        <v>1.7000000000000002</v>
      </c>
      <c r="ADB32" s="758"/>
      <c r="ADD32" s="1112">
        <v>1.1052631578947401</v>
      </c>
      <c r="ADE32" s="1112"/>
      <c r="ADF32" s="1112">
        <v>-1.42105263157895</v>
      </c>
      <c r="ADG32" s="1112"/>
      <c r="ADH32" s="591">
        <v>119</v>
      </c>
      <c r="ADI32" s="759">
        <f t="shared" si="3"/>
        <v>0.99947368421053051</v>
      </c>
      <c r="ADJ32" s="760"/>
      <c r="ADK32" s="757">
        <f t="shared" si="4"/>
        <v>2.19</v>
      </c>
      <c r="ADL32" s="758"/>
      <c r="ADN32" s="759">
        <v>1.1052631580000001</v>
      </c>
      <c r="ADO32" s="760"/>
      <c r="ADP32" s="759">
        <v>-1.42105263157895</v>
      </c>
      <c r="ADQ32" s="760"/>
      <c r="ADR32" s="591">
        <v>169</v>
      </c>
      <c r="ADS32" s="759">
        <f t="shared" si="9"/>
        <v>1.5521052634410499</v>
      </c>
      <c r="ADT32" s="760"/>
      <c r="ADU32" s="757">
        <f t="shared" si="5"/>
        <v>2.69</v>
      </c>
      <c r="ADV32" s="758"/>
      <c r="ADW32" s="653"/>
      <c r="ADX32" s="759">
        <v>1.1052631580000001</v>
      </c>
      <c r="ADY32" s="760"/>
      <c r="ADZ32" s="759">
        <v>-1.42105263157895</v>
      </c>
      <c r="AEA32" s="760"/>
      <c r="AEB32" s="591">
        <v>219</v>
      </c>
      <c r="AEC32" s="759">
        <f t="shared" si="10"/>
        <v>2.1047368424410502</v>
      </c>
      <c r="AED32" s="760"/>
      <c r="AEE32" s="757">
        <f t="shared" si="6"/>
        <v>3.19</v>
      </c>
      <c r="AEF32" s="758"/>
      <c r="AEH32" s="759">
        <v>1.1052631580000001</v>
      </c>
      <c r="AEI32" s="760"/>
      <c r="AEJ32" s="759">
        <v>-1.42105263157895</v>
      </c>
      <c r="AEK32" s="760"/>
      <c r="AEL32" s="591">
        <v>269</v>
      </c>
      <c r="AEM32" s="759">
        <f t="shared" si="11"/>
        <v>2.6573684214410505</v>
      </c>
      <c r="AEN32" s="760"/>
      <c r="AEO32" s="757">
        <f t="shared" si="7"/>
        <v>3.69</v>
      </c>
      <c r="AEP32" s="758"/>
      <c r="AEQ32" s="653"/>
      <c r="AER32" s="653"/>
      <c r="AES32" s="653"/>
      <c r="AET32" s="653"/>
      <c r="AEU32" s="653"/>
      <c r="AEV32" s="653"/>
      <c r="AEW32" s="653"/>
      <c r="AEX32" s="653"/>
      <c r="AEY32" s="653"/>
      <c r="AEZ32" s="653"/>
      <c r="AFA32" s="653"/>
      <c r="AFB32" s="653"/>
      <c r="AFC32" s="653"/>
      <c r="AFD32" s="653"/>
      <c r="AFE32" s="653"/>
      <c r="AGJ32" s="377"/>
      <c r="AGK32" s="373"/>
      <c r="AGL32" s="54"/>
      <c r="AGM32" s="373"/>
      <c r="AGN32" s="849"/>
      <c r="AGO32" s="852" t="s">
        <v>416</v>
      </c>
      <c r="AGP32" s="853"/>
      <c r="AGQ32" s="687"/>
      <c r="AGR32" s="78"/>
      <c r="AGS32" s="78"/>
      <c r="AGT32" s="78"/>
      <c r="AGU32" s="78"/>
      <c r="AGV32" s="78"/>
      <c r="AGW32" s="78"/>
      <c r="AGX32" s="687"/>
      <c r="AGY32" s="76" t="s">
        <v>441</v>
      </c>
      <c r="AGZ32" s="854" t="s">
        <v>435</v>
      </c>
      <c r="AHA32" s="1111"/>
      <c r="AHB32" s="924" t="s">
        <v>111</v>
      </c>
      <c r="AHC32" s="925"/>
      <c r="AHD32" s="916" t="s">
        <v>704</v>
      </c>
      <c r="AHE32" s="917"/>
      <c r="AHF32" s="1051" t="s">
        <v>447</v>
      </c>
      <c r="AHG32" s="1051"/>
      <c r="AHH32" s="1051"/>
      <c r="AHI32" s="1051"/>
      <c r="AHJ32" s="1051"/>
      <c r="AHK32" s="1051"/>
      <c r="AHL32" s="906" t="s">
        <v>863</v>
      </c>
      <c r="AHM32" s="907"/>
      <c r="AHN32" s="908"/>
      <c r="AHO32" s="373"/>
      <c r="AHP32" s="373"/>
      <c r="AHQ32" s="373"/>
      <c r="AHR32" s="373"/>
      <c r="AHS32" s="373"/>
      <c r="AHT32" s="373"/>
      <c r="AHU32" s="373"/>
      <c r="AHV32" s="373"/>
      <c r="AHW32" s="374"/>
      <c r="AHY32" s="130"/>
      <c r="AHZ32" s="130"/>
      <c r="AIA32" s="130"/>
      <c r="AIB32" s="130"/>
      <c r="AIC32" s="130"/>
      <c r="AID32" s="130"/>
      <c r="AIE32" s="130"/>
      <c r="AIF32" s="130"/>
      <c r="AIG32" s="130"/>
      <c r="AIH32" s="130"/>
      <c r="AII32" s="130"/>
      <c r="AIJ32" s="130"/>
      <c r="AIK32" s="130"/>
      <c r="AIL32" s="130"/>
      <c r="AIM32" s="130"/>
      <c r="AIN32" s="130"/>
      <c r="AIO32" s="130"/>
      <c r="AIP32" s="130"/>
      <c r="AIQ32" s="130"/>
      <c r="AIR32" s="130"/>
      <c r="AIS32" s="130"/>
      <c r="AIT32" s="130"/>
      <c r="AIU32" s="130"/>
      <c r="AIV32" s="130"/>
      <c r="AOJ32" s="130"/>
      <c r="AOK32" s="130"/>
      <c r="AOL32" s="130"/>
      <c r="AQL32" s="130"/>
      <c r="ARI32" s="653"/>
      <c r="ARJ32" s="653"/>
      <c r="ARK32" s="653"/>
      <c r="ARL32" s="653"/>
      <c r="ARM32" s="653"/>
      <c r="ARN32" s="653"/>
      <c r="ARO32" s="653"/>
      <c r="ARP32" s="653"/>
      <c r="ATC32" s="653"/>
      <c r="AVI32" s="130"/>
      <c r="AVJ32" s="130"/>
      <c r="AVK32" s="130"/>
      <c r="AVL32" s="130"/>
      <c r="AVM32" s="130"/>
      <c r="AVN32" s="130"/>
      <c r="AVO32" s="130"/>
      <c r="AVP32" s="130"/>
      <c r="AWB32" s="849"/>
      <c r="AWC32" s="133" t="s">
        <v>416</v>
      </c>
      <c r="AWD32" s="134"/>
      <c r="AWE32" s="138"/>
      <c r="AWF32" s="78"/>
      <c r="AWG32" s="78"/>
      <c r="AWH32" s="78"/>
      <c r="AWI32" s="78"/>
      <c r="AWJ32" s="78"/>
      <c r="AWK32" s="78"/>
      <c r="AWL32" s="138"/>
      <c r="AWM32" s="76" t="s">
        <v>441</v>
      </c>
      <c r="AWN32" s="854" t="s">
        <v>435</v>
      </c>
      <c r="AWO32" s="855"/>
      <c r="AWP32" s="920" t="s">
        <v>111</v>
      </c>
      <c r="AWQ32" s="921"/>
      <c r="AWR32" s="916" t="s">
        <v>704</v>
      </c>
      <c r="AWS32" s="917"/>
      <c r="AWT32" s="906" t="s">
        <v>447</v>
      </c>
      <c r="AWU32" s="907"/>
      <c r="AWV32" s="907"/>
      <c r="AWW32" s="908"/>
    </row>
    <row r="33" spans="3:932 1076:1297" ht="48" customHeight="1" thickBot="1">
      <c r="C33" s="207"/>
      <c r="D33" s="162"/>
      <c r="E33" s="158"/>
      <c r="F33" s="76" t="s">
        <v>1654</v>
      </c>
      <c r="G33" s="158"/>
      <c r="H33" s="865" t="s">
        <v>911</v>
      </c>
      <c r="I33" s="867" t="s">
        <v>1836</v>
      </c>
      <c r="J33" s="868"/>
      <c r="K33" s="868"/>
      <c r="L33" s="869"/>
      <c r="M33" s="158"/>
      <c r="N33" s="76" t="s">
        <v>793</v>
      </c>
      <c r="O33" s="158"/>
      <c r="P33" s="158"/>
      <c r="Q33" s="158"/>
      <c r="R33" s="158"/>
      <c r="S33" s="158"/>
      <c r="T33" s="158"/>
      <c r="U33" s="158"/>
      <c r="V33" s="158"/>
      <c r="W33" s="158"/>
      <c r="X33" s="158"/>
      <c r="Y33" s="163"/>
      <c r="Z33" s="207"/>
      <c r="AA33" s="207"/>
      <c r="AB33" s="207"/>
      <c r="AI33" s="715"/>
      <c r="AJ33" s="854"/>
      <c r="AK33" s="891"/>
      <c r="AL33" s="891"/>
      <c r="AM33" s="891"/>
      <c r="AN33" s="891"/>
      <c r="AO33" s="891"/>
      <c r="AP33" s="891"/>
      <c r="AQ33" s="891"/>
      <c r="AR33" s="891"/>
      <c r="AS33" s="891"/>
      <c r="AT33" s="891"/>
      <c r="AU33" s="891"/>
      <c r="AV33" s="891"/>
      <c r="AW33" s="891"/>
      <c r="AX33" s="891"/>
      <c r="AY33" s="891"/>
      <c r="AZ33" s="891"/>
      <c r="BA33" s="891"/>
      <c r="BB33" s="891"/>
      <c r="BC33" s="891"/>
      <c r="BD33" s="891"/>
      <c r="BE33" s="891"/>
      <c r="BF33" s="891"/>
      <c r="BG33" s="891"/>
      <c r="BH33" s="891"/>
      <c r="BI33" s="891"/>
      <c r="BJ33" s="715"/>
      <c r="BK33" s="126"/>
      <c r="BL33" s="126"/>
      <c r="BM33" s="126"/>
      <c r="BN33" s="126"/>
      <c r="BO33" s="126"/>
      <c r="BP33" s="126"/>
      <c r="BQ33" s="126"/>
      <c r="BR33" s="126"/>
      <c r="BS33" s="126"/>
      <c r="BT33" s="126"/>
      <c r="DF33" s="130"/>
      <c r="DG33" s="130"/>
      <c r="DH33" s="130"/>
      <c r="DI33" s="130"/>
      <c r="DJ33" s="130"/>
      <c r="DK33" s="130"/>
      <c r="DL33" s="130"/>
      <c r="DM33" s="130"/>
      <c r="DN33" s="130"/>
      <c r="DO33" s="130"/>
      <c r="DP33" s="130"/>
      <c r="DQ33" s="130"/>
      <c r="DR33" s="130"/>
      <c r="DS33" s="130"/>
      <c r="DT33" s="130"/>
      <c r="DU33" s="130"/>
      <c r="DV33" s="130"/>
      <c r="DZ33" s="849"/>
      <c r="EA33" s="243" t="s">
        <v>763</v>
      </c>
      <c r="EB33" s="890">
        <f>$CL$91</f>
        <v>1.4832006266367067E-2</v>
      </c>
      <c r="EC33" s="890"/>
      <c r="ED33" s="243" t="s">
        <v>1014</v>
      </c>
      <c r="EE33" s="761">
        <f>$EJ$37</f>
        <v>0.97</v>
      </c>
      <c r="EF33" s="761"/>
      <c r="EG33" s="791" t="s">
        <v>1869</v>
      </c>
      <c r="EH33" s="792"/>
      <c r="EI33" s="792"/>
      <c r="EJ33" s="792"/>
      <c r="EK33" s="1378">
        <f>((EB33*10^3)/(2*EB34*EE32*EE33))</f>
        <v>24.641888323197445</v>
      </c>
      <c r="EL33" s="1379"/>
      <c r="EM33" s="1075" t="s">
        <v>45</v>
      </c>
      <c r="EN33" s="1076"/>
      <c r="EO33" s="841"/>
      <c r="EP33" s="893" t="s">
        <v>977</v>
      </c>
      <c r="EQ33" s="894"/>
      <c r="ER33" s="847"/>
      <c r="ES33" s="1052"/>
      <c r="ET33" s="1052"/>
      <c r="EU33" s="1052"/>
      <c r="EV33" s="1052"/>
      <c r="EW33" s="1052"/>
      <c r="FC33" s="130"/>
      <c r="FD33" s="130"/>
      <c r="FM33" s="130"/>
      <c r="FT33" s="130"/>
      <c r="FU33" s="130"/>
      <c r="FV33" s="130"/>
      <c r="FW33" s="130"/>
      <c r="FX33" s="130"/>
      <c r="FY33" s="130"/>
      <c r="GD33" s="653"/>
      <c r="GE33" s="653"/>
      <c r="GF33" s="903"/>
      <c r="GG33" s="904"/>
      <c r="GH33" s="905"/>
      <c r="GI33" s="851"/>
      <c r="GJ33" s="777"/>
      <c r="GK33" s="778"/>
      <c r="GL33" s="778"/>
      <c r="GM33" s="778"/>
      <c r="GN33" s="778"/>
      <c r="GO33" s="778"/>
      <c r="GP33" s="778"/>
      <c r="GQ33" s="778"/>
      <c r="GR33" s="778"/>
      <c r="GS33" s="778"/>
      <c r="GT33" s="878"/>
      <c r="GU33" s="1455"/>
      <c r="GV33" s="1456"/>
      <c r="GW33" s="1185"/>
      <c r="GX33" s="1186"/>
      <c r="GY33" s="1067"/>
      <c r="GZ33" s="1173"/>
      <c r="HA33" s="1175"/>
      <c r="HB33" s="848"/>
      <c r="HC33" s="653"/>
      <c r="HD33" s="653"/>
      <c r="HE33" s="653"/>
      <c r="HS33" s="130"/>
      <c r="HT33" s="602"/>
      <c r="HU33" s="852" t="s">
        <v>832</v>
      </c>
      <c r="HV33" s="923"/>
      <c r="HW33" s="602"/>
      <c r="HX33" s="1069" t="s">
        <v>57</v>
      </c>
      <c r="HY33" s="1070"/>
      <c r="HZ33" s="1070"/>
      <c r="IA33" s="1070"/>
      <c r="IB33" s="1070"/>
      <c r="IC33" s="1070"/>
      <c r="ID33" s="1070"/>
      <c r="IE33" s="1070"/>
      <c r="IF33" s="1070"/>
      <c r="IG33" s="1070"/>
      <c r="IH33" s="1071"/>
      <c r="II33" s="602"/>
      <c r="IJ33" s="130"/>
      <c r="IR33" s="851"/>
      <c r="IS33" s="802" t="s">
        <v>1055</v>
      </c>
      <c r="IT33" s="803"/>
      <c r="IU33" s="1632">
        <f>$EN$67</f>
        <v>11.821574570006934</v>
      </c>
      <c r="IV33" s="1633"/>
      <c r="IW33" s="794"/>
      <c r="IX33" s="795"/>
      <c r="IY33" s="795"/>
      <c r="IZ33" s="795"/>
      <c r="JA33" s="795"/>
      <c r="JB33" s="795"/>
      <c r="JC33" s="1625"/>
      <c r="JD33" s="1626"/>
      <c r="JE33" s="1185"/>
      <c r="JF33" s="1186"/>
      <c r="JG33" s="1067"/>
      <c r="JH33" s="1173"/>
      <c r="JI33" s="1175"/>
      <c r="JJ33" s="848"/>
      <c r="JK33" s="1053"/>
      <c r="JL33" s="1053"/>
      <c r="JM33" s="1053"/>
      <c r="JN33" s="1053"/>
      <c r="JO33" s="1053"/>
      <c r="JX33" s="849"/>
      <c r="JY33" s="852" t="s">
        <v>416</v>
      </c>
      <c r="JZ33" s="923"/>
      <c r="KA33" s="142"/>
      <c r="KB33" s="78"/>
      <c r="KC33" s="78"/>
      <c r="KD33" s="78"/>
      <c r="KE33" s="142"/>
      <c r="KF33" s="76" t="s">
        <v>441</v>
      </c>
      <c r="KG33" s="854" t="s">
        <v>435</v>
      </c>
      <c r="KH33" s="1111"/>
      <c r="KI33" s="924" t="s">
        <v>111</v>
      </c>
      <c r="KJ33" s="925"/>
      <c r="KK33" s="916" t="s">
        <v>704</v>
      </c>
      <c r="KL33" s="917"/>
      <c r="KM33" s="906" t="s">
        <v>447</v>
      </c>
      <c r="KN33" s="907"/>
      <c r="KO33" s="907"/>
      <c r="KP33" s="907"/>
      <c r="KQ33" s="1051" t="s">
        <v>436</v>
      </c>
      <c r="KR33" s="1051"/>
      <c r="KS33" s="1051"/>
      <c r="KT33" s="1051"/>
      <c r="KU33" s="1051"/>
      <c r="LO33" s="130"/>
      <c r="LP33" s="130"/>
      <c r="LQ33" s="130"/>
      <c r="LR33" s="130"/>
      <c r="LS33" s="130"/>
      <c r="LT33" s="130"/>
      <c r="LU33" s="130"/>
      <c r="LV33" s="130"/>
      <c r="NC33" s="130"/>
      <c r="ND33" s="130"/>
      <c r="OQ33" s="130"/>
      <c r="OR33" s="130"/>
      <c r="OS33" s="130"/>
      <c r="OT33" s="130"/>
      <c r="OU33" s="130"/>
      <c r="OV33" s="130"/>
      <c r="OW33" s="130"/>
      <c r="OX33" s="130"/>
      <c r="OY33" s="130"/>
      <c r="OZ33" s="130"/>
      <c r="PA33" s="130"/>
      <c r="PB33" s="130"/>
      <c r="PC33" s="130"/>
      <c r="PD33" s="130"/>
      <c r="PE33" s="130"/>
      <c r="PH33" s="378"/>
      <c r="PI33" s="375"/>
      <c r="PJ33" s="375"/>
      <c r="PK33" s="375"/>
      <c r="PL33" s="375"/>
      <c r="PM33" s="375"/>
      <c r="PN33" s="375"/>
      <c r="PO33" s="375"/>
      <c r="PP33" s="375"/>
      <c r="PQ33" s="375"/>
      <c r="PR33" s="375"/>
      <c r="PS33" s="375"/>
      <c r="PT33" s="375"/>
      <c r="PU33" s="375"/>
      <c r="PV33" s="375"/>
      <c r="PW33" s="375"/>
      <c r="PX33" s="375"/>
      <c r="PY33" s="375"/>
      <c r="PZ33" s="375"/>
      <c r="QA33" s="375"/>
      <c r="QB33" s="375"/>
      <c r="QC33" s="375"/>
      <c r="QD33" s="375"/>
      <c r="QE33" s="375"/>
      <c r="QF33" s="375"/>
      <c r="QG33" s="375"/>
      <c r="QH33" s="375"/>
      <c r="QI33" s="375"/>
      <c r="QJ33" s="375"/>
      <c r="QK33" s="375"/>
      <c r="QL33" s="375"/>
      <c r="QM33" s="375"/>
      <c r="QN33" s="375"/>
      <c r="QO33" s="375"/>
      <c r="QP33" s="375"/>
      <c r="QQ33" s="375"/>
      <c r="QR33" s="375"/>
      <c r="QS33" s="375"/>
      <c r="QT33" s="375"/>
      <c r="QU33" s="375"/>
      <c r="QV33" s="375"/>
      <c r="QW33" s="375"/>
      <c r="QX33" s="375"/>
      <c r="QY33" s="375"/>
      <c r="QZ33" s="375"/>
      <c r="RA33" s="375"/>
      <c r="RB33" s="375"/>
      <c r="RC33" s="376"/>
      <c r="RE33" s="653"/>
      <c r="RF33" s="653"/>
      <c r="RG33" s="653"/>
      <c r="RH33" s="653"/>
      <c r="RI33" s="653"/>
      <c r="RJ33" s="653"/>
      <c r="RK33" s="653"/>
      <c r="RL33" s="653"/>
      <c r="RM33" s="653"/>
      <c r="RN33" s="653"/>
      <c r="RO33" s="653"/>
      <c r="RP33" s="653"/>
      <c r="RQ33" s="653"/>
      <c r="RR33" s="653"/>
      <c r="RS33" s="653"/>
      <c r="RT33" s="653"/>
      <c r="RU33" s="653"/>
      <c r="RV33" s="653"/>
      <c r="RW33" s="653"/>
      <c r="RX33" s="653"/>
      <c r="RY33" s="653"/>
      <c r="SY33" s="130"/>
      <c r="SZ33" s="130"/>
      <c r="TA33" s="653"/>
      <c r="TB33" s="653"/>
      <c r="TC33" s="653"/>
      <c r="TD33" s="653"/>
      <c r="TE33" s="653"/>
      <c r="TF33" s="653"/>
      <c r="TG33" s="653"/>
      <c r="TH33" s="653"/>
      <c r="TI33" s="653"/>
      <c r="TJ33" s="653"/>
      <c r="TK33" s="653"/>
      <c r="TL33" s="653"/>
      <c r="TM33" s="653"/>
      <c r="TN33" s="653"/>
      <c r="TO33" s="653"/>
      <c r="TX33" s="653"/>
      <c r="TY33" s="653"/>
      <c r="TZ33" s="653"/>
      <c r="UA33" s="653"/>
      <c r="UB33" s="653"/>
      <c r="UC33" s="653"/>
      <c r="UD33" s="653"/>
      <c r="UE33" s="653"/>
      <c r="UF33" s="653"/>
      <c r="UG33" s="653"/>
      <c r="UH33" s="653"/>
      <c r="UI33" s="653"/>
      <c r="UJ33" s="653"/>
      <c r="UK33" s="653"/>
      <c r="UL33" s="653"/>
      <c r="UM33" s="653"/>
      <c r="UN33" s="653"/>
      <c r="UO33" s="653"/>
      <c r="UP33" s="653"/>
      <c r="UQ33" s="653"/>
      <c r="UR33" s="653"/>
      <c r="US33" s="653"/>
      <c r="UT33" s="653"/>
      <c r="UU33" s="653"/>
      <c r="UV33" s="653"/>
      <c r="UW33" s="653"/>
      <c r="UX33" s="653"/>
      <c r="UY33" s="653"/>
      <c r="UZ33" s="653"/>
      <c r="WE33" s="162"/>
      <c r="WF33" s="158"/>
      <c r="WG33" s="158"/>
      <c r="WH33" s="158"/>
      <c r="WI33" s="158"/>
      <c r="WJ33" s="163"/>
      <c r="WK33" s="800" t="s">
        <v>1612</v>
      </c>
      <c r="WL33" s="801"/>
      <c r="WM33" s="883">
        <f>$SN$26</f>
        <v>0.91906384518855788</v>
      </c>
      <c r="WN33" s="884"/>
      <c r="WO33" s="800" t="s">
        <v>1621</v>
      </c>
      <c r="WP33" s="982"/>
      <c r="WQ33" s="801"/>
      <c r="WR33" s="883"/>
      <c r="WS33" s="884"/>
      <c r="WT33" s="168"/>
      <c r="WU33" s="168"/>
      <c r="WV33" s="168"/>
      <c r="WW33" s="171"/>
      <c r="WX33" s="976">
        <v>7</v>
      </c>
      <c r="WY33" s="977"/>
      <c r="WZ33" s="752" t="s">
        <v>32</v>
      </c>
      <c r="XA33" s="753"/>
      <c r="XB33" s="167"/>
      <c r="XC33" s="168"/>
      <c r="XD33" s="168"/>
      <c r="XE33" s="168"/>
      <c r="XF33" s="171"/>
      <c r="XG33" s="966">
        <f>$WM$33+XG27*XG29 - WR33</f>
        <v>3.5059435531073255</v>
      </c>
      <c r="XH33" s="966">
        <f t="shared" ref="XH33:YL33" si="28">$WM$33+XH27*XH29</f>
        <v>6.0825169261852219</v>
      </c>
      <c r="XI33" s="966">
        <f t="shared" si="28"/>
        <v>8.6474935832812712</v>
      </c>
      <c r="XJ33" s="966">
        <f t="shared" si="28"/>
        <v>11.19961523698743</v>
      </c>
      <c r="XK33" s="966">
        <f t="shared" si="28"/>
        <v>13.737657343549815</v>
      </c>
      <c r="XL33" s="966">
        <f t="shared" si="28"/>
        <v>16.260430623101293</v>
      </c>
      <c r="XM33" s="966">
        <f t="shared" si="28"/>
        <v>18.76678244813025</v>
      </c>
      <c r="XN33" s="966">
        <f t="shared" si="28"/>
        <v>21.255598098833715</v>
      </c>
      <c r="XO33" s="966">
        <f t="shared" si="28"/>
        <v>23.725801884708293</v>
      </c>
      <c r="XP33" s="966">
        <f t="shared" si="28"/>
        <v>26.176358132414457</v>
      </c>
      <c r="XQ33" s="966">
        <f t="shared" si="28"/>
        <v>28.606272040604278</v>
      </c>
      <c r="XR33" s="966">
        <f t="shared" si="28"/>
        <v>31.014590403025728</v>
      </c>
      <c r="XS33" s="966">
        <f t="shared" si="28"/>
        <v>33.40040220180542</v>
      </c>
      <c r="XT33" s="966">
        <f t="shared" si="28"/>
        <v>35.76283907336186</v>
      </c>
      <c r="XU33" s="966">
        <f t="shared" si="28"/>
        <v>38.101075649912239</v>
      </c>
      <c r="XV33" s="966">
        <f t="shared" si="28"/>
        <v>40.414329780004593</v>
      </c>
      <c r="XW33" s="966">
        <f t="shared" si="28"/>
        <v>42.701862631931895</v>
      </c>
      <c r="XX33" s="966">
        <f t="shared" si="28"/>
        <v>44.962978684266695</v>
      </c>
      <c r="XY33" s="966">
        <f t="shared" si="28"/>
        <v>47.197025608090705</v>
      </c>
      <c r="XZ33" s="966">
        <f t="shared" si="28"/>
        <v>49.403394045785653</v>
      </c>
      <c r="YA33" s="966">
        <f t="shared" si="28"/>
        <v>51.581517291499928</v>
      </c>
      <c r="YB33" s="966">
        <f t="shared" si="28"/>
        <v>53.730870878608563</v>
      </c>
      <c r="YC33" s="966">
        <f t="shared" si="28"/>
        <v>55.850972079647065</v>
      </c>
      <c r="YD33" s="966">
        <f t="shared" si="28"/>
        <v>57.941379324319065</v>
      </c>
      <c r="YE33" s="966">
        <f t="shared" si="28"/>
        <v>60.001691541260669</v>
      </c>
      <c r="YF33" s="966">
        <f t="shared" si="28"/>
        <v>62.031547429287414</v>
      </c>
      <c r="YG33" s="966">
        <f t="shared" si="28"/>
        <v>64.030624663859342</v>
      </c>
      <c r="YH33" s="966">
        <f t="shared" si="28"/>
        <v>65.998639044475269</v>
      </c>
      <c r="YI33" s="966">
        <f t="shared" si="28"/>
        <v>67.93534358865287</v>
      </c>
      <c r="YJ33" s="966">
        <f t="shared" si="28"/>
        <v>69.84052757806846</v>
      </c>
      <c r="YK33" s="966">
        <f t="shared" si="28"/>
        <v>71.71401556232135</v>
      </c>
      <c r="YL33" s="966">
        <f t="shared" si="28"/>
        <v>73.555666325656674</v>
      </c>
      <c r="YM33" s="966">
        <f t="shared" ref="YM33:ZR33" si="29">$WM$33+YM27*YM29</f>
        <v>75.365371821828177</v>
      </c>
      <c r="YN33" s="966">
        <f t="shared" si="29"/>
        <v>77.143056082112153</v>
      </c>
      <c r="YO33" s="966">
        <f t="shared" si="29"/>
        <v>78.888674101298093</v>
      </c>
      <c r="YP33" s="966">
        <f t="shared" si="29"/>
        <v>80.602210706282591</v>
      </c>
      <c r="YQ33" s="966">
        <f t="shared" si="29"/>
        <v>82.283679411682698</v>
      </c>
      <c r="YR33" s="966">
        <f t="shared" si="29"/>
        <v>83.933121266667001</v>
      </c>
      <c r="YS33" s="966">
        <f t="shared" si="29"/>
        <v>85.55060369697631</v>
      </c>
      <c r="YT33" s="966">
        <f t="shared" si="29"/>
        <v>87.136219345877123</v>
      </c>
      <c r="YU33" s="966">
        <f t="shared" si="29"/>
        <v>88.690084917556845</v>
      </c>
      <c r="YV33" s="966">
        <f t="shared" si="29"/>
        <v>90.212340026236944</v>
      </c>
      <c r="YW33" s="966">
        <f t="shared" si="29"/>
        <v>91.70314605404549</v>
      </c>
      <c r="YX33" s="966">
        <f t="shared" si="29"/>
        <v>93.162685020459932</v>
      </c>
      <c r="YY33" s="966">
        <f t="shared" si="29"/>
        <v>94.591158465900961</v>
      </c>
      <c r="YZ33" s="966">
        <f t="shared" si="29"/>
        <v>95.988786351835302</v>
      </c>
      <c r="ZA33" s="966">
        <f t="shared" si="29"/>
        <v>97.355805979524717</v>
      </c>
      <c r="ZB33" s="966">
        <f t="shared" si="29"/>
        <v>98.692470929347081</v>
      </c>
      <c r="ZC33" s="966">
        <f t="shared" si="29"/>
        <v>99.999050022406763</v>
      </c>
      <c r="ZD33" s="966">
        <f t="shared" si="29"/>
        <v>101.2758263059566</v>
      </c>
      <c r="ZE33" s="966">
        <f t="shared" si="29"/>
        <v>102.52309606395963</v>
      </c>
      <c r="ZF33" s="966">
        <f t="shared" si="29"/>
        <v>103.74116785393842</v>
      </c>
      <c r="ZG33" s="966">
        <f t="shared" si="29"/>
        <v>104.93036157108739</v>
      </c>
      <c r="ZH33" s="966">
        <f t="shared" si="29"/>
        <v>106.09100754045704</v>
      </c>
      <c r="ZI33" s="966">
        <f t="shared" si="29"/>
        <v>107.22344563786639</v>
      </c>
      <c r="ZJ33" s="966">
        <f t="shared" si="29"/>
        <v>108.32802444005212</v>
      </c>
      <c r="ZK33" s="966">
        <f t="shared" si="29"/>
        <v>109.40510040442786</v>
      </c>
      <c r="ZL33" s="966">
        <f t="shared" si="29"/>
        <v>110.45503707869898</v>
      </c>
      <c r="ZM33" s="966">
        <f t="shared" si="29"/>
        <v>111.47820434046019</v>
      </c>
      <c r="ZN33" s="966">
        <f t="shared" si="29"/>
        <v>112.47497766679356</v>
      </c>
      <c r="ZO33" s="966">
        <f t="shared" si="29"/>
        <v>113.44573743378464</v>
      </c>
      <c r="ZP33" s="966">
        <f t="shared" si="29"/>
        <v>114.39086824578131</v>
      </c>
      <c r="ZQ33" s="966">
        <f t="shared" si="29"/>
        <v>115.31075829413652</v>
      </c>
      <c r="ZR33" s="966">
        <f t="shared" si="29"/>
        <v>116.20579874509998</v>
      </c>
      <c r="ZS33" s="966">
        <f t="shared" ref="ZS33:AAS33" si="30">$WM$33+ZS27*ZS29</f>
        <v>117.0763831564545</v>
      </c>
      <c r="ZT33" s="966">
        <f t="shared" si="30"/>
        <v>117.92290692243272</v>
      </c>
      <c r="ZU33" s="966">
        <f t="shared" si="30"/>
        <v>118.74576674639398</v>
      </c>
      <c r="ZV33" s="966">
        <f t="shared" si="30"/>
        <v>119.54536014069473</v>
      </c>
      <c r="ZW33" s="966">
        <f t="shared" si="30"/>
        <v>120.32208495314265</v>
      </c>
      <c r="ZX33" s="966">
        <f t="shared" si="30"/>
        <v>121.07633891938985</v>
      </c>
      <c r="ZY33" s="966">
        <f t="shared" si="30"/>
        <v>121.80851924058969</v>
      </c>
      <c r="ZZ33" s="966">
        <f t="shared" si="30"/>
        <v>122.51902218561605</v>
      </c>
      <c r="AAA33" s="966">
        <f t="shared" si="30"/>
        <v>123.20824271712436</v>
      </c>
      <c r="AAB33" s="966">
        <f t="shared" si="30"/>
        <v>123.87657414071609</v>
      </c>
      <c r="AAC33" s="966">
        <f t="shared" si="30"/>
        <v>124.52440777645747</v>
      </c>
      <c r="AAD33" s="966">
        <f t="shared" si="30"/>
        <v>125.15213265199472</v>
      </c>
      <c r="AAE33" s="966">
        <f t="shared" si="30"/>
        <v>125.76013521650275</v>
      </c>
      <c r="AAF33" s="966">
        <f t="shared" si="30"/>
        <v>126.34879907470291</v>
      </c>
      <c r="AAG33" s="966">
        <f t="shared" si="30"/>
        <v>126.9185047401869</v>
      </c>
      <c r="AAH33" s="966">
        <f t="shared" si="30"/>
        <v>127.46962940728727</v>
      </c>
      <c r="AAI33" s="966">
        <f t="shared" si="30"/>
        <v>128.00254674074122</v>
      </c>
      <c r="AAJ33" s="966">
        <f t="shared" si="30"/>
        <v>128.51762668240249</v>
      </c>
      <c r="AAK33" s="966">
        <f t="shared" si="30"/>
        <v>129.01523527426755</v>
      </c>
      <c r="AAL33" s="966">
        <f t="shared" si="30"/>
        <v>129.49573449709149</v>
      </c>
      <c r="AAM33" s="966">
        <f t="shared" si="30"/>
        <v>129.95948212388507</v>
      </c>
      <c r="AAN33" s="966">
        <f t="shared" si="30"/>
        <v>130.40683158759711</v>
      </c>
      <c r="AAO33" s="966">
        <f t="shared" si="30"/>
        <v>130.83813186230242</v>
      </c>
      <c r="AAP33" s="966">
        <f t="shared" si="30"/>
        <v>131.25372735723275</v>
      </c>
      <c r="AAQ33" s="966">
        <f t="shared" si="30"/>
        <v>131.65395782300362</v>
      </c>
      <c r="AAR33" s="966">
        <f t="shared" si="30"/>
        <v>132.03915826941025</v>
      </c>
      <c r="AAS33" s="966">
        <f t="shared" si="30"/>
        <v>132.40965889418274</v>
      </c>
      <c r="AAT33" s="964">
        <v>7</v>
      </c>
      <c r="AAU33" s="752" t="s">
        <v>32</v>
      </c>
      <c r="AAV33" s="753"/>
      <c r="AAW33" s="167"/>
      <c r="AAX33" s="168"/>
      <c r="AAY33" s="168"/>
      <c r="AAZ33" s="168"/>
      <c r="ABA33" s="158"/>
      <c r="ABB33" s="158"/>
      <c r="ABC33" s="158"/>
      <c r="ABD33" s="163"/>
      <c r="ABE33" s="653"/>
      <c r="ABF33" s="653"/>
      <c r="ABG33" s="653"/>
      <c r="ABH33" s="653"/>
      <c r="ACJ33" s="759">
        <v>0.33333333300000001</v>
      </c>
      <c r="ACK33" s="760"/>
      <c r="ACL33" s="759">
        <v>-0.233333333</v>
      </c>
      <c r="ACM33" s="760"/>
      <c r="ACN33" s="592">
        <v>21</v>
      </c>
      <c r="ACO33" s="759">
        <f t="shared" si="0"/>
        <v>0.16999999993000001</v>
      </c>
      <c r="ACP33" s="760"/>
      <c r="ACQ33" s="757">
        <f t="shared" si="1"/>
        <v>1.21</v>
      </c>
      <c r="ACR33" s="758"/>
      <c r="ACT33" s="759">
        <v>1</v>
      </c>
      <c r="ACU33" s="760"/>
      <c r="ACV33" s="759">
        <v>-1.2</v>
      </c>
      <c r="ACW33" s="760"/>
      <c r="ACX33" s="592">
        <v>71</v>
      </c>
      <c r="ACY33" s="759">
        <f t="shared" si="8"/>
        <v>0.51</v>
      </c>
      <c r="ACZ33" s="760"/>
      <c r="ADA33" s="757">
        <f t="shared" si="2"/>
        <v>1.71</v>
      </c>
      <c r="ADB33" s="758"/>
      <c r="ADD33" s="1112">
        <v>1.1052631578947401</v>
      </c>
      <c r="ADE33" s="1112"/>
      <c r="ADF33" s="1112">
        <v>-1.42105263157895</v>
      </c>
      <c r="ADG33" s="1112"/>
      <c r="ADH33" s="591">
        <v>120</v>
      </c>
      <c r="ADI33" s="759">
        <f t="shared" si="3"/>
        <v>1.0105263157894782</v>
      </c>
      <c r="ADJ33" s="760"/>
      <c r="ADK33" s="757">
        <f t="shared" si="4"/>
        <v>2.2000000000000002</v>
      </c>
      <c r="ADL33" s="758"/>
      <c r="ADN33" s="759">
        <v>1.1052631580000001</v>
      </c>
      <c r="ADO33" s="760"/>
      <c r="ADP33" s="759">
        <v>-1.42105263157895</v>
      </c>
      <c r="ADQ33" s="760"/>
      <c r="ADR33" s="591">
        <v>170</v>
      </c>
      <c r="ADS33" s="759">
        <f t="shared" si="9"/>
        <v>1.5631578950210505</v>
      </c>
      <c r="ADT33" s="760"/>
      <c r="ADU33" s="757">
        <f t="shared" si="5"/>
        <v>2.7</v>
      </c>
      <c r="ADV33" s="758"/>
      <c r="ADW33" s="653"/>
      <c r="ADX33" s="759">
        <v>1.1052631580000001</v>
      </c>
      <c r="ADY33" s="760"/>
      <c r="ADZ33" s="759">
        <v>-1.42105263157895</v>
      </c>
      <c r="AEA33" s="760"/>
      <c r="AEB33" s="591">
        <v>220</v>
      </c>
      <c r="AEC33" s="759">
        <f t="shared" si="10"/>
        <v>2.1157894740210503</v>
      </c>
      <c r="AED33" s="760"/>
      <c r="AEE33" s="757">
        <f t="shared" si="6"/>
        <v>3.2</v>
      </c>
      <c r="AEF33" s="758"/>
      <c r="AEG33" s="653"/>
      <c r="AEH33" s="759">
        <v>1.1052631580000001</v>
      </c>
      <c r="AEI33" s="760"/>
      <c r="AEJ33" s="759">
        <v>-1.42105263157895</v>
      </c>
      <c r="AEK33" s="760"/>
      <c r="AEL33" s="591">
        <v>270</v>
      </c>
      <c r="AEM33" s="759">
        <f t="shared" si="11"/>
        <v>2.6684210530210506</v>
      </c>
      <c r="AEN33" s="760"/>
      <c r="AEO33" s="757">
        <f t="shared" si="7"/>
        <v>3.7</v>
      </c>
      <c r="AEP33" s="758"/>
      <c r="AEQ33" s="653"/>
      <c r="AER33" s="653"/>
      <c r="AES33" s="653"/>
      <c r="AET33" s="653"/>
      <c r="AEU33" s="653"/>
      <c r="AEV33" s="653"/>
      <c r="AEW33" s="653"/>
      <c r="AEX33" s="653"/>
      <c r="AEY33" s="653"/>
      <c r="AEZ33" s="653"/>
      <c r="AFA33" s="653"/>
      <c r="AFB33" s="653"/>
      <c r="AFC33" s="653"/>
      <c r="AFD33" s="653"/>
      <c r="AFE33" s="653"/>
      <c r="AGJ33" s="377"/>
      <c r="AGK33" s="373"/>
      <c r="AGL33" s="54"/>
      <c r="AGM33" s="382" t="s">
        <v>1298</v>
      </c>
      <c r="AGN33" s="850"/>
      <c r="AGO33" s="957" t="s">
        <v>1445</v>
      </c>
      <c r="AGP33" s="856"/>
      <c r="AGQ33" s="856"/>
      <c r="AGR33" s="856"/>
      <c r="AGS33" s="856"/>
      <c r="AGT33" s="856"/>
      <c r="AGU33" s="856"/>
      <c r="AGV33" s="856"/>
      <c r="AGW33" s="856"/>
      <c r="AGX33" s="856"/>
      <c r="AGY33" s="856"/>
      <c r="AGZ33" s="856"/>
      <c r="AHA33" s="856"/>
      <c r="AHB33" s="835">
        <f>AHB29</f>
        <v>1.8595658001541595</v>
      </c>
      <c r="AHC33" s="836"/>
      <c r="AHD33" s="1341" t="s">
        <v>729</v>
      </c>
      <c r="AHE33" s="1342"/>
      <c r="AHF33" s="1289"/>
      <c r="AHG33" s="1305" t="s">
        <v>1431</v>
      </c>
      <c r="AHH33" s="1305"/>
      <c r="AHI33" s="1305"/>
      <c r="AHJ33" s="1305"/>
      <c r="AHK33" s="1289"/>
      <c r="AHL33" s="1203" t="s">
        <v>862</v>
      </c>
      <c r="AHM33" s="1275"/>
      <c r="AHN33" s="1204"/>
      <c r="AHO33" s="373"/>
      <c r="AHP33" s="373"/>
      <c r="AHQ33" s="373"/>
      <c r="AHR33" s="373"/>
      <c r="AHS33" s="373"/>
      <c r="AHT33" s="373"/>
      <c r="AHU33" s="373"/>
      <c r="AHV33" s="373"/>
      <c r="AHW33" s="374"/>
      <c r="AID33" s="130"/>
      <c r="AIE33" s="130"/>
      <c r="AIF33" s="130"/>
      <c r="AIG33" s="439" t="s">
        <v>1078</v>
      </c>
      <c r="AIH33" s="761">
        <f>$CN$54</f>
        <v>58.696468820435761</v>
      </c>
      <c r="AII33" s="761"/>
      <c r="AIK33" s="935" t="s">
        <v>1074</v>
      </c>
      <c r="AIL33" s="936"/>
      <c r="AIM33" s="926">
        <f>$GT$73</f>
        <v>7.9639464327648497</v>
      </c>
      <c r="AIN33" s="926"/>
      <c r="AIP33" s="1542" t="s">
        <v>1081</v>
      </c>
      <c r="AIQ33" s="1542"/>
      <c r="AIR33" s="1542"/>
      <c r="AIS33" s="761">
        <f>$GW$65</f>
        <v>0.3</v>
      </c>
      <c r="AIT33" s="761"/>
      <c r="AOJ33" s="130"/>
      <c r="AOK33" s="130"/>
      <c r="AOL33" s="130"/>
      <c r="AQL33" s="130"/>
      <c r="ARI33" s="653"/>
      <c r="ARJ33" s="653"/>
      <c r="ARK33" s="653"/>
      <c r="ARL33" s="653"/>
      <c r="ARM33" s="653"/>
      <c r="ARN33" s="653"/>
      <c r="ARO33" s="653"/>
      <c r="ARP33" s="653"/>
      <c r="ATC33" s="653"/>
      <c r="AVI33" s="130"/>
      <c r="AVJ33" s="130"/>
      <c r="AVK33" s="130"/>
      <c r="AVL33" s="130"/>
      <c r="AVM33" s="130"/>
      <c r="AVN33" s="130"/>
      <c r="AVO33" s="130"/>
      <c r="AVP33" s="130"/>
      <c r="AWB33" s="850"/>
      <c r="AWC33" s="856"/>
      <c r="AWD33" s="856"/>
      <c r="AWE33" s="856"/>
      <c r="AWF33" s="856"/>
      <c r="AWG33" s="856"/>
      <c r="AWH33" s="856"/>
      <c r="AWI33" s="856"/>
      <c r="AWJ33" s="856"/>
      <c r="AWK33" s="856"/>
      <c r="AWL33" s="856"/>
      <c r="AWM33" s="856"/>
      <c r="AWN33" s="856"/>
      <c r="AWO33" s="856"/>
      <c r="AWP33" s="835"/>
      <c r="AWQ33" s="836"/>
      <c r="AWR33" s="839"/>
      <c r="AWS33" s="840"/>
      <c r="AWT33" s="841"/>
      <c r="AWU33" s="843" t="s">
        <v>416</v>
      </c>
      <c r="AWV33" s="844"/>
      <c r="AWW33" s="847"/>
    </row>
    <row r="34" spans="3:932 1076:1297" ht="48" customHeight="1" thickBot="1">
      <c r="C34" s="207"/>
      <c r="D34" s="162"/>
      <c r="E34" s="158"/>
      <c r="F34" s="849"/>
      <c r="G34" s="158"/>
      <c r="H34" s="1780"/>
      <c r="I34" s="1587"/>
      <c r="J34" s="1881"/>
      <c r="K34" s="1881"/>
      <c r="L34" s="1588"/>
      <c r="M34" s="158"/>
      <c r="N34" s="849"/>
      <c r="O34" s="158"/>
      <c r="P34" s="158"/>
      <c r="Q34" s="158"/>
      <c r="R34" s="158"/>
      <c r="S34" s="158"/>
      <c r="T34" s="158"/>
      <c r="U34" s="158"/>
      <c r="V34" s="158"/>
      <c r="W34" s="158"/>
      <c r="X34" s="158"/>
      <c r="Y34" s="163"/>
      <c r="Z34" s="207"/>
      <c r="AA34" s="207"/>
      <c r="AB34" s="207"/>
      <c r="AI34" s="159"/>
      <c r="AJ34" s="160"/>
      <c r="AK34" s="160"/>
      <c r="AL34" s="470"/>
      <c r="AM34" s="470"/>
      <c r="AN34" s="470"/>
      <c r="AO34" s="470"/>
      <c r="AP34" s="470"/>
      <c r="AQ34" s="470"/>
      <c r="AR34" s="470"/>
      <c r="AS34" s="470"/>
      <c r="AT34" s="470"/>
      <c r="AU34" s="470"/>
      <c r="AV34" s="470"/>
      <c r="AW34" s="160"/>
      <c r="AX34" s="470"/>
      <c r="AY34" s="470"/>
      <c r="AZ34" s="470"/>
      <c r="BA34" s="160"/>
      <c r="BB34" s="470"/>
      <c r="BC34" s="470"/>
      <c r="BD34" s="470"/>
      <c r="BE34" s="160"/>
      <c r="BF34" s="470"/>
      <c r="BG34" s="470"/>
      <c r="BH34" s="470"/>
      <c r="BI34" s="160"/>
      <c r="BJ34" s="161"/>
      <c r="BK34" s="126"/>
      <c r="BL34" s="126"/>
      <c r="BM34" s="126"/>
      <c r="BN34" s="126"/>
      <c r="BO34" s="126"/>
      <c r="BP34" s="126"/>
      <c r="BQ34" s="126"/>
      <c r="BR34" s="126"/>
      <c r="BS34" s="126"/>
      <c r="BT34" s="126"/>
      <c r="DF34" s="130"/>
      <c r="DG34" s="130"/>
      <c r="DH34" s="130"/>
      <c r="DI34" s="130"/>
      <c r="DJ34" s="130"/>
      <c r="DK34" s="130"/>
      <c r="DL34" s="130"/>
      <c r="DM34" s="130"/>
      <c r="DN34" s="130"/>
      <c r="DO34" s="130"/>
      <c r="DP34" s="130"/>
      <c r="DQ34" s="130"/>
      <c r="DR34" s="130"/>
      <c r="DS34" s="130"/>
      <c r="DT34" s="130"/>
      <c r="DU34" s="130"/>
      <c r="DV34" s="130"/>
      <c r="DW34" s="130"/>
      <c r="DX34" s="130"/>
      <c r="DY34" s="130"/>
      <c r="DZ34" s="851"/>
      <c r="EA34" s="244" t="s">
        <v>1105</v>
      </c>
      <c r="EB34" s="1187">
        <f>$EO$12</f>
        <v>1.6</v>
      </c>
      <c r="EC34" s="1187"/>
      <c r="ED34" s="1060"/>
      <c r="EE34" s="1061"/>
      <c r="EF34" s="1061"/>
      <c r="EG34" s="794"/>
      <c r="EH34" s="795"/>
      <c r="EI34" s="795"/>
      <c r="EJ34" s="795"/>
      <c r="EK34" s="1380"/>
      <c r="EL34" s="1381"/>
      <c r="EM34" s="1077"/>
      <c r="EN34" s="1078"/>
      <c r="EO34" s="842"/>
      <c r="EP34" s="918"/>
      <c r="EQ34" s="919"/>
      <c r="ER34" s="848"/>
      <c r="ES34" s="1053"/>
      <c r="ET34" s="1053"/>
      <c r="EU34" s="1053"/>
      <c r="EV34" s="1053"/>
      <c r="EW34" s="1053"/>
      <c r="FC34" s="130"/>
      <c r="FD34" s="130"/>
      <c r="FM34" s="130"/>
      <c r="FT34" s="130"/>
      <c r="FU34" s="130"/>
      <c r="FV34" s="130"/>
      <c r="HN34" s="130"/>
      <c r="HO34" s="130"/>
      <c r="HP34" s="130"/>
      <c r="HQ34" s="130"/>
      <c r="HR34" s="130"/>
      <c r="HS34" s="130"/>
      <c r="HT34" s="130"/>
      <c r="JX34" s="850"/>
      <c r="JY34" s="243" t="s">
        <v>1034</v>
      </c>
      <c r="JZ34" s="937">
        <f>$AX$25</f>
        <v>0.313</v>
      </c>
      <c r="KA34" s="937"/>
      <c r="KB34" s="791" t="s">
        <v>1800</v>
      </c>
      <c r="KC34" s="797"/>
      <c r="KD34" s="797"/>
      <c r="KE34" s="797"/>
      <c r="KF34" s="797"/>
      <c r="KG34" s="797"/>
      <c r="KH34" s="798"/>
      <c r="KI34" s="1471">
        <f>(3.14*(JZ34*1000-JZ35))/JZ36</f>
        <v>226.36111766629</v>
      </c>
      <c r="KJ34" s="1472"/>
      <c r="KK34" s="1075" t="s">
        <v>45</v>
      </c>
      <c r="KL34" s="1076"/>
      <c r="KM34" s="1066"/>
      <c r="KN34" s="843" t="s">
        <v>1144</v>
      </c>
      <c r="KO34" s="844"/>
      <c r="KP34" s="1255"/>
      <c r="KQ34" s="1052"/>
      <c r="KR34" s="1052"/>
      <c r="KS34" s="1052"/>
      <c r="KT34" s="1052"/>
      <c r="KU34" s="1052"/>
      <c r="LO34" s="130"/>
      <c r="LP34" s="130"/>
      <c r="LQ34" s="130"/>
      <c r="LR34" s="130"/>
      <c r="LS34" s="130"/>
      <c r="LT34" s="130"/>
      <c r="LU34" s="130"/>
      <c r="LV34" s="130"/>
      <c r="MB34" s="76" t="s">
        <v>793</v>
      </c>
      <c r="MC34" s="852" t="s">
        <v>416</v>
      </c>
      <c r="MD34" s="853"/>
      <c r="ME34" s="344"/>
      <c r="MF34" s="345" t="s">
        <v>966</v>
      </c>
      <c r="MG34" s="761">
        <f>$MQ$39</f>
        <v>0.01</v>
      </c>
      <c r="MH34" s="761"/>
      <c r="MI34" s="78"/>
      <c r="MJ34" s="78"/>
      <c r="MK34" s="78"/>
      <c r="ML34" s="344"/>
      <c r="MM34" s="76" t="s">
        <v>441</v>
      </c>
      <c r="MN34" s="854" t="s">
        <v>435</v>
      </c>
      <c r="MO34" s="855"/>
      <c r="MP34" s="920" t="s">
        <v>111</v>
      </c>
      <c r="MQ34" s="921"/>
      <c r="MR34" s="916" t="s">
        <v>704</v>
      </c>
      <c r="MS34" s="917"/>
      <c r="MT34" s="906" t="s">
        <v>447</v>
      </c>
      <c r="MU34" s="1140"/>
      <c r="MV34" s="1140"/>
      <c r="MW34" s="908"/>
      <c r="MX34" s="1051" t="s">
        <v>436</v>
      </c>
      <c r="MY34" s="1051"/>
      <c r="MZ34" s="1051"/>
      <c r="NA34" s="1051"/>
      <c r="NB34" s="1051"/>
      <c r="NC34" s="130"/>
      <c r="ND34" s="130"/>
      <c r="NE34" s="130"/>
      <c r="NF34" s="130"/>
      <c r="NG34" s="130"/>
      <c r="NH34" s="130"/>
      <c r="NI34" s="130"/>
      <c r="NJ34" s="130"/>
      <c r="NK34" s="130"/>
      <c r="OQ34" s="130"/>
      <c r="OR34" s="130"/>
      <c r="OS34" s="130"/>
      <c r="OT34" s="130"/>
      <c r="OU34" s="130"/>
      <c r="OV34" s="130"/>
      <c r="OW34" s="130"/>
      <c r="OX34" s="130"/>
      <c r="OY34" s="130"/>
      <c r="OZ34" s="130"/>
      <c r="PA34" s="130"/>
      <c r="PB34" s="130"/>
      <c r="PC34" s="130"/>
      <c r="PD34" s="130"/>
      <c r="PE34" s="130"/>
      <c r="PH34" s="136"/>
      <c r="PI34" s="891"/>
      <c r="PJ34" s="891"/>
      <c r="PK34" s="891"/>
      <c r="PL34" s="891"/>
      <c r="PM34" s="891"/>
      <c r="PN34" s="891"/>
      <c r="PO34" s="891"/>
      <c r="PP34" s="891"/>
      <c r="PQ34" s="891"/>
      <c r="PR34" s="891"/>
      <c r="PS34" s="891"/>
      <c r="PT34" s="891"/>
      <c r="PU34" s="891"/>
      <c r="PV34" s="891"/>
      <c r="PW34" s="891"/>
      <c r="PX34" s="891"/>
      <c r="PY34" s="891"/>
      <c r="PZ34" s="891"/>
      <c r="QA34" s="891"/>
      <c r="QB34" s="891"/>
      <c r="QC34" s="891"/>
      <c r="QD34" s="891"/>
      <c r="QE34" s="891"/>
      <c r="QF34" s="891"/>
      <c r="QG34" s="891"/>
      <c r="QH34" s="891"/>
      <c r="QI34" s="891"/>
      <c r="QJ34" s="891"/>
      <c r="QK34" s="891"/>
      <c r="QL34" s="891"/>
      <c r="QM34" s="891"/>
      <c r="QN34" s="891"/>
      <c r="QO34" s="891"/>
      <c r="QP34" s="891"/>
      <c r="QQ34" s="891"/>
      <c r="QR34" s="891"/>
      <c r="QS34" s="891"/>
      <c r="QT34" s="891"/>
      <c r="QU34" s="891"/>
      <c r="QV34" s="891"/>
      <c r="QW34" s="891"/>
      <c r="QX34" s="891"/>
      <c r="QY34" s="891"/>
      <c r="QZ34" s="891"/>
      <c r="RA34" s="891"/>
      <c r="RB34" s="891"/>
      <c r="RC34" s="136"/>
      <c r="RE34" s="653"/>
      <c r="RF34" s="653"/>
      <c r="RG34" s="653"/>
      <c r="RH34" s="653"/>
      <c r="RI34" s="653"/>
      <c r="RJ34" s="653"/>
      <c r="RK34" s="653"/>
      <c r="RL34" s="653"/>
      <c r="RM34" s="653"/>
      <c r="RN34" s="653"/>
      <c r="RO34" s="653"/>
      <c r="RP34" s="653"/>
      <c r="RQ34" s="653"/>
      <c r="RR34" s="653"/>
      <c r="RS34" s="653"/>
      <c r="RT34" s="653"/>
      <c r="RU34" s="653"/>
      <c r="RV34" s="653"/>
      <c r="RW34" s="653"/>
      <c r="RX34" s="653"/>
      <c r="RY34" s="653"/>
      <c r="RZ34" s="849"/>
      <c r="SA34" s="852" t="s">
        <v>416</v>
      </c>
      <c r="SB34" s="853"/>
      <c r="SC34" s="506"/>
      <c r="SD34" s="503" t="s">
        <v>1455</v>
      </c>
      <c r="SE34" s="1156">
        <f>$MP$23</f>
        <v>0.14308700299628158</v>
      </c>
      <c r="SF34" s="1156"/>
      <c r="SG34" s="78"/>
      <c r="SH34" s="78"/>
      <c r="SI34" s="78"/>
      <c r="SJ34" s="479"/>
      <c r="SK34" s="76" t="s">
        <v>441</v>
      </c>
      <c r="SL34" s="854" t="s">
        <v>435</v>
      </c>
      <c r="SM34" s="855"/>
      <c r="SN34" s="920" t="s">
        <v>111</v>
      </c>
      <c r="SO34" s="921"/>
      <c r="SP34" s="916" t="s">
        <v>704</v>
      </c>
      <c r="SQ34" s="917"/>
      <c r="SR34" s="906" t="s">
        <v>447</v>
      </c>
      <c r="SS34" s="907"/>
      <c r="ST34" s="907"/>
      <c r="SU34" s="907"/>
      <c r="SV34" s="908"/>
      <c r="SW34" s="906" t="s">
        <v>436</v>
      </c>
      <c r="SX34" s="907"/>
      <c r="SY34" s="908"/>
      <c r="TX34" s="653"/>
      <c r="TY34" s="653"/>
      <c r="TZ34" s="653"/>
      <c r="UA34" s="653"/>
      <c r="UB34" s="653"/>
      <c r="UC34" s="653"/>
      <c r="UD34" s="653"/>
      <c r="UE34" s="653"/>
      <c r="UF34" s="653"/>
      <c r="UG34" s="653"/>
      <c r="UH34" s="653"/>
      <c r="UI34" s="653"/>
      <c r="UJ34" s="653"/>
      <c r="UK34" s="653"/>
      <c r="UL34" s="653"/>
      <c r="UM34" s="653"/>
      <c r="UN34" s="653"/>
      <c r="UO34" s="653"/>
      <c r="UP34" s="653"/>
      <c r="UQ34" s="653"/>
      <c r="UR34" s="653"/>
      <c r="US34" s="653"/>
      <c r="UT34" s="653"/>
      <c r="UU34" s="653"/>
      <c r="UV34" s="653"/>
      <c r="UW34" s="653"/>
      <c r="UX34" s="653"/>
      <c r="UY34" s="653"/>
      <c r="UZ34" s="653"/>
      <c r="WE34" s="162"/>
      <c r="WF34" s="158"/>
      <c r="WG34" s="158"/>
      <c r="WH34" s="158"/>
      <c r="WI34" s="158"/>
      <c r="WJ34" s="163"/>
      <c r="WK34" s="169"/>
      <c r="WL34" s="170"/>
      <c r="WM34" s="170"/>
      <c r="WN34" s="170"/>
      <c r="WO34" s="170"/>
      <c r="WP34" s="170"/>
      <c r="WQ34" s="170"/>
      <c r="WR34" s="170"/>
      <c r="WS34" s="170"/>
      <c r="WT34" s="170"/>
      <c r="WU34" s="170"/>
      <c r="WV34" s="170"/>
      <c r="WW34" s="172"/>
      <c r="WX34" s="978"/>
      <c r="WY34" s="979"/>
      <c r="WZ34" s="754"/>
      <c r="XA34" s="755"/>
      <c r="XB34" s="169"/>
      <c r="XC34" s="170"/>
      <c r="XD34" s="170"/>
      <c r="XE34" s="170"/>
      <c r="XF34" s="172"/>
      <c r="XG34" s="967"/>
      <c r="XH34" s="967"/>
      <c r="XI34" s="967"/>
      <c r="XJ34" s="967"/>
      <c r="XK34" s="967"/>
      <c r="XL34" s="967"/>
      <c r="XM34" s="967"/>
      <c r="XN34" s="967"/>
      <c r="XO34" s="967"/>
      <c r="XP34" s="967"/>
      <c r="XQ34" s="967"/>
      <c r="XR34" s="967"/>
      <c r="XS34" s="967"/>
      <c r="XT34" s="967"/>
      <c r="XU34" s="967"/>
      <c r="XV34" s="967"/>
      <c r="XW34" s="967"/>
      <c r="XX34" s="967"/>
      <c r="XY34" s="967"/>
      <c r="XZ34" s="967"/>
      <c r="YA34" s="967"/>
      <c r="YB34" s="967"/>
      <c r="YC34" s="967"/>
      <c r="YD34" s="967"/>
      <c r="YE34" s="967"/>
      <c r="YF34" s="967"/>
      <c r="YG34" s="967"/>
      <c r="YH34" s="967"/>
      <c r="YI34" s="967"/>
      <c r="YJ34" s="967"/>
      <c r="YK34" s="967"/>
      <c r="YL34" s="967"/>
      <c r="YM34" s="967"/>
      <c r="YN34" s="967"/>
      <c r="YO34" s="967"/>
      <c r="YP34" s="967"/>
      <c r="YQ34" s="967"/>
      <c r="YR34" s="967"/>
      <c r="YS34" s="967"/>
      <c r="YT34" s="967"/>
      <c r="YU34" s="967"/>
      <c r="YV34" s="967"/>
      <c r="YW34" s="967"/>
      <c r="YX34" s="967"/>
      <c r="YY34" s="967"/>
      <c r="YZ34" s="967"/>
      <c r="ZA34" s="967"/>
      <c r="ZB34" s="967"/>
      <c r="ZC34" s="967"/>
      <c r="ZD34" s="967"/>
      <c r="ZE34" s="967"/>
      <c r="ZF34" s="967"/>
      <c r="ZG34" s="967"/>
      <c r="ZH34" s="967"/>
      <c r="ZI34" s="967"/>
      <c r="ZJ34" s="967"/>
      <c r="ZK34" s="967"/>
      <c r="ZL34" s="967"/>
      <c r="ZM34" s="967"/>
      <c r="ZN34" s="967"/>
      <c r="ZO34" s="967"/>
      <c r="ZP34" s="967"/>
      <c r="ZQ34" s="967"/>
      <c r="ZR34" s="967"/>
      <c r="ZS34" s="967"/>
      <c r="ZT34" s="967"/>
      <c r="ZU34" s="967"/>
      <c r="ZV34" s="967"/>
      <c r="ZW34" s="967"/>
      <c r="ZX34" s="967"/>
      <c r="ZY34" s="967"/>
      <c r="ZZ34" s="967"/>
      <c r="AAA34" s="967"/>
      <c r="AAB34" s="967"/>
      <c r="AAC34" s="967"/>
      <c r="AAD34" s="967"/>
      <c r="AAE34" s="967"/>
      <c r="AAF34" s="967"/>
      <c r="AAG34" s="967"/>
      <c r="AAH34" s="967"/>
      <c r="AAI34" s="967"/>
      <c r="AAJ34" s="967"/>
      <c r="AAK34" s="967"/>
      <c r="AAL34" s="967"/>
      <c r="AAM34" s="967"/>
      <c r="AAN34" s="967"/>
      <c r="AAO34" s="967"/>
      <c r="AAP34" s="967"/>
      <c r="AAQ34" s="967"/>
      <c r="AAR34" s="967"/>
      <c r="AAS34" s="967"/>
      <c r="AAT34" s="965"/>
      <c r="AAU34" s="754"/>
      <c r="AAV34" s="755"/>
      <c r="AAW34" s="175"/>
      <c r="AAX34" s="173"/>
      <c r="AAY34" s="173"/>
      <c r="AAZ34" s="173"/>
      <c r="ABA34" s="158"/>
      <c r="ABB34" s="158"/>
      <c r="ABC34" s="158"/>
      <c r="ABD34" s="163"/>
      <c r="ABE34" s="653"/>
      <c r="ABF34" s="653"/>
      <c r="ABG34" s="653"/>
      <c r="ABH34" s="653"/>
      <c r="ACJ34" s="759">
        <v>0.33333333300000001</v>
      </c>
      <c r="ACK34" s="760"/>
      <c r="ACL34" s="759">
        <v>-0.233333333</v>
      </c>
      <c r="ACM34" s="760"/>
      <c r="ACN34" s="592">
        <v>22</v>
      </c>
      <c r="ACO34" s="759">
        <f t="shared" si="0"/>
        <v>0.17333333325999997</v>
      </c>
      <c r="ACP34" s="760"/>
      <c r="ACQ34" s="757">
        <f t="shared" si="1"/>
        <v>1.22</v>
      </c>
      <c r="ACR34" s="758"/>
      <c r="ACT34" s="759">
        <v>1</v>
      </c>
      <c r="ACU34" s="760"/>
      <c r="ACV34" s="759">
        <v>-1.2</v>
      </c>
      <c r="ACW34" s="760"/>
      <c r="ACX34" s="592">
        <v>72</v>
      </c>
      <c r="ACY34" s="759">
        <f t="shared" si="8"/>
        <v>0.52</v>
      </c>
      <c r="ACZ34" s="760"/>
      <c r="ADA34" s="757">
        <f t="shared" si="2"/>
        <v>1.72</v>
      </c>
      <c r="ADB34" s="758"/>
      <c r="ADD34" s="1112">
        <v>1.1052631578947401</v>
      </c>
      <c r="ADE34" s="1112"/>
      <c r="ADF34" s="1112">
        <v>-1.42105263157895</v>
      </c>
      <c r="ADG34" s="1112"/>
      <c r="ADH34" s="591">
        <v>121</v>
      </c>
      <c r="ADI34" s="759">
        <f t="shared" si="3"/>
        <v>1.0215789473684254</v>
      </c>
      <c r="ADJ34" s="760"/>
      <c r="ADK34" s="757">
        <f t="shared" si="4"/>
        <v>2.21</v>
      </c>
      <c r="ADL34" s="758"/>
      <c r="ADN34" s="759">
        <v>1.1052631580000001</v>
      </c>
      <c r="ADO34" s="760"/>
      <c r="ADP34" s="759">
        <v>-1.42105263157895</v>
      </c>
      <c r="ADQ34" s="760"/>
      <c r="ADR34" s="591">
        <v>171</v>
      </c>
      <c r="ADS34" s="759">
        <f t="shared" si="9"/>
        <v>1.5742105266010502</v>
      </c>
      <c r="ADT34" s="760"/>
      <c r="ADU34" s="757">
        <f t="shared" si="5"/>
        <v>2.71</v>
      </c>
      <c r="ADV34" s="758"/>
      <c r="ADX34" s="759">
        <v>1.1052631580000001</v>
      </c>
      <c r="ADY34" s="760"/>
      <c r="ADZ34" s="759">
        <v>-1.42105263157895</v>
      </c>
      <c r="AEA34" s="760"/>
      <c r="AEB34" s="591">
        <v>221</v>
      </c>
      <c r="AEC34" s="759">
        <f t="shared" si="10"/>
        <v>2.12684210560105</v>
      </c>
      <c r="AED34" s="760"/>
      <c r="AEE34" s="757">
        <f t="shared" si="6"/>
        <v>3.21</v>
      </c>
      <c r="AEF34" s="758"/>
      <c r="AEH34" s="759">
        <v>1.1052631580000001</v>
      </c>
      <c r="AEI34" s="760"/>
      <c r="AEJ34" s="759">
        <v>-1.42105263157895</v>
      </c>
      <c r="AEK34" s="760"/>
      <c r="AEL34" s="591">
        <v>271</v>
      </c>
      <c r="AEM34" s="759">
        <f t="shared" si="11"/>
        <v>2.6794736846010498</v>
      </c>
      <c r="AEN34" s="760"/>
      <c r="AEO34" s="757">
        <f t="shared" si="7"/>
        <v>3.71</v>
      </c>
      <c r="AEP34" s="758"/>
      <c r="AEQ34" s="653"/>
      <c r="AER34" s="653"/>
      <c r="AES34" s="653"/>
      <c r="AET34" s="653"/>
      <c r="AEU34" s="653"/>
      <c r="AEV34" s="653"/>
      <c r="AEW34" s="653"/>
      <c r="AEX34" s="653"/>
      <c r="AEY34" s="653"/>
      <c r="AEZ34" s="653"/>
      <c r="AFA34" s="653"/>
      <c r="AFB34" s="653"/>
      <c r="AFC34" s="653"/>
      <c r="AFD34" s="653"/>
      <c r="AFE34" s="653"/>
      <c r="AGJ34" s="377"/>
      <c r="AGK34" s="373"/>
      <c r="AGL34" s="373"/>
      <c r="AGM34" s="373"/>
      <c r="AGN34" s="851"/>
      <c r="AGO34" s="857"/>
      <c r="AGP34" s="857"/>
      <c r="AGQ34" s="857"/>
      <c r="AGR34" s="857"/>
      <c r="AGS34" s="857"/>
      <c r="AGT34" s="857"/>
      <c r="AGU34" s="857"/>
      <c r="AGV34" s="857"/>
      <c r="AGW34" s="857"/>
      <c r="AGX34" s="857"/>
      <c r="AGY34" s="857"/>
      <c r="AGZ34" s="857"/>
      <c r="AHA34" s="857"/>
      <c r="AHB34" s="837"/>
      <c r="AHC34" s="838"/>
      <c r="AHD34" s="1355"/>
      <c r="AHE34" s="1356"/>
      <c r="AHF34" s="1290"/>
      <c r="AHG34" s="1306"/>
      <c r="AHH34" s="1306"/>
      <c r="AHI34" s="1306"/>
      <c r="AHJ34" s="1306"/>
      <c r="AHK34" s="1290"/>
      <c r="AHL34" s="1276"/>
      <c r="AHM34" s="1277"/>
      <c r="AHN34" s="1278"/>
      <c r="AHO34" s="373"/>
      <c r="AHP34" s="373"/>
      <c r="AHQ34" s="373"/>
      <c r="AHR34" s="373"/>
      <c r="AHS34" s="373"/>
      <c r="AHT34" s="373"/>
      <c r="AHU34" s="373"/>
      <c r="AHV34" s="373"/>
      <c r="AHW34" s="374"/>
      <c r="AID34" s="130"/>
      <c r="AIE34" s="130"/>
      <c r="AIF34" s="130"/>
      <c r="AIG34" s="439" t="s">
        <v>1216</v>
      </c>
      <c r="AIH34" s="766">
        <f>$AP$7</f>
        <v>220</v>
      </c>
      <c r="AII34" s="766"/>
      <c r="AIK34" s="800" t="s">
        <v>1090</v>
      </c>
      <c r="AIL34" s="801"/>
      <c r="AIM34" s="937">
        <f>$GQ$78</f>
        <v>4.847402946961874</v>
      </c>
      <c r="AIN34" s="937"/>
      <c r="AIS34" s="130"/>
      <c r="AIT34" s="130"/>
      <c r="AOJ34" s="130"/>
      <c r="AOK34" s="130"/>
      <c r="AOL34" s="130"/>
      <c r="AQL34" s="130"/>
      <c r="ARI34" s="653"/>
      <c r="ARJ34" s="653"/>
      <c r="ARK34" s="653"/>
      <c r="ARL34" s="653"/>
      <c r="ARM34" s="653"/>
      <c r="ARN34" s="653"/>
      <c r="ARO34" s="653"/>
      <c r="ARP34" s="653"/>
      <c r="ATC34" s="653"/>
      <c r="AVI34" s="130"/>
      <c r="AVJ34" s="130"/>
      <c r="AVK34" s="130"/>
      <c r="AVL34" s="130"/>
      <c r="AVM34" s="130"/>
      <c r="AVN34" s="130"/>
      <c r="AVO34" s="130"/>
      <c r="AVP34" s="130"/>
      <c r="AWB34" s="851"/>
      <c r="AWC34" s="857"/>
      <c r="AWD34" s="857"/>
      <c r="AWE34" s="857"/>
      <c r="AWF34" s="857"/>
      <c r="AWG34" s="857"/>
      <c r="AWH34" s="857"/>
      <c r="AWI34" s="857"/>
      <c r="AWJ34" s="857"/>
      <c r="AWK34" s="857"/>
      <c r="AWL34" s="857"/>
      <c r="AWM34" s="857"/>
      <c r="AWN34" s="857"/>
      <c r="AWO34" s="857"/>
      <c r="AWP34" s="837"/>
      <c r="AWQ34" s="838"/>
      <c r="AWR34" s="777"/>
      <c r="AWS34" s="799"/>
      <c r="AWT34" s="842"/>
      <c r="AWU34" s="845"/>
      <c r="AWV34" s="846"/>
      <c r="AWW34" s="848"/>
    </row>
    <row r="35" spans="3:932 1076:1297" ht="48" customHeight="1" thickBot="1">
      <c r="C35" s="207"/>
      <c r="D35" s="162"/>
      <c r="E35" s="158"/>
      <c r="F35" s="876"/>
      <c r="G35" s="158"/>
      <c r="H35" s="866"/>
      <c r="I35" s="870"/>
      <c r="J35" s="871"/>
      <c r="K35" s="871"/>
      <c r="L35" s="872"/>
      <c r="M35" s="158"/>
      <c r="N35" s="876"/>
      <c r="O35" s="158"/>
      <c r="P35" s="158"/>
      <c r="Q35" s="158"/>
      <c r="R35" s="158"/>
      <c r="S35" s="158"/>
      <c r="T35" s="158"/>
      <c r="U35" s="158"/>
      <c r="V35" s="158"/>
      <c r="W35" s="158"/>
      <c r="X35" s="158"/>
      <c r="Y35" s="163"/>
      <c r="AI35" s="162"/>
      <c r="AJ35" s="158"/>
      <c r="AK35" s="158"/>
      <c r="AL35" s="716" t="s">
        <v>911</v>
      </c>
      <c r="AM35" s="1117" t="s">
        <v>1664</v>
      </c>
      <c r="AN35" s="1118"/>
      <c r="AO35" s="1118"/>
      <c r="AP35" s="1118"/>
      <c r="AQ35" s="1118"/>
      <c r="AR35" s="1118"/>
      <c r="AS35" s="1118"/>
      <c r="AT35" s="1118"/>
      <c r="AU35" s="1118"/>
      <c r="AV35" s="1119"/>
      <c r="AW35" s="158"/>
      <c r="AX35" s="718" t="s">
        <v>1191</v>
      </c>
      <c r="AY35" s="1287">
        <f>'Программные таблицы'!J44</f>
        <v>0.64</v>
      </c>
      <c r="AZ35" s="1287"/>
      <c r="BA35" s="158"/>
      <c r="BB35" s="718" t="s">
        <v>1190</v>
      </c>
      <c r="BC35" s="1287">
        <f>'Программные таблицы'!J45</f>
        <v>0.68</v>
      </c>
      <c r="BD35" s="1287"/>
      <c r="BE35" s="158"/>
      <c r="BF35" s="718" t="s">
        <v>1663</v>
      </c>
      <c r="BG35" s="1287">
        <f>'Программные таблицы'!J46</f>
        <v>0.66</v>
      </c>
      <c r="BH35" s="1287"/>
      <c r="BI35" s="158"/>
      <c r="BJ35" s="163"/>
      <c r="BK35" s="126"/>
      <c r="BL35" s="126"/>
      <c r="BM35" s="126"/>
      <c r="BN35" s="126"/>
      <c r="BO35" s="126"/>
      <c r="BP35" s="126"/>
      <c r="BQ35" s="126"/>
      <c r="BR35" s="126"/>
      <c r="BS35" s="126"/>
      <c r="BT35" s="126"/>
      <c r="BX35" s="849"/>
      <c r="BY35" s="852" t="s">
        <v>21</v>
      </c>
      <c r="BZ35" s="853"/>
      <c r="CA35" s="124"/>
      <c r="CB35" s="332" t="s">
        <v>816</v>
      </c>
      <c r="CC35" s="766">
        <f>$AP$9</f>
        <v>3</v>
      </c>
      <c r="CD35" s="766"/>
      <c r="CE35" s="124"/>
      <c r="CF35" s="76" t="s">
        <v>441</v>
      </c>
      <c r="CG35" s="854" t="s">
        <v>435</v>
      </c>
      <c r="CH35" s="855"/>
      <c r="CI35" s="920" t="s">
        <v>111</v>
      </c>
      <c r="CJ35" s="921"/>
      <c r="CK35" s="916" t="s">
        <v>704</v>
      </c>
      <c r="CL35" s="917"/>
      <c r="CM35" s="906" t="s">
        <v>447</v>
      </c>
      <c r="CN35" s="907"/>
      <c r="CO35" s="907"/>
      <c r="CP35" s="907"/>
      <c r="CQ35" s="908"/>
      <c r="CR35" s="1051" t="s">
        <v>436</v>
      </c>
      <c r="CS35" s="1051"/>
      <c r="CT35" s="1051"/>
      <c r="CU35" s="1051"/>
      <c r="DF35" s="130"/>
      <c r="DG35" s="130"/>
      <c r="DH35" s="130"/>
      <c r="DI35" s="130"/>
      <c r="DJ35" s="130"/>
      <c r="DK35" s="130"/>
      <c r="DL35" s="130"/>
      <c r="DM35" s="130"/>
      <c r="DN35" s="130"/>
      <c r="DO35" s="130"/>
      <c r="DP35" s="130"/>
      <c r="DQ35" s="130"/>
      <c r="DU35" s="130"/>
      <c r="DV35" s="130"/>
      <c r="DW35" s="130"/>
      <c r="DX35" s="130"/>
      <c r="DY35" s="130"/>
      <c r="GF35" s="1052"/>
      <c r="GG35" s="852" t="s">
        <v>416</v>
      </c>
      <c r="GH35" s="923"/>
      <c r="GI35" s="233"/>
      <c r="GJ35" s="246" t="s">
        <v>1071</v>
      </c>
      <c r="GK35" s="761">
        <f>$GT$40</f>
        <v>8.4970434782608688</v>
      </c>
      <c r="GL35" s="761"/>
      <c r="GM35" s="136"/>
      <c r="GN35" s="76" t="s">
        <v>441</v>
      </c>
      <c r="GO35" s="854" t="s">
        <v>435</v>
      </c>
      <c r="GP35" s="855"/>
      <c r="GQ35" s="920" t="s">
        <v>111</v>
      </c>
      <c r="GR35" s="921"/>
      <c r="GS35" s="916" t="s">
        <v>704</v>
      </c>
      <c r="GT35" s="917"/>
      <c r="GU35" s="906" t="s">
        <v>447</v>
      </c>
      <c r="GV35" s="907"/>
      <c r="GW35" s="907"/>
      <c r="GX35" s="908"/>
      <c r="GY35" s="1051" t="s">
        <v>436</v>
      </c>
      <c r="GZ35" s="1051"/>
      <c r="HA35" s="1051"/>
      <c r="HB35" s="1051"/>
      <c r="HC35" s="1051"/>
      <c r="HN35" s="130"/>
      <c r="HO35" s="130"/>
      <c r="HP35" s="130"/>
      <c r="HQ35" s="130"/>
      <c r="HR35" s="130"/>
      <c r="HS35" s="130"/>
      <c r="HT35" s="130"/>
      <c r="IU35" s="185"/>
      <c r="IV35" s="852" t="s">
        <v>834</v>
      </c>
      <c r="IW35" s="923"/>
      <c r="IX35" s="185"/>
      <c r="IY35" s="1069" t="s">
        <v>62</v>
      </c>
      <c r="IZ35" s="1070"/>
      <c r="JA35" s="1070"/>
      <c r="JB35" s="1070"/>
      <c r="JC35" s="1070"/>
      <c r="JD35" s="1070"/>
      <c r="JE35" s="1070"/>
      <c r="JF35" s="1070"/>
      <c r="JG35" s="1070"/>
      <c r="JH35" s="1070"/>
      <c r="JI35" s="1071"/>
      <c r="JJ35" s="185"/>
      <c r="JX35" s="850"/>
      <c r="JY35" s="321" t="s">
        <v>1030</v>
      </c>
      <c r="JZ35" s="890">
        <f>$KL$20</f>
        <v>24.641888323197445</v>
      </c>
      <c r="KA35" s="890"/>
      <c r="KB35" s="775"/>
      <c r="KC35" s="776"/>
      <c r="KD35" s="776"/>
      <c r="KE35" s="776"/>
      <c r="KF35" s="776"/>
      <c r="KG35" s="776"/>
      <c r="KH35" s="815"/>
      <c r="KI35" s="1473"/>
      <c r="KJ35" s="1474"/>
      <c r="KK35" s="1077"/>
      <c r="KL35" s="1078"/>
      <c r="KM35" s="1067"/>
      <c r="KN35" s="845"/>
      <c r="KO35" s="846"/>
      <c r="KP35" s="1256"/>
      <c r="KQ35" s="1052"/>
      <c r="KR35" s="1052"/>
      <c r="KS35" s="1052"/>
      <c r="KT35" s="1052"/>
      <c r="KU35" s="1052"/>
      <c r="LO35" s="130"/>
      <c r="LP35" s="130"/>
      <c r="LQ35" s="130"/>
      <c r="LR35" s="130"/>
      <c r="LS35" s="130"/>
      <c r="LT35" s="130"/>
      <c r="LU35" s="130"/>
      <c r="LV35" s="130"/>
      <c r="MB35" s="849"/>
      <c r="MC35" s="345" t="s">
        <v>1211</v>
      </c>
      <c r="MD35" s="890">
        <f>$MQ$47</f>
        <v>1.3</v>
      </c>
      <c r="ME35" s="890"/>
      <c r="MF35" s="776" t="s">
        <v>72</v>
      </c>
      <c r="MG35" s="776"/>
      <c r="MH35" s="776"/>
      <c r="MI35" s="797"/>
      <c r="MJ35" s="797"/>
      <c r="MK35" s="797"/>
      <c r="ML35" s="797"/>
      <c r="MM35" s="797"/>
      <c r="MN35" s="797"/>
      <c r="MO35" s="798"/>
      <c r="MP35" s="835">
        <f>MD35*MD36+2*MG34</f>
        <v>0.26316281296617705</v>
      </c>
      <c r="MQ35" s="836"/>
      <c r="MR35" s="1261" t="s">
        <v>706</v>
      </c>
      <c r="MS35" s="1262"/>
      <c r="MT35" s="841"/>
      <c r="MU35" s="1176" t="s">
        <v>889</v>
      </c>
      <c r="MV35" s="1178"/>
      <c r="MW35" s="841"/>
      <c r="MX35" s="1052"/>
      <c r="MY35" s="1052"/>
      <c r="MZ35" s="1052"/>
      <c r="NA35" s="1052"/>
      <c r="NB35" s="1052"/>
      <c r="NK35" s="521"/>
      <c r="NL35" s="379"/>
      <c r="NM35" s="379"/>
      <c r="NN35" s="379"/>
      <c r="NO35" s="379"/>
      <c r="NP35" s="379"/>
      <c r="NQ35" s="379"/>
      <c r="NR35" s="379"/>
      <c r="NS35" s="379"/>
      <c r="NT35" s="379"/>
      <c r="NU35" s="379"/>
      <c r="NV35" s="379"/>
      <c r="NW35" s="379"/>
      <c r="NX35" s="379"/>
      <c r="NY35" s="379"/>
      <c r="NZ35" s="379"/>
      <c r="OA35" s="379"/>
      <c r="OB35" s="379"/>
      <c r="OC35" s="379"/>
      <c r="OD35" s="379"/>
      <c r="OE35" s="379"/>
      <c r="OF35" s="380"/>
      <c r="OQ35" s="130"/>
      <c r="OR35" s="130"/>
      <c r="OS35" s="130"/>
      <c r="OT35" s="130"/>
      <c r="OU35" s="130"/>
      <c r="OV35" s="130"/>
      <c r="OW35" s="130"/>
      <c r="OX35" s="130"/>
      <c r="OY35" s="130"/>
      <c r="OZ35" s="130"/>
      <c r="PA35" s="130"/>
      <c r="PB35" s="130"/>
      <c r="PC35" s="130"/>
      <c r="PD35" s="130"/>
      <c r="PE35" s="130"/>
      <c r="RE35" s="653"/>
      <c r="RF35" s="653"/>
      <c r="RG35" s="653"/>
      <c r="RH35" s="653"/>
      <c r="RI35" s="653"/>
      <c r="RJ35" s="653"/>
      <c r="RK35" s="653"/>
      <c r="RL35" s="653"/>
      <c r="RM35" s="653"/>
      <c r="RN35" s="653"/>
      <c r="RO35" s="653"/>
      <c r="RP35" s="653"/>
      <c r="RQ35" s="653"/>
      <c r="RR35" s="653"/>
      <c r="RS35" s="653"/>
      <c r="RT35" s="653"/>
      <c r="RU35" s="653"/>
      <c r="RV35" s="653"/>
      <c r="RW35" s="653"/>
      <c r="RX35" s="653"/>
      <c r="RY35" s="653"/>
      <c r="RZ35" s="850"/>
      <c r="SA35" s="507" t="s">
        <v>1674</v>
      </c>
      <c r="SB35" s="937">
        <f>$SN$22</f>
        <v>1.0287777591472789</v>
      </c>
      <c r="SC35" s="937"/>
      <c r="SD35" s="809" t="s">
        <v>739</v>
      </c>
      <c r="SE35" s="797"/>
      <c r="SF35" s="797"/>
      <c r="SG35" s="797"/>
      <c r="SH35" s="797"/>
      <c r="SI35" s="797"/>
      <c r="SJ35" s="797"/>
      <c r="SK35" s="797"/>
      <c r="SL35" s="797"/>
      <c r="SM35" s="798"/>
      <c r="SN35" s="835">
        <f>SB35*SE34</f>
        <v>0.14720472630561454</v>
      </c>
      <c r="SO35" s="836"/>
      <c r="SP35" s="1253" t="s">
        <v>392</v>
      </c>
      <c r="SQ35" s="1189"/>
      <c r="SR35" s="1066"/>
      <c r="SS35" s="1170" t="s">
        <v>1684</v>
      </c>
      <c r="ST35" s="1171"/>
      <c r="SU35" s="1172"/>
      <c r="SV35" s="847"/>
      <c r="SW35" s="826"/>
      <c r="SX35" s="945"/>
      <c r="SY35" s="946"/>
      <c r="TX35" s="653"/>
      <c r="TY35" s="653"/>
      <c r="TZ35" s="653"/>
      <c r="UA35" s="653"/>
      <c r="UB35" s="653"/>
      <c r="UC35" s="653"/>
      <c r="UD35" s="653"/>
      <c r="UE35" s="653"/>
      <c r="UF35" s="653"/>
      <c r="UG35" s="653"/>
      <c r="UH35" s="653"/>
      <c r="UI35" s="653"/>
      <c r="UJ35" s="653"/>
      <c r="UK35" s="653"/>
      <c r="UL35" s="653"/>
      <c r="UM35" s="653"/>
      <c r="UN35" s="653"/>
      <c r="UO35" s="653"/>
      <c r="UP35" s="653"/>
      <c r="UQ35" s="653"/>
      <c r="UR35" s="653"/>
      <c r="US35" s="653"/>
      <c r="UT35" s="653"/>
      <c r="UU35" s="653"/>
      <c r="UV35" s="653"/>
      <c r="UW35" s="653"/>
      <c r="UX35" s="653"/>
      <c r="UY35" s="653"/>
      <c r="UZ35" s="653"/>
      <c r="WE35" s="162"/>
      <c r="WF35" s="158"/>
      <c r="WG35" s="158"/>
      <c r="WH35" s="158"/>
      <c r="WI35" s="158"/>
      <c r="WJ35" s="163"/>
      <c r="WK35" s="861" t="s">
        <v>1179</v>
      </c>
      <c r="WL35" s="861"/>
      <c r="WM35" s="861"/>
      <c r="WN35" s="861"/>
      <c r="WO35" s="761">
        <f>$KL$99</f>
        <v>16.250799463770147</v>
      </c>
      <c r="WP35" s="761"/>
      <c r="WQ35" s="168"/>
      <c r="WR35" s="168"/>
      <c r="WS35" s="168"/>
      <c r="WT35" s="168"/>
      <c r="WU35" s="168"/>
      <c r="WV35" s="168"/>
      <c r="WW35" s="171"/>
      <c r="WX35" s="976">
        <v>8</v>
      </c>
      <c r="WY35" s="977"/>
      <c r="WZ35" s="752" t="s">
        <v>32</v>
      </c>
      <c r="XA35" s="753"/>
      <c r="XB35" s="167"/>
      <c r="XC35" s="168"/>
      <c r="XD35" s="168"/>
      <c r="XE35" s="168"/>
      <c r="XF35" s="171"/>
      <c r="XG35" s="966">
        <f t="shared" ref="XG35:YL35" si="31">$WO$35+XG31*XG27</f>
        <v>16.275146316423079</v>
      </c>
      <c r="XH35" s="966">
        <f t="shared" si="31"/>
        <v>16.347824917259494</v>
      </c>
      <c r="XI35" s="966">
        <f t="shared" si="31"/>
        <v>16.468258832228901</v>
      </c>
      <c r="XJ35" s="966">
        <f t="shared" si="31"/>
        <v>16.635828472442689</v>
      </c>
      <c r="XK35" s="966">
        <f t="shared" si="31"/>
        <v>16.849873042125822</v>
      </c>
      <c r="XL35" s="966">
        <f t="shared" si="31"/>
        <v>17.109692551620814</v>
      </c>
      <c r="XM35" s="966">
        <f t="shared" si="31"/>
        <v>17.414549886072255</v>
      </c>
      <c r="XN35" s="966">
        <f t="shared" si="31"/>
        <v>17.763672920447771</v>
      </c>
      <c r="XO35" s="966">
        <f t="shared" si="31"/>
        <v>18.156256671637543</v>
      </c>
      <c r="XP35" s="966">
        <f t="shared" si="31"/>
        <v>18.59146547851595</v>
      </c>
      <c r="XQ35" s="966">
        <f t="shared" si="31"/>
        <v>19.068435201042291</v>
      </c>
      <c r="XR35" s="966">
        <f t="shared" si="31"/>
        <v>19.586275429718839</v>
      </c>
      <c r="XS35" s="966">
        <f t="shared" si="31"/>
        <v>20.144071697009654</v>
      </c>
      <c r="XT35" s="966">
        <f t="shared" si="31"/>
        <v>20.740887682648292</v>
      </c>
      <c r="XU35" s="966">
        <f t="shared" si="31"/>
        <v>21.375767405122367</v>
      </c>
      <c r="XV35" s="966">
        <f t="shared" si="31"/>
        <v>22.047737392013243</v>
      </c>
      <c r="XW35" s="966">
        <f t="shared" si="31"/>
        <v>22.755808822285342</v>
      </c>
      <c r="XX35" s="966">
        <f t="shared" si="31"/>
        <v>23.498979634057527</v>
      </c>
      <c r="XY35" s="966">
        <f t="shared" si="31"/>
        <v>24.276236591843393</v>
      </c>
      <c r="XZ35" s="966">
        <f t="shared" si="31"/>
        <v>25.086557307714756</v>
      </c>
      <c r="YA35" s="966">
        <f t="shared" si="31"/>
        <v>25.928912211318327</v>
      </c>
      <c r="YB35" s="966">
        <f t="shared" si="31"/>
        <v>26.802266464155448</v>
      </c>
      <c r="YC35" s="966">
        <f t="shared" si="31"/>
        <v>27.705581814015801</v>
      </c>
      <c r="YD35" s="966">
        <f t="shared" si="31"/>
        <v>28.637818385933208</v>
      </c>
      <c r="YE35" s="966">
        <f t="shared" si="31"/>
        <v>29.597936406503962</v>
      </c>
      <c r="YF35" s="966">
        <f t="shared" si="31"/>
        <v>30.584897858869752</v>
      </c>
      <c r="YG35" s="966">
        <f t="shared" si="31"/>
        <v>31.597668066118402</v>
      </c>
      <c r="YH35" s="966">
        <f t="shared" si="31"/>
        <v>32.63521720129134</v>
      </c>
      <c r="YI35" s="966">
        <f t="shared" si="31"/>
        <v>33.696521722606953</v>
      </c>
      <c r="YJ35" s="966">
        <f t="shared" si="31"/>
        <v>34.780565732910297</v>
      </c>
      <c r="YK35" s="966">
        <f t="shared" si="31"/>
        <v>35.886342262741707</v>
      </c>
      <c r="YL35" s="966">
        <f t="shared" si="31"/>
        <v>37.012854476777605</v>
      </c>
      <c r="YM35" s="966">
        <f t="shared" ref="YM35:ZR35" si="32">$WO$35+YM31*YM27</f>
        <v>38.159116803735955</v>
      </c>
      <c r="YN35" s="966">
        <f t="shared" si="32"/>
        <v>39.324155990154964</v>
      </c>
      <c r="YO35" s="966">
        <f t="shared" si="32"/>
        <v>40.507012078746918</v>
      </c>
      <c r="YP35" s="966">
        <f t="shared" si="32"/>
        <v>41.706739312298907</v>
      </c>
      <c r="YQ35" s="966">
        <f t="shared" si="32"/>
        <v>42.922406964338407</v>
      </c>
      <c r="YR35" s="966">
        <f t="shared" si="32"/>
        <v>44.153100098005069</v>
      </c>
      <c r="YS35" s="966">
        <f t="shared" si="32"/>
        <v>45.397920254770277</v>
      </c>
      <c r="YT35" s="966">
        <f t="shared" si="32"/>
        <v>46.655986074823531</v>
      </c>
      <c r="YU35" s="966">
        <f t="shared" si="32"/>
        <v>47.926433851101145</v>
      </c>
      <c r="YV35" s="966">
        <f t="shared" si="32"/>
        <v>49.208418019067068</v>
      </c>
      <c r="YW35" s="966">
        <f t="shared" si="32"/>
        <v>50.501111584470451</v>
      </c>
      <c r="YX35" s="966">
        <f t="shared" si="32"/>
        <v>51.803706491399907</v>
      </c>
      <c r="YY35" s="966">
        <f t="shared" si="32"/>
        <v>53.115413933030624</v>
      </c>
      <c r="YZ35" s="966">
        <f t="shared" si="32"/>
        <v>54.435464607520544</v>
      </c>
      <c r="ZA35" s="966">
        <f t="shared" si="32"/>
        <v>55.763108921554547</v>
      </c>
      <c r="ZB35" s="966">
        <f t="shared" si="32"/>
        <v>57.097617144063349</v>
      </c>
      <c r="ZC35" s="966">
        <f t="shared" si="32"/>
        <v>58.438279512657914</v>
      </c>
      <c r="ZD35" s="966">
        <f t="shared" si="32"/>
        <v>59.784406295320551</v>
      </c>
      <c r="ZE35" s="966">
        <f t="shared" si="32"/>
        <v>61.135327809883108</v>
      </c>
      <c r="ZF35" s="966">
        <f t="shared" si="32"/>
        <v>62.490394403799669</v>
      </c>
      <c r="ZG35" s="966">
        <f t="shared" si="32"/>
        <v>63.848976396690787</v>
      </c>
      <c r="ZH35" s="966">
        <f t="shared" si="32"/>
        <v>65.210463988094048</v>
      </c>
      <c r="ZI35" s="966">
        <f t="shared" si="32"/>
        <v>66.574267132808572</v>
      </c>
      <c r="ZJ35" s="966">
        <f t="shared" si="32"/>
        <v>67.939815386164781</v>
      </c>
      <c r="ZK35" s="966">
        <f t="shared" si="32"/>
        <v>69.306557721490378</v>
      </c>
      <c r="ZL35" s="966">
        <f t="shared" si="32"/>
        <v>70.673962321976475</v>
      </c>
      <c r="ZM35" s="966">
        <f t="shared" si="32"/>
        <v>72.041516349077625</v>
      </c>
      <c r="ZN35" s="966">
        <f t="shared" si="32"/>
        <v>73.408725689505061</v>
      </c>
      <c r="ZO35" s="966">
        <f t="shared" si="32"/>
        <v>74.775114682795518</v>
      </c>
      <c r="ZP35" s="966">
        <f t="shared" si="32"/>
        <v>76.140225831359416</v>
      </c>
      <c r="ZQ35" s="966">
        <f t="shared" si="32"/>
        <v>77.503619494830346</v>
      </c>
      <c r="ZR35" s="966">
        <f t="shared" si="32"/>
        <v>78.864873570457434</v>
      </c>
      <c r="ZS35" s="966">
        <f t="shared" ref="ZS35:AAS35" si="33">$WO$35+ZS31*ZS27</f>
        <v>80.223583161198931</v>
      </c>
      <c r="ZT35" s="966">
        <f t="shared" si="33"/>
        <v>81.579360233093794</v>
      </c>
      <c r="ZU35" s="966">
        <f t="shared" si="33"/>
        <v>82.931833263405721</v>
      </c>
      <c r="ZV35" s="966">
        <f t="shared" si="33"/>
        <v>84.280646880953654</v>
      </c>
      <c r="ZW35" s="966">
        <f t="shared" si="33"/>
        <v>85.625461499962185</v>
      </c>
      <c r="ZX35" s="966">
        <f t="shared" si="33"/>
        <v>86.965952948686692</v>
      </c>
      <c r="ZY35" s="966">
        <f t="shared" si="33"/>
        <v>88.301812093991856</v>
      </c>
      <c r="ZZ35" s="966">
        <f t="shared" si="33"/>
        <v>89.632744462986111</v>
      </c>
      <c r="AAA35" s="966">
        <f t="shared" si="33"/>
        <v>90.958469862742021</v>
      </c>
      <c r="AAB35" s="966">
        <f t="shared" si="33"/>
        <v>92.278721999061716</v>
      </c>
      <c r="AAC35" s="966">
        <f t="shared" si="33"/>
        <v>93.593248095178012</v>
      </c>
      <c r="AAD35" s="966">
        <f t="shared" si="33"/>
        <v>94.901808511214952</v>
      </c>
      <c r="AAE35" s="966">
        <f t="shared" si="33"/>
        <v>96.204176365169673</v>
      </c>
      <c r="AAF35" s="966">
        <f t="shared" si="33"/>
        <v>97.500137156113979</v>
      </c>
      <c r="AAG35" s="966">
        <f t="shared" si="33"/>
        <v>98.78948839025783</v>
      </c>
      <c r="AAH35" s="966">
        <f t="shared" si="33"/>
        <v>100.07203921045982</v>
      </c>
      <c r="AAI35" s="966">
        <f t="shared" si="33"/>
        <v>101.34761002971699</v>
      </c>
      <c r="AAJ35" s="966">
        <f t="shared" si="33"/>
        <v>102.61603216911477</v>
      </c>
      <c r="AAK35" s="966">
        <f t="shared" si="33"/>
        <v>103.87714750067222</v>
      </c>
      <c r="AAL35" s="966">
        <f t="shared" si="33"/>
        <v>105.13080809546884</v>
      </c>
      <c r="AAM35" s="966">
        <f t="shared" si="33"/>
        <v>106.3768758773992</v>
      </c>
      <c r="AAN35" s="966">
        <f t="shared" si="33"/>
        <v>107.61522228285993</v>
      </c>
      <c r="AAO35" s="966">
        <f t="shared" si="33"/>
        <v>108.84572792663454</v>
      </c>
      <c r="AAP35" s="966">
        <f t="shared" si="33"/>
        <v>110.06828227420841</v>
      </c>
      <c r="AAQ35" s="966">
        <f t="shared" si="33"/>
        <v>111.28278332070907</v>
      </c>
      <c r="AAR35" s="966">
        <f t="shared" si="33"/>
        <v>112.48913727663934</v>
      </c>
      <c r="AAS35" s="966">
        <f t="shared" si="33"/>
        <v>113.68725826053885</v>
      </c>
      <c r="AAT35" s="964">
        <v>8</v>
      </c>
      <c r="AAU35" s="752" t="s">
        <v>32</v>
      </c>
      <c r="AAV35" s="753"/>
      <c r="AAW35" s="958"/>
      <c r="AAX35" s="1058"/>
      <c r="AAY35" s="1058"/>
      <c r="AAZ35" s="1058"/>
      <c r="ABA35" s="959"/>
      <c r="ABB35" s="158"/>
      <c r="ABC35" s="158"/>
      <c r="ABD35" s="163"/>
      <c r="ABE35" s="653"/>
      <c r="ABF35" s="653"/>
      <c r="ABG35" s="653"/>
      <c r="ABH35" s="653"/>
      <c r="ACJ35" s="759">
        <v>0.33333333300000001</v>
      </c>
      <c r="ACK35" s="760"/>
      <c r="ACL35" s="759">
        <v>-0.233333333</v>
      </c>
      <c r="ACM35" s="760"/>
      <c r="ACN35" s="592">
        <v>23</v>
      </c>
      <c r="ACO35" s="759">
        <f t="shared" si="0"/>
        <v>0.17666666658999999</v>
      </c>
      <c r="ACP35" s="760"/>
      <c r="ACQ35" s="757">
        <f t="shared" si="1"/>
        <v>1.23</v>
      </c>
      <c r="ACR35" s="758"/>
      <c r="ACT35" s="759">
        <v>1</v>
      </c>
      <c r="ACU35" s="760"/>
      <c r="ACV35" s="759">
        <v>-1.2</v>
      </c>
      <c r="ACW35" s="760"/>
      <c r="ACX35" s="592">
        <v>73</v>
      </c>
      <c r="ACY35" s="759">
        <f t="shared" si="8"/>
        <v>0.53</v>
      </c>
      <c r="ACZ35" s="760"/>
      <c r="ADA35" s="757">
        <f t="shared" si="2"/>
        <v>1.73</v>
      </c>
      <c r="ADB35" s="758"/>
      <c r="ADD35" s="1112">
        <v>1.1052631578947401</v>
      </c>
      <c r="ADE35" s="1112"/>
      <c r="ADF35" s="1112">
        <v>-1.42105263157895</v>
      </c>
      <c r="ADG35" s="1112"/>
      <c r="ADH35" s="591">
        <v>122</v>
      </c>
      <c r="ADI35" s="759">
        <f t="shared" si="3"/>
        <v>1.0326315789473726</v>
      </c>
      <c r="ADJ35" s="760"/>
      <c r="ADK35" s="757">
        <f t="shared" si="4"/>
        <v>2.2199999999999998</v>
      </c>
      <c r="ADL35" s="758"/>
      <c r="ADN35" s="759">
        <v>1.1052631580000001</v>
      </c>
      <c r="ADO35" s="760"/>
      <c r="ADP35" s="759">
        <v>-1.42105263157895</v>
      </c>
      <c r="ADQ35" s="760"/>
      <c r="ADR35" s="591">
        <v>172</v>
      </c>
      <c r="ADS35" s="759">
        <f t="shared" si="9"/>
        <v>1.5852631581810499</v>
      </c>
      <c r="ADT35" s="760"/>
      <c r="ADU35" s="757">
        <f t="shared" si="5"/>
        <v>2.7199999999999998</v>
      </c>
      <c r="ADV35" s="758"/>
      <c r="ADX35" s="759">
        <v>1.1052631580000001</v>
      </c>
      <c r="ADY35" s="760"/>
      <c r="ADZ35" s="759">
        <v>-1.42105263157895</v>
      </c>
      <c r="AEA35" s="760"/>
      <c r="AEB35" s="591">
        <v>222</v>
      </c>
      <c r="AEC35" s="759">
        <f t="shared" si="10"/>
        <v>2.1378947371810506</v>
      </c>
      <c r="AED35" s="760"/>
      <c r="AEE35" s="757">
        <f t="shared" si="6"/>
        <v>3.22</v>
      </c>
      <c r="AEF35" s="758"/>
      <c r="AEH35" s="759">
        <v>1.1052631580000001</v>
      </c>
      <c r="AEI35" s="760"/>
      <c r="AEJ35" s="759">
        <v>-1.42105263157895</v>
      </c>
      <c r="AEK35" s="760"/>
      <c r="AEL35" s="591">
        <v>272</v>
      </c>
      <c r="AEM35" s="759">
        <f t="shared" si="11"/>
        <v>2.6905263161810509</v>
      </c>
      <c r="AEN35" s="760"/>
      <c r="AEO35" s="757">
        <f t="shared" si="7"/>
        <v>3.72</v>
      </c>
      <c r="AEP35" s="758"/>
      <c r="AEQ35" s="653"/>
      <c r="AER35" s="653"/>
      <c r="AES35" s="653"/>
      <c r="AET35" s="653"/>
      <c r="AEU35" s="653"/>
      <c r="AEV35" s="653"/>
      <c r="AEW35" s="653"/>
      <c r="AEX35" s="653"/>
      <c r="AEY35" s="653"/>
      <c r="AEZ35" s="653"/>
      <c r="AFA35" s="653"/>
      <c r="AFB35" s="653"/>
      <c r="AFC35" s="653"/>
      <c r="AFD35" s="653"/>
      <c r="AFE35" s="653"/>
      <c r="AGJ35" s="377"/>
      <c r="AGK35" s="373"/>
      <c r="AGL35" s="373"/>
      <c r="AGM35" s="373"/>
      <c r="AGN35" s="373"/>
      <c r="AGO35" s="373"/>
      <c r="AGP35" s="373"/>
      <c r="AGQ35" s="373"/>
      <c r="AGR35" s="373"/>
      <c r="AGS35" s="373"/>
      <c r="AGT35" s="373"/>
      <c r="AGU35" s="373"/>
      <c r="AGV35" s="373"/>
      <c r="AGW35" s="373"/>
      <c r="AGX35" s="373"/>
      <c r="AGY35" s="373"/>
      <c r="AGZ35" s="373"/>
      <c r="AHA35" s="373"/>
      <c r="AHB35" s="373"/>
      <c r="AHC35" s="373"/>
      <c r="AHD35" s="373"/>
      <c r="AHE35" s="373"/>
      <c r="AHF35" s="373"/>
      <c r="AHG35" s="373"/>
      <c r="AHH35" s="373"/>
      <c r="AHI35" s="373"/>
      <c r="AHJ35" s="373"/>
      <c r="AHK35" s="373"/>
      <c r="AHL35" s="373"/>
      <c r="AHM35" s="373"/>
      <c r="AHN35" s="373"/>
      <c r="AHO35" s="373"/>
      <c r="AHP35" s="373"/>
      <c r="AHQ35" s="373"/>
      <c r="AHR35" s="373"/>
      <c r="AHS35" s="373"/>
      <c r="AHT35" s="373"/>
      <c r="AHU35" s="373"/>
      <c r="AHV35" s="373"/>
      <c r="AHW35" s="374"/>
      <c r="AID35" s="130"/>
      <c r="AIE35" s="130"/>
      <c r="AIF35" s="130"/>
      <c r="AIG35" s="402" t="s">
        <v>1069</v>
      </c>
      <c r="AIH35" s="937">
        <f>$CI$79</f>
        <v>0.95799999999999996</v>
      </c>
      <c r="AII35" s="937"/>
      <c r="AIK35" s="800" t="s">
        <v>1463</v>
      </c>
      <c r="AIL35" s="982"/>
      <c r="AIM35" s="951">
        <f>$AHB$21</f>
        <v>2.923385945848388E-2</v>
      </c>
      <c r="AIN35" s="952"/>
      <c r="AIP35" s="130"/>
      <c r="AIQ35" s="800" t="s">
        <v>1054</v>
      </c>
      <c r="AIR35" s="801"/>
      <c r="AIS35" s="883">
        <f>$EN$62</f>
        <v>8.9200941784447281</v>
      </c>
      <c r="AIT35" s="884"/>
      <c r="AOJ35" s="130"/>
      <c r="AOK35" s="130"/>
      <c r="AOL35" s="130"/>
      <c r="AQL35" s="130"/>
      <c r="ARI35" s="653"/>
      <c r="ARJ35" s="653"/>
      <c r="ARK35" s="653"/>
      <c r="ARL35" s="653"/>
      <c r="ARM35" s="653"/>
      <c r="ARN35" s="653"/>
      <c r="ARO35" s="653"/>
      <c r="ARP35" s="653"/>
      <c r="ATC35" s="653"/>
    </row>
    <row r="36" spans="3:932 1076:1297" ht="48" customHeight="1" thickBot="1">
      <c r="C36" s="207"/>
      <c r="D36" s="162"/>
      <c r="E36" s="158"/>
      <c r="F36" s="158"/>
      <c r="G36" s="158"/>
      <c r="H36" s="158"/>
      <c r="I36" s="158"/>
      <c r="J36" s="158"/>
      <c r="K36" s="158"/>
      <c r="L36" s="158"/>
      <c r="M36" s="158"/>
      <c r="N36" s="158"/>
      <c r="O36" s="158"/>
      <c r="P36" s="158"/>
      <c r="Q36" s="158"/>
      <c r="R36" s="158"/>
      <c r="S36" s="158"/>
      <c r="T36" s="158"/>
      <c r="U36" s="158"/>
      <c r="V36" s="158"/>
      <c r="W36" s="158"/>
      <c r="X36" s="158"/>
      <c r="Y36" s="163"/>
      <c r="AI36" s="162"/>
      <c r="AJ36" s="165"/>
      <c r="AK36" s="165"/>
      <c r="AL36" s="165"/>
      <c r="AM36" s="165"/>
      <c r="AN36" s="165"/>
      <c r="AO36" s="165"/>
      <c r="AP36" s="165"/>
      <c r="AQ36" s="165"/>
      <c r="AR36" s="165"/>
      <c r="AS36" s="165"/>
      <c r="AT36" s="165"/>
      <c r="AU36" s="165"/>
      <c r="AV36" s="165"/>
      <c r="AW36" s="165"/>
      <c r="AX36" s="165"/>
      <c r="AY36" s="165"/>
      <c r="AZ36" s="165"/>
      <c r="BA36" s="165"/>
      <c r="BB36" s="165"/>
      <c r="BC36" s="165"/>
      <c r="BD36" s="165"/>
      <c r="BE36" s="165"/>
      <c r="BF36" s="165"/>
      <c r="BG36" s="158"/>
      <c r="BH36" s="158"/>
      <c r="BI36" s="158"/>
      <c r="BJ36" s="163"/>
      <c r="BK36" s="126"/>
      <c r="BL36" s="126"/>
      <c r="BM36" s="126"/>
      <c r="BN36" s="126"/>
      <c r="BO36" s="126"/>
      <c r="BP36" s="126"/>
      <c r="BQ36" s="126"/>
      <c r="BR36" s="126"/>
      <c r="BS36" s="126"/>
      <c r="BT36" s="126"/>
      <c r="BX36" s="850"/>
      <c r="BY36" s="1732" t="s">
        <v>1106</v>
      </c>
      <c r="BZ36" s="1733"/>
      <c r="CA36" s="926">
        <f>$CO$28</f>
        <v>48</v>
      </c>
      <c r="CB36" s="926"/>
      <c r="CC36" s="810" t="s">
        <v>28</v>
      </c>
      <c r="CD36" s="770"/>
      <c r="CE36" s="770"/>
      <c r="CF36" s="770"/>
      <c r="CG36" s="770"/>
      <c r="CH36" s="770"/>
      <c r="CI36" s="1086">
        <f>CA36/(AP20*AP9)</f>
        <v>4</v>
      </c>
      <c r="CJ36" s="1087"/>
      <c r="CK36" s="1183" t="s">
        <v>726</v>
      </c>
      <c r="CL36" s="1184"/>
      <c r="CM36" s="841"/>
      <c r="CN36" s="1170" t="s">
        <v>1245</v>
      </c>
      <c r="CO36" s="1171"/>
      <c r="CP36" s="1172"/>
      <c r="CQ36" s="847"/>
      <c r="CR36" s="1052"/>
      <c r="CS36" s="1052"/>
      <c r="CT36" s="1052"/>
      <c r="CU36" s="1052"/>
      <c r="DF36" s="130"/>
      <c r="DG36" s="130"/>
      <c r="DH36" s="130"/>
      <c r="DI36" s="130"/>
      <c r="DL36" s="130"/>
      <c r="DM36" s="130"/>
      <c r="DN36" s="130"/>
      <c r="DO36" s="130"/>
      <c r="DP36" s="130"/>
      <c r="DQ36" s="130"/>
      <c r="DR36" s="653"/>
      <c r="DS36" s="653"/>
      <c r="DT36" s="653"/>
      <c r="DU36" s="653"/>
      <c r="DV36" s="653"/>
      <c r="DW36" s="130"/>
      <c r="DX36" s="130"/>
      <c r="DY36" s="130"/>
      <c r="DZ36" s="897" t="s">
        <v>929</v>
      </c>
      <c r="EA36" s="898"/>
      <c r="EB36" s="899"/>
      <c r="EC36" s="849"/>
      <c r="ED36" s="852" t="s">
        <v>416</v>
      </c>
      <c r="EE36" s="853"/>
      <c r="EF36" s="138"/>
      <c r="EG36" s="76" t="s">
        <v>441</v>
      </c>
      <c r="EH36" s="854" t="s">
        <v>435</v>
      </c>
      <c r="EI36" s="855"/>
      <c r="EJ36" s="920" t="s">
        <v>111</v>
      </c>
      <c r="EK36" s="921"/>
      <c r="EL36" s="916" t="s">
        <v>704</v>
      </c>
      <c r="EM36" s="917"/>
      <c r="EN36" s="906" t="s">
        <v>447</v>
      </c>
      <c r="EO36" s="907"/>
      <c r="EP36" s="907"/>
      <c r="EQ36" s="908"/>
      <c r="GF36" s="1052"/>
      <c r="GG36" s="236" t="s">
        <v>1078</v>
      </c>
      <c r="GH36" s="761">
        <f>$CN$54</f>
        <v>58.696468820435761</v>
      </c>
      <c r="GI36" s="761"/>
      <c r="GJ36" s="791" t="s">
        <v>50</v>
      </c>
      <c r="GK36" s="792"/>
      <c r="GL36" s="792"/>
      <c r="GM36" s="792"/>
      <c r="GN36" s="792"/>
      <c r="GO36" s="792"/>
      <c r="GP36" s="793"/>
      <c r="GQ36" s="1167">
        <f>GH37*GH36*GK35</f>
        <v>450.86678861921405</v>
      </c>
      <c r="GR36" s="840"/>
      <c r="GS36" s="931" t="s">
        <v>32</v>
      </c>
      <c r="GT36" s="932"/>
      <c r="GU36" s="1066"/>
      <c r="GV36" s="843" t="s">
        <v>984</v>
      </c>
      <c r="GW36" s="844"/>
      <c r="GX36" s="847"/>
      <c r="GY36" s="1052"/>
      <c r="GZ36" s="1052"/>
      <c r="HA36" s="1052"/>
      <c r="HB36" s="1052"/>
      <c r="HC36" s="1052"/>
      <c r="HN36" s="130"/>
      <c r="HO36" s="130"/>
      <c r="HP36" s="130"/>
      <c r="HQ36" s="130"/>
      <c r="HR36" s="130"/>
      <c r="HS36" s="130"/>
      <c r="HT36" s="130"/>
      <c r="JX36" s="851"/>
      <c r="JY36" s="232" t="s">
        <v>402</v>
      </c>
      <c r="JZ36" s="805">
        <f>$AP$20</f>
        <v>4</v>
      </c>
      <c r="KA36" s="805"/>
      <c r="KB36" s="777"/>
      <c r="KC36" s="778"/>
      <c r="KD36" s="778"/>
      <c r="KE36" s="778"/>
      <c r="KF36" s="778"/>
      <c r="KG36" s="778"/>
      <c r="KH36" s="799"/>
      <c r="KI36" s="812"/>
      <c r="KJ36" s="813"/>
      <c r="KK36" s="813"/>
      <c r="KL36" s="813"/>
      <c r="KM36" s="813"/>
      <c r="KN36" s="813"/>
      <c r="KO36" s="813"/>
      <c r="KP36" s="814"/>
      <c r="KQ36" s="1053"/>
      <c r="KR36" s="1053"/>
      <c r="KS36" s="1053"/>
      <c r="KT36" s="1053"/>
      <c r="KU36" s="1053"/>
      <c r="LO36" s="130"/>
      <c r="LP36" s="130"/>
      <c r="LQ36" s="130"/>
      <c r="LR36" s="130"/>
      <c r="LS36" s="130"/>
      <c r="LT36" s="130"/>
      <c r="MB36" s="851"/>
      <c r="MC36" s="232" t="s">
        <v>1212</v>
      </c>
      <c r="MD36" s="1187">
        <f>$MP$43</f>
        <v>0.18704831766629001</v>
      </c>
      <c r="ME36" s="1187"/>
      <c r="MF36" s="778"/>
      <c r="MG36" s="778"/>
      <c r="MH36" s="778"/>
      <c r="MI36" s="778"/>
      <c r="MJ36" s="778"/>
      <c r="MK36" s="778"/>
      <c r="ML36" s="778"/>
      <c r="MM36" s="778"/>
      <c r="MN36" s="778"/>
      <c r="MO36" s="799"/>
      <c r="MP36" s="837"/>
      <c r="MQ36" s="838"/>
      <c r="MR36" s="1263"/>
      <c r="MS36" s="1264"/>
      <c r="MT36" s="842"/>
      <c r="MU36" s="1179"/>
      <c r="MV36" s="1181"/>
      <c r="MW36" s="842"/>
      <c r="MX36" s="1053"/>
      <c r="MY36" s="1053"/>
      <c r="MZ36" s="1053"/>
      <c r="NA36" s="1053"/>
      <c r="NB36" s="1053"/>
      <c r="NE36" s="653"/>
      <c r="NF36" s="653"/>
      <c r="NG36" s="653"/>
      <c r="NH36" s="653"/>
      <c r="NI36" s="653"/>
      <c r="NJ36" s="653"/>
      <c r="NK36" s="377"/>
      <c r="NL36" s="373"/>
      <c r="NM36" s="373"/>
      <c r="NN36" s="373"/>
      <c r="NO36" s="373"/>
      <c r="NP36" s="373"/>
      <c r="NQ36" s="373"/>
      <c r="NR36" s="373"/>
      <c r="NS36" s="373"/>
      <c r="NT36" s="373"/>
      <c r="NU36" s="373"/>
      <c r="NV36" s="373"/>
      <c r="NW36" s="373"/>
      <c r="NX36" s="373"/>
      <c r="NY36" s="373"/>
      <c r="NZ36" s="373"/>
      <c r="OA36" s="373"/>
      <c r="OB36" s="373"/>
      <c r="OC36" s="373"/>
      <c r="OD36" s="373"/>
      <c r="OE36" s="373"/>
      <c r="OF36" s="374"/>
      <c r="OQ36" s="130"/>
      <c r="OR36" s="130"/>
      <c r="OS36" s="130"/>
      <c r="OT36" s="130"/>
      <c r="OU36" s="130"/>
      <c r="OV36" s="130"/>
      <c r="OW36" s="130"/>
      <c r="OX36" s="130"/>
      <c r="OY36" s="130"/>
      <c r="OZ36" s="130"/>
      <c r="PA36" s="130"/>
      <c r="PB36" s="130"/>
      <c r="PC36" s="130"/>
      <c r="PD36" s="130"/>
      <c r="PE36" s="130"/>
      <c r="PL36" s="1298" t="s">
        <v>750</v>
      </c>
      <c r="PM36" s="897" t="s">
        <v>929</v>
      </c>
      <c r="PN36" s="898"/>
      <c r="PO36" s="899"/>
      <c r="PP36" s="849"/>
      <c r="PQ36" s="1257" t="s">
        <v>416</v>
      </c>
      <c r="PR36" s="1257"/>
      <c r="PS36" s="466"/>
      <c r="PT36" s="76" t="s">
        <v>441</v>
      </c>
      <c r="PU36" s="854" t="s">
        <v>435</v>
      </c>
      <c r="PV36" s="1111"/>
      <c r="PW36" s="920" t="s">
        <v>111</v>
      </c>
      <c r="PX36" s="921"/>
      <c r="PY36" s="916" t="s">
        <v>704</v>
      </c>
      <c r="PZ36" s="917"/>
      <c r="QA36" s="906" t="s">
        <v>447</v>
      </c>
      <c r="QB36" s="907"/>
      <c r="QC36" s="907"/>
      <c r="QD36" s="908"/>
      <c r="QF36" s="1298" t="s">
        <v>750</v>
      </c>
      <c r="QG36" s="897" t="s">
        <v>929</v>
      </c>
      <c r="QH36" s="898"/>
      <c r="QI36" s="899"/>
      <c r="QJ36" s="849"/>
      <c r="QK36" s="1257" t="s">
        <v>416</v>
      </c>
      <c r="QL36" s="1257"/>
      <c r="QM36" s="466"/>
      <c r="QN36" s="76" t="s">
        <v>441</v>
      </c>
      <c r="QO36" s="854" t="s">
        <v>435</v>
      </c>
      <c r="QP36" s="1111"/>
      <c r="QQ36" s="920" t="s">
        <v>111</v>
      </c>
      <c r="QR36" s="921"/>
      <c r="QS36" s="916" t="s">
        <v>704</v>
      </c>
      <c r="QT36" s="917"/>
      <c r="QU36" s="906" t="s">
        <v>447</v>
      </c>
      <c r="QV36" s="907"/>
      <c r="QW36" s="907"/>
      <c r="QX36" s="908"/>
      <c r="RE36" s="653"/>
      <c r="RF36" s="653"/>
      <c r="RG36" s="653"/>
      <c r="RH36" s="653"/>
      <c r="RI36" s="653"/>
      <c r="RJ36" s="653"/>
      <c r="RK36" s="653"/>
      <c r="RL36" s="653"/>
      <c r="RM36" s="653"/>
      <c r="RN36" s="653"/>
      <c r="RO36" s="653"/>
      <c r="RP36" s="653"/>
      <c r="RQ36" s="653"/>
      <c r="RR36" s="653"/>
      <c r="RS36" s="653"/>
      <c r="RT36" s="653"/>
      <c r="RU36" s="653"/>
      <c r="RV36" s="653"/>
      <c r="RW36" s="653"/>
      <c r="RX36" s="653"/>
      <c r="RY36" s="653"/>
      <c r="RZ36" s="851"/>
      <c r="SA36" s="508"/>
      <c r="SB36" s="1534"/>
      <c r="SC36" s="1534"/>
      <c r="SD36" s="777"/>
      <c r="SE36" s="778"/>
      <c r="SF36" s="778"/>
      <c r="SG36" s="778"/>
      <c r="SH36" s="778"/>
      <c r="SI36" s="778"/>
      <c r="SJ36" s="778"/>
      <c r="SK36" s="778"/>
      <c r="SL36" s="778"/>
      <c r="SM36" s="799"/>
      <c r="SN36" s="837"/>
      <c r="SO36" s="838"/>
      <c r="SP36" s="1254"/>
      <c r="SQ36" s="1191"/>
      <c r="SR36" s="1067"/>
      <c r="SS36" s="1173"/>
      <c r="ST36" s="1174"/>
      <c r="SU36" s="1175"/>
      <c r="SV36" s="848"/>
      <c r="SW36" s="828"/>
      <c r="SX36" s="949"/>
      <c r="SY36" s="950"/>
      <c r="TX36" s="653"/>
      <c r="TY36" s="653"/>
      <c r="TZ36" s="653"/>
      <c r="UA36" s="653"/>
      <c r="UB36" s="653"/>
      <c r="UC36" s="653"/>
      <c r="UD36" s="653"/>
      <c r="UE36" s="653"/>
      <c r="UF36" s="653"/>
      <c r="UG36" s="653"/>
      <c r="UH36" s="653"/>
      <c r="UI36" s="653"/>
      <c r="UJ36" s="653"/>
      <c r="UK36" s="653"/>
      <c r="UL36" s="653"/>
      <c r="UM36" s="653"/>
      <c r="UN36" s="653"/>
      <c r="UO36" s="653"/>
      <c r="UP36" s="653"/>
      <c r="UQ36" s="653"/>
      <c r="UR36" s="653"/>
      <c r="US36" s="653"/>
      <c r="UT36" s="653"/>
      <c r="UU36" s="653"/>
      <c r="UV36" s="653"/>
      <c r="UW36" s="653"/>
      <c r="UX36" s="653"/>
      <c r="UY36" s="653"/>
      <c r="UZ36" s="653"/>
      <c r="WE36" s="162"/>
      <c r="WF36" s="158"/>
      <c r="WG36" s="158"/>
      <c r="WH36" s="158"/>
      <c r="WI36" s="158"/>
      <c r="WJ36" s="163"/>
      <c r="WK36" s="169"/>
      <c r="WL36" s="170"/>
      <c r="WM36" s="170"/>
      <c r="WN36" s="170"/>
      <c r="WO36" s="170"/>
      <c r="WP36" s="170"/>
      <c r="WQ36" s="170"/>
      <c r="WR36" s="170"/>
      <c r="WS36" s="170"/>
      <c r="WT36" s="170"/>
      <c r="WU36" s="170"/>
      <c r="WV36" s="170"/>
      <c r="WW36" s="172"/>
      <c r="WX36" s="978"/>
      <c r="WY36" s="979"/>
      <c r="WZ36" s="754"/>
      <c r="XA36" s="755"/>
      <c r="XB36" s="169"/>
      <c r="XC36" s="170"/>
      <c r="XD36" s="170"/>
      <c r="XE36" s="170"/>
      <c r="XF36" s="172"/>
      <c r="XG36" s="967"/>
      <c r="XH36" s="967"/>
      <c r="XI36" s="967"/>
      <c r="XJ36" s="967"/>
      <c r="XK36" s="967"/>
      <c r="XL36" s="967"/>
      <c r="XM36" s="967"/>
      <c r="XN36" s="967"/>
      <c r="XO36" s="967"/>
      <c r="XP36" s="967"/>
      <c r="XQ36" s="967"/>
      <c r="XR36" s="967"/>
      <c r="XS36" s="967"/>
      <c r="XT36" s="967"/>
      <c r="XU36" s="967"/>
      <c r="XV36" s="967"/>
      <c r="XW36" s="967"/>
      <c r="XX36" s="967"/>
      <c r="XY36" s="967"/>
      <c r="XZ36" s="967"/>
      <c r="YA36" s="967"/>
      <c r="YB36" s="967"/>
      <c r="YC36" s="967"/>
      <c r="YD36" s="967"/>
      <c r="YE36" s="967"/>
      <c r="YF36" s="967"/>
      <c r="YG36" s="967"/>
      <c r="YH36" s="967"/>
      <c r="YI36" s="967"/>
      <c r="YJ36" s="967"/>
      <c r="YK36" s="967"/>
      <c r="YL36" s="967"/>
      <c r="YM36" s="967"/>
      <c r="YN36" s="967"/>
      <c r="YO36" s="967"/>
      <c r="YP36" s="967"/>
      <c r="YQ36" s="967"/>
      <c r="YR36" s="967"/>
      <c r="YS36" s="967"/>
      <c r="YT36" s="967"/>
      <c r="YU36" s="967"/>
      <c r="YV36" s="967"/>
      <c r="YW36" s="967"/>
      <c r="YX36" s="967"/>
      <c r="YY36" s="967"/>
      <c r="YZ36" s="967"/>
      <c r="ZA36" s="967"/>
      <c r="ZB36" s="967"/>
      <c r="ZC36" s="967"/>
      <c r="ZD36" s="967"/>
      <c r="ZE36" s="967"/>
      <c r="ZF36" s="967"/>
      <c r="ZG36" s="967"/>
      <c r="ZH36" s="967"/>
      <c r="ZI36" s="967"/>
      <c r="ZJ36" s="967"/>
      <c r="ZK36" s="967"/>
      <c r="ZL36" s="967"/>
      <c r="ZM36" s="967"/>
      <c r="ZN36" s="967"/>
      <c r="ZO36" s="967"/>
      <c r="ZP36" s="967"/>
      <c r="ZQ36" s="967"/>
      <c r="ZR36" s="967"/>
      <c r="ZS36" s="967"/>
      <c r="ZT36" s="967"/>
      <c r="ZU36" s="967"/>
      <c r="ZV36" s="967"/>
      <c r="ZW36" s="967"/>
      <c r="ZX36" s="967"/>
      <c r="ZY36" s="967"/>
      <c r="ZZ36" s="967"/>
      <c r="AAA36" s="967"/>
      <c r="AAB36" s="967"/>
      <c r="AAC36" s="967"/>
      <c r="AAD36" s="967"/>
      <c r="AAE36" s="967"/>
      <c r="AAF36" s="967"/>
      <c r="AAG36" s="967"/>
      <c r="AAH36" s="967"/>
      <c r="AAI36" s="967"/>
      <c r="AAJ36" s="967"/>
      <c r="AAK36" s="967"/>
      <c r="AAL36" s="967"/>
      <c r="AAM36" s="967"/>
      <c r="AAN36" s="967"/>
      <c r="AAO36" s="967"/>
      <c r="AAP36" s="967"/>
      <c r="AAQ36" s="967"/>
      <c r="AAR36" s="967"/>
      <c r="AAS36" s="967"/>
      <c r="AAT36" s="965"/>
      <c r="AAU36" s="754"/>
      <c r="AAV36" s="755"/>
      <c r="AAW36" s="962"/>
      <c r="AAX36" s="1059"/>
      <c r="AAY36" s="1059"/>
      <c r="AAZ36" s="1059"/>
      <c r="ABA36" s="961"/>
      <c r="ABB36" s="158"/>
      <c r="ABC36" s="158"/>
      <c r="ABD36" s="163"/>
      <c r="ABE36" s="653"/>
      <c r="ABF36" s="653"/>
      <c r="ABG36" s="653"/>
      <c r="ABH36" s="653"/>
      <c r="ACJ36" s="759">
        <v>0.33333333300000001</v>
      </c>
      <c r="ACK36" s="760"/>
      <c r="ACL36" s="759">
        <v>-0.233333333</v>
      </c>
      <c r="ACM36" s="760"/>
      <c r="ACN36" s="592">
        <v>24</v>
      </c>
      <c r="ACO36" s="759">
        <f t="shared" si="0"/>
        <v>0.17999999992000001</v>
      </c>
      <c r="ACP36" s="760"/>
      <c r="ACQ36" s="757">
        <f t="shared" si="1"/>
        <v>1.24</v>
      </c>
      <c r="ACR36" s="758"/>
      <c r="ACT36" s="759">
        <v>1</v>
      </c>
      <c r="ACU36" s="760"/>
      <c r="ACV36" s="759">
        <v>-1.2</v>
      </c>
      <c r="ACW36" s="760"/>
      <c r="ACX36" s="592">
        <v>74</v>
      </c>
      <c r="ACY36" s="759">
        <f t="shared" si="8"/>
        <v>0.54</v>
      </c>
      <c r="ACZ36" s="760"/>
      <c r="ADA36" s="757">
        <f t="shared" si="2"/>
        <v>1.74</v>
      </c>
      <c r="ADB36" s="758"/>
      <c r="ADD36" s="1112">
        <v>1.1052631578947401</v>
      </c>
      <c r="ADE36" s="1112"/>
      <c r="ADF36" s="1112">
        <v>-1.42105263157895</v>
      </c>
      <c r="ADG36" s="1112"/>
      <c r="ADH36" s="591">
        <v>123</v>
      </c>
      <c r="ADI36" s="759">
        <f t="shared" si="3"/>
        <v>1.0436842105263202</v>
      </c>
      <c r="ADJ36" s="760"/>
      <c r="ADK36" s="757">
        <f t="shared" si="4"/>
        <v>2.23</v>
      </c>
      <c r="ADL36" s="758"/>
      <c r="ADN36" s="759">
        <v>1.1052631580000001</v>
      </c>
      <c r="ADO36" s="760"/>
      <c r="ADP36" s="759">
        <v>-1.42105263157895</v>
      </c>
      <c r="ADQ36" s="760"/>
      <c r="ADR36" s="591">
        <v>173</v>
      </c>
      <c r="ADS36" s="759">
        <f t="shared" si="9"/>
        <v>1.59631578976105</v>
      </c>
      <c r="ADT36" s="760"/>
      <c r="ADU36" s="757">
        <f t="shared" si="5"/>
        <v>2.73</v>
      </c>
      <c r="ADV36" s="758"/>
      <c r="ADX36" s="759">
        <v>1.1052631580000001</v>
      </c>
      <c r="ADY36" s="760"/>
      <c r="ADZ36" s="759">
        <v>-1.42105263157895</v>
      </c>
      <c r="AEA36" s="760"/>
      <c r="AEB36" s="591">
        <v>223</v>
      </c>
      <c r="AEC36" s="759">
        <f t="shared" si="10"/>
        <v>2.1489473687610503</v>
      </c>
      <c r="AED36" s="760"/>
      <c r="AEE36" s="757">
        <f t="shared" si="6"/>
        <v>3.23</v>
      </c>
      <c r="AEF36" s="758"/>
      <c r="AEH36" s="759">
        <v>1.1052631580000001</v>
      </c>
      <c r="AEI36" s="760"/>
      <c r="AEJ36" s="759">
        <v>-1.42105263157895</v>
      </c>
      <c r="AEK36" s="760"/>
      <c r="AEL36" s="591">
        <v>273</v>
      </c>
      <c r="AEM36" s="759">
        <f t="shared" si="11"/>
        <v>2.7015789477610501</v>
      </c>
      <c r="AEN36" s="760"/>
      <c r="AEO36" s="757">
        <f t="shared" si="7"/>
        <v>3.73</v>
      </c>
      <c r="AEP36" s="758"/>
      <c r="AEY36" s="653"/>
      <c r="AEZ36" s="653"/>
      <c r="AFA36" s="653"/>
      <c r="AFB36" s="653"/>
      <c r="AFC36" s="653"/>
      <c r="AFD36" s="653"/>
      <c r="AFE36" s="653"/>
      <c r="AGJ36" s="136"/>
      <c r="AGK36" s="891"/>
      <c r="AGL36" s="891"/>
      <c r="AGM36" s="891"/>
      <c r="AGN36" s="891"/>
      <c r="AGO36" s="891"/>
      <c r="AGP36" s="891"/>
      <c r="AGQ36" s="891"/>
      <c r="AGR36" s="891"/>
      <c r="AGS36" s="891"/>
      <c r="AGT36" s="891"/>
      <c r="AGU36" s="891"/>
      <c r="AGV36" s="891"/>
      <c r="AGW36" s="891"/>
      <c r="AGX36" s="891"/>
      <c r="AGY36" s="891"/>
      <c r="AGZ36" s="891"/>
      <c r="AHA36" s="891"/>
      <c r="AHB36" s="891"/>
      <c r="AHC36" s="891"/>
      <c r="AHD36" s="891"/>
      <c r="AHE36" s="891"/>
      <c r="AHF36" s="891"/>
      <c r="AHG36" s="891"/>
      <c r="AHH36" s="891"/>
      <c r="AHI36" s="891"/>
      <c r="AHJ36" s="891"/>
      <c r="AHK36" s="891"/>
      <c r="AHL36" s="891"/>
      <c r="AHM36" s="891"/>
      <c r="AHN36" s="891"/>
      <c r="AHO36" s="891"/>
      <c r="AHP36" s="891"/>
      <c r="AHQ36" s="891"/>
      <c r="AHR36" s="891"/>
      <c r="AHS36" s="891"/>
      <c r="AHT36" s="891"/>
      <c r="AHU36" s="891"/>
      <c r="AHV36" s="891"/>
      <c r="AHW36" s="136"/>
      <c r="AID36" s="130"/>
      <c r="AIE36" s="130"/>
      <c r="AIF36" s="130"/>
      <c r="AIG36" s="445" t="s">
        <v>1106</v>
      </c>
      <c r="AIH36" s="926">
        <f>$CO$28</f>
        <v>48</v>
      </c>
      <c r="AII36" s="926"/>
      <c r="AIJ36" s="130"/>
      <c r="AIK36" s="800" t="s">
        <v>1015</v>
      </c>
      <c r="AIL36" s="801"/>
      <c r="AIM36" s="890">
        <f>$CL$40</f>
        <v>1.3923283333333335E-2</v>
      </c>
      <c r="AIN36" s="890"/>
      <c r="AIP36" s="130"/>
      <c r="AIQ36" s="130"/>
      <c r="AIR36" s="130"/>
      <c r="AIS36" s="130"/>
      <c r="AIT36" s="130"/>
      <c r="AOJ36" s="130"/>
      <c r="AOK36" s="130"/>
      <c r="AOL36" s="130"/>
      <c r="AQL36" s="130"/>
      <c r="ARI36" s="653"/>
      <c r="ARJ36" s="653"/>
      <c r="ARK36" s="653"/>
      <c r="ARL36" s="653"/>
      <c r="ARM36" s="653"/>
      <c r="ARN36" s="653"/>
      <c r="ARO36" s="653"/>
      <c r="ARP36" s="653"/>
      <c r="ATC36" s="653"/>
    </row>
    <row r="37" spans="3:932 1076:1297" ht="48" customHeight="1" thickBot="1">
      <c r="C37" s="207"/>
      <c r="D37" s="162"/>
      <c r="E37" s="906" t="s">
        <v>863</v>
      </c>
      <c r="F37" s="907"/>
      <c r="G37" s="908"/>
      <c r="H37" s="158"/>
      <c r="I37" s="158"/>
      <c r="J37" s="158"/>
      <c r="K37" s="158"/>
      <c r="L37" s="158"/>
      <c r="M37" s="158"/>
      <c r="N37" s="158"/>
      <c r="O37" s="158"/>
      <c r="P37" s="158"/>
      <c r="Q37" s="158"/>
      <c r="R37" s="158"/>
      <c r="S37" s="158"/>
      <c r="T37" s="158"/>
      <c r="U37" s="158"/>
      <c r="V37" s="158"/>
      <c r="W37" s="158"/>
      <c r="X37" s="158"/>
      <c r="Y37" s="163"/>
      <c r="AI37" s="162"/>
      <c r="AJ37" s="897" t="s">
        <v>973</v>
      </c>
      <c r="AK37" s="898"/>
      <c r="AL37" s="899"/>
      <c r="AM37" s="849"/>
      <c r="AN37" s="1684">
        <v>1.5</v>
      </c>
      <c r="AO37" s="1684"/>
      <c r="AP37" s="715"/>
      <c r="AQ37" s="779" t="s">
        <v>506</v>
      </c>
      <c r="AR37" s="780"/>
      <c r="AS37" s="781"/>
      <c r="AT37" s="76" t="s">
        <v>451</v>
      </c>
      <c r="AU37" s="715"/>
      <c r="AV37" s="76" t="s">
        <v>441</v>
      </c>
      <c r="AW37" s="1676" t="s">
        <v>435</v>
      </c>
      <c r="AX37" s="1683"/>
      <c r="AY37" s="924" t="s">
        <v>111</v>
      </c>
      <c r="AZ37" s="925"/>
      <c r="BA37" s="916" t="s">
        <v>704</v>
      </c>
      <c r="BB37" s="917"/>
      <c r="BC37" s="906" t="s">
        <v>447</v>
      </c>
      <c r="BD37" s="907"/>
      <c r="BE37" s="907"/>
      <c r="BF37" s="908"/>
      <c r="BG37" s="158"/>
      <c r="BH37" s="158"/>
      <c r="BI37" s="158"/>
      <c r="BJ37" s="163"/>
      <c r="BL37" s="126"/>
      <c r="BM37" s="126"/>
      <c r="BN37" s="126"/>
      <c r="BO37" s="126"/>
      <c r="BP37" s="126"/>
      <c r="BQ37" s="126"/>
      <c r="BR37" s="126"/>
      <c r="BS37" s="126"/>
      <c r="BT37" s="126"/>
      <c r="BX37" s="851"/>
      <c r="BY37" s="802" t="s">
        <v>402</v>
      </c>
      <c r="BZ37" s="803"/>
      <c r="CA37" s="804">
        <f>$AP$20</f>
        <v>4</v>
      </c>
      <c r="CB37" s="804"/>
      <c r="CC37" s="811"/>
      <c r="CD37" s="772"/>
      <c r="CE37" s="772"/>
      <c r="CF37" s="772"/>
      <c r="CG37" s="772"/>
      <c r="CH37" s="772"/>
      <c r="CI37" s="1088"/>
      <c r="CJ37" s="1089"/>
      <c r="CK37" s="1185"/>
      <c r="CL37" s="1186"/>
      <c r="CM37" s="842"/>
      <c r="CN37" s="1173"/>
      <c r="CO37" s="1174"/>
      <c r="CP37" s="1175"/>
      <c r="CQ37" s="848"/>
      <c r="CR37" s="1053"/>
      <c r="CS37" s="1053"/>
      <c r="CT37" s="1053"/>
      <c r="CU37" s="1053"/>
      <c r="DL37" s="130"/>
      <c r="DM37" s="130"/>
      <c r="DN37" s="130"/>
      <c r="DR37" s="653"/>
      <c r="DS37" s="653"/>
      <c r="DT37" s="653"/>
      <c r="DU37" s="653"/>
      <c r="DV37" s="653"/>
      <c r="DW37" s="130"/>
      <c r="DX37" s="130"/>
      <c r="DY37" s="130"/>
      <c r="DZ37" s="900"/>
      <c r="EA37" s="901"/>
      <c r="EB37" s="902"/>
      <c r="EC37" s="850"/>
      <c r="ED37" s="809" t="s">
        <v>783</v>
      </c>
      <c r="EE37" s="797"/>
      <c r="EF37" s="797"/>
      <c r="EG37" s="797"/>
      <c r="EH37" s="797"/>
      <c r="EI37" s="797"/>
      <c r="EJ37" s="1193">
        <v>0.97</v>
      </c>
      <c r="EK37" s="1194"/>
      <c r="EL37" s="1183" t="s">
        <v>729</v>
      </c>
      <c r="EM37" s="1184"/>
      <c r="EN37" s="841"/>
      <c r="EO37" s="1170" t="s">
        <v>1013</v>
      </c>
      <c r="EP37" s="844"/>
      <c r="EQ37" s="847"/>
      <c r="GF37" s="1053"/>
      <c r="GG37" s="226" t="s">
        <v>1073</v>
      </c>
      <c r="GH37" s="804">
        <f>$GU$44</f>
        <v>0.90400000000000003</v>
      </c>
      <c r="GI37" s="804"/>
      <c r="GJ37" s="794"/>
      <c r="GK37" s="795"/>
      <c r="GL37" s="795"/>
      <c r="GM37" s="795"/>
      <c r="GN37" s="795"/>
      <c r="GO37" s="795"/>
      <c r="GP37" s="796"/>
      <c r="GQ37" s="1169"/>
      <c r="GR37" s="799"/>
      <c r="GS37" s="933"/>
      <c r="GT37" s="934"/>
      <c r="GU37" s="1067"/>
      <c r="GV37" s="845"/>
      <c r="GW37" s="846"/>
      <c r="GX37" s="848"/>
      <c r="GY37" s="1053"/>
      <c r="GZ37" s="1053"/>
      <c r="HA37" s="1053"/>
      <c r="HB37" s="1053"/>
      <c r="HC37" s="1053"/>
      <c r="HL37" s="130"/>
      <c r="HM37" s="130"/>
      <c r="HN37" s="130"/>
      <c r="HO37" s="130"/>
      <c r="HP37" s="130"/>
      <c r="HQ37" s="130"/>
      <c r="HR37" s="130"/>
      <c r="HS37" s="130"/>
      <c r="HT37" s="130"/>
      <c r="IR37" s="1052"/>
      <c r="IS37" s="852" t="s">
        <v>416</v>
      </c>
      <c r="IT37" s="923"/>
      <c r="IU37" s="233"/>
      <c r="IV37" s="78"/>
      <c r="IW37" s="78"/>
      <c r="IX37" s="78"/>
      <c r="IY37" s="233"/>
      <c r="IZ37" s="76" t="s">
        <v>441</v>
      </c>
      <c r="JA37" s="854" t="s">
        <v>435</v>
      </c>
      <c r="JB37" s="1111"/>
      <c r="JC37" s="920" t="s">
        <v>111</v>
      </c>
      <c r="JD37" s="921"/>
      <c r="JE37" s="916" t="s">
        <v>704</v>
      </c>
      <c r="JF37" s="917"/>
      <c r="JG37" s="906" t="s">
        <v>447</v>
      </c>
      <c r="JH37" s="907"/>
      <c r="JI37" s="907"/>
      <c r="JJ37" s="908"/>
      <c r="JK37" s="1051" t="s">
        <v>436</v>
      </c>
      <c r="JL37" s="1051"/>
      <c r="JM37" s="1051"/>
      <c r="JN37" s="1051"/>
      <c r="JO37" s="1051"/>
      <c r="LO37" s="130"/>
      <c r="LP37" s="130"/>
      <c r="LQ37" s="130"/>
      <c r="LR37" s="130"/>
      <c r="LS37" s="130"/>
      <c r="LT37" s="130"/>
      <c r="LU37" s="130"/>
      <c r="LV37" s="130"/>
      <c r="NE37" s="653"/>
      <c r="NF37" s="653"/>
      <c r="NG37" s="653"/>
      <c r="NH37" s="653"/>
      <c r="NI37" s="653"/>
      <c r="NJ37" s="653"/>
      <c r="NK37" s="377"/>
      <c r="NL37" s="373"/>
      <c r="NM37" s="373"/>
      <c r="NN37" s="373"/>
      <c r="NO37" s="373"/>
      <c r="NP37" s="373"/>
      <c r="NQ37" s="373"/>
      <c r="NR37" s="373"/>
      <c r="NS37" s="373"/>
      <c r="NT37" s="373"/>
      <c r="NU37" s="373"/>
      <c r="NV37" s="373"/>
      <c r="NW37" s="373"/>
      <c r="NX37" s="373"/>
      <c r="NY37" s="373"/>
      <c r="NZ37" s="373"/>
      <c r="OA37" s="373"/>
      <c r="OB37" s="373"/>
      <c r="OC37" s="373"/>
      <c r="OD37" s="373"/>
      <c r="OE37" s="373"/>
      <c r="OF37" s="374"/>
      <c r="PL37" s="1299"/>
      <c r="PM37" s="900"/>
      <c r="PN37" s="901"/>
      <c r="PO37" s="902"/>
      <c r="PP37" s="850"/>
      <c r="PQ37" s="809" t="s">
        <v>1549</v>
      </c>
      <c r="PR37" s="797"/>
      <c r="PS37" s="797"/>
      <c r="PT37" s="797"/>
      <c r="PU37" s="797"/>
      <c r="PV37" s="798"/>
      <c r="PW37" s="1054">
        <v>1.6</v>
      </c>
      <c r="PX37" s="1055"/>
      <c r="PY37" s="1183" t="s">
        <v>729</v>
      </c>
      <c r="PZ37" s="1184"/>
      <c r="QA37" s="1066"/>
      <c r="QB37" s="1170" t="s">
        <v>1589</v>
      </c>
      <c r="QC37" s="1172"/>
      <c r="QD37" s="847"/>
      <c r="QF37" s="1299"/>
      <c r="QG37" s="900"/>
      <c r="QH37" s="901"/>
      <c r="QI37" s="902"/>
      <c r="QJ37" s="850"/>
      <c r="QK37" s="809" t="s">
        <v>1547</v>
      </c>
      <c r="QL37" s="797"/>
      <c r="QM37" s="797"/>
      <c r="QN37" s="797"/>
      <c r="QO37" s="797"/>
      <c r="QP37" s="798"/>
      <c r="QQ37" s="1054">
        <v>1.8</v>
      </c>
      <c r="QR37" s="1055"/>
      <c r="QS37" s="1183" t="s">
        <v>729</v>
      </c>
      <c r="QT37" s="1184"/>
      <c r="QU37" s="1066"/>
      <c r="QV37" s="1170" t="s">
        <v>1588</v>
      </c>
      <c r="QW37" s="1172"/>
      <c r="QX37" s="847"/>
      <c r="RE37" s="653"/>
      <c r="RF37" s="653"/>
      <c r="RG37" s="653"/>
      <c r="RH37" s="653"/>
      <c r="RI37" s="653"/>
      <c r="RJ37" s="653"/>
      <c r="RK37" s="653"/>
      <c r="RL37" s="653"/>
      <c r="RM37" s="653"/>
      <c r="RN37" s="653"/>
      <c r="RO37" s="653"/>
      <c r="RP37" s="653"/>
      <c r="RQ37" s="653"/>
      <c r="RR37" s="653"/>
      <c r="RS37" s="653"/>
      <c r="RT37" s="653"/>
      <c r="RU37" s="653"/>
      <c r="RV37" s="653"/>
      <c r="RW37" s="653"/>
      <c r="RX37" s="653"/>
      <c r="RY37" s="653"/>
      <c r="SX37" s="130"/>
      <c r="SY37" s="130"/>
      <c r="SZ37" s="130"/>
      <c r="TA37" s="653"/>
      <c r="TB37" s="653"/>
      <c r="TC37" s="653"/>
      <c r="TD37" s="653"/>
      <c r="TE37" s="653"/>
      <c r="TF37" s="653"/>
      <c r="TG37" s="653"/>
      <c r="TH37" s="653"/>
      <c r="TI37" s="653"/>
      <c r="TJ37" s="653"/>
      <c r="TK37" s="653"/>
      <c r="TL37" s="653"/>
      <c r="TM37" s="653"/>
      <c r="TN37" s="653"/>
      <c r="TO37" s="653"/>
      <c r="TX37" s="653"/>
      <c r="TY37" s="653"/>
      <c r="TZ37" s="653"/>
      <c r="UA37" s="653"/>
      <c r="UB37" s="653"/>
      <c r="UC37" s="653"/>
      <c r="UD37" s="653"/>
      <c r="UE37" s="653"/>
      <c r="UF37" s="653"/>
      <c r="UG37" s="653"/>
      <c r="UH37" s="653"/>
      <c r="UI37" s="653"/>
      <c r="UJ37" s="653"/>
      <c r="UK37" s="653"/>
      <c r="UL37" s="653"/>
      <c r="UM37" s="653"/>
      <c r="UN37" s="653"/>
      <c r="UO37" s="653"/>
      <c r="UP37" s="653"/>
      <c r="UQ37" s="653"/>
      <c r="UR37" s="653"/>
      <c r="US37" s="653"/>
      <c r="UT37" s="653"/>
      <c r="UU37" s="653"/>
      <c r="UV37" s="653"/>
      <c r="UW37" s="653"/>
      <c r="UX37" s="653"/>
      <c r="UY37" s="653"/>
      <c r="UZ37" s="653"/>
      <c r="WE37" s="162"/>
      <c r="WF37" s="158"/>
      <c r="WG37" s="158"/>
      <c r="WH37" s="158"/>
      <c r="WI37" s="158"/>
      <c r="WJ37" s="163"/>
      <c r="WK37" s="167"/>
      <c r="WL37" s="168"/>
      <c r="WM37" s="168"/>
      <c r="WN37" s="168"/>
      <c r="WO37" s="168"/>
      <c r="WP37" s="168"/>
      <c r="WQ37" s="168"/>
      <c r="WR37" s="168"/>
      <c r="WS37" s="168"/>
      <c r="WT37" s="168"/>
      <c r="WU37" s="168"/>
      <c r="WV37" s="168"/>
      <c r="WW37" s="171"/>
      <c r="WX37" s="976">
        <v>9</v>
      </c>
      <c r="WY37" s="977"/>
      <c r="WZ37" s="756" t="s">
        <v>32</v>
      </c>
      <c r="XA37" s="756"/>
      <c r="XB37" s="167"/>
      <c r="XC37" s="168"/>
      <c r="XD37" s="168"/>
      <c r="XE37" s="168"/>
      <c r="XF37" s="171"/>
      <c r="XG37" s="966">
        <f>(XG33^2+XG35^2)^0.5</f>
        <v>16.648484249881566</v>
      </c>
      <c r="XH37" s="966">
        <f t="shared" ref="XH37:XR37" si="34">(XH33^2+XH35^2)^0.5</f>
        <v>17.442717439742584</v>
      </c>
      <c r="XI37" s="966">
        <f t="shared" si="34"/>
        <v>18.600610050161688</v>
      </c>
      <c r="XJ37" s="966">
        <f t="shared" si="34"/>
        <v>20.054480058607748</v>
      </c>
      <c r="XK37" s="966">
        <f t="shared" si="34"/>
        <v>21.740318553888457</v>
      </c>
      <c r="XL37" s="966">
        <f t="shared" si="34"/>
        <v>23.603880682203066</v>
      </c>
      <c r="XM37" s="966">
        <f t="shared" si="34"/>
        <v>25.601927099145268</v>
      </c>
      <c r="XN37" s="966">
        <f t="shared" si="34"/>
        <v>27.701056408804934</v>
      </c>
      <c r="XO37" s="966">
        <f t="shared" si="34"/>
        <v>29.875798422783792</v>
      </c>
      <c r="XP37" s="966">
        <f t="shared" si="34"/>
        <v>32.106764298435166</v>
      </c>
      <c r="XQ37" s="966">
        <f t="shared" si="34"/>
        <v>34.379121877636827</v>
      </c>
      <c r="XR37" s="966">
        <f t="shared" si="34"/>
        <v>36.681425859367344</v>
      </c>
      <c r="XS37" s="966">
        <f t="shared" ref="XS37:AAD37" si="35">(XS33^2+XS35^2)^0.5</f>
        <v>39.004749605357468</v>
      </c>
      <c r="XT37" s="966">
        <f t="shared" si="35"/>
        <v>41.342049785314337</v>
      </c>
      <c r="XU37" s="966">
        <f t="shared" si="35"/>
        <v>43.687703050609414</v>
      </c>
      <c r="XV37" s="966">
        <f t="shared" si="35"/>
        <v>46.037167328954382</v>
      </c>
      <c r="XW37" s="966">
        <f t="shared" si="35"/>
        <v>48.386732762119628</v>
      </c>
      <c r="XX37" s="966">
        <f t="shared" si="35"/>
        <v>50.733337126623866</v>
      </c>
      <c r="XY37" s="966">
        <f t="shared" si="35"/>
        <v>53.074427828417761</v>
      </c>
      <c r="XZ37" s="966">
        <f t="shared" si="35"/>
        <v>55.407857753178163</v>
      </c>
      <c r="YA37" s="966">
        <f t="shared" si="35"/>
        <v>57.731805918016796</v>
      </c>
      <c r="YB37" s="966">
        <f t="shared" si="35"/>
        <v>60.044716445240191</v>
      </c>
      <c r="YC37" s="966">
        <f t="shared" si="35"/>
        <v>62.345251189602557</v>
      </c>
      <c r="YD37" s="966">
        <f t="shared" si="35"/>
        <v>64.632252629088541</v>
      </c>
      <c r="YE37" s="966">
        <f t="shared" si="35"/>
        <v>66.904714537437826</v>
      </c>
      <c r="YF37" s="966">
        <f t="shared" si="35"/>
        <v>69.161758606251681</v>
      </c>
      <c r="YG37" s="966">
        <f t="shared" si="35"/>
        <v>71.402615652794054</v>
      </c>
      <c r="YH37" s="966">
        <f t="shared" si="35"/>
        <v>73.626610389847485</v>
      </c>
      <c r="YI37" s="966">
        <f t="shared" si="35"/>
        <v>75.833148983214727</v>
      </c>
      <c r="YJ37" s="966">
        <f t="shared" si="35"/>
        <v>78.021708806486899</v>
      </c>
      <c r="YK37" s="966">
        <f t="shared" si="35"/>
        <v>80.191829939661005</v>
      </c>
      <c r="YL37" s="966">
        <f t="shared" si="35"/>
        <v>82.343108060908534</v>
      </c>
      <c r="YM37" s="966">
        <f t="shared" si="35"/>
        <v>84.475188458408169</v>
      </c>
      <c r="YN37" s="966">
        <f t="shared" si="35"/>
        <v>86.587760948219127</v>
      </c>
      <c r="YO37" s="966">
        <f t="shared" si="35"/>
        <v>88.680555529431416</v>
      </c>
      <c r="YP37" s="966">
        <f t="shared" si="35"/>
        <v>90.753338642741042</v>
      </c>
      <c r="YQ37" s="966">
        <f t="shared" si="35"/>
        <v>92.805909925698487</v>
      </c>
      <c r="YR37" s="966">
        <f t="shared" si="35"/>
        <v>94.838099379044309</v>
      </c>
      <c r="YS37" s="966">
        <f t="shared" si="35"/>
        <v>96.849764875169299</v>
      </c>
      <c r="YT37" s="966">
        <f t="shared" si="35"/>
        <v>98.840789952867823</v>
      </c>
      <c r="YU37" s="966">
        <f t="shared" si="35"/>
        <v>100.81108185297595</v>
      </c>
      <c r="YV37" s="966">
        <f t="shared" si="35"/>
        <v>102.76056975780466</v>
      </c>
      <c r="YW37" s="966">
        <f t="shared" si="35"/>
        <v>104.68920320394426</v>
      </c>
      <c r="YX37" s="966">
        <f t="shared" si="35"/>
        <v>106.59695064338631</v>
      </c>
      <c r="YY37" s="966">
        <f t="shared" si="35"/>
        <v>108.48379813224817</v>
      </c>
      <c r="YZ37" s="966">
        <f t="shared" si="35"/>
        <v>110.34974812991149</v>
      </c>
      <c r="ZA37" s="966">
        <f t="shared" si="35"/>
        <v>112.19481839425571</v>
      </c>
      <c r="ZB37" s="966">
        <f t="shared" si="35"/>
        <v>114.01904096101693</v>
      </c>
      <c r="ZC37" s="966">
        <f t="shared" si="35"/>
        <v>115.82246119722781</v>
      </c>
      <c r="ZD37" s="966">
        <f t="shared" si="35"/>
        <v>117.60513692028191</v>
      </c>
      <c r="ZE37" s="966">
        <f t="shared" si="35"/>
        <v>119.36713757547243</v>
      </c>
      <c r="ZF37" s="966">
        <f t="shared" si="35"/>
        <v>121.10854346593995</v>
      </c>
      <c r="ZG37" s="966">
        <f t="shared" si="35"/>
        <v>122.82944502986371</v>
      </c>
      <c r="ZH37" s="966">
        <f t="shared" si="35"/>
        <v>124.5299421604773</v>
      </c>
      <c r="ZI37" s="966">
        <f t="shared" si="35"/>
        <v>126.21014356511542</v>
      </c>
      <c r="ZJ37" s="966">
        <f t="shared" si="35"/>
        <v>127.87016616001827</v>
      </c>
      <c r="ZK37" s="966">
        <f t="shared" si="35"/>
        <v>129.51013449805856</v>
      </c>
      <c r="ZL37" s="966">
        <f t="shared" si="35"/>
        <v>131.13018022692151</v>
      </c>
      <c r="ZM37" s="966">
        <f t="shared" si="35"/>
        <v>132.7304415755776</v>
      </c>
      <c r="ZN37" s="966">
        <f t="shared" si="35"/>
        <v>134.311062867147</v>
      </c>
      <c r="ZO37" s="966">
        <f t="shared" si="35"/>
        <v>135.87219405647511</v>
      </c>
      <c r="ZP37" s="966">
        <f t="shared" si="35"/>
        <v>137.41399029092383</v>
      </c>
      <c r="ZQ37" s="966">
        <f t="shared" si="35"/>
        <v>138.93661149304103</v>
      </c>
      <c r="ZR37" s="966">
        <f t="shared" si="35"/>
        <v>140.44022196390503</v>
      </c>
      <c r="ZS37" s="966">
        <f t="shared" si="35"/>
        <v>141.92499000605477</v>
      </c>
      <c r="ZT37" s="966">
        <f t="shared" si="35"/>
        <v>143.39108756501435</v>
      </c>
      <c r="ZU37" s="966">
        <f t="shared" si="35"/>
        <v>144.83868988850435</v>
      </c>
      <c r="ZV37" s="966">
        <f t="shared" si="35"/>
        <v>146.26797520250426</v>
      </c>
      <c r="ZW37" s="966">
        <f t="shared" si="35"/>
        <v>147.67912440339285</v>
      </c>
      <c r="ZX37" s="966">
        <f t="shared" si="35"/>
        <v>149.07232076544642</v>
      </c>
      <c r="ZY37" s="966">
        <f t="shared" si="35"/>
        <v>150.44774966302339</v>
      </c>
      <c r="ZZ37" s="966">
        <f t="shared" si="35"/>
        <v>151.80559830680306</v>
      </c>
      <c r="AAA37" s="966">
        <f t="shared" si="35"/>
        <v>153.14605549348366</v>
      </c>
      <c r="AAB37" s="966">
        <f t="shared" si="35"/>
        <v>154.46931136837648</v>
      </c>
      <c r="AAC37" s="966">
        <f t="shared" si="35"/>
        <v>155.77555720036119</v>
      </c>
      <c r="AAD37" s="966">
        <f t="shared" si="35"/>
        <v>157.06498516869314</v>
      </c>
      <c r="AAE37" s="966">
        <f t="shared" ref="AAE37:AAS37" si="36">(AAE33^2+AAE35^2)^0.5</f>
        <v>158.33778816117689</v>
      </c>
      <c r="AAF37" s="966">
        <f t="shared" si="36"/>
        <v>159.59415958324001</v>
      </c>
      <c r="AAG37" s="966">
        <f t="shared" si="36"/>
        <v>160.83429317746177</v>
      </c>
      <c r="AAH37" s="966">
        <f t="shared" si="36"/>
        <v>162.05838285312785</v>
      </c>
      <c r="AAI37" s="966">
        <f t="shared" si="36"/>
        <v>163.26662252539933</v>
      </c>
      <c r="AAJ37" s="966">
        <f t="shared" si="36"/>
        <v>164.45920596369839</v>
      </c>
      <c r="AAK37" s="966">
        <f t="shared" si="36"/>
        <v>165.63632664892995</v>
      </c>
      <c r="AAL37" s="966">
        <f t="shared" si="36"/>
        <v>166.79817763916819</v>
      </c>
      <c r="AAM37" s="966">
        <f t="shared" si="36"/>
        <v>167.94495144345362</v>
      </c>
      <c r="AAN37" s="966">
        <f t="shared" si="36"/>
        <v>169.07683990335656</v>
      </c>
      <c r="AAO37" s="966">
        <f t="shared" si="36"/>
        <v>170.19403408197417</v>
      </c>
      <c r="AAP37" s="966">
        <f t="shared" si="36"/>
        <v>171.29672416004226</v>
      </c>
      <c r="AAQ37" s="966">
        <f t="shared" si="36"/>
        <v>172.38509933884976</v>
      </c>
      <c r="AAR37" s="966">
        <f t="shared" si="36"/>
        <v>173.45934774965855</v>
      </c>
      <c r="AAS37" s="966">
        <f t="shared" si="36"/>
        <v>174.51965636933934</v>
      </c>
      <c r="AAT37" s="964">
        <v>9</v>
      </c>
      <c r="AAU37" s="756" t="s">
        <v>32</v>
      </c>
      <c r="AAV37" s="756"/>
      <c r="AAW37" s="175"/>
      <c r="AAX37" s="173"/>
      <c r="AAY37" s="173"/>
      <c r="AAZ37" s="173"/>
      <c r="ABA37" s="159"/>
      <c r="ABB37" s="158"/>
      <c r="ABC37" s="158"/>
      <c r="ABD37" s="163"/>
      <c r="ABE37" s="653"/>
      <c r="ABF37" s="653"/>
      <c r="ABG37" s="653"/>
      <c r="ABH37" s="653"/>
      <c r="ACJ37" s="759">
        <v>0.33333333300000001</v>
      </c>
      <c r="ACK37" s="760"/>
      <c r="ACL37" s="759">
        <v>-0.233333333</v>
      </c>
      <c r="ACM37" s="760"/>
      <c r="ACN37" s="592">
        <v>25</v>
      </c>
      <c r="ACO37" s="759">
        <f t="shared" si="0"/>
        <v>0.18333333325000004</v>
      </c>
      <c r="ACP37" s="760"/>
      <c r="ACQ37" s="757">
        <f t="shared" si="1"/>
        <v>1.25</v>
      </c>
      <c r="ACR37" s="758"/>
      <c r="ACT37" s="759">
        <v>1</v>
      </c>
      <c r="ACU37" s="760"/>
      <c r="ACV37" s="759">
        <v>-1.2</v>
      </c>
      <c r="ACW37" s="760"/>
      <c r="ACX37" s="592">
        <v>75</v>
      </c>
      <c r="ACY37" s="759">
        <f t="shared" si="8"/>
        <v>0.55000000000000004</v>
      </c>
      <c r="ACZ37" s="760"/>
      <c r="ADA37" s="757">
        <f t="shared" si="2"/>
        <v>1.75</v>
      </c>
      <c r="ADB37" s="758"/>
      <c r="ADD37" s="1112">
        <v>1.1052631578947401</v>
      </c>
      <c r="ADE37" s="1112"/>
      <c r="ADF37" s="1112">
        <v>-1.42105263157895</v>
      </c>
      <c r="ADG37" s="1112"/>
      <c r="ADH37" s="591">
        <v>124</v>
      </c>
      <c r="ADI37" s="759">
        <f t="shared" si="3"/>
        <v>1.0547368421052679</v>
      </c>
      <c r="ADJ37" s="760"/>
      <c r="ADK37" s="757">
        <f t="shared" si="4"/>
        <v>2.2400000000000002</v>
      </c>
      <c r="ADL37" s="758"/>
      <c r="ADN37" s="759">
        <v>1.1052631580000001</v>
      </c>
      <c r="ADO37" s="760"/>
      <c r="ADP37" s="759">
        <v>-1.42105263157895</v>
      </c>
      <c r="ADQ37" s="760"/>
      <c r="ADR37" s="591">
        <v>174</v>
      </c>
      <c r="ADS37" s="759">
        <f t="shared" si="9"/>
        <v>1.6073684213410506</v>
      </c>
      <c r="ADT37" s="760"/>
      <c r="ADU37" s="757">
        <f t="shared" si="5"/>
        <v>2.74</v>
      </c>
      <c r="ADV37" s="758"/>
      <c r="ADX37" s="759">
        <v>1.1052631580000001</v>
      </c>
      <c r="ADY37" s="760"/>
      <c r="ADZ37" s="759">
        <v>-1.42105263157895</v>
      </c>
      <c r="AEA37" s="760"/>
      <c r="AEB37" s="591">
        <v>224</v>
      </c>
      <c r="AEC37" s="759">
        <f t="shared" si="10"/>
        <v>2.1600000003410504</v>
      </c>
      <c r="AED37" s="760"/>
      <c r="AEE37" s="757">
        <f t="shared" si="6"/>
        <v>3.24</v>
      </c>
      <c r="AEF37" s="758"/>
      <c r="AEH37" s="759">
        <v>1.1052631580000001</v>
      </c>
      <c r="AEI37" s="760"/>
      <c r="AEJ37" s="759">
        <v>-1.42105263157895</v>
      </c>
      <c r="AEK37" s="760"/>
      <c r="AEL37" s="591">
        <v>274</v>
      </c>
      <c r="AEM37" s="759">
        <f t="shared" ref="AEM37:AEM62" si="37">AEH37*AEO37 + AEJ37</f>
        <v>2.7126315793410503</v>
      </c>
      <c r="AEN37" s="760"/>
      <c r="AEO37" s="757">
        <f t="shared" si="7"/>
        <v>3.74</v>
      </c>
      <c r="AEP37" s="758"/>
      <c r="AEY37" s="653"/>
      <c r="AEZ37" s="653"/>
      <c r="AFA37" s="653"/>
      <c r="AFB37" s="653"/>
      <c r="AFC37" s="653"/>
      <c r="AFD37" s="653"/>
      <c r="AFE37" s="653"/>
      <c r="AID37" s="130"/>
      <c r="AIE37" s="130"/>
      <c r="AIF37" s="130"/>
      <c r="AIG37" s="443" t="s">
        <v>1070</v>
      </c>
      <c r="AIH37" s="937">
        <f>$GU$16</f>
        <v>46</v>
      </c>
      <c r="AII37" s="937"/>
      <c r="AIJ37" s="130"/>
      <c r="AIK37" s="800" t="s">
        <v>1019</v>
      </c>
      <c r="AIL37" s="801"/>
      <c r="AIM37" s="890">
        <f>$GM$24</f>
        <v>1.4419426086956524E-2</v>
      </c>
      <c r="AIN37" s="890"/>
      <c r="AIP37" s="130"/>
      <c r="AIQ37" s="130"/>
      <c r="AIR37" s="130"/>
      <c r="AIS37" s="130"/>
      <c r="AIT37" s="130"/>
      <c r="AOJ37" s="130"/>
      <c r="AOK37" s="130"/>
      <c r="AOL37" s="130"/>
      <c r="AQL37" s="130"/>
      <c r="ARI37" s="653"/>
      <c r="ARJ37" s="653"/>
      <c r="ARK37" s="653"/>
      <c r="ARL37" s="653"/>
      <c r="ARM37" s="653"/>
      <c r="ARN37" s="653"/>
      <c r="ARO37" s="653"/>
      <c r="ARP37" s="653"/>
      <c r="ATC37" s="653"/>
    </row>
    <row r="38" spans="3:932 1076:1297" ht="48" customHeight="1" thickBot="1">
      <c r="C38" s="207"/>
      <c r="D38" s="162"/>
      <c r="E38" s="1203" t="s">
        <v>862</v>
      </c>
      <c r="F38" s="1275"/>
      <c r="G38" s="1204"/>
      <c r="H38" s="158"/>
      <c r="I38" s="736" t="s">
        <v>911</v>
      </c>
      <c r="J38" s="862" t="s">
        <v>1832</v>
      </c>
      <c r="K38" s="863"/>
      <c r="L38" s="863"/>
      <c r="M38" s="863"/>
      <c r="N38" s="863"/>
      <c r="O38" s="863"/>
      <c r="P38" s="863"/>
      <c r="Q38" s="863"/>
      <c r="R38" s="863"/>
      <c r="S38" s="864"/>
      <c r="T38" s="158"/>
      <c r="U38" s="158"/>
      <c r="V38" s="158"/>
      <c r="W38" s="158"/>
      <c r="X38" s="158"/>
      <c r="Y38" s="163"/>
      <c r="AI38" s="162"/>
      <c r="AJ38" s="900"/>
      <c r="AK38" s="901"/>
      <c r="AL38" s="902"/>
      <c r="AM38" s="850"/>
      <c r="AN38" s="768" t="s">
        <v>12</v>
      </c>
      <c r="AO38" s="762"/>
      <c r="AP38" s="762"/>
      <c r="AQ38" s="762"/>
      <c r="AR38" s="762"/>
      <c r="AS38" s="762"/>
      <c r="AT38" s="762"/>
      <c r="AU38" s="762"/>
      <c r="AV38" s="762"/>
      <c r="AW38" s="762"/>
      <c r="AX38" s="763"/>
      <c r="AY38" s="1712">
        <f>BC35</f>
        <v>0.68</v>
      </c>
      <c r="AZ38" s="1713"/>
      <c r="BA38" s="1075" t="s">
        <v>705</v>
      </c>
      <c r="BB38" s="1076"/>
      <c r="BC38" s="847"/>
      <c r="BD38" s="893" t="s">
        <v>449</v>
      </c>
      <c r="BE38" s="894"/>
      <c r="BF38" s="847"/>
      <c r="BG38" s="158"/>
      <c r="BH38" s="158"/>
      <c r="BI38" s="158"/>
      <c r="BJ38" s="163"/>
      <c r="BM38" s="126"/>
      <c r="BN38" s="126"/>
      <c r="BO38" s="126"/>
      <c r="BP38" s="126"/>
      <c r="BQ38" s="126"/>
      <c r="BR38" s="126"/>
      <c r="BS38" s="126"/>
      <c r="BT38" s="126"/>
      <c r="DL38" s="130"/>
      <c r="DM38" s="130"/>
      <c r="DN38" s="130"/>
      <c r="DR38" s="653"/>
      <c r="DS38" s="653"/>
      <c r="DT38" s="653"/>
      <c r="DU38" s="653"/>
      <c r="DV38" s="653"/>
      <c r="DW38" s="130"/>
      <c r="DX38" s="130"/>
      <c r="DY38" s="130"/>
      <c r="DZ38" s="903"/>
      <c r="EA38" s="904"/>
      <c r="EB38" s="905"/>
      <c r="EC38" s="851"/>
      <c r="ED38" s="777"/>
      <c r="EE38" s="778"/>
      <c r="EF38" s="778"/>
      <c r="EG38" s="778"/>
      <c r="EH38" s="778"/>
      <c r="EI38" s="778"/>
      <c r="EJ38" s="1195"/>
      <c r="EK38" s="1196"/>
      <c r="EL38" s="1185"/>
      <c r="EM38" s="1186"/>
      <c r="EN38" s="842"/>
      <c r="EO38" s="845"/>
      <c r="EP38" s="846"/>
      <c r="EQ38" s="848"/>
      <c r="IR38" s="1052"/>
      <c r="IS38" s="236" t="s">
        <v>1083</v>
      </c>
      <c r="IT38" s="761">
        <f>$KL$49</f>
        <v>29.749119163787693</v>
      </c>
      <c r="IU38" s="761"/>
      <c r="IV38" s="791" t="s">
        <v>1827</v>
      </c>
      <c r="IW38" s="792"/>
      <c r="IX38" s="792"/>
      <c r="IY38" s="792"/>
      <c r="IZ38" s="792"/>
      <c r="JA38" s="792"/>
      <c r="JB38" s="792"/>
      <c r="JC38" s="835">
        <f>2*IT38/1000*IT39</f>
        <v>90.437322257914587</v>
      </c>
      <c r="JD38" s="836"/>
      <c r="JE38" s="931" t="s">
        <v>32</v>
      </c>
      <c r="JF38" s="932"/>
      <c r="JG38" s="841"/>
      <c r="JH38" s="1170" t="s">
        <v>1050</v>
      </c>
      <c r="JI38" s="1172"/>
      <c r="JJ38" s="847"/>
      <c r="JK38" s="1052"/>
      <c r="JL38" s="1052"/>
      <c r="JM38" s="1052"/>
      <c r="JN38" s="1052"/>
      <c r="JO38" s="1052"/>
      <c r="LO38" s="130"/>
      <c r="LP38" s="130"/>
      <c r="LQ38" s="130"/>
      <c r="LR38" s="130"/>
      <c r="LS38" s="130"/>
      <c r="LT38" s="130"/>
      <c r="LU38" s="130"/>
      <c r="LV38" s="130"/>
      <c r="MB38" s="1298" t="s">
        <v>750</v>
      </c>
      <c r="MC38" s="849"/>
      <c r="MD38" s="852" t="s">
        <v>416</v>
      </c>
      <c r="ME38" s="853"/>
      <c r="MF38" s="344"/>
      <c r="MG38" s="78"/>
      <c r="MH38" s="78"/>
      <c r="MI38" s="78"/>
      <c r="MJ38" s="78"/>
      <c r="MK38" s="78"/>
      <c r="ML38" s="78"/>
      <c r="MM38" s="344"/>
      <c r="MN38" s="76" t="s">
        <v>441</v>
      </c>
      <c r="MO38" s="854" t="s">
        <v>435</v>
      </c>
      <c r="MP38" s="855"/>
      <c r="MQ38" s="920" t="s">
        <v>111</v>
      </c>
      <c r="MR38" s="921"/>
      <c r="MS38" s="916" t="s">
        <v>704</v>
      </c>
      <c r="MT38" s="917"/>
      <c r="MU38" s="906" t="s">
        <v>447</v>
      </c>
      <c r="MV38" s="1140"/>
      <c r="MW38" s="1140"/>
      <c r="MX38" s="908"/>
      <c r="NE38" s="653"/>
      <c r="NF38" s="653"/>
      <c r="NG38" s="653"/>
      <c r="NH38" s="653"/>
      <c r="NI38" s="653"/>
      <c r="NJ38" s="653"/>
      <c r="NK38" s="377"/>
      <c r="NL38" s="373"/>
      <c r="NM38" s="373"/>
      <c r="NN38" s="373"/>
      <c r="NO38" s="373"/>
      <c r="NP38" s="373"/>
      <c r="NQ38" s="373"/>
      <c r="NR38" s="373"/>
      <c r="NS38" s="373"/>
      <c r="NT38" s="373"/>
      <c r="NU38" s="373"/>
      <c r="NV38" s="373"/>
      <c r="NW38" s="373"/>
      <c r="NX38" s="373"/>
      <c r="NY38" s="373"/>
      <c r="NZ38" s="373"/>
      <c r="OA38" s="373"/>
      <c r="OB38" s="373"/>
      <c r="OC38" s="373"/>
      <c r="OD38" s="373"/>
      <c r="OE38" s="373"/>
      <c r="OF38" s="374"/>
      <c r="PL38" s="1300"/>
      <c r="PM38" s="903"/>
      <c r="PN38" s="904"/>
      <c r="PO38" s="905"/>
      <c r="PP38" s="851"/>
      <c r="PQ38" s="777"/>
      <c r="PR38" s="778"/>
      <c r="PS38" s="778"/>
      <c r="PT38" s="778"/>
      <c r="PU38" s="778"/>
      <c r="PV38" s="799"/>
      <c r="PW38" s="1056"/>
      <c r="PX38" s="1057"/>
      <c r="PY38" s="1185"/>
      <c r="PZ38" s="1186"/>
      <c r="QA38" s="1067"/>
      <c r="QB38" s="1173"/>
      <c r="QC38" s="1175"/>
      <c r="QD38" s="848"/>
      <c r="QF38" s="1300"/>
      <c r="QG38" s="903"/>
      <c r="QH38" s="904"/>
      <c r="QI38" s="905"/>
      <c r="QJ38" s="851"/>
      <c r="QK38" s="777"/>
      <c r="QL38" s="778"/>
      <c r="QM38" s="778"/>
      <c r="QN38" s="778"/>
      <c r="QO38" s="778"/>
      <c r="QP38" s="799"/>
      <c r="QQ38" s="1056"/>
      <c r="QR38" s="1057"/>
      <c r="QS38" s="1185"/>
      <c r="QT38" s="1186"/>
      <c r="QU38" s="1067"/>
      <c r="QV38" s="1173"/>
      <c r="QW38" s="1175"/>
      <c r="QX38" s="848"/>
      <c r="RE38" s="653"/>
      <c r="RF38" s="653"/>
      <c r="RG38" s="653"/>
      <c r="RH38" s="653"/>
      <c r="RI38" s="653"/>
      <c r="RJ38" s="653"/>
      <c r="RK38" s="653"/>
      <c r="RL38" s="653"/>
      <c r="RM38" s="653"/>
      <c r="RN38" s="653"/>
      <c r="RO38" s="653"/>
      <c r="RP38" s="653"/>
      <c r="RQ38" s="653"/>
      <c r="RR38" s="653"/>
      <c r="RS38" s="653"/>
      <c r="RT38" s="653"/>
      <c r="RU38" s="653"/>
      <c r="RV38" s="653"/>
      <c r="RW38" s="653"/>
      <c r="RX38" s="653"/>
      <c r="RY38" s="653"/>
      <c r="RZ38" s="849"/>
      <c r="SA38" s="852" t="s">
        <v>416</v>
      </c>
      <c r="SB38" s="853"/>
      <c r="SC38" s="479"/>
      <c r="SD38" s="78"/>
      <c r="SE38" s="78"/>
      <c r="SF38" s="78"/>
      <c r="SG38" s="78"/>
      <c r="SH38" s="78"/>
      <c r="SI38" s="78"/>
      <c r="SJ38" s="479"/>
      <c r="SK38" s="76" t="s">
        <v>441</v>
      </c>
      <c r="SL38" s="854" t="s">
        <v>435</v>
      </c>
      <c r="SM38" s="1111"/>
      <c r="SN38" s="1072" t="s">
        <v>111</v>
      </c>
      <c r="SO38" s="1074"/>
      <c r="SP38" s="916" t="s">
        <v>704</v>
      </c>
      <c r="SQ38" s="917"/>
      <c r="SR38" s="906" t="s">
        <v>447</v>
      </c>
      <c r="SS38" s="907"/>
      <c r="ST38" s="907"/>
      <c r="SU38" s="908"/>
      <c r="SV38" s="906" t="s">
        <v>436</v>
      </c>
      <c r="SW38" s="908"/>
      <c r="SX38" s="130"/>
      <c r="SY38" s="130"/>
      <c r="SZ38" s="130"/>
      <c r="TA38" s="653"/>
      <c r="TB38" s="653"/>
      <c r="TC38" s="653"/>
      <c r="TD38" s="653"/>
      <c r="TE38" s="653"/>
      <c r="TF38" s="653"/>
      <c r="TG38" s="653"/>
      <c r="TH38" s="653"/>
      <c r="TI38" s="653"/>
      <c r="TJ38" s="653"/>
      <c r="TK38" s="653"/>
      <c r="TL38" s="653"/>
      <c r="TM38" s="653"/>
      <c r="TN38" s="653"/>
      <c r="TO38" s="653"/>
      <c r="TX38" s="653"/>
      <c r="TY38" s="653"/>
      <c r="TZ38" s="653"/>
      <c r="UA38" s="653"/>
      <c r="UB38" s="653"/>
      <c r="UC38" s="653"/>
      <c r="UD38" s="653"/>
      <c r="UE38" s="653"/>
      <c r="UF38" s="653"/>
      <c r="UG38" s="653"/>
      <c r="UH38" s="653"/>
      <c r="UI38" s="653"/>
      <c r="UJ38" s="653"/>
      <c r="UK38" s="653"/>
      <c r="UL38" s="653"/>
      <c r="UM38" s="653"/>
      <c r="UN38" s="653"/>
      <c r="UO38" s="653"/>
      <c r="UP38" s="653"/>
      <c r="UQ38" s="653"/>
      <c r="UR38" s="653"/>
      <c r="US38" s="653"/>
      <c r="UT38" s="653"/>
      <c r="UU38" s="653"/>
      <c r="UV38" s="653"/>
      <c r="UW38" s="653"/>
      <c r="UX38" s="653"/>
      <c r="UY38" s="653"/>
      <c r="UZ38" s="653"/>
      <c r="WE38" s="162"/>
      <c r="WF38" s="158"/>
      <c r="WG38" s="158"/>
      <c r="WH38" s="158"/>
      <c r="WI38" s="158"/>
      <c r="WJ38" s="163"/>
      <c r="WK38" s="169"/>
      <c r="WL38" s="170"/>
      <c r="WM38" s="170"/>
      <c r="WN38" s="170"/>
      <c r="WO38" s="170"/>
      <c r="WP38" s="170"/>
      <c r="WQ38" s="170"/>
      <c r="WR38" s="170"/>
      <c r="WS38" s="170"/>
      <c r="WT38" s="170"/>
      <c r="WU38" s="170"/>
      <c r="WV38" s="170"/>
      <c r="WW38" s="172"/>
      <c r="WX38" s="978"/>
      <c r="WY38" s="979"/>
      <c r="WZ38" s="756"/>
      <c r="XA38" s="756"/>
      <c r="XB38" s="169"/>
      <c r="XC38" s="170"/>
      <c r="XD38" s="170"/>
      <c r="XE38" s="170"/>
      <c r="XF38" s="172"/>
      <c r="XG38" s="967"/>
      <c r="XH38" s="967"/>
      <c r="XI38" s="967"/>
      <c r="XJ38" s="967"/>
      <c r="XK38" s="967"/>
      <c r="XL38" s="967"/>
      <c r="XM38" s="967"/>
      <c r="XN38" s="967"/>
      <c r="XO38" s="967"/>
      <c r="XP38" s="967"/>
      <c r="XQ38" s="967"/>
      <c r="XR38" s="967"/>
      <c r="XS38" s="967"/>
      <c r="XT38" s="967"/>
      <c r="XU38" s="967"/>
      <c r="XV38" s="967"/>
      <c r="XW38" s="967"/>
      <c r="XX38" s="967"/>
      <c r="XY38" s="967"/>
      <c r="XZ38" s="967"/>
      <c r="YA38" s="967"/>
      <c r="YB38" s="967"/>
      <c r="YC38" s="967"/>
      <c r="YD38" s="967"/>
      <c r="YE38" s="967"/>
      <c r="YF38" s="967"/>
      <c r="YG38" s="967"/>
      <c r="YH38" s="967"/>
      <c r="YI38" s="967"/>
      <c r="YJ38" s="967"/>
      <c r="YK38" s="967"/>
      <c r="YL38" s="967"/>
      <c r="YM38" s="967"/>
      <c r="YN38" s="967"/>
      <c r="YO38" s="967"/>
      <c r="YP38" s="967"/>
      <c r="YQ38" s="967"/>
      <c r="YR38" s="967"/>
      <c r="YS38" s="967"/>
      <c r="YT38" s="967"/>
      <c r="YU38" s="967"/>
      <c r="YV38" s="967"/>
      <c r="YW38" s="967"/>
      <c r="YX38" s="967"/>
      <c r="YY38" s="967"/>
      <c r="YZ38" s="967"/>
      <c r="ZA38" s="967"/>
      <c r="ZB38" s="967"/>
      <c r="ZC38" s="967"/>
      <c r="ZD38" s="967"/>
      <c r="ZE38" s="967"/>
      <c r="ZF38" s="967"/>
      <c r="ZG38" s="967"/>
      <c r="ZH38" s="967"/>
      <c r="ZI38" s="967"/>
      <c r="ZJ38" s="967"/>
      <c r="ZK38" s="967"/>
      <c r="ZL38" s="967"/>
      <c r="ZM38" s="967"/>
      <c r="ZN38" s="967"/>
      <c r="ZO38" s="967"/>
      <c r="ZP38" s="967"/>
      <c r="ZQ38" s="967"/>
      <c r="ZR38" s="967"/>
      <c r="ZS38" s="967"/>
      <c r="ZT38" s="967"/>
      <c r="ZU38" s="967"/>
      <c r="ZV38" s="967"/>
      <c r="ZW38" s="967"/>
      <c r="ZX38" s="967"/>
      <c r="ZY38" s="967"/>
      <c r="ZZ38" s="967"/>
      <c r="AAA38" s="967"/>
      <c r="AAB38" s="967"/>
      <c r="AAC38" s="967"/>
      <c r="AAD38" s="967"/>
      <c r="AAE38" s="967"/>
      <c r="AAF38" s="967"/>
      <c r="AAG38" s="967"/>
      <c r="AAH38" s="967"/>
      <c r="AAI38" s="967"/>
      <c r="AAJ38" s="967"/>
      <c r="AAK38" s="967"/>
      <c r="AAL38" s="967"/>
      <c r="AAM38" s="967"/>
      <c r="AAN38" s="967"/>
      <c r="AAO38" s="967"/>
      <c r="AAP38" s="967"/>
      <c r="AAQ38" s="967"/>
      <c r="AAR38" s="967"/>
      <c r="AAS38" s="967"/>
      <c r="AAT38" s="965"/>
      <c r="AAU38" s="756"/>
      <c r="AAV38" s="756"/>
      <c r="AAW38" s="169"/>
      <c r="AAX38" s="170"/>
      <c r="AAY38" s="170"/>
      <c r="AAZ38" s="170"/>
      <c r="ABA38" s="162"/>
      <c r="ABB38" s="158"/>
      <c r="ABC38" s="158"/>
      <c r="ABD38" s="163"/>
      <c r="ABE38" s="653"/>
      <c r="ABF38" s="653"/>
      <c r="ABG38" s="653"/>
      <c r="ABH38" s="653"/>
      <c r="ACJ38" s="759">
        <v>0.33333333300000001</v>
      </c>
      <c r="ACK38" s="760"/>
      <c r="ACL38" s="759">
        <v>-0.233333333</v>
      </c>
      <c r="ACM38" s="760"/>
      <c r="ACN38" s="592">
        <v>26</v>
      </c>
      <c r="ACO38" s="759">
        <f t="shared" si="0"/>
        <v>0.18666666658</v>
      </c>
      <c r="ACP38" s="760"/>
      <c r="ACQ38" s="757">
        <f t="shared" si="1"/>
        <v>1.26</v>
      </c>
      <c r="ACR38" s="758"/>
      <c r="ACT38" s="759">
        <v>1</v>
      </c>
      <c r="ACU38" s="760"/>
      <c r="ACV38" s="759">
        <v>-1.2</v>
      </c>
      <c r="ACW38" s="760"/>
      <c r="ACX38" s="592">
        <v>76</v>
      </c>
      <c r="ACY38" s="759">
        <f t="shared" si="8"/>
        <v>0.56000000000000005</v>
      </c>
      <c r="ACZ38" s="760"/>
      <c r="ADA38" s="757">
        <f t="shared" si="2"/>
        <v>1.76</v>
      </c>
      <c r="ADB38" s="758"/>
      <c r="ADD38" s="1112">
        <v>1.1052631578947401</v>
      </c>
      <c r="ADE38" s="1112"/>
      <c r="ADF38" s="1112">
        <v>-1.42105263157895</v>
      </c>
      <c r="ADG38" s="1112"/>
      <c r="ADH38" s="591">
        <v>125</v>
      </c>
      <c r="ADI38" s="759">
        <f t="shared" si="3"/>
        <v>1.0657894736842151</v>
      </c>
      <c r="ADJ38" s="760"/>
      <c r="ADK38" s="757">
        <f t="shared" si="4"/>
        <v>2.25</v>
      </c>
      <c r="ADL38" s="758"/>
      <c r="ADN38" s="759">
        <v>1.1052631580000001</v>
      </c>
      <c r="ADO38" s="760"/>
      <c r="ADP38" s="759">
        <v>-1.42105263157895</v>
      </c>
      <c r="ADQ38" s="760"/>
      <c r="ADR38" s="591">
        <v>175</v>
      </c>
      <c r="ADS38" s="759">
        <f t="shared" si="9"/>
        <v>1.6184210529210503</v>
      </c>
      <c r="ADT38" s="760"/>
      <c r="ADU38" s="757">
        <f t="shared" si="5"/>
        <v>2.75</v>
      </c>
      <c r="ADV38" s="758"/>
      <c r="ADX38" s="759">
        <v>1.1052631580000001</v>
      </c>
      <c r="ADY38" s="760"/>
      <c r="ADZ38" s="759">
        <v>-1.42105263157895</v>
      </c>
      <c r="AEA38" s="760"/>
      <c r="AEB38" s="591">
        <v>225</v>
      </c>
      <c r="AEC38" s="759">
        <f t="shared" si="10"/>
        <v>2.1710526319210501</v>
      </c>
      <c r="AED38" s="760"/>
      <c r="AEE38" s="757">
        <f t="shared" si="6"/>
        <v>3.25</v>
      </c>
      <c r="AEF38" s="758"/>
      <c r="AEH38" s="759">
        <v>1.1052631580000001</v>
      </c>
      <c r="AEI38" s="760"/>
      <c r="AEJ38" s="759">
        <v>-1.42105263157895</v>
      </c>
      <c r="AEK38" s="760"/>
      <c r="AEL38" s="591">
        <v>275</v>
      </c>
      <c r="AEM38" s="759">
        <f t="shared" si="37"/>
        <v>2.7236842109210504</v>
      </c>
      <c r="AEN38" s="760"/>
      <c r="AEO38" s="757">
        <f t="shared" si="7"/>
        <v>3.75</v>
      </c>
      <c r="AEP38" s="758"/>
      <c r="AEY38" s="653"/>
      <c r="AEZ38" s="653"/>
      <c r="AFA38" s="653"/>
      <c r="AFB38" s="653"/>
      <c r="AFC38" s="653"/>
      <c r="AFD38" s="653"/>
      <c r="AFE38" s="653"/>
      <c r="AFG38" s="653"/>
      <c r="AFH38" s="653"/>
      <c r="AFI38" s="653"/>
      <c r="AFJ38" s="653"/>
      <c r="AFK38" s="653"/>
      <c r="AFL38" s="653"/>
      <c r="AFM38" s="653"/>
      <c r="AFN38" s="653"/>
      <c r="AFO38" s="653"/>
      <c r="AFP38" s="653"/>
      <c r="AFQ38" s="653"/>
      <c r="AFR38" s="653"/>
      <c r="AFS38" s="653"/>
      <c r="AFT38" s="653"/>
      <c r="AFU38" s="653"/>
      <c r="AFV38" s="653"/>
      <c r="AFW38" s="653"/>
      <c r="AFX38" s="653"/>
      <c r="AFY38" s="653"/>
      <c r="AFZ38" s="653"/>
      <c r="AGA38" s="653"/>
      <c r="AGB38" s="653"/>
      <c r="AGC38" s="653"/>
      <c r="AGD38" s="653"/>
      <c r="AGE38" s="653"/>
      <c r="AGF38" s="653"/>
      <c r="AGG38" s="653"/>
      <c r="AGH38" s="653"/>
      <c r="AGI38" s="653"/>
      <c r="AGJ38" s="653"/>
      <c r="AGN38" s="199"/>
      <c r="AGO38" s="852" t="s">
        <v>1733</v>
      </c>
      <c r="AGP38" s="923"/>
      <c r="AGQ38" s="199"/>
      <c r="AGR38" s="1069" t="s">
        <v>1003</v>
      </c>
      <c r="AGS38" s="1070"/>
      <c r="AGT38" s="1070"/>
      <c r="AGU38" s="1070"/>
      <c r="AGV38" s="1070"/>
      <c r="AGW38" s="1070"/>
      <c r="AGX38" s="1070"/>
      <c r="AGY38" s="1070"/>
      <c r="AGZ38" s="1070"/>
      <c r="AHA38" s="1070"/>
      <c r="AHB38" s="1071"/>
      <c r="AHC38" s="199"/>
      <c r="AID38" s="130"/>
      <c r="AIE38" s="130"/>
      <c r="AIF38" s="130"/>
      <c r="AIG38" s="439" t="s">
        <v>1458</v>
      </c>
      <c r="AIH38" s="1110">
        <f>$SN$14</f>
        <v>0.62254292331678773</v>
      </c>
      <c r="AII38" s="1110"/>
      <c r="AIJ38" s="130"/>
      <c r="AIK38" s="800" t="s">
        <v>1061</v>
      </c>
      <c r="AIL38" s="801"/>
      <c r="AIM38" s="761">
        <f>$EQ$45</f>
        <v>4</v>
      </c>
      <c r="AIN38" s="761"/>
      <c r="AIP38" s="130"/>
      <c r="AIT38" s="130"/>
      <c r="AOJ38" s="130"/>
      <c r="AOK38" s="130"/>
      <c r="AOL38" s="130"/>
      <c r="AQL38" s="130"/>
      <c r="ARI38" s="653"/>
      <c r="ARJ38" s="653"/>
      <c r="ARK38" s="653"/>
      <c r="ARL38" s="653"/>
      <c r="ARM38" s="653"/>
      <c r="ARN38" s="653"/>
      <c r="ARO38" s="653"/>
      <c r="ARP38" s="653"/>
      <c r="ATC38" s="653"/>
    </row>
    <row r="39" spans="3:932 1076:1297" ht="48" customHeight="1" thickBot="1">
      <c r="D39" s="162"/>
      <c r="E39" s="1722"/>
      <c r="F39" s="1724"/>
      <c r="G39" s="1723"/>
      <c r="H39" s="158"/>
      <c r="I39" s="158"/>
      <c r="J39" s="158"/>
      <c r="K39" s="158"/>
      <c r="L39" s="158"/>
      <c r="M39" s="158"/>
      <c r="N39" s="158"/>
      <c r="O39" s="158"/>
      <c r="P39" s="158"/>
      <c r="Q39" s="158"/>
      <c r="R39" s="158"/>
      <c r="S39" s="158"/>
      <c r="T39" s="158"/>
      <c r="U39" s="158"/>
      <c r="V39" s="158"/>
      <c r="W39" s="158"/>
      <c r="X39" s="158"/>
      <c r="Y39" s="163"/>
      <c r="AI39" s="162"/>
      <c r="AJ39" s="903"/>
      <c r="AK39" s="904"/>
      <c r="AL39" s="905"/>
      <c r="AM39" s="851"/>
      <c r="AN39" s="769"/>
      <c r="AO39" s="764"/>
      <c r="AP39" s="764"/>
      <c r="AQ39" s="764"/>
      <c r="AR39" s="764"/>
      <c r="AS39" s="764"/>
      <c r="AT39" s="764"/>
      <c r="AU39" s="764"/>
      <c r="AV39" s="764"/>
      <c r="AW39" s="764"/>
      <c r="AX39" s="765"/>
      <c r="AY39" s="1714"/>
      <c r="AZ39" s="1715"/>
      <c r="BA39" s="1077"/>
      <c r="BB39" s="1078"/>
      <c r="BC39" s="848"/>
      <c r="BD39" s="918"/>
      <c r="BE39" s="919"/>
      <c r="BF39" s="848"/>
      <c r="BG39" s="158"/>
      <c r="BH39" s="158"/>
      <c r="BI39" s="158"/>
      <c r="BJ39" s="163"/>
      <c r="BM39" s="126"/>
      <c r="BN39" s="126"/>
      <c r="BO39" s="126"/>
      <c r="BP39" s="126"/>
      <c r="BQ39" s="126"/>
      <c r="BR39" s="126"/>
      <c r="BS39" s="126"/>
      <c r="BT39" s="126"/>
      <c r="BX39" s="849"/>
      <c r="BY39" s="852" t="s">
        <v>22</v>
      </c>
      <c r="BZ39" s="853"/>
      <c r="CA39" s="124"/>
      <c r="CB39" s="332" t="s">
        <v>816</v>
      </c>
      <c r="CC39" s="766">
        <f>$AP$9</f>
        <v>3</v>
      </c>
      <c r="CD39" s="766"/>
      <c r="CE39" s="78"/>
      <c r="CF39" s="78"/>
      <c r="CG39" s="78"/>
      <c r="CH39" s="124"/>
      <c r="CI39" s="76" t="s">
        <v>441</v>
      </c>
      <c r="CJ39" s="854" t="s">
        <v>435</v>
      </c>
      <c r="CK39" s="855"/>
      <c r="CL39" s="920" t="s">
        <v>111</v>
      </c>
      <c r="CM39" s="921"/>
      <c r="CN39" s="916" t="s">
        <v>704</v>
      </c>
      <c r="CO39" s="917"/>
      <c r="CP39" s="906" t="s">
        <v>447</v>
      </c>
      <c r="CQ39" s="907"/>
      <c r="CR39" s="907"/>
      <c r="CS39" s="908"/>
      <c r="CT39" s="1051" t="s">
        <v>436</v>
      </c>
      <c r="CU39" s="1051"/>
      <c r="CV39" s="1051"/>
      <c r="CW39" s="1051"/>
      <c r="DL39" s="130"/>
      <c r="DM39" s="130"/>
      <c r="DN39" s="130"/>
      <c r="DR39" s="653"/>
      <c r="DS39" s="653"/>
      <c r="DT39" s="653"/>
      <c r="DU39" s="653"/>
      <c r="DV39" s="653"/>
      <c r="GF39" s="1052"/>
      <c r="GG39" s="852" t="s">
        <v>416</v>
      </c>
      <c r="GH39" s="923"/>
      <c r="GI39" s="233"/>
      <c r="GJ39" s="234" t="s">
        <v>1069</v>
      </c>
      <c r="GK39" s="761">
        <f>$CI$79</f>
        <v>0.95799999999999996</v>
      </c>
      <c r="GL39" s="761"/>
      <c r="GM39" s="78"/>
      <c r="GN39" s="78"/>
      <c r="GO39" s="78"/>
      <c r="GP39" s="136"/>
      <c r="GQ39" s="76" t="s">
        <v>441</v>
      </c>
      <c r="GR39" s="854" t="s">
        <v>435</v>
      </c>
      <c r="GS39" s="855"/>
      <c r="GT39" s="920" t="s">
        <v>111</v>
      </c>
      <c r="GU39" s="921"/>
      <c r="GV39" s="916" t="s">
        <v>704</v>
      </c>
      <c r="GW39" s="917"/>
      <c r="GX39" s="906" t="s">
        <v>447</v>
      </c>
      <c r="GY39" s="907"/>
      <c r="GZ39" s="907"/>
      <c r="HA39" s="908"/>
      <c r="HB39" s="1051" t="s">
        <v>436</v>
      </c>
      <c r="HC39" s="1051"/>
      <c r="HD39" s="1051"/>
      <c r="HE39" s="1051"/>
      <c r="HF39" s="1051"/>
      <c r="IR39" s="1053"/>
      <c r="IS39" s="226" t="s">
        <v>1084</v>
      </c>
      <c r="IT39" s="879">
        <f>$JG$42</f>
        <v>1520</v>
      </c>
      <c r="IU39" s="879"/>
      <c r="IV39" s="794"/>
      <c r="IW39" s="795"/>
      <c r="IX39" s="795"/>
      <c r="IY39" s="795"/>
      <c r="IZ39" s="795"/>
      <c r="JA39" s="795"/>
      <c r="JB39" s="795"/>
      <c r="JC39" s="837"/>
      <c r="JD39" s="838"/>
      <c r="JE39" s="933"/>
      <c r="JF39" s="934"/>
      <c r="JG39" s="842"/>
      <c r="JH39" s="1173"/>
      <c r="JI39" s="1175"/>
      <c r="JJ39" s="848"/>
      <c r="JK39" s="1053"/>
      <c r="JL39" s="1053"/>
      <c r="JM39" s="1053"/>
      <c r="JN39" s="1053"/>
      <c r="JO39" s="1053"/>
      <c r="LO39" s="130"/>
      <c r="LP39" s="130"/>
      <c r="LQ39" s="130"/>
      <c r="LR39" s="130"/>
      <c r="LS39" s="130"/>
      <c r="LT39" s="130"/>
      <c r="LU39" s="130"/>
      <c r="LV39" s="130"/>
      <c r="MB39" s="1299"/>
      <c r="MC39" s="850"/>
      <c r="MD39" s="809" t="s">
        <v>81</v>
      </c>
      <c r="ME39" s="797"/>
      <c r="MF39" s="797"/>
      <c r="MG39" s="797"/>
      <c r="MH39" s="797"/>
      <c r="MI39" s="797"/>
      <c r="MJ39" s="797"/>
      <c r="MK39" s="797"/>
      <c r="ML39" s="797"/>
      <c r="MM39" s="797"/>
      <c r="MN39" s="797"/>
      <c r="MO39" s="797"/>
      <c r="MP39" s="797"/>
      <c r="MQ39" s="885">
        <v>0.01</v>
      </c>
      <c r="MR39" s="886"/>
      <c r="MS39" s="1261" t="s">
        <v>706</v>
      </c>
      <c r="MT39" s="1262"/>
      <c r="MU39" s="841"/>
      <c r="MV39" s="1176" t="s">
        <v>966</v>
      </c>
      <c r="MW39" s="1178"/>
      <c r="MX39" s="841"/>
      <c r="NB39" s="130"/>
      <c r="NE39" s="653"/>
      <c r="NF39" s="653"/>
      <c r="NG39" s="653"/>
      <c r="NH39" s="653"/>
      <c r="NI39" s="653"/>
      <c r="NJ39" s="653"/>
      <c r="NK39" s="377"/>
      <c r="NL39" s="373"/>
      <c r="NM39" s="373"/>
      <c r="NN39" s="373"/>
      <c r="NO39" s="373"/>
      <c r="NP39" s="373"/>
      <c r="NQ39" s="373"/>
      <c r="NR39" s="373"/>
      <c r="NS39" s="373"/>
      <c r="NT39" s="373"/>
      <c r="NU39" s="373"/>
      <c r="NV39" s="373"/>
      <c r="NW39" s="373"/>
      <c r="NX39" s="373"/>
      <c r="NY39" s="373"/>
      <c r="NZ39" s="373"/>
      <c r="OA39" s="373"/>
      <c r="OB39" s="373"/>
      <c r="OC39" s="373"/>
      <c r="OD39" s="373"/>
      <c r="OE39" s="373"/>
      <c r="OF39" s="374"/>
      <c r="QL39" s="130"/>
      <c r="QM39" s="130"/>
      <c r="QN39" s="130"/>
      <c r="RE39" s="653"/>
      <c r="RF39" s="653"/>
      <c r="RG39" s="653"/>
      <c r="RH39" s="653"/>
      <c r="RI39" s="653"/>
      <c r="RJ39" s="653"/>
      <c r="RK39" s="653"/>
      <c r="RL39" s="653"/>
      <c r="RM39" s="653"/>
      <c r="RN39" s="653"/>
      <c r="RO39" s="653"/>
      <c r="RP39" s="653"/>
      <c r="RQ39" s="653"/>
      <c r="RR39" s="653"/>
      <c r="RS39" s="653"/>
      <c r="RT39" s="653"/>
      <c r="RU39" s="653"/>
      <c r="RV39" s="653"/>
      <c r="RW39" s="653"/>
      <c r="RX39" s="653"/>
      <c r="RY39" s="653"/>
      <c r="RZ39" s="850"/>
      <c r="SA39" s="829" t="s">
        <v>1686</v>
      </c>
      <c r="SB39" s="830"/>
      <c r="SC39" s="830"/>
      <c r="SD39" s="830"/>
      <c r="SE39" s="830"/>
      <c r="SF39" s="830"/>
      <c r="SG39" s="830"/>
      <c r="SH39" s="830"/>
      <c r="SI39" s="830"/>
      <c r="SJ39" s="830"/>
      <c r="SK39" s="830"/>
      <c r="SL39" s="830"/>
      <c r="SM39" s="831"/>
      <c r="SN39" s="1086">
        <v>0</v>
      </c>
      <c r="SO39" s="1087"/>
      <c r="SP39" s="1341" t="s">
        <v>729</v>
      </c>
      <c r="SQ39" s="1342"/>
      <c r="SR39" s="1066"/>
      <c r="SS39" s="1170" t="s">
        <v>1613</v>
      </c>
      <c r="ST39" s="1172"/>
      <c r="SU39" s="847"/>
      <c r="SV39" s="826"/>
      <c r="SW39" s="946"/>
      <c r="SX39" s="130"/>
      <c r="SY39" s="130"/>
      <c r="SZ39" s="130"/>
      <c r="TA39" s="653"/>
      <c r="TB39" s="653"/>
      <c r="TC39" s="653"/>
      <c r="TD39" s="653"/>
      <c r="TE39" s="653"/>
      <c r="TF39" s="653"/>
      <c r="TG39" s="653"/>
      <c r="TH39" s="653"/>
      <c r="TI39" s="653"/>
      <c r="TJ39" s="653"/>
      <c r="TK39" s="653"/>
      <c r="TL39" s="653"/>
      <c r="TM39" s="653"/>
      <c r="TN39" s="653"/>
      <c r="TO39" s="653"/>
      <c r="TP39" s="653"/>
      <c r="TQ39" s="653"/>
      <c r="TR39" s="653"/>
      <c r="TS39" s="653"/>
      <c r="TT39" s="653"/>
      <c r="TU39" s="653"/>
      <c r="TX39" s="653"/>
      <c r="TY39" s="653"/>
      <c r="TZ39" s="653"/>
      <c r="UA39" s="653"/>
      <c r="UB39" s="653"/>
      <c r="UC39" s="653"/>
      <c r="UD39" s="653"/>
      <c r="UE39" s="653"/>
      <c r="UF39" s="653"/>
      <c r="UG39" s="653"/>
      <c r="UH39" s="653"/>
      <c r="UI39" s="653"/>
      <c r="UJ39" s="653"/>
      <c r="UK39" s="653"/>
      <c r="UL39" s="653"/>
      <c r="UM39" s="653"/>
      <c r="UN39" s="653"/>
      <c r="UO39" s="653"/>
      <c r="UP39" s="653"/>
      <c r="UQ39" s="653"/>
      <c r="UR39" s="653"/>
      <c r="US39" s="653"/>
      <c r="UT39" s="653"/>
      <c r="UU39" s="653"/>
      <c r="UV39" s="653"/>
      <c r="UW39" s="653"/>
      <c r="UX39" s="653"/>
      <c r="UY39" s="653"/>
      <c r="UZ39" s="653"/>
      <c r="WE39" s="162"/>
      <c r="WF39" s="158"/>
      <c r="WG39" s="158"/>
      <c r="WH39" s="158"/>
      <c r="WI39" s="158"/>
      <c r="WJ39" s="163"/>
      <c r="WK39" s="940" t="s">
        <v>1350</v>
      </c>
      <c r="WL39" s="941"/>
      <c r="WM39" s="937">
        <f>$SN$22</f>
        <v>1.0287777591472789</v>
      </c>
      <c r="WN39" s="937"/>
      <c r="WO39" s="168"/>
      <c r="WP39" s="168"/>
      <c r="WQ39" s="168"/>
      <c r="WR39" s="168"/>
      <c r="WS39" s="168"/>
      <c r="WT39" s="168"/>
      <c r="WU39" s="168"/>
      <c r="WV39" s="168"/>
      <c r="WW39" s="171"/>
      <c r="WX39" s="976">
        <v>10</v>
      </c>
      <c r="WY39" s="977"/>
      <c r="WZ39" s="756" t="s">
        <v>32</v>
      </c>
      <c r="XA39" s="756"/>
      <c r="XB39" s="167"/>
      <c r="XC39" s="168"/>
      <c r="XD39" s="168"/>
      <c r="XE39" s="168"/>
      <c r="XF39" s="171"/>
      <c r="XG39" s="966">
        <f t="shared" ref="XG39:YL39" si="38">$WM$39*XG27</f>
        <v>2.6614421758641669</v>
      </c>
      <c r="XH39" s="966">
        <f t="shared" si="38"/>
        <v>5.3129834342872515</v>
      </c>
      <c r="XI39" s="966">
        <f t="shared" si="38"/>
        <v>7.953983438382223</v>
      </c>
      <c r="XJ39" s="966">
        <f t="shared" si="38"/>
        <v>10.583817601409967</v>
      </c>
      <c r="XK39" s="966">
        <f t="shared" si="38"/>
        <v>13.201877665427302</v>
      </c>
      <c r="XL39" s="966">
        <f t="shared" si="38"/>
        <v>15.807572232424715</v>
      </c>
      <c r="XM39" s="966">
        <f t="shared" si="38"/>
        <v>18.400327247513587</v>
      </c>
      <c r="XN39" s="966">
        <f t="shared" si="38"/>
        <v>20.979586433940909</v>
      </c>
      <c r="XO39" s="966">
        <f t="shared" si="38"/>
        <v>23.544811679921207</v>
      </c>
      <c r="XP39" s="966">
        <f t="shared" si="38"/>
        <v>26.095483377479702</v>
      </c>
      <c r="XQ39" s="966">
        <f t="shared" si="38"/>
        <v>28.631100713696004</v>
      </c>
      <c r="XR39" s="966">
        <f t="shared" si="38"/>
        <v>31.151181914923331</v>
      </c>
      <c r="XS39" s="966">
        <f t="shared" si="38"/>
        <v>33.655264444733547</v>
      </c>
      <c r="XT39" s="966">
        <f t="shared" si="38"/>
        <v>36.142905156501691</v>
      </c>
      <c r="XU39" s="966">
        <f t="shared" si="38"/>
        <v>38.613680401695703</v>
      </c>
      <c r="XV39" s="966">
        <f t="shared" si="38"/>
        <v>41.067186095076764</v>
      </c>
      <c r="XW39" s="966">
        <f t="shared" si="38"/>
        <v>43.503037738141778</v>
      </c>
      <c r="XX39" s="966">
        <f t="shared" si="38"/>
        <v>45.920870402253954</v>
      </c>
      <c r="XY39" s="966">
        <f t="shared" si="38"/>
        <v>48.320338673008123</v>
      </c>
      <c r="XZ39" s="966">
        <f t="shared" si="38"/>
        <v>50.70111655746468</v>
      </c>
      <c r="YA39" s="966">
        <f t="shared" si="38"/>
        <v>53.062897355962207</v>
      </c>
      <c r="YB39" s="966">
        <f t="shared" si="38"/>
        <v>55.405393500279743</v>
      </c>
      <c r="YC39" s="966">
        <f t="shared" si="38"/>
        <v>57.728336359971053</v>
      </c>
      <c r="YD39" s="966">
        <f t="shared" si="38"/>
        <v>60.03147601872999</v>
      </c>
      <c r="YE39" s="966">
        <f t="shared" si="38"/>
        <v>62.314581022674055</v>
      </c>
      <c r="YF39" s="966">
        <f t="shared" si="38"/>
        <v>64.577438102447786</v>
      </c>
      <c r="YG39" s="966">
        <f t="shared" si="38"/>
        <v>66.819851871053643</v>
      </c>
      <c r="YH39" s="966">
        <f t="shared" si="38"/>
        <v>69.04164449931308</v>
      </c>
      <c r="YI39" s="966">
        <f t="shared" si="38"/>
        <v>71.242655370847459</v>
      </c>
      <c r="YJ39" s="966">
        <f t="shared" si="38"/>
        <v>73.422740718446164</v>
      </c>
      <c r="YK39" s="966">
        <f t="shared" si="38"/>
        <v>75.581773243659441</v>
      </c>
      <c r="YL39" s="966">
        <f t="shared" si="38"/>
        <v>77.719641721416835</v>
      </c>
      <c r="YM39" s="966">
        <f t="shared" ref="YM39:ZR39" si="39">$WM$39*YM27</f>
        <v>79.836250591429064</v>
      </c>
      <c r="YN39" s="966">
        <f t="shared" si="39"/>
        <v>81.931519538081972</v>
      </c>
      <c r="YO39" s="966">
        <f t="shared" si="39"/>
        <v>84.005383060477797</v>
      </c>
      <c r="YP39" s="966">
        <f t="shared" si="39"/>
        <v>86.057790034220645</v>
      </c>
      <c r="YQ39" s="966">
        <f t="shared" si="39"/>
        <v>88.088703266481218</v>
      </c>
      <c r="YR39" s="966">
        <f t="shared" si="39"/>
        <v>90.098099045811324</v>
      </c>
      <c r="YS39" s="966">
        <f t="shared" si="39"/>
        <v>92.085966688110929</v>
      </c>
      <c r="YT39" s="966">
        <f t="shared" si="39"/>
        <v>94.052308080082</v>
      </c>
      <c r="YU39" s="966">
        <f t="shared" si="39"/>
        <v>95.997137221432183</v>
      </c>
      <c r="YV39" s="966">
        <f t="shared" si="39"/>
        <v>97.92047976702041</v>
      </c>
      <c r="YW39" s="966">
        <f t="shared" si="39"/>
        <v>99.822372570064672</v>
      </c>
      <c r="YX39" s="966">
        <f t="shared" si="39"/>
        <v>101.7028632274605</v>
      </c>
      <c r="YY39" s="966">
        <f t="shared" si="39"/>
        <v>103.56200962818707</v>
      </c>
      <c r="YZ39" s="966">
        <f t="shared" si="39"/>
        <v>105.39987950570791</v>
      </c>
      <c r="ZA39" s="966">
        <f t="shared" si="39"/>
        <v>107.21654999520324</v>
      </c>
      <c r="ZB39" s="966">
        <f t="shared" si="39"/>
        <v>109.01210719640311</v>
      </c>
      <c r="ZC39" s="966">
        <f t="shared" si="39"/>
        <v>110.78664574272402</v>
      </c>
      <c r="ZD39" s="966">
        <f t="shared" si="39"/>
        <v>112.54026837734745</v>
      </c>
      <c r="ZE39" s="966">
        <f t="shared" si="39"/>
        <v>114.27308553681596</v>
      </c>
      <c r="ZF39" s="966">
        <f t="shared" si="39"/>
        <v>115.98521494266166</v>
      </c>
      <c r="ZG39" s="966">
        <f t="shared" si="39"/>
        <v>117.67678120152534</v>
      </c>
      <c r="ZH39" s="966">
        <f t="shared" si="39"/>
        <v>119.34791541416747</v>
      </c>
      <c r="ZI39" s="966">
        <f t="shared" si="39"/>
        <v>120.99875479371984</v>
      </c>
      <c r="ZJ39" s="966">
        <f t="shared" si="39"/>
        <v>122.62944229347644</v>
      </c>
      <c r="ZK39" s="966">
        <f t="shared" si="39"/>
        <v>124.24012624447377</v>
      </c>
      <c r="ZL39" s="966">
        <f t="shared" si="39"/>
        <v>125.83096000306591</v>
      </c>
      <c r="ZM39" s="966">
        <f t="shared" si="39"/>
        <v>127.40210160865675</v>
      </c>
      <c r="ZN39" s="966">
        <f t="shared" si="39"/>
        <v>128.95371345171191</v>
      </c>
      <c r="ZO39" s="966">
        <f t="shared" si="39"/>
        <v>130.48596195213565</v>
      </c>
      <c r="ZP39" s="966">
        <f t="shared" si="39"/>
        <v>131.99901724806267</v>
      </c>
      <c r="ZQ39" s="966">
        <f t="shared" si="39"/>
        <v>133.49305289508243</v>
      </c>
      <c r="ZR39" s="966">
        <f t="shared" si="39"/>
        <v>134.96824557588434</v>
      </c>
      <c r="ZS39" s="966">
        <f t="shared" ref="ZS39:AAS39" si="40">$WM$39*ZS27</f>
        <v>136.42477482028289</v>
      </c>
      <c r="ZT39" s="966">
        <f t="shared" si="40"/>
        <v>137.8628227355583</v>
      </c>
      <c r="ZU39" s="966">
        <f t="shared" si="40"/>
        <v>139.28257374702332</v>
      </c>
      <c r="ZV39" s="966">
        <f t="shared" si="40"/>
        <v>140.68421434870751</v>
      </c>
      <c r="ZW39" s="966">
        <f t="shared" si="40"/>
        <v>142.06793286402933</v>
      </c>
      <c r="ZX39" s="966">
        <f t="shared" si="40"/>
        <v>143.43391921631056</v>
      </c>
      <c r="ZY39" s="966">
        <f t="shared" si="40"/>
        <v>144.78236470897224</v>
      </c>
      <c r="ZZ39" s="966">
        <f t="shared" si="40"/>
        <v>146.11346181523672</v>
      </c>
      <c r="AAA39" s="966">
        <f t="shared" si="40"/>
        <v>147.42740397714959</v>
      </c>
      <c r="AAB39" s="966">
        <f t="shared" si="40"/>
        <v>148.72438541372426</v>
      </c>
      <c r="AAC39" s="966">
        <f t="shared" si="40"/>
        <v>150.00460093800311</v>
      </c>
      <c r="AAD39" s="966">
        <f t="shared" si="40"/>
        <v>151.26824578282162</v>
      </c>
      <c r="AAE39" s="966">
        <f t="shared" si="40"/>
        <v>152.51551543505622</v>
      </c>
      <c r="AAF39" s="966">
        <f t="shared" si="40"/>
        <v>153.74660547812982</v>
      </c>
      <c r="AAG39" s="966">
        <f t="shared" si="40"/>
        <v>154.96171144254708</v>
      </c>
      <c r="AAH39" s="966">
        <f t="shared" si="40"/>
        <v>156.16102866422716</v>
      </c>
      <c r="AAI39" s="966">
        <f t="shared" si="40"/>
        <v>157.3447521504003</v>
      </c>
      <c r="AAJ39" s="966">
        <f t="shared" si="40"/>
        <v>158.51307645283242</v>
      </c>
      <c r="AAK39" s="966">
        <f t="shared" si="40"/>
        <v>159.66619554814383</v>
      </c>
      <c r="AAL39" s="966">
        <f t="shared" si="40"/>
        <v>160.80430272498572</v>
      </c>
      <c r="AAM39" s="966">
        <f t="shared" si="40"/>
        <v>161.92759047784088</v>
      </c>
      <c r="AAN39" s="966">
        <f t="shared" si="40"/>
        <v>163.03625040721738</v>
      </c>
      <c r="AAO39" s="966">
        <f t="shared" si="40"/>
        <v>164.13047312600327</v>
      </c>
      <c r="AAP39" s="966">
        <f t="shared" si="40"/>
        <v>165.21044817175712</v>
      </c>
      <c r="AAQ39" s="966">
        <f t="shared" si="40"/>
        <v>166.27636392470797</v>
      </c>
      <c r="AAR39" s="966">
        <f t="shared" si="40"/>
        <v>167.32840753124566</v>
      </c>
      <c r="AAS39" s="966">
        <f t="shared" si="40"/>
        <v>168.36676483268408</v>
      </c>
      <c r="AAT39" s="964">
        <v>10</v>
      </c>
      <c r="AAU39" s="756" t="s">
        <v>32</v>
      </c>
      <c r="AAV39" s="756"/>
      <c r="AAW39" s="167"/>
      <c r="AAX39" s="168"/>
      <c r="AAY39" s="171"/>
      <c r="AAZ39" s="158"/>
      <c r="ABA39" s="162"/>
      <c r="ABB39" s="158"/>
      <c r="ABC39" s="158"/>
      <c r="ABD39" s="163"/>
      <c r="ACJ39" s="759">
        <v>0.33333333300000001</v>
      </c>
      <c r="ACK39" s="760"/>
      <c r="ACL39" s="759">
        <v>-0.233333333</v>
      </c>
      <c r="ACM39" s="760"/>
      <c r="ACN39" s="592">
        <v>27</v>
      </c>
      <c r="ACO39" s="759">
        <f t="shared" si="0"/>
        <v>0.18999999991000002</v>
      </c>
      <c r="ACP39" s="760"/>
      <c r="ACQ39" s="757">
        <f t="shared" si="1"/>
        <v>1.27</v>
      </c>
      <c r="ACR39" s="758"/>
      <c r="ACT39" s="759">
        <v>1</v>
      </c>
      <c r="ACU39" s="760"/>
      <c r="ACV39" s="759">
        <v>-1.2</v>
      </c>
      <c r="ACW39" s="760"/>
      <c r="ACX39" s="592">
        <v>77</v>
      </c>
      <c r="ACY39" s="759">
        <f t="shared" si="8"/>
        <v>0.57000000000000006</v>
      </c>
      <c r="ACZ39" s="760"/>
      <c r="ADA39" s="757">
        <f t="shared" si="2"/>
        <v>1.77</v>
      </c>
      <c r="ADB39" s="758"/>
      <c r="ADD39" s="1112">
        <v>1.1052631578947401</v>
      </c>
      <c r="ADE39" s="1112"/>
      <c r="ADF39" s="1112">
        <v>-1.42105263157895</v>
      </c>
      <c r="ADG39" s="1112"/>
      <c r="ADH39" s="591">
        <v>126</v>
      </c>
      <c r="ADI39" s="759">
        <f t="shared" si="3"/>
        <v>1.0768421052631623</v>
      </c>
      <c r="ADJ39" s="760"/>
      <c r="ADK39" s="757">
        <f t="shared" si="4"/>
        <v>2.2599999999999998</v>
      </c>
      <c r="ADL39" s="758"/>
      <c r="ADN39" s="759">
        <v>1.1052631580000001</v>
      </c>
      <c r="ADO39" s="760"/>
      <c r="ADP39" s="759">
        <v>-1.42105263157895</v>
      </c>
      <c r="ADQ39" s="760"/>
      <c r="ADR39" s="591">
        <v>176</v>
      </c>
      <c r="ADS39" s="759">
        <f t="shared" si="9"/>
        <v>1.62947368450105</v>
      </c>
      <c r="ADT39" s="760"/>
      <c r="ADU39" s="757">
        <f t="shared" si="5"/>
        <v>2.76</v>
      </c>
      <c r="ADV39" s="758"/>
      <c r="ADX39" s="759">
        <v>1.1052631580000001</v>
      </c>
      <c r="ADY39" s="760"/>
      <c r="ADZ39" s="759">
        <v>-1.42105263157895</v>
      </c>
      <c r="AEA39" s="760"/>
      <c r="AEB39" s="591">
        <v>226</v>
      </c>
      <c r="AEC39" s="759">
        <f t="shared" si="10"/>
        <v>2.1821052635010507</v>
      </c>
      <c r="AED39" s="760"/>
      <c r="AEE39" s="757">
        <f t="shared" si="6"/>
        <v>3.2600000000000002</v>
      </c>
      <c r="AEF39" s="758"/>
      <c r="AEH39" s="759">
        <v>1.1052631580000001</v>
      </c>
      <c r="AEI39" s="760"/>
      <c r="AEJ39" s="759">
        <v>-1.42105263157895</v>
      </c>
      <c r="AEK39" s="760"/>
      <c r="AEL39" s="591">
        <v>276</v>
      </c>
      <c r="AEM39" s="759">
        <f t="shared" si="37"/>
        <v>2.7347368425010505</v>
      </c>
      <c r="AEN39" s="760"/>
      <c r="AEO39" s="757">
        <f t="shared" si="7"/>
        <v>3.7600000000000002</v>
      </c>
      <c r="AEP39" s="758"/>
      <c r="AID39" s="130"/>
      <c r="AIE39" s="130"/>
      <c r="AIF39" s="130"/>
      <c r="AIK39" s="800" t="s">
        <v>1345</v>
      </c>
      <c r="AIL39" s="801"/>
      <c r="AIM39" s="761">
        <f>$GP$57</f>
        <v>1.5</v>
      </c>
      <c r="AIN39" s="761"/>
      <c r="AIP39" s="130"/>
      <c r="AIQ39" s="130"/>
      <c r="AIR39" s="428" t="s">
        <v>1413</v>
      </c>
      <c r="AIS39" s="951"/>
      <c r="AIT39" s="952"/>
      <c r="AOJ39" s="130"/>
      <c r="AOK39" s="130"/>
      <c r="AOL39" s="130"/>
      <c r="AQL39" s="130"/>
      <c r="ARI39" s="653"/>
      <c r="ARJ39" s="653"/>
      <c r="ARK39" s="653"/>
      <c r="ARL39" s="653"/>
      <c r="ARM39" s="653"/>
      <c r="ARN39" s="653"/>
      <c r="ARO39" s="653"/>
      <c r="ARP39" s="653"/>
      <c r="ATC39" s="653"/>
    </row>
    <row r="40" spans="3:932 1076:1297" ht="48" customHeight="1" thickBot="1">
      <c r="D40" s="162"/>
      <c r="E40" s="158"/>
      <c r="F40" s="158"/>
      <c r="G40" s="158"/>
      <c r="H40" s="158"/>
      <c r="I40" s="158"/>
      <c r="J40" s="158"/>
      <c r="K40" s="158"/>
      <c r="L40" s="158"/>
      <c r="M40" s="158"/>
      <c r="N40" s="158"/>
      <c r="O40" s="158"/>
      <c r="P40" s="158"/>
      <c r="Q40" s="158"/>
      <c r="R40" s="158"/>
      <c r="S40" s="158"/>
      <c r="T40" s="158"/>
      <c r="U40" s="158"/>
      <c r="V40" s="158"/>
      <c r="W40" s="158"/>
      <c r="X40" s="158"/>
      <c r="Y40" s="163"/>
      <c r="AI40" s="162"/>
      <c r="AJ40" s="470"/>
      <c r="AK40" s="470"/>
      <c r="AL40" s="470"/>
      <c r="AM40" s="470"/>
      <c r="AN40" s="470"/>
      <c r="AO40" s="470"/>
      <c r="AP40" s="470"/>
      <c r="AQ40" s="470"/>
      <c r="AR40" s="470"/>
      <c r="AS40" s="470"/>
      <c r="AT40" s="470"/>
      <c r="AU40" s="470"/>
      <c r="AV40" s="470"/>
      <c r="AW40" s="470"/>
      <c r="AX40" s="470"/>
      <c r="AY40" s="470"/>
      <c r="AZ40" s="470"/>
      <c r="BA40" s="470"/>
      <c r="BB40" s="470"/>
      <c r="BC40" s="470"/>
      <c r="BD40" s="470"/>
      <c r="BE40" s="470"/>
      <c r="BF40" s="470"/>
      <c r="BG40" s="165"/>
      <c r="BH40" s="165"/>
      <c r="BI40" s="165"/>
      <c r="BJ40" s="166"/>
      <c r="BM40" s="126"/>
      <c r="BN40" s="126"/>
      <c r="BO40" s="126"/>
      <c r="BP40" s="126"/>
      <c r="BQ40" s="126"/>
      <c r="BR40" s="126"/>
      <c r="BS40" s="126"/>
      <c r="BT40" s="126"/>
      <c r="BX40" s="850"/>
      <c r="BY40" s="800" t="s">
        <v>402</v>
      </c>
      <c r="BZ40" s="801"/>
      <c r="CA40" s="761">
        <f>$AP$20</f>
        <v>4</v>
      </c>
      <c r="CB40" s="761"/>
      <c r="CC40" s="768" t="s">
        <v>1861</v>
      </c>
      <c r="CD40" s="762"/>
      <c r="CE40" s="762"/>
      <c r="CF40" s="762"/>
      <c r="CG40" s="762"/>
      <c r="CH40" s="762"/>
      <c r="CI40" s="762"/>
      <c r="CJ40" s="762"/>
      <c r="CK40" s="762"/>
      <c r="CL40" s="1167">
        <f>(3.14*AP49)/(AP20*CC39*CI36)</f>
        <v>1.3923283333333335E-2</v>
      </c>
      <c r="CM40" s="840"/>
      <c r="CN40" s="1261" t="s">
        <v>706</v>
      </c>
      <c r="CO40" s="1262"/>
      <c r="CP40" s="841"/>
      <c r="CQ40" s="893" t="s">
        <v>769</v>
      </c>
      <c r="CR40" s="894"/>
      <c r="CS40" s="847"/>
      <c r="CT40" s="68"/>
      <c r="CU40" s="64"/>
      <c r="CV40" s="64"/>
      <c r="CW40" s="65"/>
      <c r="DJ40" s="130"/>
      <c r="DK40" s="130"/>
      <c r="DL40" s="130"/>
      <c r="DM40" s="130"/>
      <c r="DN40" s="130"/>
      <c r="DR40" s="653"/>
      <c r="DS40" s="653"/>
      <c r="DT40" s="653"/>
      <c r="DU40" s="653"/>
      <c r="DV40" s="653"/>
      <c r="DZ40" s="897" t="s">
        <v>929</v>
      </c>
      <c r="EA40" s="898"/>
      <c r="EB40" s="899"/>
      <c r="EC40" s="76" t="s">
        <v>793</v>
      </c>
      <c r="ED40" s="852" t="s">
        <v>416</v>
      </c>
      <c r="EE40" s="853"/>
      <c r="EF40" s="138"/>
      <c r="EG40" s="78"/>
      <c r="EH40" s="78"/>
      <c r="EI40" s="78"/>
      <c r="EJ40" s="78"/>
      <c r="EK40" s="78"/>
      <c r="EL40" s="78"/>
      <c r="EM40" s="138"/>
      <c r="EN40" s="76" t="s">
        <v>441</v>
      </c>
      <c r="EO40" s="854" t="s">
        <v>435</v>
      </c>
      <c r="EP40" s="855"/>
      <c r="EQ40" s="920" t="s">
        <v>111</v>
      </c>
      <c r="ER40" s="921"/>
      <c r="ES40" s="916" t="s">
        <v>704</v>
      </c>
      <c r="ET40" s="917"/>
      <c r="EU40" s="906" t="s">
        <v>447</v>
      </c>
      <c r="EV40" s="907"/>
      <c r="EW40" s="907"/>
      <c r="EX40" s="907"/>
      <c r="EY40" s="908"/>
      <c r="GF40" s="1052"/>
      <c r="GG40" s="332" t="s">
        <v>816</v>
      </c>
      <c r="GH40" s="766">
        <f>$AP$9</f>
        <v>3</v>
      </c>
      <c r="GI40" s="766"/>
      <c r="GJ40" s="236" t="s">
        <v>1070</v>
      </c>
      <c r="GK40" s="937">
        <f>$GU$16</f>
        <v>46</v>
      </c>
      <c r="GL40" s="937"/>
      <c r="GM40" s="791" t="s">
        <v>1796</v>
      </c>
      <c r="GN40" s="792"/>
      <c r="GO40" s="792"/>
      <c r="GP40" s="792"/>
      <c r="GQ40" s="792"/>
      <c r="GR40" s="792"/>
      <c r="GS40" s="793"/>
      <c r="GT40" s="1623">
        <f>(2*GH40*GH41*GK39)/GK40</f>
        <v>8.4970434782608688</v>
      </c>
      <c r="GU40" s="1624"/>
      <c r="GV40" s="1183" t="s">
        <v>729</v>
      </c>
      <c r="GW40" s="1184"/>
      <c r="GX40" s="841"/>
      <c r="GY40" s="843" t="s">
        <v>985</v>
      </c>
      <c r="GZ40" s="844"/>
      <c r="HA40" s="847"/>
      <c r="HB40" s="1052"/>
      <c r="HC40" s="1052"/>
      <c r="HD40" s="1052"/>
      <c r="HE40" s="1052"/>
      <c r="HF40" s="1052"/>
      <c r="LO40" s="130"/>
      <c r="LS40" s="130"/>
      <c r="LT40" s="130"/>
      <c r="LU40" s="130"/>
      <c r="LV40" s="130"/>
      <c r="MB40" s="1300"/>
      <c r="MC40" s="851"/>
      <c r="MD40" s="777"/>
      <c r="ME40" s="778"/>
      <c r="MF40" s="778"/>
      <c r="MG40" s="778"/>
      <c r="MH40" s="778"/>
      <c r="MI40" s="778"/>
      <c r="MJ40" s="778"/>
      <c r="MK40" s="778"/>
      <c r="ML40" s="778"/>
      <c r="MM40" s="778"/>
      <c r="MN40" s="778"/>
      <c r="MO40" s="778"/>
      <c r="MP40" s="778"/>
      <c r="MQ40" s="887"/>
      <c r="MR40" s="888"/>
      <c r="MS40" s="1263"/>
      <c r="MT40" s="1264"/>
      <c r="MU40" s="842"/>
      <c r="MV40" s="1179"/>
      <c r="MW40" s="1181"/>
      <c r="MX40" s="842"/>
      <c r="NB40" s="130"/>
      <c r="NE40" s="653"/>
      <c r="NF40" s="653"/>
      <c r="NG40" s="653"/>
      <c r="NH40" s="653"/>
      <c r="NI40" s="653"/>
      <c r="NJ40" s="653"/>
      <c r="NK40" s="377"/>
      <c r="NL40" s="373"/>
      <c r="NM40" s="373"/>
      <c r="NN40" s="373"/>
      <c r="NO40" s="373"/>
      <c r="NP40" s="373"/>
      <c r="NQ40" s="373"/>
      <c r="NR40" s="373"/>
      <c r="NS40" s="373"/>
      <c r="NT40" s="373"/>
      <c r="NU40" s="373"/>
      <c r="NV40" s="373"/>
      <c r="NW40" s="373"/>
      <c r="NX40" s="373"/>
      <c r="NY40" s="373"/>
      <c r="NZ40" s="373"/>
      <c r="OA40" s="373"/>
      <c r="OB40" s="373"/>
      <c r="OC40" s="373"/>
      <c r="OD40" s="373"/>
      <c r="OE40" s="373"/>
      <c r="OF40" s="374"/>
      <c r="PL40" s="1298" t="s">
        <v>750</v>
      </c>
      <c r="PM40" s="849"/>
      <c r="PN40" s="1257" t="s">
        <v>416</v>
      </c>
      <c r="PO40" s="1257"/>
      <c r="PP40" s="466"/>
      <c r="PQ40" s="76" t="s">
        <v>441</v>
      </c>
      <c r="PR40" s="854" t="s">
        <v>435</v>
      </c>
      <c r="PS40" s="1111"/>
      <c r="PT40" s="920" t="s">
        <v>111</v>
      </c>
      <c r="PU40" s="921"/>
      <c r="PV40" s="916" t="s">
        <v>704</v>
      </c>
      <c r="PW40" s="917"/>
      <c r="PX40" s="906" t="s">
        <v>447</v>
      </c>
      <c r="PY40" s="907"/>
      <c r="PZ40" s="907"/>
      <c r="QA40" s="908"/>
      <c r="RT40" s="653"/>
      <c r="RU40" s="653"/>
      <c r="RV40" s="653"/>
      <c r="RW40" s="653"/>
      <c r="RX40" s="653"/>
      <c r="RY40" s="653"/>
      <c r="RZ40" s="851"/>
      <c r="SA40" s="832"/>
      <c r="SB40" s="833"/>
      <c r="SC40" s="833"/>
      <c r="SD40" s="833"/>
      <c r="SE40" s="833"/>
      <c r="SF40" s="833"/>
      <c r="SG40" s="833"/>
      <c r="SH40" s="833"/>
      <c r="SI40" s="833"/>
      <c r="SJ40" s="833"/>
      <c r="SK40" s="833"/>
      <c r="SL40" s="833"/>
      <c r="SM40" s="834"/>
      <c r="SN40" s="1088"/>
      <c r="SO40" s="1089"/>
      <c r="SP40" s="1355"/>
      <c r="SQ40" s="1356"/>
      <c r="SR40" s="1067"/>
      <c r="SS40" s="1173"/>
      <c r="ST40" s="1175"/>
      <c r="SU40" s="848"/>
      <c r="SV40" s="828"/>
      <c r="SW40" s="950"/>
      <c r="SX40" s="130"/>
      <c r="SY40" s="130"/>
      <c r="SZ40" s="130"/>
      <c r="TA40" s="653"/>
      <c r="TB40" s="653"/>
      <c r="TC40" s="653"/>
      <c r="TD40" s="653"/>
      <c r="TE40" s="653"/>
      <c r="TF40" s="653"/>
      <c r="TG40" s="653"/>
      <c r="TH40" s="653"/>
      <c r="TI40" s="653"/>
      <c r="TJ40" s="653"/>
      <c r="TK40" s="653"/>
      <c r="TL40" s="653"/>
      <c r="TM40" s="653"/>
      <c r="TN40" s="653"/>
      <c r="TO40" s="653"/>
      <c r="TP40" s="653"/>
      <c r="TQ40" s="653"/>
      <c r="TR40" s="653"/>
      <c r="TS40" s="653"/>
      <c r="TT40" s="653"/>
      <c r="TU40" s="653"/>
      <c r="TX40" s="653"/>
      <c r="TY40" s="653"/>
      <c r="TZ40" s="653"/>
      <c r="UA40" s="653"/>
      <c r="UB40" s="653"/>
      <c r="UC40" s="653"/>
      <c r="UD40" s="653"/>
      <c r="UE40" s="653"/>
      <c r="UF40" s="653"/>
      <c r="UG40" s="653"/>
      <c r="UH40" s="653"/>
      <c r="UI40" s="653"/>
      <c r="UJ40" s="653"/>
      <c r="UK40" s="653"/>
      <c r="UL40" s="653"/>
      <c r="UM40" s="653"/>
      <c r="UN40" s="653"/>
      <c r="UO40" s="653"/>
      <c r="UP40" s="653"/>
      <c r="UQ40" s="653"/>
      <c r="UR40" s="653"/>
      <c r="US40" s="653"/>
      <c r="UT40" s="653"/>
      <c r="UU40" s="653"/>
      <c r="UV40" s="653"/>
      <c r="UW40" s="653"/>
      <c r="UX40" s="653"/>
      <c r="UY40" s="653"/>
      <c r="UZ40" s="653"/>
      <c r="WE40" s="162"/>
      <c r="WF40" s="158"/>
      <c r="WG40" s="158"/>
      <c r="WH40" s="158"/>
      <c r="WI40" s="158"/>
      <c r="WJ40" s="163"/>
      <c r="WK40" s="169"/>
      <c r="WL40" s="170"/>
      <c r="WM40" s="170"/>
      <c r="WN40" s="170"/>
      <c r="WO40" s="170"/>
      <c r="WP40" s="170"/>
      <c r="WQ40" s="170"/>
      <c r="WR40" s="170"/>
      <c r="WS40" s="170"/>
      <c r="WT40" s="170"/>
      <c r="WU40" s="170"/>
      <c r="WV40" s="170"/>
      <c r="WW40" s="172"/>
      <c r="WX40" s="978"/>
      <c r="WY40" s="979"/>
      <c r="WZ40" s="756"/>
      <c r="XA40" s="756"/>
      <c r="XB40" s="169"/>
      <c r="XC40" s="170"/>
      <c r="XD40" s="170"/>
      <c r="XE40" s="170"/>
      <c r="XF40" s="172"/>
      <c r="XG40" s="967"/>
      <c r="XH40" s="967"/>
      <c r="XI40" s="967"/>
      <c r="XJ40" s="967"/>
      <c r="XK40" s="967"/>
      <c r="XL40" s="967"/>
      <c r="XM40" s="967"/>
      <c r="XN40" s="967"/>
      <c r="XO40" s="967"/>
      <c r="XP40" s="967"/>
      <c r="XQ40" s="967"/>
      <c r="XR40" s="967"/>
      <c r="XS40" s="967"/>
      <c r="XT40" s="967"/>
      <c r="XU40" s="967"/>
      <c r="XV40" s="967"/>
      <c r="XW40" s="967"/>
      <c r="XX40" s="967"/>
      <c r="XY40" s="967"/>
      <c r="XZ40" s="967"/>
      <c r="YA40" s="967"/>
      <c r="YB40" s="967"/>
      <c r="YC40" s="967"/>
      <c r="YD40" s="967"/>
      <c r="YE40" s="967"/>
      <c r="YF40" s="967"/>
      <c r="YG40" s="967"/>
      <c r="YH40" s="967"/>
      <c r="YI40" s="967"/>
      <c r="YJ40" s="967"/>
      <c r="YK40" s="967"/>
      <c r="YL40" s="967"/>
      <c r="YM40" s="967"/>
      <c r="YN40" s="967"/>
      <c r="YO40" s="967"/>
      <c r="YP40" s="967"/>
      <c r="YQ40" s="967"/>
      <c r="YR40" s="967"/>
      <c r="YS40" s="967"/>
      <c r="YT40" s="967"/>
      <c r="YU40" s="967"/>
      <c r="YV40" s="967"/>
      <c r="YW40" s="967"/>
      <c r="YX40" s="967"/>
      <c r="YY40" s="967"/>
      <c r="YZ40" s="967"/>
      <c r="ZA40" s="967"/>
      <c r="ZB40" s="967"/>
      <c r="ZC40" s="967"/>
      <c r="ZD40" s="967"/>
      <c r="ZE40" s="967"/>
      <c r="ZF40" s="967"/>
      <c r="ZG40" s="967"/>
      <c r="ZH40" s="967"/>
      <c r="ZI40" s="967"/>
      <c r="ZJ40" s="967"/>
      <c r="ZK40" s="967"/>
      <c r="ZL40" s="967"/>
      <c r="ZM40" s="967"/>
      <c r="ZN40" s="967"/>
      <c r="ZO40" s="967"/>
      <c r="ZP40" s="967"/>
      <c r="ZQ40" s="967"/>
      <c r="ZR40" s="967"/>
      <c r="ZS40" s="967"/>
      <c r="ZT40" s="967"/>
      <c r="ZU40" s="967"/>
      <c r="ZV40" s="967"/>
      <c r="ZW40" s="967"/>
      <c r="ZX40" s="967"/>
      <c r="ZY40" s="967"/>
      <c r="ZZ40" s="967"/>
      <c r="AAA40" s="967"/>
      <c r="AAB40" s="967"/>
      <c r="AAC40" s="967"/>
      <c r="AAD40" s="967"/>
      <c r="AAE40" s="967"/>
      <c r="AAF40" s="967"/>
      <c r="AAG40" s="967"/>
      <c r="AAH40" s="967"/>
      <c r="AAI40" s="967"/>
      <c r="AAJ40" s="967"/>
      <c r="AAK40" s="967"/>
      <c r="AAL40" s="967"/>
      <c r="AAM40" s="967"/>
      <c r="AAN40" s="967"/>
      <c r="AAO40" s="967"/>
      <c r="AAP40" s="967"/>
      <c r="AAQ40" s="967"/>
      <c r="AAR40" s="967"/>
      <c r="AAS40" s="967"/>
      <c r="AAT40" s="965"/>
      <c r="AAU40" s="756"/>
      <c r="AAV40" s="756"/>
      <c r="AAW40" s="169"/>
      <c r="AAX40" s="170"/>
      <c r="AAY40" s="172"/>
      <c r="AAZ40" s="158"/>
      <c r="ABA40" s="162"/>
      <c r="ABB40" s="158"/>
      <c r="ABC40" s="158"/>
      <c r="ABD40" s="163"/>
      <c r="ACJ40" s="759">
        <v>0.33333333300000001</v>
      </c>
      <c r="ACK40" s="760"/>
      <c r="ACL40" s="759">
        <v>-0.233333333</v>
      </c>
      <c r="ACM40" s="760"/>
      <c r="ACN40" s="592">
        <v>28</v>
      </c>
      <c r="ACO40" s="759">
        <f t="shared" si="0"/>
        <v>0.19333333324000004</v>
      </c>
      <c r="ACP40" s="760"/>
      <c r="ACQ40" s="757">
        <f t="shared" si="1"/>
        <v>1.28</v>
      </c>
      <c r="ACR40" s="758"/>
      <c r="ACT40" s="759">
        <v>1</v>
      </c>
      <c r="ACU40" s="760"/>
      <c r="ACV40" s="759">
        <v>-1.2</v>
      </c>
      <c r="ACW40" s="760"/>
      <c r="ACX40" s="592">
        <v>78</v>
      </c>
      <c r="ACY40" s="759">
        <f t="shared" si="8"/>
        <v>0.58000000000000007</v>
      </c>
      <c r="ACZ40" s="760"/>
      <c r="ADA40" s="757">
        <f t="shared" si="2"/>
        <v>1.78</v>
      </c>
      <c r="ADB40" s="758"/>
      <c r="ADD40" s="1112">
        <v>1.1052631578947401</v>
      </c>
      <c r="ADE40" s="1112"/>
      <c r="ADF40" s="1112">
        <v>-1.42105263157895</v>
      </c>
      <c r="ADG40" s="1112"/>
      <c r="ADH40" s="591">
        <v>127</v>
      </c>
      <c r="ADI40" s="759">
        <f t="shared" si="3"/>
        <v>1.0878947368421099</v>
      </c>
      <c r="ADJ40" s="760"/>
      <c r="ADK40" s="757">
        <f t="shared" si="4"/>
        <v>2.27</v>
      </c>
      <c r="ADL40" s="758"/>
      <c r="ADN40" s="759">
        <v>1.1052631580000001</v>
      </c>
      <c r="ADO40" s="760"/>
      <c r="ADP40" s="759">
        <v>-1.42105263157895</v>
      </c>
      <c r="ADQ40" s="760"/>
      <c r="ADR40" s="591">
        <v>177</v>
      </c>
      <c r="ADS40" s="759">
        <f t="shared" si="9"/>
        <v>1.6405263160810502</v>
      </c>
      <c r="ADT40" s="760"/>
      <c r="ADU40" s="757">
        <f t="shared" si="5"/>
        <v>2.77</v>
      </c>
      <c r="ADV40" s="758"/>
      <c r="ADX40" s="759">
        <v>1.1052631580000001</v>
      </c>
      <c r="ADY40" s="760"/>
      <c r="ADZ40" s="759">
        <v>-1.42105263157895</v>
      </c>
      <c r="AEA40" s="760"/>
      <c r="AEB40" s="591">
        <v>227</v>
      </c>
      <c r="AEC40" s="759">
        <f t="shared" si="10"/>
        <v>2.1931578950810504</v>
      </c>
      <c r="AED40" s="760"/>
      <c r="AEE40" s="757">
        <f t="shared" si="6"/>
        <v>3.27</v>
      </c>
      <c r="AEF40" s="758"/>
      <c r="AEH40" s="759">
        <v>1.1052631580000001</v>
      </c>
      <c r="AEI40" s="760"/>
      <c r="AEJ40" s="759">
        <v>-1.42105263157895</v>
      </c>
      <c r="AEK40" s="760"/>
      <c r="AEL40" s="591">
        <v>277</v>
      </c>
      <c r="AEM40" s="759">
        <f t="shared" si="37"/>
        <v>2.7457894740810507</v>
      </c>
      <c r="AEN40" s="760"/>
      <c r="AEO40" s="757">
        <f t="shared" si="7"/>
        <v>3.77</v>
      </c>
      <c r="AEP40" s="758"/>
      <c r="AGL40" s="897" t="s">
        <v>974</v>
      </c>
      <c r="AGM40" s="898"/>
      <c r="AGN40" s="899"/>
      <c r="AGO40" s="849"/>
      <c r="AGP40" s="852" t="s">
        <v>416</v>
      </c>
      <c r="AGQ40" s="853"/>
      <c r="AGR40" s="138"/>
      <c r="AGS40" s="806" t="s">
        <v>1842</v>
      </c>
      <c r="AGT40" s="807"/>
      <c r="AGU40" s="808"/>
      <c r="AGV40" s="76" t="s">
        <v>702</v>
      </c>
      <c r="AGW40" s="422"/>
      <c r="AGX40" s="76" t="s">
        <v>441</v>
      </c>
      <c r="AGY40" s="1581" t="s">
        <v>435</v>
      </c>
      <c r="AGZ40" s="1582"/>
      <c r="AHA40" s="1416" t="s">
        <v>111</v>
      </c>
      <c r="AHB40" s="921"/>
      <c r="AHC40" s="916" t="s">
        <v>704</v>
      </c>
      <c r="AHD40" s="917"/>
      <c r="AHE40" s="906" t="s">
        <v>447</v>
      </c>
      <c r="AHF40" s="907"/>
      <c r="AHG40" s="907"/>
      <c r="AHH40" s="908"/>
      <c r="AIG40" s="439" t="s">
        <v>1455</v>
      </c>
      <c r="AIH40" s="1156">
        <f>$MP$23</f>
        <v>0.14308700299628158</v>
      </c>
      <c r="AII40" s="1156"/>
      <c r="AIK40" s="1407" t="s">
        <v>1322</v>
      </c>
      <c r="AIL40" s="1407"/>
      <c r="AIM40" s="761">
        <f>$ND$129</f>
        <v>1</v>
      </c>
      <c r="AIN40" s="761"/>
      <c r="AOJ40" s="130"/>
      <c r="AOK40" s="130"/>
      <c r="AOL40" s="130"/>
      <c r="AQL40" s="130"/>
      <c r="ARI40" s="653"/>
      <c r="ARJ40" s="653"/>
      <c r="ARK40" s="653"/>
      <c r="ARL40" s="653"/>
      <c r="ARM40" s="653"/>
      <c r="ARN40" s="653"/>
      <c r="ARO40" s="653"/>
      <c r="ARP40" s="653"/>
      <c r="ATC40" s="653"/>
    </row>
    <row r="41" spans="3:932 1076:1297" ht="48" customHeight="1" thickBot="1">
      <c r="D41" s="162"/>
      <c r="E41" s="158"/>
      <c r="F41" s="1203" t="s">
        <v>1654</v>
      </c>
      <c r="G41" s="1204"/>
      <c r="H41" s="158"/>
      <c r="I41" s="736" t="s">
        <v>911</v>
      </c>
      <c r="J41" s="862" t="s">
        <v>1834</v>
      </c>
      <c r="K41" s="863"/>
      <c r="L41" s="863"/>
      <c r="M41" s="863"/>
      <c r="N41" s="863"/>
      <c r="O41" s="863"/>
      <c r="P41" s="863"/>
      <c r="Q41" s="863"/>
      <c r="R41" s="863"/>
      <c r="S41" s="864"/>
      <c r="T41" s="158"/>
      <c r="U41" s="158"/>
      <c r="V41" s="158"/>
      <c r="W41" s="158"/>
      <c r="X41" s="158"/>
      <c r="Y41" s="163"/>
      <c r="AI41" s="715"/>
      <c r="AJ41" s="891"/>
      <c r="AK41" s="891"/>
      <c r="AL41" s="891"/>
      <c r="AM41" s="891"/>
      <c r="AN41" s="891"/>
      <c r="AO41" s="891"/>
      <c r="AP41" s="891"/>
      <c r="AQ41" s="891"/>
      <c r="AR41" s="891"/>
      <c r="AS41" s="891"/>
      <c r="AT41" s="891"/>
      <c r="AU41" s="891"/>
      <c r="AV41" s="891"/>
      <c r="AW41" s="891"/>
      <c r="AX41" s="891"/>
      <c r="AY41" s="891"/>
      <c r="AZ41" s="891"/>
      <c r="BA41" s="891"/>
      <c r="BB41" s="891"/>
      <c r="BC41" s="891"/>
      <c r="BD41" s="891"/>
      <c r="BE41" s="891"/>
      <c r="BF41" s="891"/>
      <c r="BG41" s="891"/>
      <c r="BH41" s="891"/>
      <c r="BI41" s="891"/>
      <c r="BJ41" s="715"/>
      <c r="BM41" s="126"/>
      <c r="BN41" s="126"/>
      <c r="BO41" s="126"/>
      <c r="BP41" s="126"/>
      <c r="BQ41" s="126"/>
      <c r="BR41" s="126"/>
      <c r="BS41" s="126"/>
      <c r="BT41" s="126"/>
      <c r="BX41" s="850"/>
      <c r="BY41" s="1583" t="s">
        <v>444</v>
      </c>
      <c r="BZ41" s="1585"/>
      <c r="CA41" s="937">
        <f>$AP$49</f>
        <v>0.21284000000000003</v>
      </c>
      <c r="CB41" s="937"/>
      <c r="CC41" s="880"/>
      <c r="CD41" s="881"/>
      <c r="CE41" s="881"/>
      <c r="CF41" s="881"/>
      <c r="CG41" s="881"/>
      <c r="CH41" s="881"/>
      <c r="CI41" s="881"/>
      <c r="CJ41" s="881"/>
      <c r="CK41" s="881"/>
      <c r="CL41" s="1169"/>
      <c r="CM41" s="799"/>
      <c r="CN41" s="1263"/>
      <c r="CO41" s="1264"/>
      <c r="CP41" s="842"/>
      <c r="CQ41" s="918"/>
      <c r="CR41" s="919"/>
      <c r="CS41" s="848"/>
      <c r="CT41" s="81"/>
      <c r="CU41" s="79"/>
      <c r="CV41" s="79"/>
      <c r="CW41" s="80"/>
      <c r="DJ41" s="130"/>
      <c r="DK41" s="130"/>
      <c r="DL41" s="130"/>
      <c r="DM41" s="130"/>
      <c r="DN41" s="130"/>
      <c r="DR41" s="653"/>
      <c r="DS41" s="653"/>
      <c r="DT41" s="653"/>
      <c r="DU41" s="653"/>
      <c r="DV41" s="653"/>
      <c r="DZ41" s="900"/>
      <c r="EA41" s="901"/>
      <c r="EB41" s="902"/>
      <c r="EC41" s="849"/>
      <c r="ED41" s="791" t="s">
        <v>992</v>
      </c>
      <c r="EE41" s="797"/>
      <c r="EF41" s="797"/>
      <c r="EG41" s="797"/>
      <c r="EH41" s="797"/>
      <c r="EI41" s="797"/>
      <c r="EJ41" s="797"/>
      <c r="EK41" s="797"/>
      <c r="EL41" s="797"/>
      <c r="EM41" s="797"/>
      <c r="EN41" s="797"/>
      <c r="EO41" s="797"/>
      <c r="EP41" s="798"/>
      <c r="EQ41" s="1193">
        <v>1</v>
      </c>
      <c r="ER41" s="1194"/>
      <c r="ES41" s="1075" t="s">
        <v>45</v>
      </c>
      <c r="ET41" s="1076"/>
      <c r="EU41" s="841"/>
      <c r="EV41" s="893" t="s">
        <v>995</v>
      </c>
      <c r="EW41" s="1081"/>
      <c r="EX41" s="894"/>
      <c r="EY41" s="847"/>
      <c r="GF41" s="1053"/>
      <c r="GG41" s="235" t="s">
        <v>1068</v>
      </c>
      <c r="GH41" s="805">
        <f>$CL$71</f>
        <v>68</v>
      </c>
      <c r="GI41" s="805"/>
      <c r="GJ41" s="1060"/>
      <c r="GK41" s="1061"/>
      <c r="GL41" s="1061"/>
      <c r="GM41" s="794"/>
      <c r="GN41" s="795"/>
      <c r="GO41" s="795"/>
      <c r="GP41" s="795"/>
      <c r="GQ41" s="795"/>
      <c r="GR41" s="795"/>
      <c r="GS41" s="796"/>
      <c r="GT41" s="1625"/>
      <c r="GU41" s="1626"/>
      <c r="GV41" s="1185"/>
      <c r="GW41" s="1186"/>
      <c r="GX41" s="842"/>
      <c r="GY41" s="845"/>
      <c r="GZ41" s="846"/>
      <c r="HA41" s="848"/>
      <c r="HB41" s="1053"/>
      <c r="HC41" s="1053"/>
      <c r="HD41" s="1053"/>
      <c r="HE41" s="1053"/>
      <c r="HF41" s="1053"/>
      <c r="IR41" s="897" t="s">
        <v>973</v>
      </c>
      <c r="IS41" s="898"/>
      <c r="IT41" s="899"/>
      <c r="IU41" s="849"/>
      <c r="IV41" s="852" t="s">
        <v>416</v>
      </c>
      <c r="IW41" s="923"/>
      <c r="IX41" s="602"/>
      <c r="IY41" s="806" t="s">
        <v>1828</v>
      </c>
      <c r="IZ41" s="807"/>
      <c r="JA41" s="808"/>
      <c r="JB41" s="75" t="s">
        <v>451</v>
      </c>
      <c r="JC41" s="602"/>
      <c r="JD41" s="76" t="s">
        <v>441</v>
      </c>
      <c r="JE41" s="1296" t="s">
        <v>435</v>
      </c>
      <c r="JF41" s="1297"/>
      <c r="JG41" s="920" t="s">
        <v>111</v>
      </c>
      <c r="JH41" s="921"/>
      <c r="JI41" s="916" t="s">
        <v>704</v>
      </c>
      <c r="JJ41" s="917"/>
      <c r="JK41" s="906" t="s">
        <v>447</v>
      </c>
      <c r="JL41" s="907"/>
      <c r="JM41" s="907"/>
      <c r="JN41" s="908"/>
      <c r="JO41" s="159"/>
      <c r="JP41" s="470"/>
      <c r="JQ41" s="470"/>
      <c r="JR41" s="470"/>
      <c r="JS41" s="161"/>
      <c r="NB41" s="130"/>
      <c r="NE41" s="653"/>
      <c r="NF41" s="653"/>
      <c r="NG41" s="653"/>
      <c r="NH41" s="653"/>
      <c r="NI41" s="653"/>
      <c r="NJ41" s="653"/>
      <c r="NK41" s="377"/>
      <c r="NL41" s="373"/>
      <c r="NM41" s="373"/>
      <c r="NN41" s="373"/>
      <c r="NO41" s="373"/>
      <c r="NP41" s="373"/>
      <c r="NQ41" s="373"/>
      <c r="NR41" s="373"/>
      <c r="NS41" s="373"/>
      <c r="NT41" s="373"/>
      <c r="NU41" s="373"/>
      <c r="NV41" s="373"/>
      <c r="NW41" s="373"/>
      <c r="NX41" s="373"/>
      <c r="NY41" s="373"/>
      <c r="NZ41" s="373"/>
      <c r="OA41" s="373"/>
      <c r="OB41" s="373"/>
      <c r="OC41" s="373"/>
      <c r="OD41" s="373"/>
      <c r="OE41" s="373"/>
      <c r="OF41" s="374"/>
      <c r="PL41" s="1299"/>
      <c r="PM41" s="850"/>
      <c r="PN41" s="1197" t="s">
        <v>1548</v>
      </c>
      <c r="PO41" s="1198"/>
      <c r="PP41" s="1198"/>
      <c r="PQ41" s="1198"/>
      <c r="PR41" s="1198"/>
      <c r="PS41" s="1199"/>
      <c r="PT41" s="885">
        <f>7.8*10^3</f>
        <v>7800</v>
      </c>
      <c r="PU41" s="886"/>
      <c r="PV41" s="1810" t="s">
        <v>1531</v>
      </c>
      <c r="PW41" s="1302"/>
      <c r="PX41" s="1066"/>
      <c r="PY41" s="1148" t="s">
        <v>1530</v>
      </c>
      <c r="PZ41" s="1149"/>
      <c r="QA41" s="847"/>
      <c r="RT41" s="653"/>
      <c r="RU41" s="653"/>
      <c r="RV41" s="653"/>
      <c r="RW41" s="653"/>
      <c r="RX41" s="653"/>
      <c r="RY41" s="653"/>
      <c r="SX41" s="469"/>
      <c r="SY41" s="469"/>
      <c r="SZ41" s="469"/>
      <c r="TA41" s="673"/>
      <c r="TB41" s="673"/>
      <c r="TC41" s="653"/>
      <c r="TD41" s="653"/>
      <c r="TE41" s="653"/>
      <c r="TF41" s="653"/>
      <c r="TG41" s="653"/>
      <c r="TH41" s="653"/>
      <c r="TI41" s="653"/>
      <c r="TJ41" s="653"/>
      <c r="TK41" s="653"/>
      <c r="TL41" s="653"/>
      <c r="TM41" s="653"/>
      <c r="TN41" s="653"/>
      <c r="TO41" s="653"/>
      <c r="TP41" s="653"/>
      <c r="TQ41" s="653"/>
      <c r="TR41" s="653"/>
      <c r="TS41" s="653"/>
      <c r="TT41" s="653"/>
      <c r="TU41" s="653"/>
      <c r="TX41" s="653"/>
      <c r="TY41" s="653"/>
      <c r="TZ41" s="653"/>
      <c r="UA41" s="653"/>
      <c r="UB41" s="653"/>
      <c r="UC41" s="653"/>
      <c r="UD41" s="653"/>
      <c r="UE41" s="653"/>
      <c r="UF41" s="653"/>
      <c r="UG41" s="653"/>
      <c r="UH41" s="653"/>
      <c r="UI41" s="653"/>
      <c r="UJ41" s="653"/>
      <c r="UK41" s="653"/>
      <c r="UL41" s="653"/>
      <c r="UM41" s="653"/>
      <c r="UN41" s="653"/>
      <c r="UO41" s="653"/>
      <c r="UP41" s="653"/>
      <c r="UQ41" s="653"/>
      <c r="UR41" s="653"/>
      <c r="US41" s="653"/>
      <c r="UT41" s="653"/>
      <c r="UU41" s="653"/>
      <c r="UV41" s="653"/>
      <c r="UW41" s="653"/>
      <c r="UX41" s="653"/>
      <c r="UY41" s="653"/>
      <c r="UZ41" s="653"/>
      <c r="WE41" s="162"/>
      <c r="WF41" s="158"/>
      <c r="WG41" s="158"/>
      <c r="WH41" s="158"/>
      <c r="WI41" s="158"/>
      <c r="WJ41" s="163"/>
      <c r="WK41" s="800" t="s">
        <v>1216</v>
      </c>
      <c r="WL41" s="801"/>
      <c r="WM41" s="889">
        <f>$AP$7</f>
        <v>220</v>
      </c>
      <c r="WN41" s="1157"/>
      <c r="WO41" s="168"/>
      <c r="WP41" s="168"/>
      <c r="WQ41" s="168"/>
      <c r="WR41" s="168"/>
      <c r="WS41" s="168"/>
      <c r="WT41" s="168"/>
      <c r="WU41" s="168"/>
      <c r="WV41" s="168"/>
      <c r="WW41" s="171"/>
      <c r="WX41" s="976">
        <v>11</v>
      </c>
      <c r="WY41" s="977"/>
      <c r="WZ41" s="756" t="s">
        <v>393</v>
      </c>
      <c r="XA41" s="756"/>
      <c r="XB41" s="167"/>
      <c r="XC41" s="168"/>
      <c r="XD41" s="168"/>
      <c r="XE41" s="168"/>
      <c r="XF41" s="171"/>
      <c r="XG41" s="966">
        <f t="shared" ref="XG41:YL41" si="41">(3*$WM$41*XG33/1000)</f>
        <v>2.3139227450508346</v>
      </c>
      <c r="XH41" s="966">
        <f t="shared" si="41"/>
        <v>4.0144611712822469</v>
      </c>
      <c r="XI41" s="966">
        <f t="shared" si="41"/>
        <v>5.7073457649656394</v>
      </c>
      <c r="XJ41" s="966">
        <f t="shared" si="41"/>
        <v>7.3917460564117032</v>
      </c>
      <c r="XK41" s="966">
        <f t="shared" si="41"/>
        <v>9.0668538467428768</v>
      </c>
      <c r="XL41" s="966">
        <f t="shared" si="41"/>
        <v>10.731884211246854</v>
      </c>
      <c r="XM41" s="966">
        <f t="shared" si="41"/>
        <v>12.386076415765965</v>
      </c>
      <c r="XN41" s="966">
        <f t="shared" si="41"/>
        <v>14.028694745230252</v>
      </c>
      <c r="XO41" s="966">
        <f t="shared" si="41"/>
        <v>15.659029243907472</v>
      </c>
      <c r="XP41" s="966">
        <f t="shared" si="41"/>
        <v>17.276396367393541</v>
      </c>
      <c r="XQ41" s="966">
        <f t="shared" si="41"/>
        <v>18.880139546798823</v>
      </c>
      <c r="XR41" s="966">
        <f t="shared" si="41"/>
        <v>20.46962966599698</v>
      </c>
      <c r="XS41" s="966">
        <f t="shared" si="41"/>
        <v>22.044265453191574</v>
      </c>
      <c r="XT41" s="966">
        <f t="shared" si="41"/>
        <v>23.603473788418828</v>
      </c>
      <c r="XU41" s="966">
        <f t="shared" si="41"/>
        <v>25.146709928942077</v>
      </c>
      <c r="XV41" s="966">
        <f t="shared" si="41"/>
        <v>26.67345765480303</v>
      </c>
      <c r="XW41" s="966">
        <f t="shared" si="41"/>
        <v>28.183229337075051</v>
      </c>
      <c r="XX41" s="966">
        <f t="shared" si="41"/>
        <v>29.675565931616021</v>
      </c>
      <c r="XY41" s="966">
        <f t="shared" si="41"/>
        <v>31.150036901339867</v>
      </c>
      <c r="XZ41" s="966">
        <f t="shared" si="41"/>
        <v>32.606240070218533</v>
      </c>
      <c r="YA41" s="966">
        <f t="shared" si="41"/>
        <v>34.043801412389953</v>
      </c>
      <c r="YB41" s="966">
        <f t="shared" si="41"/>
        <v>35.462374779881657</v>
      </c>
      <c r="YC41" s="966">
        <f t="shared" si="41"/>
        <v>36.861641572567059</v>
      </c>
      <c r="YD41" s="966">
        <f t="shared" si="41"/>
        <v>38.241310354050583</v>
      </c>
      <c r="YE41" s="966">
        <f t="shared" si="41"/>
        <v>39.601116417232042</v>
      </c>
      <c r="YF41" s="966">
        <f t="shared" si="41"/>
        <v>40.940821303329692</v>
      </c>
      <c r="YG41" s="966">
        <f t="shared" si="41"/>
        <v>42.260212278147165</v>
      </c>
      <c r="YH41" s="966">
        <f t="shared" si="41"/>
        <v>43.559101769353681</v>
      </c>
      <c r="YI41" s="966">
        <f t="shared" si="41"/>
        <v>44.837326768510891</v>
      </c>
      <c r="YJ41" s="966">
        <f t="shared" si="41"/>
        <v>46.094748201525178</v>
      </c>
      <c r="YK41" s="966">
        <f t="shared" si="41"/>
        <v>47.331250271132092</v>
      </c>
      <c r="YL41" s="966">
        <f t="shared" si="41"/>
        <v>48.546739774933407</v>
      </c>
      <c r="YM41" s="966">
        <f t="shared" ref="YM41:ZR41" si="42">(3*$WM$41*YM33/1000)</f>
        <v>49.741145402406595</v>
      </c>
      <c r="YN41" s="966">
        <f t="shared" si="42"/>
        <v>50.914417014194022</v>
      </c>
      <c r="YO41" s="966">
        <f t="shared" si="42"/>
        <v>52.066524906856742</v>
      </c>
      <c r="YP41" s="966">
        <f t="shared" si="42"/>
        <v>53.197459066146514</v>
      </c>
      <c r="YQ41" s="966">
        <f t="shared" si="42"/>
        <v>54.307228411710582</v>
      </c>
      <c r="YR41" s="966">
        <f t="shared" si="42"/>
        <v>55.395860036000222</v>
      </c>
      <c r="YS41" s="966">
        <f t="shared" si="42"/>
        <v>56.463398440004362</v>
      </c>
      <c r="YT41" s="966">
        <f t="shared" si="42"/>
        <v>57.509904768278901</v>
      </c>
      <c r="YU41" s="966">
        <f t="shared" si="42"/>
        <v>58.535456045587516</v>
      </c>
      <c r="YV41" s="966">
        <f t="shared" si="42"/>
        <v>59.540144417316384</v>
      </c>
      <c r="YW41" s="966">
        <f t="shared" si="42"/>
        <v>60.524076395670022</v>
      </c>
      <c r="YX41" s="966">
        <f t="shared" si="42"/>
        <v>61.487372113503554</v>
      </c>
      <c r="YY41" s="966">
        <f t="shared" si="42"/>
        <v>62.43016458749463</v>
      </c>
      <c r="YZ41" s="966">
        <f t="shared" si="42"/>
        <v>63.352598992211298</v>
      </c>
      <c r="ZA41" s="966">
        <f t="shared" si="42"/>
        <v>64.25483194648632</v>
      </c>
      <c r="ZB41" s="966">
        <f t="shared" si="42"/>
        <v>65.137030813369066</v>
      </c>
      <c r="ZC41" s="966">
        <f t="shared" si="42"/>
        <v>65.999373014788461</v>
      </c>
      <c r="ZD41" s="966">
        <f t="shared" si="42"/>
        <v>66.842045361931355</v>
      </c>
      <c r="ZE41" s="966">
        <f t="shared" si="42"/>
        <v>67.665243402213349</v>
      </c>
      <c r="ZF41" s="966">
        <f t="shared" si="42"/>
        <v>68.469170783599353</v>
      </c>
      <c r="ZG41" s="966">
        <f t="shared" si="42"/>
        <v>69.25403863691767</v>
      </c>
      <c r="ZH41" s="966">
        <f t="shared" si="42"/>
        <v>70.020064976701647</v>
      </c>
      <c r="ZI41" s="966">
        <f t="shared" si="42"/>
        <v>70.767474120991807</v>
      </c>
      <c r="ZJ41" s="966">
        <f t="shared" si="42"/>
        <v>71.496496130434409</v>
      </c>
      <c r="ZK41" s="966">
        <f t="shared" si="42"/>
        <v>72.207366266922378</v>
      </c>
      <c r="ZL41" s="966">
        <f t="shared" si="42"/>
        <v>72.900324471941317</v>
      </c>
      <c r="ZM41" s="966">
        <f t="shared" si="42"/>
        <v>73.575614864703738</v>
      </c>
      <c r="ZN41" s="966">
        <f t="shared" si="42"/>
        <v>74.233485260083754</v>
      </c>
      <c r="ZO41" s="966">
        <f t="shared" si="42"/>
        <v>74.874186706297877</v>
      </c>
      <c r="ZP41" s="966">
        <f t="shared" si="42"/>
        <v>75.497973042215662</v>
      </c>
      <c r="ZQ41" s="966">
        <f t="shared" si="42"/>
        <v>76.105100474130097</v>
      </c>
      <c r="ZR41" s="966">
        <f t="shared" si="42"/>
        <v>76.695827171765998</v>
      </c>
      <c r="ZS41" s="966">
        <f t="shared" ref="ZS41:AAS41" si="43">(3*$WM$41*ZS33/1000)</f>
        <v>77.270412883259965</v>
      </c>
      <c r="ZT41" s="966">
        <f t="shared" si="43"/>
        <v>77.829118568805598</v>
      </c>
      <c r="ZU41" s="966">
        <f t="shared" si="43"/>
        <v>78.372206052620015</v>
      </c>
      <c r="ZV41" s="966">
        <f t="shared" si="43"/>
        <v>78.899937692858529</v>
      </c>
      <c r="ZW41" s="966">
        <f t="shared" si="43"/>
        <v>79.412576069074149</v>
      </c>
      <c r="ZX41" s="966">
        <f t="shared" si="43"/>
        <v>79.910383686797303</v>
      </c>
      <c r="ZY41" s="966">
        <f t="shared" si="43"/>
        <v>80.393622698789201</v>
      </c>
      <c r="ZZ41" s="966">
        <f t="shared" si="43"/>
        <v>80.862554642506595</v>
      </c>
      <c r="AAA41" s="966">
        <f t="shared" si="43"/>
        <v>81.31744019330209</v>
      </c>
      <c r="AAB41" s="966">
        <f t="shared" si="43"/>
        <v>81.758538932872611</v>
      </c>
      <c r="AAC41" s="966">
        <f t="shared" si="43"/>
        <v>82.186109132461937</v>
      </c>
      <c r="AAD41" s="966">
        <f t="shared" si="43"/>
        <v>82.600407550316504</v>
      </c>
      <c r="AAE41" s="966">
        <f t="shared" si="43"/>
        <v>83.001689242891814</v>
      </c>
      <c r="AAF41" s="966">
        <f t="shared" si="43"/>
        <v>83.390207389303924</v>
      </c>
      <c r="AAG41" s="966">
        <f t="shared" si="43"/>
        <v>83.766213128523361</v>
      </c>
      <c r="AAH41" s="966">
        <f t="shared" si="43"/>
        <v>84.129955408809607</v>
      </c>
      <c r="AAI41" s="966">
        <f t="shared" si="43"/>
        <v>84.481680848889212</v>
      </c>
      <c r="AAJ41" s="966">
        <f t="shared" si="43"/>
        <v>84.821633610385646</v>
      </c>
      <c r="AAK41" s="966">
        <f t="shared" si="43"/>
        <v>85.150055281016577</v>
      </c>
      <c r="AAL41" s="966">
        <f t="shared" si="43"/>
        <v>85.467184768080372</v>
      </c>
      <c r="AAM41" s="966">
        <f t="shared" si="43"/>
        <v>85.773258201764136</v>
      </c>
      <c r="AAN41" s="966">
        <f t="shared" si="43"/>
        <v>86.068508847814101</v>
      </c>
      <c r="AAO41" s="966">
        <f t="shared" si="43"/>
        <v>86.353167029119589</v>
      </c>
      <c r="AAP41" s="966">
        <f t="shared" si="43"/>
        <v>86.627460055773611</v>
      </c>
      <c r="AAQ41" s="966">
        <f t="shared" si="43"/>
        <v>86.891612163182387</v>
      </c>
      <c r="AAR41" s="966">
        <f t="shared" si="43"/>
        <v>87.145844457810753</v>
      </c>
      <c r="AAS41" s="966">
        <f t="shared" si="43"/>
        <v>87.390374870160613</v>
      </c>
      <c r="AAT41" s="964">
        <v>11</v>
      </c>
      <c r="AAU41" s="756" t="s">
        <v>393</v>
      </c>
      <c r="AAV41" s="756"/>
      <c r="AAW41" s="167"/>
      <c r="AAX41" s="168"/>
      <c r="AAY41" s="168"/>
      <c r="AAZ41" s="168"/>
      <c r="ABA41" s="162"/>
      <c r="ABB41" s="158"/>
      <c r="ABC41" s="158"/>
      <c r="ABD41" s="163"/>
      <c r="ACJ41" s="759">
        <v>0.33333333300000001</v>
      </c>
      <c r="ACK41" s="760"/>
      <c r="ACL41" s="759">
        <v>-0.233333333</v>
      </c>
      <c r="ACM41" s="760"/>
      <c r="ACN41" s="592">
        <v>29</v>
      </c>
      <c r="ACO41" s="759">
        <f t="shared" si="0"/>
        <v>0.19666666657000001</v>
      </c>
      <c r="ACP41" s="760"/>
      <c r="ACQ41" s="757">
        <f t="shared" si="1"/>
        <v>1.29</v>
      </c>
      <c r="ACR41" s="758"/>
      <c r="ACT41" s="759">
        <v>1</v>
      </c>
      <c r="ACU41" s="760"/>
      <c r="ACV41" s="759">
        <v>-1.2</v>
      </c>
      <c r="ACW41" s="760"/>
      <c r="ACX41" s="592">
        <v>79</v>
      </c>
      <c r="ACY41" s="759">
        <f t="shared" si="8"/>
        <v>0.59000000000000008</v>
      </c>
      <c r="ACZ41" s="760"/>
      <c r="ADA41" s="757">
        <f t="shared" si="2"/>
        <v>1.79</v>
      </c>
      <c r="ADB41" s="758"/>
      <c r="ADD41" s="1112">
        <v>1.1052631578947401</v>
      </c>
      <c r="ADE41" s="1112"/>
      <c r="ADF41" s="1112">
        <v>-1.42105263157895</v>
      </c>
      <c r="ADG41" s="1112"/>
      <c r="ADH41" s="591">
        <v>128</v>
      </c>
      <c r="ADI41" s="759">
        <f t="shared" si="3"/>
        <v>1.0989473684210576</v>
      </c>
      <c r="ADJ41" s="760"/>
      <c r="ADK41" s="757">
        <f t="shared" si="4"/>
        <v>2.2800000000000002</v>
      </c>
      <c r="ADL41" s="758"/>
      <c r="ADN41" s="759">
        <v>1.1052631580000001</v>
      </c>
      <c r="ADO41" s="760"/>
      <c r="ADP41" s="759">
        <v>-1.42105263157895</v>
      </c>
      <c r="ADQ41" s="760"/>
      <c r="ADR41" s="591">
        <v>178</v>
      </c>
      <c r="ADS41" s="759">
        <f t="shared" si="9"/>
        <v>1.6515789476610503</v>
      </c>
      <c r="ADT41" s="760"/>
      <c r="ADU41" s="757">
        <f t="shared" si="5"/>
        <v>2.7800000000000002</v>
      </c>
      <c r="ADV41" s="758"/>
      <c r="ADX41" s="759">
        <v>1.1052631580000001</v>
      </c>
      <c r="ADY41" s="760"/>
      <c r="ADZ41" s="759">
        <v>-1.42105263157895</v>
      </c>
      <c r="AEA41" s="760"/>
      <c r="AEB41" s="591">
        <v>228</v>
      </c>
      <c r="AEC41" s="759">
        <f t="shared" si="10"/>
        <v>2.2042105266610506</v>
      </c>
      <c r="AED41" s="760"/>
      <c r="AEE41" s="757">
        <f t="shared" si="6"/>
        <v>3.2800000000000002</v>
      </c>
      <c r="AEF41" s="758"/>
      <c r="AEH41" s="759">
        <v>1.1052631580000001</v>
      </c>
      <c r="AEI41" s="760"/>
      <c r="AEJ41" s="759">
        <v>-1.42105263157895</v>
      </c>
      <c r="AEK41" s="760"/>
      <c r="AEL41" s="591">
        <v>278</v>
      </c>
      <c r="AEM41" s="759">
        <f t="shared" si="37"/>
        <v>2.7568421056610508</v>
      </c>
      <c r="AEN41" s="760"/>
      <c r="AEO41" s="757">
        <f t="shared" si="7"/>
        <v>3.7800000000000002</v>
      </c>
      <c r="AEP41" s="758"/>
      <c r="AGL41" s="900"/>
      <c r="AGM41" s="901"/>
      <c r="AGN41" s="902"/>
      <c r="AGO41" s="850"/>
      <c r="AGP41" s="775" t="s">
        <v>1464</v>
      </c>
      <c r="AGQ41" s="776"/>
      <c r="AGR41" s="776"/>
      <c r="AGS41" s="776"/>
      <c r="AGT41" s="776"/>
      <c r="AGU41" s="776"/>
      <c r="AGV41" s="776"/>
      <c r="AGW41" s="776"/>
      <c r="AGX41" s="776"/>
      <c r="AGY41" s="776"/>
      <c r="AGZ41" s="776"/>
      <c r="AHA41" s="1054">
        <f xml:space="preserve">
IF(ACQ11 = "Y",
IF(ADA11 = "Y",
IF(ADK11 = "Y",
IF(ADU11 = "Y",
IF(AEE11 = "Y",
IF(AEO11 = "Y","Ошибка",AEO11),
AEE11),
ADU11),
ADK11),
ADA11),
ACQ11)</f>
        <v>0.65999999999999992</v>
      </c>
      <c r="AHB41" s="1055"/>
      <c r="AHC41" s="1341" t="s">
        <v>729</v>
      </c>
      <c r="AHD41" s="1342"/>
      <c r="AHE41" s="841"/>
      <c r="AHF41" s="893" t="s">
        <v>432</v>
      </c>
      <c r="AHG41" s="894"/>
      <c r="AHH41" s="847"/>
      <c r="AID41" s="130"/>
      <c r="AIE41" s="130"/>
      <c r="AIF41" s="130"/>
      <c r="AIG41" s="439" t="s">
        <v>1217</v>
      </c>
      <c r="AIH41" s="1156">
        <f>$MP$69</f>
        <v>5.2449590821531827E-5</v>
      </c>
      <c r="AII41" s="1156"/>
      <c r="AIK41" s="861" t="s">
        <v>1479</v>
      </c>
      <c r="AIL41" s="861"/>
      <c r="AIM41" s="890">
        <f>$AGZ$115</f>
        <v>0.75548439321349448</v>
      </c>
      <c r="AIN41" s="890"/>
      <c r="AIO41" s="130"/>
      <c r="AIP41" s="130"/>
      <c r="AIQ41" s="130"/>
      <c r="AIR41" s="130"/>
      <c r="AIS41" s="130"/>
      <c r="AIT41" s="130"/>
      <c r="AIU41" s="130"/>
      <c r="AIV41" s="130"/>
      <c r="AOJ41" s="130"/>
      <c r="AOK41" s="130"/>
      <c r="AOL41" s="130"/>
      <c r="AQL41" s="130"/>
      <c r="ARI41" s="653"/>
      <c r="ARJ41" s="653"/>
      <c r="ARK41" s="653"/>
      <c r="ARL41" s="653"/>
      <c r="ARM41" s="653"/>
      <c r="ARN41" s="653"/>
      <c r="ARO41" s="653"/>
      <c r="ARP41" s="653"/>
      <c r="ATC41" s="653"/>
      <c r="ATH41" s="1075" t="s">
        <v>45</v>
      </c>
      <c r="ATI41" s="1076"/>
    </row>
    <row r="42" spans="3:932 1076:1297" ht="48" customHeight="1" thickBot="1">
      <c r="D42" s="162"/>
      <c r="E42" s="158"/>
      <c r="F42" s="1722"/>
      <c r="G42" s="1723"/>
      <c r="H42" s="158"/>
      <c r="I42" s="158"/>
      <c r="J42" s="158"/>
      <c r="K42" s="158"/>
      <c r="L42" s="158"/>
      <c r="M42" s="158"/>
      <c r="N42" s="158"/>
      <c r="O42" s="158"/>
      <c r="P42" s="158"/>
      <c r="Q42" s="158"/>
      <c r="R42" s="158"/>
      <c r="S42" s="158"/>
      <c r="T42" s="158"/>
      <c r="U42" s="158"/>
      <c r="V42" s="158"/>
      <c r="W42" s="158"/>
      <c r="X42" s="158"/>
      <c r="Y42" s="163"/>
      <c r="BM42" s="126"/>
      <c r="BN42" s="126"/>
      <c r="BO42" s="126"/>
      <c r="BP42" s="126"/>
      <c r="BQ42" s="126"/>
      <c r="BR42" s="126"/>
      <c r="BS42" s="126"/>
      <c r="BT42" s="126"/>
      <c r="BX42" s="851"/>
      <c r="BY42" s="802" t="s">
        <v>1246</v>
      </c>
      <c r="BZ42" s="803"/>
      <c r="CA42" s="879">
        <f>$CI$36</f>
        <v>4</v>
      </c>
      <c r="CB42" s="879"/>
      <c r="CC42" s="769"/>
      <c r="CD42" s="764"/>
      <c r="CE42" s="764"/>
      <c r="CF42" s="764"/>
      <c r="CG42" s="764"/>
      <c r="CH42" s="764"/>
      <c r="CI42" s="764"/>
      <c r="CJ42" s="764"/>
      <c r="CK42" s="764"/>
      <c r="CL42" s="942"/>
      <c r="CM42" s="943"/>
      <c r="CN42" s="943"/>
      <c r="CO42" s="943"/>
      <c r="CP42" s="943"/>
      <c r="CQ42" s="943"/>
      <c r="CR42" s="943"/>
      <c r="CS42" s="943"/>
      <c r="CT42" s="943"/>
      <c r="CU42" s="943"/>
      <c r="CV42" s="943"/>
      <c r="CW42" s="944"/>
      <c r="DJ42" s="130"/>
      <c r="DK42" s="130"/>
      <c r="DL42" s="130"/>
      <c r="DM42" s="130"/>
      <c r="DN42" s="130"/>
      <c r="DR42" s="653"/>
      <c r="DS42" s="653"/>
      <c r="DT42" s="653"/>
      <c r="DU42" s="653"/>
      <c r="DV42" s="653"/>
      <c r="DZ42" s="903"/>
      <c r="EA42" s="904"/>
      <c r="EB42" s="905"/>
      <c r="EC42" s="851"/>
      <c r="ED42" s="777"/>
      <c r="EE42" s="778"/>
      <c r="EF42" s="778"/>
      <c r="EG42" s="778"/>
      <c r="EH42" s="778"/>
      <c r="EI42" s="778"/>
      <c r="EJ42" s="778"/>
      <c r="EK42" s="778"/>
      <c r="EL42" s="778"/>
      <c r="EM42" s="778"/>
      <c r="EN42" s="778"/>
      <c r="EO42" s="778"/>
      <c r="EP42" s="799"/>
      <c r="EQ42" s="1195"/>
      <c r="ER42" s="1196"/>
      <c r="ES42" s="1077"/>
      <c r="ET42" s="1078"/>
      <c r="EU42" s="842"/>
      <c r="EV42" s="918"/>
      <c r="EW42" s="1082"/>
      <c r="EX42" s="919"/>
      <c r="EY42" s="848"/>
      <c r="IR42" s="900"/>
      <c r="IS42" s="901"/>
      <c r="IT42" s="902"/>
      <c r="IU42" s="850"/>
      <c r="IV42" s="775" t="s">
        <v>78</v>
      </c>
      <c r="IW42" s="776"/>
      <c r="IX42" s="776"/>
      <c r="IY42" s="776"/>
      <c r="IZ42" s="776"/>
      <c r="JA42" s="776"/>
      <c r="JB42" s="776"/>
      <c r="JC42" s="776"/>
      <c r="JD42" s="776"/>
      <c r="JE42" s="776"/>
      <c r="JF42" s="776"/>
      <c r="JG42" s="1434">
        <v>1520</v>
      </c>
      <c r="JH42" s="1435"/>
      <c r="JI42" s="1075" t="s">
        <v>16</v>
      </c>
      <c r="JJ42" s="1076"/>
      <c r="JK42" s="841"/>
      <c r="JL42" s="1170" t="s">
        <v>1052</v>
      </c>
      <c r="JM42" s="1172"/>
      <c r="JN42" s="847"/>
      <c r="JO42" s="162"/>
      <c r="JP42" s="600" t="s">
        <v>1635</v>
      </c>
      <c r="JQ42" s="761">
        <f>$KL$53</f>
        <v>1.8500000000000003</v>
      </c>
      <c r="JR42" s="761"/>
      <c r="JS42" s="163"/>
      <c r="JZ42" s="185"/>
      <c r="KA42" s="852"/>
      <c r="KB42" s="923"/>
      <c r="KC42" s="185"/>
      <c r="KD42" s="1069" t="s">
        <v>59</v>
      </c>
      <c r="KE42" s="1070"/>
      <c r="KF42" s="1070"/>
      <c r="KG42" s="1070"/>
      <c r="KH42" s="1070"/>
      <c r="KI42" s="1070"/>
      <c r="KJ42" s="1070"/>
      <c r="KK42" s="1070"/>
      <c r="KL42" s="1070"/>
      <c r="KM42" s="1070"/>
      <c r="KN42" s="1071"/>
      <c r="KO42" s="185"/>
      <c r="MB42" s="849"/>
      <c r="MC42" s="852" t="s">
        <v>416</v>
      </c>
      <c r="MD42" s="853"/>
      <c r="ME42" s="344"/>
      <c r="MF42" s="345" t="s">
        <v>402</v>
      </c>
      <c r="MG42" s="761">
        <f>$AP$20</f>
        <v>4</v>
      </c>
      <c r="MH42" s="761"/>
      <c r="MI42" s="370" t="s">
        <v>425</v>
      </c>
      <c r="MJ42" s="761">
        <f>$ML$111</f>
        <v>1</v>
      </c>
      <c r="MK42" s="761"/>
      <c r="ML42" s="344"/>
      <c r="MM42" s="76" t="s">
        <v>441</v>
      </c>
      <c r="MN42" s="854" t="s">
        <v>435</v>
      </c>
      <c r="MO42" s="855"/>
      <c r="MP42" s="920" t="s">
        <v>111</v>
      </c>
      <c r="MQ42" s="921"/>
      <c r="MR42" s="916" t="s">
        <v>704</v>
      </c>
      <c r="MS42" s="917"/>
      <c r="MT42" s="906" t="s">
        <v>447</v>
      </c>
      <c r="MU42" s="907"/>
      <c r="MV42" s="907"/>
      <c r="MW42" s="908"/>
      <c r="MX42" s="1051" t="s">
        <v>436</v>
      </c>
      <c r="MY42" s="1051"/>
      <c r="MZ42" s="1051"/>
      <c r="NA42" s="1051"/>
      <c r="NB42" s="1051"/>
      <c r="NC42" s="1051"/>
      <c r="NE42" s="653"/>
      <c r="NF42" s="653"/>
      <c r="NG42" s="653"/>
      <c r="NH42" s="653"/>
      <c r="NI42" s="653"/>
      <c r="NJ42" s="653"/>
      <c r="NK42" s="377"/>
      <c r="NL42" s="373"/>
      <c r="NM42" s="373"/>
      <c r="NN42" s="373"/>
      <c r="NO42" s="373"/>
      <c r="NP42" s="373"/>
      <c r="NQ42" s="373"/>
      <c r="NR42" s="373"/>
      <c r="NS42" s="373"/>
      <c r="NT42" s="373"/>
      <c r="NU42" s="373"/>
      <c r="NV42" s="373"/>
      <c r="NW42" s="373"/>
      <c r="NX42" s="373"/>
      <c r="NY42" s="373"/>
      <c r="NZ42" s="373"/>
      <c r="OA42" s="373"/>
      <c r="OB42" s="373"/>
      <c r="OC42" s="373"/>
      <c r="OD42" s="373"/>
      <c r="OE42" s="373"/>
      <c r="OF42" s="374"/>
      <c r="PL42" s="1300"/>
      <c r="PM42" s="851"/>
      <c r="PN42" s="1200"/>
      <c r="PO42" s="1201"/>
      <c r="PP42" s="1201"/>
      <c r="PQ42" s="1201"/>
      <c r="PR42" s="1201"/>
      <c r="PS42" s="1202"/>
      <c r="PT42" s="887"/>
      <c r="PU42" s="888"/>
      <c r="PV42" s="1414"/>
      <c r="PW42" s="1304"/>
      <c r="PX42" s="1067"/>
      <c r="PY42" s="1150"/>
      <c r="PZ42" s="1151"/>
      <c r="QA42" s="848"/>
      <c r="RT42" s="653"/>
      <c r="RU42" s="653"/>
      <c r="RV42" s="653"/>
      <c r="RW42" s="653"/>
      <c r="RX42" s="653"/>
      <c r="RY42" s="653"/>
      <c r="RZ42" s="849"/>
      <c r="SA42" s="852" t="s">
        <v>416</v>
      </c>
      <c r="SB42" s="853"/>
      <c r="SC42" s="138"/>
      <c r="SD42" s="392" t="s">
        <v>1335</v>
      </c>
      <c r="SE42" s="937">
        <f>$MP$98</f>
        <v>0.38958741854614803</v>
      </c>
      <c r="SF42" s="937"/>
      <c r="SG42" s="78"/>
      <c r="SH42" s="78"/>
      <c r="SI42" s="78"/>
      <c r="SJ42" s="138"/>
      <c r="SK42" s="76" t="s">
        <v>441</v>
      </c>
      <c r="SL42" s="854" t="s">
        <v>435</v>
      </c>
      <c r="SM42" s="1111"/>
      <c r="SN42" s="920" t="s">
        <v>111</v>
      </c>
      <c r="SO42" s="921"/>
      <c r="SP42" s="916" t="s">
        <v>704</v>
      </c>
      <c r="SQ42" s="917"/>
      <c r="SR42" s="906" t="s">
        <v>447</v>
      </c>
      <c r="SS42" s="907"/>
      <c r="ST42" s="907"/>
      <c r="SU42" s="907"/>
      <c r="SV42" s="908"/>
      <c r="SW42" s="906" t="s">
        <v>436</v>
      </c>
      <c r="SX42" s="907"/>
      <c r="SY42" s="907"/>
      <c r="SZ42" s="907"/>
      <c r="TA42" s="907"/>
      <c r="TB42" s="908"/>
      <c r="TC42" s="653"/>
      <c r="TD42" s="653"/>
      <c r="TE42" s="653"/>
      <c r="TF42" s="653"/>
      <c r="TG42" s="653"/>
      <c r="TH42" s="653"/>
      <c r="TI42" s="653"/>
      <c r="TJ42" s="653"/>
      <c r="TK42" s="653"/>
      <c r="TL42" s="653"/>
      <c r="TM42" s="653"/>
      <c r="TN42" s="653"/>
      <c r="TO42" s="653"/>
      <c r="TP42" s="653"/>
      <c r="TQ42" s="653"/>
      <c r="TR42" s="653"/>
      <c r="TS42" s="653"/>
      <c r="TT42" s="653"/>
      <c r="TU42" s="653"/>
      <c r="TX42" s="653"/>
      <c r="TY42" s="653"/>
      <c r="TZ42" s="653"/>
      <c r="UA42" s="653"/>
      <c r="UB42" s="653"/>
      <c r="UC42" s="653"/>
      <c r="UD42" s="653"/>
      <c r="UE42" s="653"/>
      <c r="UF42" s="653"/>
      <c r="UG42" s="653"/>
      <c r="UH42" s="653"/>
      <c r="UI42" s="653"/>
      <c r="UJ42" s="653"/>
      <c r="UK42" s="653"/>
      <c r="UL42" s="653"/>
      <c r="UM42" s="653"/>
      <c r="UN42" s="653"/>
      <c r="UO42" s="653"/>
      <c r="UP42" s="653"/>
      <c r="UQ42" s="653"/>
      <c r="UR42" s="653"/>
      <c r="US42" s="653"/>
      <c r="UT42" s="653"/>
      <c r="UU42" s="653"/>
      <c r="UV42" s="653"/>
      <c r="UW42" s="653"/>
      <c r="UX42" s="653"/>
      <c r="UY42" s="653"/>
      <c r="UZ42" s="653"/>
      <c r="WE42" s="162"/>
      <c r="WF42" s="158"/>
      <c r="WG42" s="158"/>
      <c r="WH42" s="158"/>
      <c r="WI42" s="158"/>
      <c r="WJ42" s="163"/>
      <c r="WK42" s="169"/>
      <c r="WL42" s="170"/>
      <c r="WM42" s="170"/>
      <c r="WN42" s="170"/>
      <c r="WO42" s="170"/>
      <c r="WP42" s="170"/>
      <c r="WQ42" s="170"/>
      <c r="WR42" s="170"/>
      <c r="WS42" s="170"/>
      <c r="WT42" s="170"/>
      <c r="WU42" s="170"/>
      <c r="WV42" s="170"/>
      <c r="WW42" s="172"/>
      <c r="WX42" s="978"/>
      <c r="WY42" s="979"/>
      <c r="WZ42" s="756"/>
      <c r="XA42" s="756"/>
      <c r="XB42" s="169"/>
      <c r="XC42" s="170"/>
      <c r="XD42" s="170"/>
      <c r="XE42" s="170"/>
      <c r="XF42" s="172"/>
      <c r="XG42" s="967"/>
      <c r="XH42" s="967"/>
      <c r="XI42" s="967"/>
      <c r="XJ42" s="967"/>
      <c r="XK42" s="967"/>
      <c r="XL42" s="967"/>
      <c r="XM42" s="967"/>
      <c r="XN42" s="967"/>
      <c r="XO42" s="967"/>
      <c r="XP42" s="967"/>
      <c r="XQ42" s="967"/>
      <c r="XR42" s="967"/>
      <c r="XS42" s="967"/>
      <c r="XT42" s="967"/>
      <c r="XU42" s="967"/>
      <c r="XV42" s="967"/>
      <c r="XW42" s="967"/>
      <c r="XX42" s="967"/>
      <c r="XY42" s="967"/>
      <c r="XZ42" s="967"/>
      <c r="YA42" s="967"/>
      <c r="YB42" s="967"/>
      <c r="YC42" s="967"/>
      <c r="YD42" s="967"/>
      <c r="YE42" s="967"/>
      <c r="YF42" s="967"/>
      <c r="YG42" s="967"/>
      <c r="YH42" s="967"/>
      <c r="YI42" s="967"/>
      <c r="YJ42" s="967"/>
      <c r="YK42" s="967"/>
      <c r="YL42" s="967"/>
      <c r="YM42" s="967"/>
      <c r="YN42" s="967"/>
      <c r="YO42" s="967"/>
      <c r="YP42" s="967"/>
      <c r="YQ42" s="967"/>
      <c r="YR42" s="967"/>
      <c r="YS42" s="967"/>
      <c r="YT42" s="967"/>
      <c r="YU42" s="967"/>
      <c r="YV42" s="967"/>
      <c r="YW42" s="967"/>
      <c r="YX42" s="967"/>
      <c r="YY42" s="967"/>
      <c r="YZ42" s="967"/>
      <c r="ZA42" s="967"/>
      <c r="ZB42" s="967"/>
      <c r="ZC42" s="967"/>
      <c r="ZD42" s="967"/>
      <c r="ZE42" s="967"/>
      <c r="ZF42" s="967"/>
      <c r="ZG42" s="967"/>
      <c r="ZH42" s="967"/>
      <c r="ZI42" s="967"/>
      <c r="ZJ42" s="967"/>
      <c r="ZK42" s="967"/>
      <c r="ZL42" s="967"/>
      <c r="ZM42" s="967"/>
      <c r="ZN42" s="967"/>
      <c r="ZO42" s="967"/>
      <c r="ZP42" s="967"/>
      <c r="ZQ42" s="967"/>
      <c r="ZR42" s="967"/>
      <c r="ZS42" s="967"/>
      <c r="ZT42" s="967"/>
      <c r="ZU42" s="967"/>
      <c r="ZV42" s="967"/>
      <c r="ZW42" s="967"/>
      <c r="ZX42" s="967"/>
      <c r="ZY42" s="967"/>
      <c r="ZZ42" s="967"/>
      <c r="AAA42" s="967"/>
      <c r="AAB42" s="967"/>
      <c r="AAC42" s="967"/>
      <c r="AAD42" s="967"/>
      <c r="AAE42" s="967"/>
      <c r="AAF42" s="967"/>
      <c r="AAG42" s="967"/>
      <c r="AAH42" s="967"/>
      <c r="AAI42" s="967"/>
      <c r="AAJ42" s="967"/>
      <c r="AAK42" s="967"/>
      <c r="AAL42" s="967"/>
      <c r="AAM42" s="967"/>
      <c r="AAN42" s="967"/>
      <c r="AAO42" s="967"/>
      <c r="AAP42" s="967"/>
      <c r="AAQ42" s="967"/>
      <c r="AAR42" s="967"/>
      <c r="AAS42" s="967"/>
      <c r="AAT42" s="965"/>
      <c r="AAU42" s="756"/>
      <c r="AAV42" s="756"/>
      <c r="AAW42" s="169"/>
      <c r="AAX42" s="170"/>
      <c r="AAY42" s="170"/>
      <c r="AAZ42" s="170"/>
      <c r="ABA42" s="162"/>
      <c r="ABB42" s="158"/>
      <c r="ABC42" s="158"/>
      <c r="ABD42" s="163"/>
      <c r="ACJ42" s="759">
        <v>0.33333333300000001</v>
      </c>
      <c r="ACK42" s="760"/>
      <c r="ACL42" s="759">
        <v>-0.233333333</v>
      </c>
      <c r="ACM42" s="760"/>
      <c r="ACN42" s="592">
        <v>30</v>
      </c>
      <c r="ACO42" s="759">
        <f t="shared" si="0"/>
        <v>0.19999999990000003</v>
      </c>
      <c r="ACP42" s="760"/>
      <c r="ACQ42" s="757">
        <f t="shared" si="1"/>
        <v>1.3</v>
      </c>
      <c r="ACR42" s="758"/>
      <c r="ACT42" s="759">
        <v>1</v>
      </c>
      <c r="ACU42" s="760"/>
      <c r="ACV42" s="759">
        <v>-1.2</v>
      </c>
      <c r="ACW42" s="760"/>
      <c r="ACX42" s="592">
        <v>80</v>
      </c>
      <c r="ACY42" s="759">
        <f t="shared" si="8"/>
        <v>0.60000000000000009</v>
      </c>
      <c r="ACZ42" s="760"/>
      <c r="ADA42" s="757">
        <f t="shared" si="2"/>
        <v>1.8</v>
      </c>
      <c r="ADB42" s="758"/>
      <c r="ADD42" s="1112">
        <v>1.1052631578947401</v>
      </c>
      <c r="ADE42" s="1112"/>
      <c r="ADF42" s="1112">
        <v>-1.42105263157895</v>
      </c>
      <c r="ADG42" s="1112"/>
      <c r="ADH42" s="591">
        <v>129</v>
      </c>
      <c r="ADI42" s="759">
        <f t="shared" si="3"/>
        <v>1.1100000000000048</v>
      </c>
      <c r="ADJ42" s="760"/>
      <c r="ADK42" s="757">
        <f t="shared" si="4"/>
        <v>2.29</v>
      </c>
      <c r="ADL42" s="758"/>
      <c r="ADN42" s="759">
        <v>1.1052631580000001</v>
      </c>
      <c r="ADO42" s="760"/>
      <c r="ADP42" s="759">
        <v>-1.42105263157895</v>
      </c>
      <c r="ADQ42" s="760"/>
      <c r="ADR42" s="591">
        <v>179</v>
      </c>
      <c r="ADS42" s="759">
        <f t="shared" si="9"/>
        <v>1.6626315792410504</v>
      </c>
      <c r="ADT42" s="760"/>
      <c r="ADU42" s="757">
        <f t="shared" si="5"/>
        <v>2.79</v>
      </c>
      <c r="ADV42" s="758"/>
      <c r="ADX42" s="759">
        <v>1.1052631580000001</v>
      </c>
      <c r="ADY42" s="760"/>
      <c r="ADZ42" s="759">
        <v>-1.42105263157895</v>
      </c>
      <c r="AEA42" s="760"/>
      <c r="AEB42" s="591">
        <v>229</v>
      </c>
      <c r="AEC42" s="759">
        <f t="shared" si="10"/>
        <v>2.2152631582410502</v>
      </c>
      <c r="AED42" s="760"/>
      <c r="AEE42" s="757">
        <f t="shared" si="6"/>
        <v>3.29</v>
      </c>
      <c r="AEF42" s="758"/>
      <c r="AEH42" s="759">
        <v>1.1052631580000001</v>
      </c>
      <c r="AEI42" s="760"/>
      <c r="AEJ42" s="759">
        <v>-1.42105263157895</v>
      </c>
      <c r="AEK42" s="760"/>
      <c r="AEL42" s="591">
        <v>279</v>
      </c>
      <c r="AEM42" s="759">
        <f t="shared" si="37"/>
        <v>2.7678947372410501</v>
      </c>
      <c r="AEN42" s="760"/>
      <c r="AEO42" s="757">
        <f t="shared" si="7"/>
        <v>3.79</v>
      </c>
      <c r="AEP42" s="758"/>
      <c r="AGL42" s="903"/>
      <c r="AGM42" s="904"/>
      <c r="AGN42" s="905"/>
      <c r="AGO42" s="851"/>
      <c r="AGP42" s="777"/>
      <c r="AGQ42" s="778"/>
      <c r="AGR42" s="778"/>
      <c r="AGS42" s="778"/>
      <c r="AGT42" s="778"/>
      <c r="AGU42" s="778"/>
      <c r="AGV42" s="778"/>
      <c r="AGW42" s="778"/>
      <c r="AGX42" s="778"/>
      <c r="AGY42" s="778"/>
      <c r="AGZ42" s="778"/>
      <c r="AHA42" s="1056"/>
      <c r="AHB42" s="1057"/>
      <c r="AHC42" s="1355"/>
      <c r="AHD42" s="1356"/>
      <c r="AHE42" s="842"/>
      <c r="AHF42" s="918"/>
      <c r="AHG42" s="919"/>
      <c r="AHH42" s="848"/>
      <c r="AHM42" s="800" t="s">
        <v>1442</v>
      </c>
      <c r="AHN42" s="982"/>
      <c r="AHO42" s="801"/>
      <c r="AHP42" s="951">
        <f>$AHB$33</f>
        <v>1.8595658001541595</v>
      </c>
      <c r="AHQ42" s="952"/>
      <c r="AID42" s="130"/>
      <c r="AIE42" s="130"/>
      <c r="AIF42" s="130"/>
      <c r="AIG42" s="437" t="s">
        <v>1347</v>
      </c>
      <c r="AIH42" s="951">
        <f>$AHA$104</f>
        <v>0.81</v>
      </c>
      <c r="AII42" s="952"/>
      <c r="AIQ42" s="130"/>
      <c r="AIR42" s="392" t="s">
        <v>1335</v>
      </c>
      <c r="AIS42" s="937">
        <f>$MP$98</f>
        <v>0.38958741854614803</v>
      </c>
      <c r="AIT42" s="937"/>
      <c r="AIU42" s="130"/>
      <c r="AIV42" s="130"/>
      <c r="AOJ42" s="130"/>
      <c r="AOK42" s="130"/>
      <c r="AOL42" s="130"/>
      <c r="AQL42" s="130"/>
      <c r="ARP42" s="653"/>
      <c r="ATC42" s="653"/>
      <c r="ATH42" s="1077"/>
      <c r="ATI42" s="1078"/>
    </row>
    <row r="43" spans="3:932 1076:1297" ht="48" customHeight="1" thickBot="1">
      <c r="D43" s="162"/>
      <c r="E43" s="158"/>
      <c r="F43" s="158"/>
      <c r="G43" s="158"/>
      <c r="H43" s="158"/>
      <c r="I43" s="158"/>
      <c r="J43" s="158"/>
      <c r="K43" s="158"/>
      <c r="L43" s="158"/>
      <c r="M43" s="158"/>
      <c r="N43" s="158"/>
      <c r="O43" s="158"/>
      <c r="P43" s="158"/>
      <c r="Q43" s="158"/>
      <c r="R43" s="158"/>
      <c r="S43" s="158"/>
      <c r="T43" s="158"/>
      <c r="U43" s="158"/>
      <c r="V43" s="158"/>
      <c r="W43" s="158"/>
      <c r="X43" s="158"/>
      <c r="Y43" s="163"/>
      <c r="BM43" s="126"/>
      <c r="BN43" s="126"/>
      <c r="BO43" s="126"/>
      <c r="BP43" s="126"/>
      <c r="BQ43" s="126"/>
      <c r="BR43" s="126"/>
      <c r="BS43" s="126"/>
      <c r="BT43" s="126"/>
      <c r="FA43" s="130"/>
      <c r="FB43" s="130"/>
      <c r="GF43" s="897" t="s">
        <v>974</v>
      </c>
      <c r="GG43" s="898"/>
      <c r="GH43" s="899"/>
      <c r="GI43" s="849"/>
      <c r="GJ43" s="852" t="s">
        <v>416</v>
      </c>
      <c r="GK43" s="853"/>
      <c r="GL43" s="138"/>
      <c r="GM43" s="806" t="s">
        <v>1795</v>
      </c>
      <c r="GN43" s="807"/>
      <c r="GO43" s="808"/>
      <c r="GP43" s="75" t="s">
        <v>702</v>
      </c>
      <c r="GQ43" s="138"/>
      <c r="GR43" s="76" t="s">
        <v>441</v>
      </c>
      <c r="GS43" s="854" t="s">
        <v>435</v>
      </c>
      <c r="GT43" s="855"/>
      <c r="GU43" s="920" t="s">
        <v>111</v>
      </c>
      <c r="GV43" s="921"/>
      <c r="GW43" s="916" t="s">
        <v>704</v>
      </c>
      <c r="GX43" s="917"/>
      <c r="GY43" s="906" t="s">
        <v>447</v>
      </c>
      <c r="GZ43" s="907"/>
      <c r="HA43" s="907"/>
      <c r="HB43" s="908"/>
      <c r="IR43" s="903"/>
      <c r="IS43" s="904"/>
      <c r="IT43" s="905"/>
      <c r="IU43" s="851"/>
      <c r="IV43" s="777"/>
      <c r="IW43" s="778"/>
      <c r="IX43" s="778"/>
      <c r="IY43" s="778"/>
      <c r="IZ43" s="778"/>
      <c r="JA43" s="778"/>
      <c r="JB43" s="778"/>
      <c r="JC43" s="778"/>
      <c r="JD43" s="778"/>
      <c r="JE43" s="778"/>
      <c r="JF43" s="778"/>
      <c r="JG43" s="1436"/>
      <c r="JH43" s="1437"/>
      <c r="JI43" s="1077"/>
      <c r="JJ43" s="1078"/>
      <c r="JK43" s="842"/>
      <c r="JL43" s="1173"/>
      <c r="JM43" s="1175"/>
      <c r="JN43" s="848"/>
      <c r="JO43" s="164"/>
      <c r="JP43" s="470"/>
      <c r="JQ43" s="470"/>
      <c r="JR43" s="470"/>
      <c r="JS43" s="166"/>
      <c r="MB43" s="850"/>
      <c r="MC43" s="935" t="s">
        <v>444</v>
      </c>
      <c r="MD43" s="936"/>
      <c r="ME43" s="937">
        <f>$AP$49</f>
        <v>0.21284000000000003</v>
      </c>
      <c r="MF43" s="937"/>
      <c r="MG43" s="797" t="s">
        <v>73</v>
      </c>
      <c r="MH43" s="797"/>
      <c r="MI43" s="797"/>
      <c r="MJ43" s="797"/>
      <c r="MK43" s="797"/>
      <c r="ML43" s="797"/>
      <c r="MM43" s="797"/>
      <c r="MN43" s="797"/>
      <c r="MO43" s="798"/>
      <c r="MP43" s="835">
        <f>((3.14*(ME43+ME44/1000))/MG42)*MJ42</f>
        <v>0.18704831766629001</v>
      </c>
      <c r="MQ43" s="836"/>
      <c r="MR43" s="1261" t="s">
        <v>706</v>
      </c>
      <c r="MS43" s="1262"/>
      <c r="MT43" s="841"/>
      <c r="MU43" s="1170" t="s">
        <v>1206</v>
      </c>
      <c r="MV43" s="1172"/>
      <c r="MW43" s="847"/>
      <c r="MX43" s="1052"/>
      <c r="MY43" s="1052"/>
      <c r="MZ43" s="1052"/>
      <c r="NA43" s="1052"/>
      <c r="NB43" s="1052"/>
      <c r="NC43" s="1052"/>
      <c r="ND43" s="130"/>
      <c r="NE43" s="653"/>
      <c r="NF43" s="653"/>
      <c r="NG43" s="653"/>
      <c r="NH43" s="653"/>
      <c r="NI43" s="653"/>
      <c r="NJ43" s="653"/>
      <c r="NK43" s="377"/>
      <c r="NL43" s="373"/>
      <c r="NM43" s="373"/>
      <c r="NN43" s="373"/>
      <c r="NO43" s="373"/>
      <c r="NP43" s="373"/>
      <c r="NQ43" s="373"/>
      <c r="NR43" s="373"/>
      <c r="NS43" s="373"/>
      <c r="NT43" s="373"/>
      <c r="NU43" s="373"/>
      <c r="NV43" s="373"/>
      <c r="NW43" s="373"/>
      <c r="NX43" s="373"/>
      <c r="NY43" s="373"/>
      <c r="NZ43" s="373"/>
      <c r="OA43" s="373"/>
      <c r="OB43" s="373"/>
      <c r="OC43" s="373"/>
      <c r="OD43" s="373"/>
      <c r="OE43" s="373"/>
      <c r="OF43" s="374"/>
      <c r="RT43" s="653"/>
      <c r="RU43" s="653"/>
      <c r="RV43" s="653"/>
      <c r="RW43" s="653"/>
      <c r="RX43" s="653"/>
      <c r="RY43" s="653"/>
      <c r="RZ43" s="850"/>
      <c r="SA43" s="940" t="s">
        <v>1339</v>
      </c>
      <c r="SB43" s="941"/>
      <c r="SC43" s="1156">
        <f>$MM$241</f>
        <v>0.37750130463778836</v>
      </c>
      <c r="SD43" s="1156"/>
      <c r="SE43" s="829" t="s">
        <v>1687</v>
      </c>
      <c r="SF43" s="830"/>
      <c r="SG43" s="830"/>
      <c r="SH43" s="830"/>
      <c r="SI43" s="830"/>
      <c r="SJ43" s="830"/>
      <c r="SK43" s="830"/>
      <c r="SL43" s="830"/>
      <c r="SM43" s="831"/>
      <c r="SN43" s="835">
        <f>SN22*(MP98+SN22*SC43)</f>
        <v>0.8003400905890462</v>
      </c>
      <c r="SO43" s="836"/>
      <c r="SP43" s="1253" t="s">
        <v>392</v>
      </c>
      <c r="SQ43" s="1189"/>
      <c r="SR43" s="1066"/>
      <c r="SS43" s="1170" t="s">
        <v>1685</v>
      </c>
      <c r="ST43" s="1171"/>
      <c r="SU43" s="1172"/>
      <c r="SV43" s="847"/>
      <c r="SW43" s="826"/>
      <c r="SX43" s="945"/>
      <c r="SY43" s="945"/>
      <c r="SZ43" s="945"/>
      <c r="TA43" s="945"/>
      <c r="TB43" s="946"/>
      <c r="TC43" s="653"/>
      <c r="TD43" s="653"/>
      <c r="TE43" s="653"/>
      <c r="TF43" s="653"/>
      <c r="TG43" s="653"/>
      <c r="TH43" s="653"/>
      <c r="TI43" s="653"/>
      <c r="TJ43" s="653"/>
      <c r="TK43" s="653"/>
      <c r="TL43" s="653"/>
      <c r="TM43" s="653"/>
      <c r="TN43" s="653"/>
      <c r="TO43" s="653"/>
      <c r="TP43" s="653"/>
      <c r="TQ43" s="653"/>
      <c r="TR43" s="653"/>
      <c r="TS43" s="653"/>
      <c r="TT43" s="653"/>
      <c r="TU43" s="653"/>
      <c r="TX43" s="653"/>
      <c r="TY43" s="653"/>
      <c r="TZ43" s="653"/>
      <c r="UA43" s="653"/>
      <c r="UB43" s="653"/>
      <c r="UC43" s="653"/>
      <c r="UD43" s="653"/>
      <c r="UE43" s="653"/>
      <c r="UF43" s="653"/>
      <c r="UG43" s="653"/>
      <c r="UH43" s="653"/>
      <c r="UI43" s="653"/>
      <c r="UJ43" s="653"/>
      <c r="UK43" s="653"/>
      <c r="UL43" s="653"/>
      <c r="UM43" s="653"/>
      <c r="UN43" s="653"/>
      <c r="UO43" s="653"/>
      <c r="UP43" s="653"/>
      <c r="UQ43" s="653"/>
      <c r="UR43" s="653"/>
      <c r="US43" s="653"/>
      <c r="UT43" s="653"/>
      <c r="UU43" s="653"/>
      <c r="UV43" s="653"/>
      <c r="UW43" s="653"/>
      <c r="UX43" s="653"/>
      <c r="UY43" s="653"/>
      <c r="UZ43" s="653"/>
      <c r="WE43" s="162"/>
      <c r="WF43" s="158"/>
      <c r="WG43" s="158"/>
      <c r="WH43" s="158"/>
      <c r="WI43" s="158"/>
      <c r="WJ43" s="163"/>
      <c r="WK43" s="800" t="s">
        <v>1455</v>
      </c>
      <c r="WL43" s="801"/>
      <c r="WM43" s="1156">
        <f>$MP$23</f>
        <v>0.14308700299628158</v>
      </c>
      <c r="WN43" s="1156"/>
      <c r="WO43" s="168"/>
      <c r="WP43" s="168"/>
      <c r="WQ43" s="168"/>
      <c r="WR43" s="168"/>
      <c r="WS43" s="168"/>
      <c r="WT43" s="168"/>
      <c r="WU43" s="168"/>
      <c r="WV43" s="168"/>
      <c r="WW43" s="171"/>
      <c r="WX43" s="976">
        <v>12</v>
      </c>
      <c r="WY43" s="977"/>
      <c r="WZ43" s="756" t="s">
        <v>393</v>
      </c>
      <c r="XA43" s="756"/>
      <c r="XB43" s="167"/>
      <c r="XC43" s="168"/>
      <c r="XD43" s="168"/>
      <c r="XE43" s="168"/>
      <c r="XF43" s="171"/>
      <c r="XG43" s="966">
        <f>(3*(XG37^2)*$WM$43)/1000</f>
        <v>0.11897914432487687</v>
      </c>
      <c r="XH43" s="966">
        <f t="shared" ref="XH43:ZS43" si="44">(3*(XH37^2)*$WM$43)/1000</f>
        <v>0.13060197159694906</v>
      </c>
      <c r="XI43" s="966">
        <f t="shared" si="44"/>
        <v>0.14851688042135838</v>
      </c>
      <c r="XJ43" s="966">
        <f t="shared" si="44"/>
        <v>0.17264112427228309</v>
      </c>
      <c r="XK43" s="966">
        <f t="shared" si="44"/>
        <v>0.20288654607089637</v>
      </c>
      <c r="XL43" s="966">
        <f t="shared" si="44"/>
        <v>0.23915984499730666</v>
      </c>
      <c r="XM43" s="966">
        <f t="shared" si="44"/>
        <v>0.28136285054548488</v>
      </c>
      <c r="XN43" s="966">
        <f t="shared" si="44"/>
        <v>0.32939280258717268</v>
      </c>
      <c r="XO43" s="966">
        <f t="shared" si="44"/>
        <v>0.38314263622269801</v>
      </c>
      <c r="XP43" s="966">
        <f t="shared" si="44"/>
        <v>0.44250127021583047</v>
      </c>
      <c r="XQ43" s="966">
        <f t="shared" si="44"/>
        <v>0.5073538978358404</v>
      </c>
      <c r="XR43" s="966">
        <f t="shared" si="44"/>
        <v>0.57758227896225323</v>
      </c>
      <c r="XS43" s="966">
        <f t="shared" si="44"/>
        <v>0.65306503234589264</v>
      </c>
      <c r="XT43" s="966">
        <f t="shared" si="44"/>
        <v>0.73367792696307199</v>
      </c>
      <c r="XU43" s="966">
        <f t="shared" si="44"/>
        <v>0.8192941714476828</v>
      </c>
      <c r="XV43" s="966">
        <f t="shared" si="44"/>
        <v>0.90978470063780337</v>
      </c>
      <c r="XW43" s="966">
        <f t="shared" si="44"/>
        <v>1.0050184583286981</v>
      </c>
      <c r="XX43" s="966">
        <f t="shared" si="44"/>
        <v>1.1048626753821631</v>
      </c>
      <c r="XY43" s="966">
        <f t="shared" si="44"/>
        <v>1.2091831424024155</v>
      </c>
      <c r="XZ43" s="966">
        <f t="shared" si="44"/>
        <v>1.3178444762506039</v>
      </c>
      <c r="YA43" s="966">
        <f t="shared" si="44"/>
        <v>1.4307103797330067</v>
      </c>
      <c r="YB43" s="966">
        <f t="shared" si="44"/>
        <v>1.5476438938614518</v>
      </c>
      <c r="YC43" s="966">
        <f t="shared" si="44"/>
        <v>1.668507642148092</v>
      </c>
      <c r="YD43" s="966">
        <f t="shared" si="44"/>
        <v>1.7931640664597384</v>
      </c>
      <c r="YE43" s="966">
        <f t="shared" si="44"/>
        <v>1.9214756540193314</v>
      </c>
      <c r="YF43" s="966">
        <f t="shared" si="44"/>
        <v>2.0533051552030908</v>
      </c>
      <c r="YG43" s="966">
        <f t="shared" si="44"/>
        <v>2.1885157918413967</v>
      </c>
      <c r="YH43" s="966">
        <f t="shared" si="44"/>
        <v>2.3269714557889483</v>
      </c>
      <c r="YI43" s="966">
        <f t="shared" si="44"/>
        <v>2.4685368975851372</v>
      </c>
      <c r="YJ43" s="966">
        <f t="shared" si="44"/>
        <v>2.6130779050784803</v>
      </c>
      <c r="YK43" s="966">
        <f t="shared" si="44"/>
        <v>2.7604614719392555</v>
      </c>
      <c r="YL43" s="966">
        <f t="shared" si="44"/>
        <v>2.9105559560319967</v>
      </c>
      <c r="YM43" s="966">
        <f t="shared" si="44"/>
        <v>3.0632312276641538</v>
      </c>
      <c r="YN43" s="966">
        <f t="shared" si="44"/>
        <v>3.2183588077687681</v>
      </c>
      <c r="YO43" s="966">
        <f t="shared" si="44"/>
        <v>3.3758119961175876</v>
      </c>
      <c r="YP43" s="966">
        <f t="shared" si="44"/>
        <v>3.5354659896964944</v>
      </c>
      <c r="YQ43" s="966">
        <f t="shared" si="44"/>
        <v>3.6971979914074389</v>
      </c>
      <c r="YR43" s="966">
        <f t="shared" si="44"/>
        <v>3.860887309290391</v>
      </c>
      <c r="YS43" s="966">
        <f t="shared" si="44"/>
        <v>4.0264154464849948</v>
      </c>
      <c r="YT43" s="966">
        <f t="shared" si="44"/>
        <v>4.1936661821749803</v>
      </c>
      <c r="YU43" s="966">
        <f t="shared" si="44"/>
        <v>4.3625256437786799</v>
      </c>
      <c r="YV43" s="966">
        <f t="shared" si="44"/>
        <v>4.5328823706666848</v>
      </c>
      <c r="YW43" s="966">
        <f t="shared" si="44"/>
        <v>4.7046273697025338</v>
      </c>
      <c r="YX43" s="966">
        <f t="shared" si="44"/>
        <v>4.8776541629148031</v>
      </c>
      <c r="YY43" s="966">
        <f t="shared" si="44"/>
        <v>5.0518588276187568</v>
      </c>
      <c r="YZ43" s="966">
        <f t="shared" si="44"/>
        <v>5.2271400293135564</v>
      </c>
      <c r="ZA43" s="966">
        <f t="shared" si="44"/>
        <v>5.4033990476864142</v>
      </c>
      <c r="ZB43" s="966">
        <f t="shared" si="44"/>
        <v>5.580539796058642</v>
      </c>
      <c r="ZC43" s="966">
        <f t="shared" si="44"/>
        <v>5.7584688346101309</v>
      </c>
      <c r="ZD43" s="966">
        <f t="shared" si="44"/>
        <v>5.937095377718876</v>
      </c>
      <c r="ZE43" s="966">
        <f t="shared" si="44"/>
        <v>6.1163312957503742</v>
      </c>
      <c r="ZF43" s="966">
        <f t="shared" si="44"/>
        <v>6.2960911116287006</v>
      </c>
      <c r="ZG43" s="966">
        <f t="shared" si="44"/>
        <v>6.4762919925168783</v>
      </c>
      <c r="ZH43" s="966">
        <f t="shared" si="44"/>
        <v>6.6568537369284195</v>
      </c>
      <c r="ZI43" s="966">
        <f t="shared" si="44"/>
        <v>6.8376987575856214</v>
      </c>
      <c r="ZJ43" s="966">
        <f t="shared" si="44"/>
        <v>7.0187520603325995</v>
      </c>
      <c r="ZK43" s="966">
        <f t="shared" si="44"/>
        <v>7.1999412194030494</v>
      </c>
      <c r="ZL43" s="966">
        <f t="shared" si="44"/>
        <v>7.3811963493336874</v>
      </c>
      <c r="ZM43" s="966">
        <f t="shared" si="44"/>
        <v>7.5624500738050608</v>
      </c>
      <c r="ZN43" s="966">
        <f t="shared" si="44"/>
        <v>7.7436374916814037</v>
      </c>
      <c r="ZO43" s="966">
        <f t="shared" si="44"/>
        <v>7.9246961405111271</v>
      </c>
      <c r="ZP43" s="966">
        <f t="shared" si="44"/>
        <v>8.1055659577389161</v>
      </c>
      <c r="ZQ43" s="966">
        <f t="shared" si="44"/>
        <v>8.2861892398697066</v>
      </c>
      <c r="ZR43" s="966">
        <f t="shared" si="44"/>
        <v>8.4665105998140202</v>
      </c>
      <c r="ZS43" s="966">
        <f t="shared" si="44"/>
        <v>8.6464769226331963</v>
      </c>
      <c r="ZT43" s="966">
        <f t="shared" ref="ZT43:AAS43" si="45">(3*(ZT37^2)*$WM$43)/1000</f>
        <v>8.8260373198921602</v>
      </c>
      <c r="ZU43" s="966">
        <f t="shared" si="45"/>
        <v>9.0051430828165895</v>
      </c>
      <c r="ZV43" s="966">
        <f t="shared" si="45"/>
        <v>9.1837476344404863</v>
      </c>
      <c r="ZW43" s="966">
        <f t="shared" si="45"/>
        <v>9.3618064809197392</v>
      </c>
      <c r="ZX43" s="966">
        <f t="shared" si="45"/>
        <v>9.5392771621766617</v>
      </c>
      <c r="ZY43" s="966">
        <f t="shared" si="45"/>
        <v>9.7161192020305336</v>
      </c>
      <c r="ZZ43" s="966">
        <f t="shared" si="45"/>
        <v>9.8922940579590417</v>
      </c>
      <c r="AAA43" s="966">
        <f t="shared" si="45"/>
        <v>10.067765070625997</v>
      </c>
      <c r="AAB43" s="966">
        <f t="shared" si="45"/>
        <v>10.242497413301267</v>
      </c>
      <c r="AAC43" s="966">
        <f t="shared" si="45"/>
        <v>10.416458041289834</v>
      </c>
      <c r="AAD43" s="966">
        <f t="shared" si="45"/>
        <v>10.58961564147816</v>
      </c>
      <c r="AAE43" s="966">
        <f t="shared" si="45"/>
        <v>10.761940582097655</v>
      </c>
      <c r="AAF43" s="966">
        <f t="shared" si="45"/>
        <v>10.933404862796921</v>
      </c>
      <c r="AAG43" s="966">
        <f t="shared" si="45"/>
        <v>11.10398206510683</v>
      </c>
      <c r="AAH43" s="966">
        <f t="shared" si="45"/>
        <v>11.273647303375073</v>
      </c>
      <c r="AAI43" s="966">
        <f t="shared" si="45"/>
        <v>11.442377176239784</v>
      </c>
      <c r="AAJ43" s="966">
        <f t="shared" si="45"/>
        <v>11.610149718705163</v>
      </c>
      <c r="AAK43" s="966">
        <f t="shared" si="45"/>
        <v>11.776944354875873</v>
      </c>
      <c r="AAL43" s="966">
        <f t="shared" si="45"/>
        <v>11.942741851400651</v>
      </c>
      <c r="AAM43" s="966">
        <f t="shared" si="45"/>
        <v>12.107524271670197</v>
      </c>
      <c r="AAN43" s="966">
        <f t="shared" si="45"/>
        <v>12.271274930809099</v>
      </c>
      <c r="AAO43" s="966">
        <f t="shared" si="45"/>
        <v>12.433978351496103</v>
      </c>
      <c r="AAP43" s="966">
        <f t="shared" si="45"/>
        <v>12.595620220643093</v>
      </c>
      <c r="AAQ43" s="966">
        <f t="shared" si="45"/>
        <v>12.756187346957764</v>
      </c>
      <c r="AAR43" s="966">
        <f t="shared" si="45"/>
        <v>12.915667619411803</v>
      </c>
      <c r="AAS43" s="966">
        <f t="shared" si="45"/>
        <v>13.07404996663192</v>
      </c>
      <c r="AAT43" s="964">
        <v>12</v>
      </c>
      <c r="AAU43" s="756" t="s">
        <v>393</v>
      </c>
      <c r="AAV43" s="756"/>
      <c r="AAW43" s="175"/>
      <c r="AAX43" s="173"/>
      <c r="AAY43" s="173"/>
      <c r="AAZ43" s="173"/>
      <c r="ABA43" s="162"/>
      <c r="ABB43" s="158"/>
      <c r="ABC43" s="158"/>
      <c r="ABD43" s="163"/>
      <c r="ACJ43" s="759">
        <v>0.66666666699999999</v>
      </c>
      <c r="ACK43" s="760"/>
      <c r="ACL43" s="759">
        <v>-0.66666666699999999</v>
      </c>
      <c r="ACM43" s="760"/>
      <c r="ACN43" s="591">
        <v>31</v>
      </c>
      <c r="ACO43" s="759">
        <f t="shared" si="0"/>
        <v>0.20666666677000001</v>
      </c>
      <c r="ACP43" s="760"/>
      <c r="ACQ43" s="757">
        <f t="shared" si="1"/>
        <v>1.31</v>
      </c>
      <c r="ACR43" s="758"/>
      <c r="ACT43" s="759">
        <v>1</v>
      </c>
      <c r="ACU43" s="760"/>
      <c r="ACV43" s="759">
        <v>-1.2</v>
      </c>
      <c r="ACW43" s="760"/>
      <c r="ACX43" s="592">
        <v>81</v>
      </c>
      <c r="ACY43" s="759">
        <f t="shared" si="8"/>
        <v>0.6100000000000001</v>
      </c>
      <c r="ACZ43" s="760"/>
      <c r="ADA43" s="757">
        <f t="shared" si="2"/>
        <v>1.81</v>
      </c>
      <c r="ADB43" s="758"/>
      <c r="ADD43" s="1112">
        <v>1.1052631578947401</v>
      </c>
      <c r="ADE43" s="1112"/>
      <c r="ADF43" s="1112">
        <v>-1.42105263157895</v>
      </c>
      <c r="ADG43" s="1112"/>
      <c r="ADH43" s="591">
        <v>130</v>
      </c>
      <c r="ADI43" s="759">
        <f t="shared" si="3"/>
        <v>1.121052631578952</v>
      </c>
      <c r="ADJ43" s="760"/>
      <c r="ADK43" s="757">
        <f t="shared" si="4"/>
        <v>2.2999999999999998</v>
      </c>
      <c r="ADL43" s="758"/>
      <c r="ADN43" s="759">
        <v>1.1052631580000001</v>
      </c>
      <c r="ADO43" s="760"/>
      <c r="ADP43" s="759">
        <v>-1.42105263157895</v>
      </c>
      <c r="ADQ43" s="760"/>
      <c r="ADR43" s="591">
        <v>180</v>
      </c>
      <c r="ADS43" s="759">
        <f t="shared" si="9"/>
        <v>1.6736842108210501</v>
      </c>
      <c r="ADT43" s="760"/>
      <c r="ADU43" s="757">
        <f t="shared" si="5"/>
        <v>2.8</v>
      </c>
      <c r="ADV43" s="758"/>
      <c r="ADX43" s="759">
        <v>1.1052631580000001</v>
      </c>
      <c r="ADY43" s="760"/>
      <c r="ADZ43" s="759">
        <v>-1.42105263157895</v>
      </c>
      <c r="AEA43" s="760"/>
      <c r="AEB43" s="591">
        <v>230</v>
      </c>
      <c r="AEC43" s="759">
        <f t="shared" si="10"/>
        <v>2.2263157898210504</v>
      </c>
      <c r="AED43" s="760"/>
      <c r="AEE43" s="757">
        <f t="shared" si="6"/>
        <v>3.3000000000000003</v>
      </c>
      <c r="AEF43" s="758"/>
      <c r="AEH43" s="759">
        <v>1.1052631580000001</v>
      </c>
      <c r="AEI43" s="760"/>
      <c r="AEJ43" s="759">
        <v>-1.42105263157895</v>
      </c>
      <c r="AEK43" s="760"/>
      <c r="AEL43" s="591">
        <v>280</v>
      </c>
      <c r="AEM43" s="759">
        <f t="shared" si="37"/>
        <v>2.7789473688210502</v>
      </c>
      <c r="AEN43" s="760"/>
      <c r="AEO43" s="757">
        <f t="shared" si="7"/>
        <v>3.8000000000000003</v>
      </c>
      <c r="AEP43" s="758"/>
      <c r="AID43" s="130"/>
      <c r="AIE43" s="130"/>
      <c r="AIF43" s="130"/>
      <c r="AIG43" s="448" t="s">
        <v>1199</v>
      </c>
      <c r="AIH43" s="883">
        <f>$AHA$15</f>
        <v>1</v>
      </c>
      <c r="AII43" s="884"/>
      <c r="AIP43" s="130"/>
      <c r="AIQ43" s="130"/>
      <c r="AIR43" s="130"/>
      <c r="AIS43" s="130"/>
      <c r="AIT43" s="130"/>
      <c r="AIU43" s="130"/>
      <c r="AIV43" s="130"/>
      <c r="AOJ43" s="130"/>
      <c r="AOK43" s="130"/>
      <c r="AOL43" s="130"/>
      <c r="AQL43" s="130"/>
      <c r="ARP43" s="653"/>
      <c r="ATC43" s="653"/>
      <c r="ATH43" s="1261" t="s">
        <v>706</v>
      </c>
      <c r="ATI43" s="1262"/>
    </row>
    <row r="44" spans="3:932 1076:1297" ht="48" customHeight="1" thickBot="1">
      <c r="D44" s="162"/>
      <c r="E44" s="158"/>
      <c r="F44" s="158"/>
      <c r="G44" s="739" t="s">
        <v>676</v>
      </c>
      <c r="H44" s="158"/>
      <c r="I44" s="736" t="s">
        <v>911</v>
      </c>
      <c r="J44" s="862" t="s">
        <v>1833</v>
      </c>
      <c r="K44" s="863"/>
      <c r="L44" s="863"/>
      <c r="M44" s="863"/>
      <c r="N44" s="863"/>
      <c r="O44" s="863"/>
      <c r="P44" s="863"/>
      <c r="Q44" s="863"/>
      <c r="R44" s="863"/>
      <c r="S44" s="864"/>
      <c r="T44" s="158"/>
      <c r="U44" s="158"/>
      <c r="V44" s="158"/>
      <c r="W44" s="158"/>
      <c r="X44" s="158"/>
      <c r="Y44" s="163"/>
      <c r="BX44" s="782" t="s">
        <v>721</v>
      </c>
      <c r="BY44" s="783"/>
      <c r="BZ44" s="784"/>
      <c r="CA44" s="76" t="s">
        <v>793</v>
      </c>
      <c r="CB44" s="1257" t="s">
        <v>416</v>
      </c>
      <c r="CC44" s="1257"/>
      <c r="CD44" s="138"/>
      <c r="CE44" s="78"/>
      <c r="CF44" s="78"/>
      <c r="CG44" s="78"/>
      <c r="CH44" s="78"/>
      <c r="CI44" s="78"/>
      <c r="CJ44" s="78"/>
      <c r="CK44" s="138"/>
      <c r="CL44" s="76" t="s">
        <v>441</v>
      </c>
      <c r="CM44" s="854" t="s">
        <v>435</v>
      </c>
      <c r="CN44" s="855"/>
      <c r="CO44" s="920" t="s">
        <v>111</v>
      </c>
      <c r="CP44" s="921"/>
      <c r="CQ44" s="916" t="s">
        <v>704</v>
      </c>
      <c r="CR44" s="917"/>
      <c r="CS44" s="906" t="s">
        <v>447</v>
      </c>
      <c r="CT44" s="907"/>
      <c r="CU44" s="907"/>
      <c r="CV44" s="908"/>
      <c r="DZ44" s="897" t="s">
        <v>929</v>
      </c>
      <c r="EA44" s="898"/>
      <c r="EB44" s="899"/>
      <c r="EC44" s="76" t="s">
        <v>793</v>
      </c>
      <c r="ED44" s="852" t="s">
        <v>416</v>
      </c>
      <c r="EE44" s="853"/>
      <c r="EF44" s="138"/>
      <c r="EG44" s="78"/>
      <c r="EH44" s="78"/>
      <c r="EI44" s="78"/>
      <c r="EJ44" s="78"/>
      <c r="EK44" s="78"/>
      <c r="EL44" s="78"/>
      <c r="EM44" s="138"/>
      <c r="EN44" s="76" t="s">
        <v>441</v>
      </c>
      <c r="EO44" s="854" t="s">
        <v>435</v>
      </c>
      <c r="EP44" s="855"/>
      <c r="EQ44" s="920" t="s">
        <v>111</v>
      </c>
      <c r="ER44" s="921"/>
      <c r="ES44" s="916" t="s">
        <v>704</v>
      </c>
      <c r="ET44" s="917"/>
      <c r="EU44" s="906" t="s">
        <v>447</v>
      </c>
      <c r="EV44" s="907"/>
      <c r="EW44" s="907"/>
      <c r="EX44" s="907"/>
      <c r="EY44" s="908"/>
      <c r="GF44" s="900"/>
      <c r="GG44" s="901"/>
      <c r="GH44" s="902"/>
      <c r="GI44" s="850"/>
      <c r="GJ44" s="809" t="s">
        <v>394</v>
      </c>
      <c r="GK44" s="797"/>
      <c r="GL44" s="797"/>
      <c r="GM44" s="797"/>
      <c r="GN44" s="797"/>
      <c r="GO44" s="797"/>
      <c r="GP44" s="797"/>
      <c r="GQ44" s="797"/>
      <c r="GR44" s="797"/>
      <c r="GS44" s="797"/>
      <c r="GT44" s="797"/>
      <c r="GU44" s="1453">
        <v>0.90400000000000003</v>
      </c>
      <c r="GV44" s="1454"/>
      <c r="GW44" s="1183" t="s">
        <v>729</v>
      </c>
      <c r="GX44" s="1184"/>
      <c r="GY44" s="841"/>
      <c r="GZ44" s="1170" t="s">
        <v>997</v>
      </c>
      <c r="HA44" s="1172"/>
      <c r="HB44" s="847"/>
      <c r="HK44" s="130"/>
      <c r="HL44" s="130"/>
      <c r="HM44" s="130"/>
      <c r="HN44" s="130"/>
      <c r="HO44" s="130"/>
      <c r="HP44" s="130"/>
      <c r="HQ44" s="130"/>
      <c r="JX44" s="1052"/>
      <c r="JY44" s="852" t="s">
        <v>416</v>
      </c>
      <c r="JZ44" s="923"/>
      <c r="KA44" s="224"/>
      <c r="KB44" s="228" t="s">
        <v>1024</v>
      </c>
      <c r="KC44" s="761">
        <f>$AW$95</f>
        <v>0.19391178434038603</v>
      </c>
      <c r="KD44" s="761"/>
      <c r="KE44" s="136"/>
      <c r="KF44" s="78"/>
      <c r="KG44" s="78"/>
      <c r="KH44" s="136"/>
      <c r="KI44" s="76" t="s">
        <v>441</v>
      </c>
      <c r="KJ44" s="854" t="s">
        <v>435</v>
      </c>
      <c r="KK44" s="855"/>
      <c r="KL44" s="920" t="s">
        <v>111</v>
      </c>
      <c r="KM44" s="921"/>
      <c r="KN44" s="916" t="s">
        <v>704</v>
      </c>
      <c r="KO44" s="917"/>
      <c r="KP44" s="906" t="s">
        <v>447</v>
      </c>
      <c r="KQ44" s="907"/>
      <c r="KR44" s="907"/>
      <c r="KS44" s="908"/>
      <c r="KT44" s="1051" t="s">
        <v>436</v>
      </c>
      <c r="KU44" s="1051"/>
      <c r="KV44" s="1051"/>
      <c r="KW44" s="1051"/>
      <c r="MB44" s="851"/>
      <c r="MC44" s="1595" t="s">
        <v>1213</v>
      </c>
      <c r="MD44" s="1596"/>
      <c r="ME44" s="804">
        <f>$EK$49</f>
        <v>25.438111676802539</v>
      </c>
      <c r="MF44" s="804"/>
      <c r="MG44" s="778"/>
      <c r="MH44" s="778"/>
      <c r="MI44" s="778"/>
      <c r="MJ44" s="778"/>
      <c r="MK44" s="778"/>
      <c r="ML44" s="778"/>
      <c r="MM44" s="778"/>
      <c r="MN44" s="778"/>
      <c r="MO44" s="799"/>
      <c r="MP44" s="837"/>
      <c r="MQ44" s="838"/>
      <c r="MR44" s="1263"/>
      <c r="MS44" s="1264"/>
      <c r="MT44" s="842"/>
      <c r="MU44" s="1173"/>
      <c r="MV44" s="1175"/>
      <c r="MW44" s="848"/>
      <c r="MX44" s="1053"/>
      <c r="MY44" s="1053"/>
      <c r="MZ44" s="1053"/>
      <c r="NA44" s="1053"/>
      <c r="NB44" s="1053"/>
      <c r="NC44" s="1053"/>
      <c r="ND44" s="130"/>
      <c r="NE44" s="653"/>
      <c r="NF44" s="653"/>
      <c r="NG44" s="653"/>
      <c r="NH44" s="653"/>
      <c r="NI44" s="653"/>
      <c r="NJ44" s="653"/>
      <c r="NK44" s="377"/>
      <c r="NL44" s="373"/>
      <c r="NM44" s="373"/>
      <c r="NN44" s="373"/>
      <c r="NO44" s="373"/>
      <c r="NP44" s="373"/>
      <c r="NQ44" s="373"/>
      <c r="NR44" s="373"/>
      <c r="NS44" s="373"/>
      <c r="NT44" s="373"/>
      <c r="NU44" s="373"/>
      <c r="NV44" s="373"/>
      <c r="NW44" s="373"/>
      <c r="NX44" s="373"/>
      <c r="NY44" s="373"/>
      <c r="NZ44" s="373"/>
      <c r="OA44" s="373"/>
      <c r="OB44" s="373"/>
      <c r="OC44" s="373"/>
      <c r="OD44" s="373"/>
      <c r="OE44" s="373"/>
      <c r="OF44" s="374"/>
      <c r="PL44" s="849"/>
      <c r="PM44" s="852" t="s">
        <v>416</v>
      </c>
      <c r="PN44" s="853"/>
      <c r="PO44" s="466"/>
      <c r="PP44" s="497" t="s">
        <v>1598</v>
      </c>
      <c r="PQ44" s="761">
        <f>$AW$95</f>
        <v>0.19391178434038603</v>
      </c>
      <c r="PR44" s="761"/>
      <c r="PS44" s="475" t="s">
        <v>1106</v>
      </c>
      <c r="PT44" s="926">
        <f>$CO$28</f>
        <v>48</v>
      </c>
      <c r="PU44" s="926"/>
      <c r="PV44" s="466"/>
      <c r="PW44" s="76" t="s">
        <v>441</v>
      </c>
      <c r="PX44" s="854" t="s">
        <v>435</v>
      </c>
      <c r="PY44" s="855"/>
      <c r="PZ44" s="920" t="s">
        <v>111</v>
      </c>
      <c r="QA44" s="921"/>
      <c r="QB44" s="916" t="s">
        <v>704</v>
      </c>
      <c r="QC44" s="922"/>
      <c r="QD44" s="1051" t="s">
        <v>447</v>
      </c>
      <c r="QE44" s="1051"/>
      <c r="QF44" s="1051"/>
      <c r="QG44" s="1051"/>
      <c r="QH44" s="1051"/>
      <c r="QI44" s="1051" t="s">
        <v>436</v>
      </c>
      <c r="QJ44" s="1051"/>
      <c r="QK44" s="1051"/>
      <c r="QL44" s="1051"/>
      <c r="QM44" s="1051"/>
      <c r="QN44" s="1051"/>
      <c r="QO44" s="1051"/>
      <c r="QP44" s="1051"/>
      <c r="QQ44" s="1051"/>
      <c r="QR44" s="1051"/>
      <c r="QS44" s="1051"/>
      <c r="QT44" s="1051"/>
      <c r="RE44" s="653"/>
      <c r="RF44" s="653"/>
      <c r="RG44" s="653"/>
      <c r="RH44" s="653"/>
      <c r="RI44" s="653"/>
      <c r="RJ44" s="653"/>
      <c r="RK44" s="653"/>
      <c r="RL44" s="653"/>
      <c r="RM44" s="653"/>
      <c r="RN44" s="653"/>
      <c r="RO44" s="653"/>
      <c r="RP44" s="653"/>
      <c r="RQ44" s="653"/>
      <c r="RR44" s="653"/>
      <c r="RS44" s="653"/>
      <c r="RT44" s="653"/>
      <c r="RU44" s="653"/>
      <c r="RV44" s="653"/>
      <c r="RW44" s="653"/>
      <c r="RX44" s="653"/>
      <c r="RY44" s="653"/>
      <c r="RZ44" s="851"/>
      <c r="SA44" s="1268" t="s">
        <v>1350</v>
      </c>
      <c r="SB44" s="1269"/>
      <c r="SC44" s="774">
        <f>$SN$22</f>
        <v>1.0287777591472789</v>
      </c>
      <c r="SD44" s="774"/>
      <c r="SE44" s="832"/>
      <c r="SF44" s="833"/>
      <c r="SG44" s="833"/>
      <c r="SH44" s="833"/>
      <c r="SI44" s="833"/>
      <c r="SJ44" s="833"/>
      <c r="SK44" s="833"/>
      <c r="SL44" s="833"/>
      <c r="SM44" s="834"/>
      <c r="SN44" s="837"/>
      <c r="SO44" s="838"/>
      <c r="SP44" s="1254"/>
      <c r="SQ44" s="1191"/>
      <c r="SR44" s="1067"/>
      <c r="SS44" s="1173"/>
      <c r="ST44" s="1174"/>
      <c r="SU44" s="1175"/>
      <c r="SV44" s="848"/>
      <c r="SW44" s="1589"/>
      <c r="SX44" s="1805"/>
      <c r="SY44" s="1805"/>
      <c r="SZ44" s="1805"/>
      <c r="TA44" s="1805"/>
      <c r="TB44" s="1590"/>
      <c r="TC44" s="653"/>
      <c r="TD44" s="653"/>
      <c r="TE44" s="653"/>
      <c r="TF44" s="653"/>
      <c r="TG44" s="653"/>
      <c r="TH44" s="653"/>
      <c r="TI44" s="653"/>
      <c r="TJ44" s="653"/>
      <c r="TK44" s="653"/>
      <c r="TL44" s="653"/>
      <c r="TM44" s="653"/>
      <c r="TN44" s="653"/>
      <c r="TO44" s="653"/>
      <c r="TP44" s="653"/>
      <c r="TQ44" s="653"/>
      <c r="TR44" s="653"/>
      <c r="TS44" s="653"/>
      <c r="TT44" s="653"/>
      <c r="TU44" s="653"/>
      <c r="TX44" s="653"/>
      <c r="TY44" s="653"/>
      <c r="TZ44" s="653"/>
      <c r="UA44" s="653"/>
      <c r="UB44" s="653"/>
      <c r="UC44" s="653"/>
      <c r="UD44" s="653"/>
      <c r="UE44" s="653"/>
      <c r="UF44" s="653"/>
      <c r="UG44" s="653"/>
      <c r="UH44" s="653"/>
      <c r="UI44" s="653"/>
      <c r="UJ44" s="653"/>
      <c r="UK44" s="653"/>
      <c r="UL44" s="653"/>
      <c r="UM44" s="653"/>
      <c r="UN44" s="653"/>
      <c r="UO44" s="653"/>
      <c r="UP44" s="653"/>
      <c r="UQ44" s="653"/>
      <c r="UR44" s="653"/>
      <c r="US44" s="653"/>
      <c r="UT44" s="653"/>
      <c r="UU44" s="653"/>
      <c r="UV44" s="653"/>
      <c r="UW44" s="653"/>
      <c r="UX44" s="653"/>
      <c r="UY44" s="653"/>
      <c r="UZ44" s="653"/>
      <c r="WE44" s="162"/>
      <c r="WF44" s="158"/>
      <c r="WG44" s="158"/>
      <c r="WH44" s="158"/>
      <c r="WI44" s="158"/>
      <c r="WJ44" s="163"/>
      <c r="WK44" s="169"/>
      <c r="WL44" s="170"/>
      <c r="WM44" s="170"/>
      <c r="WN44" s="170"/>
      <c r="WO44" s="170"/>
      <c r="WP44" s="170"/>
      <c r="WQ44" s="170"/>
      <c r="WR44" s="170"/>
      <c r="WS44" s="170"/>
      <c r="WT44" s="170"/>
      <c r="WU44" s="170"/>
      <c r="WV44" s="170"/>
      <c r="WW44" s="172"/>
      <c r="WX44" s="978"/>
      <c r="WY44" s="979"/>
      <c r="WZ44" s="756"/>
      <c r="XA44" s="756"/>
      <c r="XB44" s="169"/>
      <c r="XC44" s="170"/>
      <c r="XD44" s="170"/>
      <c r="XE44" s="170"/>
      <c r="XF44" s="172"/>
      <c r="XG44" s="967"/>
      <c r="XH44" s="967"/>
      <c r="XI44" s="967"/>
      <c r="XJ44" s="967"/>
      <c r="XK44" s="967"/>
      <c r="XL44" s="967"/>
      <c r="XM44" s="967"/>
      <c r="XN44" s="967"/>
      <c r="XO44" s="967"/>
      <c r="XP44" s="967"/>
      <c r="XQ44" s="967"/>
      <c r="XR44" s="967"/>
      <c r="XS44" s="967"/>
      <c r="XT44" s="967"/>
      <c r="XU44" s="967"/>
      <c r="XV44" s="967"/>
      <c r="XW44" s="967"/>
      <c r="XX44" s="967"/>
      <c r="XY44" s="967"/>
      <c r="XZ44" s="967"/>
      <c r="YA44" s="967"/>
      <c r="YB44" s="967"/>
      <c r="YC44" s="967"/>
      <c r="YD44" s="967"/>
      <c r="YE44" s="967"/>
      <c r="YF44" s="967"/>
      <c r="YG44" s="967"/>
      <c r="YH44" s="967"/>
      <c r="YI44" s="967"/>
      <c r="YJ44" s="967"/>
      <c r="YK44" s="967"/>
      <c r="YL44" s="967"/>
      <c r="YM44" s="967"/>
      <c r="YN44" s="967"/>
      <c r="YO44" s="967"/>
      <c r="YP44" s="967"/>
      <c r="YQ44" s="967"/>
      <c r="YR44" s="967"/>
      <c r="YS44" s="967"/>
      <c r="YT44" s="967"/>
      <c r="YU44" s="967"/>
      <c r="YV44" s="967"/>
      <c r="YW44" s="967"/>
      <c r="YX44" s="967"/>
      <c r="YY44" s="967"/>
      <c r="YZ44" s="967"/>
      <c r="ZA44" s="967"/>
      <c r="ZB44" s="967"/>
      <c r="ZC44" s="967"/>
      <c r="ZD44" s="967"/>
      <c r="ZE44" s="967"/>
      <c r="ZF44" s="967"/>
      <c r="ZG44" s="967"/>
      <c r="ZH44" s="967"/>
      <c r="ZI44" s="967"/>
      <c r="ZJ44" s="967"/>
      <c r="ZK44" s="967"/>
      <c r="ZL44" s="967"/>
      <c r="ZM44" s="967"/>
      <c r="ZN44" s="967"/>
      <c r="ZO44" s="967"/>
      <c r="ZP44" s="967"/>
      <c r="ZQ44" s="967"/>
      <c r="ZR44" s="967"/>
      <c r="ZS44" s="967"/>
      <c r="ZT44" s="967"/>
      <c r="ZU44" s="967"/>
      <c r="ZV44" s="967"/>
      <c r="ZW44" s="967"/>
      <c r="ZX44" s="967"/>
      <c r="ZY44" s="967"/>
      <c r="ZZ44" s="967"/>
      <c r="AAA44" s="967"/>
      <c r="AAB44" s="967"/>
      <c r="AAC44" s="967"/>
      <c r="AAD44" s="967"/>
      <c r="AAE44" s="967"/>
      <c r="AAF44" s="967"/>
      <c r="AAG44" s="967"/>
      <c r="AAH44" s="967"/>
      <c r="AAI44" s="967"/>
      <c r="AAJ44" s="967"/>
      <c r="AAK44" s="967"/>
      <c r="AAL44" s="967"/>
      <c r="AAM44" s="967"/>
      <c r="AAN44" s="967"/>
      <c r="AAO44" s="967"/>
      <c r="AAP44" s="967"/>
      <c r="AAQ44" s="967"/>
      <c r="AAR44" s="967"/>
      <c r="AAS44" s="967"/>
      <c r="AAT44" s="965"/>
      <c r="AAU44" s="756"/>
      <c r="AAV44" s="756"/>
      <c r="AAW44" s="175"/>
      <c r="AAX44" s="173"/>
      <c r="AAY44" s="173"/>
      <c r="AAZ44" s="173"/>
      <c r="ABA44" s="162"/>
      <c r="ABB44" s="158"/>
      <c r="ABC44" s="158"/>
      <c r="ABD44" s="163"/>
      <c r="ACJ44" s="759">
        <v>0.66666666699999999</v>
      </c>
      <c r="ACK44" s="760"/>
      <c r="ACL44" s="759">
        <v>-0.66666666699999999</v>
      </c>
      <c r="ACM44" s="760"/>
      <c r="ACN44" s="591">
        <v>32</v>
      </c>
      <c r="ACO44" s="759">
        <f t="shared" si="0"/>
        <v>0.21333333344000005</v>
      </c>
      <c r="ACP44" s="760"/>
      <c r="ACQ44" s="757">
        <f t="shared" si="1"/>
        <v>1.32</v>
      </c>
      <c r="ACR44" s="758"/>
      <c r="ACT44" s="759">
        <v>1</v>
      </c>
      <c r="ACU44" s="760"/>
      <c r="ACV44" s="759">
        <v>-1.2</v>
      </c>
      <c r="ACW44" s="760"/>
      <c r="ACX44" s="592">
        <v>82</v>
      </c>
      <c r="ACY44" s="759">
        <f t="shared" si="8"/>
        <v>0.62000000000000011</v>
      </c>
      <c r="ACZ44" s="760"/>
      <c r="ADA44" s="757">
        <f t="shared" si="2"/>
        <v>1.82</v>
      </c>
      <c r="ADB44" s="758"/>
      <c r="ADD44" s="1112">
        <v>1.1052631578947401</v>
      </c>
      <c r="ADE44" s="1112"/>
      <c r="ADF44" s="1112">
        <v>-1.42105263157895</v>
      </c>
      <c r="ADG44" s="1112"/>
      <c r="ADH44" s="591">
        <v>131</v>
      </c>
      <c r="ADI44" s="759">
        <f t="shared" si="3"/>
        <v>1.1321052631578996</v>
      </c>
      <c r="ADJ44" s="760"/>
      <c r="ADK44" s="757">
        <f t="shared" si="4"/>
        <v>2.31</v>
      </c>
      <c r="ADL44" s="758"/>
      <c r="ADN44" s="759">
        <v>1.1052631580000001</v>
      </c>
      <c r="ADO44" s="760"/>
      <c r="ADP44" s="759">
        <v>-1.42105263157895</v>
      </c>
      <c r="ADQ44" s="760"/>
      <c r="ADR44" s="591">
        <v>181</v>
      </c>
      <c r="ADS44" s="759">
        <f t="shared" si="9"/>
        <v>1.6847368424010503</v>
      </c>
      <c r="ADT44" s="760"/>
      <c r="ADU44" s="757">
        <f t="shared" si="5"/>
        <v>2.81</v>
      </c>
      <c r="ADV44" s="758"/>
      <c r="ADX44" s="759">
        <v>1.1052631580000001</v>
      </c>
      <c r="ADY44" s="760"/>
      <c r="ADZ44" s="759">
        <v>-1.42105263157895</v>
      </c>
      <c r="AEA44" s="760"/>
      <c r="AEB44" s="591">
        <v>231</v>
      </c>
      <c r="AEC44" s="759">
        <f t="shared" si="10"/>
        <v>2.2373684214010505</v>
      </c>
      <c r="AED44" s="760"/>
      <c r="AEE44" s="757">
        <f t="shared" si="6"/>
        <v>3.31</v>
      </c>
      <c r="AEF44" s="758"/>
      <c r="AEH44" s="759">
        <v>1.1052631580000001</v>
      </c>
      <c r="AEI44" s="760"/>
      <c r="AEJ44" s="759">
        <v>-1.42105263157895</v>
      </c>
      <c r="AEK44" s="760"/>
      <c r="AEL44" s="591">
        <v>281</v>
      </c>
      <c r="AEM44" s="759">
        <f t="shared" si="37"/>
        <v>2.7900000004010503</v>
      </c>
      <c r="AEN44" s="760"/>
      <c r="AEO44" s="757">
        <f t="shared" si="7"/>
        <v>3.81</v>
      </c>
      <c r="AEP44" s="758"/>
      <c r="AEY44" s="653"/>
      <c r="AEZ44" s="653"/>
      <c r="AFA44" s="653"/>
      <c r="AFB44" s="653"/>
      <c r="AFC44" s="653"/>
      <c r="AFD44" s="653"/>
      <c r="AFE44" s="653"/>
      <c r="AFG44" s="653"/>
      <c r="AFH44" s="653"/>
      <c r="AFI44" s="653"/>
      <c r="AFJ44" s="653"/>
      <c r="AFK44" s="653"/>
      <c r="AFL44" s="653"/>
      <c r="AFM44" s="653"/>
      <c r="AFN44" s="653"/>
      <c r="AFO44" s="653"/>
      <c r="AFP44" s="653"/>
      <c r="AFQ44" s="653"/>
      <c r="AFR44" s="653"/>
      <c r="AFS44" s="653"/>
      <c r="AFT44" s="653"/>
      <c r="AFU44" s="653"/>
      <c r="AFV44" s="653"/>
      <c r="AFW44" s="653"/>
      <c r="AFX44" s="653"/>
      <c r="AFY44" s="653"/>
      <c r="AFZ44" s="653"/>
      <c r="AGA44" s="653"/>
      <c r="AGB44" s="653"/>
      <c r="AGC44" s="653"/>
      <c r="AGD44" s="653"/>
      <c r="AGE44" s="653"/>
      <c r="AGF44" s="653"/>
      <c r="AGG44" s="653"/>
      <c r="AGH44" s="653"/>
      <c r="AGI44" s="653"/>
      <c r="AGJ44" s="653"/>
      <c r="AGL44" s="897" t="s">
        <v>974</v>
      </c>
      <c r="AGM44" s="898"/>
      <c r="AGN44" s="899"/>
      <c r="AGO44" s="849"/>
      <c r="AGP44" s="852" t="s">
        <v>416</v>
      </c>
      <c r="AGQ44" s="853"/>
      <c r="AGR44" s="422"/>
      <c r="AGS44" s="806" t="s">
        <v>1842</v>
      </c>
      <c r="AGT44" s="807"/>
      <c r="AGU44" s="808"/>
      <c r="AGV44" s="76" t="s">
        <v>702</v>
      </c>
      <c r="AGW44" s="422"/>
      <c r="AGX44" s="76" t="s">
        <v>441</v>
      </c>
      <c r="AGY44" s="1837" t="s">
        <v>435</v>
      </c>
      <c r="AGZ44" s="1838"/>
      <c r="AHA44" s="920" t="s">
        <v>111</v>
      </c>
      <c r="AHB44" s="921"/>
      <c r="AHC44" s="916" t="s">
        <v>704</v>
      </c>
      <c r="AHD44" s="917"/>
      <c r="AHE44" s="906" t="s">
        <v>447</v>
      </c>
      <c r="AHF44" s="907"/>
      <c r="AHG44" s="907"/>
      <c r="AHH44" s="908"/>
      <c r="AQL44" s="130"/>
      <c r="ARP44" s="653"/>
      <c r="ATC44" s="653"/>
      <c r="ATH44" s="1263"/>
      <c r="ATI44" s="1264"/>
    </row>
    <row r="45" spans="3:932 1076:1297" ht="48" customHeight="1" thickBot="1">
      <c r="D45" s="162"/>
      <c r="E45" s="158"/>
      <c r="F45" s="158"/>
      <c r="G45" s="158"/>
      <c r="H45" s="158"/>
      <c r="I45" s="158"/>
      <c r="J45" s="158"/>
      <c r="K45" s="158"/>
      <c r="L45" s="158"/>
      <c r="M45" s="158"/>
      <c r="N45" s="158"/>
      <c r="O45" s="158"/>
      <c r="P45" s="158"/>
      <c r="Q45" s="158"/>
      <c r="R45" s="158"/>
      <c r="S45" s="158"/>
      <c r="T45" s="158"/>
      <c r="U45" s="158"/>
      <c r="V45" s="158"/>
      <c r="W45" s="158"/>
      <c r="X45" s="158"/>
      <c r="Y45" s="163"/>
      <c r="BS45" s="130"/>
      <c r="BX45" s="785"/>
      <c r="BY45" s="786"/>
      <c r="BZ45" s="787"/>
      <c r="CA45" s="76" t="s">
        <v>1654</v>
      </c>
      <c r="CB45" s="957" t="s">
        <v>766</v>
      </c>
      <c r="CC45" s="856"/>
      <c r="CD45" s="856"/>
      <c r="CE45" s="856"/>
      <c r="CF45" s="856"/>
      <c r="CG45" s="856"/>
      <c r="CH45" s="856"/>
      <c r="CI45" s="856"/>
      <c r="CJ45" s="856"/>
      <c r="CK45" s="856"/>
      <c r="CL45" s="856"/>
      <c r="CM45" s="856"/>
      <c r="CN45" s="1687"/>
      <c r="CO45" s="1378">
        <f>ROUND(CL40*1000,0)</f>
        <v>14</v>
      </c>
      <c r="CP45" s="1379"/>
      <c r="CQ45" s="1261" t="s">
        <v>45</v>
      </c>
      <c r="CR45" s="1262"/>
      <c r="CS45" s="841"/>
      <c r="CT45" s="893" t="s">
        <v>769</v>
      </c>
      <c r="CU45" s="894"/>
      <c r="CV45" s="847"/>
      <c r="DZ45" s="900"/>
      <c r="EA45" s="901"/>
      <c r="EB45" s="902"/>
      <c r="EC45" s="849"/>
      <c r="ED45" s="957" t="s">
        <v>993</v>
      </c>
      <c r="EE45" s="856"/>
      <c r="EF45" s="856"/>
      <c r="EG45" s="856"/>
      <c r="EH45" s="856"/>
      <c r="EI45" s="856"/>
      <c r="EJ45" s="856"/>
      <c r="EK45" s="856"/>
      <c r="EL45" s="856"/>
      <c r="EM45" s="856"/>
      <c r="EN45" s="856"/>
      <c r="EO45" s="856"/>
      <c r="EP45" s="1069"/>
      <c r="EQ45" s="1193">
        <v>4</v>
      </c>
      <c r="ER45" s="1194"/>
      <c r="ES45" s="1075" t="s">
        <v>45</v>
      </c>
      <c r="ET45" s="1076"/>
      <c r="EU45" s="841"/>
      <c r="EV45" s="893" t="s">
        <v>994</v>
      </c>
      <c r="EW45" s="1081"/>
      <c r="EX45" s="894"/>
      <c r="EY45" s="847"/>
      <c r="GF45" s="903"/>
      <c r="GG45" s="904"/>
      <c r="GH45" s="905"/>
      <c r="GI45" s="851"/>
      <c r="GJ45" s="777"/>
      <c r="GK45" s="778"/>
      <c r="GL45" s="778"/>
      <c r="GM45" s="778"/>
      <c r="GN45" s="778"/>
      <c r="GO45" s="778"/>
      <c r="GP45" s="778"/>
      <c r="GQ45" s="778"/>
      <c r="GR45" s="778"/>
      <c r="GS45" s="778"/>
      <c r="GT45" s="778"/>
      <c r="GU45" s="1455"/>
      <c r="GV45" s="1456"/>
      <c r="GW45" s="1185"/>
      <c r="GX45" s="1186"/>
      <c r="GY45" s="842"/>
      <c r="GZ45" s="1173"/>
      <c r="HA45" s="1175"/>
      <c r="HB45" s="848"/>
      <c r="HK45" s="130"/>
      <c r="HL45" s="130"/>
      <c r="HM45" s="130"/>
      <c r="HN45" s="130"/>
      <c r="HO45" s="130"/>
      <c r="HP45" s="130"/>
      <c r="HQ45" s="130"/>
      <c r="IO45" s="653"/>
      <c r="IP45" s="653"/>
      <c r="IQ45" s="653"/>
      <c r="IR45" s="653"/>
      <c r="IS45" s="653"/>
      <c r="IT45" s="653"/>
      <c r="IU45" s="653"/>
      <c r="IV45" s="653"/>
      <c r="IW45" s="653"/>
      <c r="IX45" s="653"/>
      <c r="IY45" s="653"/>
      <c r="IZ45" s="653"/>
      <c r="JA45" s="653"/>
      <c r="JB45" s="653"/>
      <c r="JC45" s="653"/>
      <c r="JD45" s="653"/>
      <c r="JE45" s="653"/>
      <c r="JF45" s="653"/>
      <c r="JG45" s="653"/>
      <c r="JH45" s="653"/>
      <c r="JI45" s="653"/>
      <c r="JJ45" s="653"/>
      <c r="JK45" s="653"/>
      <c r="JL45" s="653"/>
      <c r="JM45" s="653"/>
      <c r="JN45" s="653"/>
      <c r="JO45" s="653"/>
      <c r="JP45" s="653"/>
      <c r="JQ45" s="653"/>
      <c r="JR45" s="653"/>
      <c r="JS45" s="653"/>
      <c r="JT45" s="653"/>
      <c r="JX45" s="1052"/>
      <c r="JY45" s="225" t="s">
        <v>763</v>
      </c>
      <c r="JZ45" s="1156">
        <f>$CL$91</f>
        <v>1.4832006266367067E-2</v>
      </c>
      <c r="KA45" s="1156"/>
      <c r="KB45" s="225" t="s">
        <v>1014</v>
      </c>
      <c r="KC45" s="761">
        <f>$EJ$37</f>
        <v>0.97</v>
      </c>
      <c r="KD45" s="761"/>
      <c r="KE45" s="791" t="s">
        <v>59</v>
      </c>
      <c r="KF45" s="792"/>
      <c r="KG45" s="792"/>
      <c r="KH45" s="792"/>
      <c r="KI45" s="792"/>
      <c r="KJ45" s="792"/>
      <c r="KK45" s="793"/>
      <c r="KL45" s="835">
        <f>JZ45*1000/(2*JZ46*KC44*KC45)</f>
        <v>0.83680148173449342</v>
      </c>
      <c r="KM45" s="836"/>
      <c r="KN45" s="1075" t="s">
        <v>17</v>
      </c>
      <c r="KO45" s="1076"/>
      <c r="KP45" s="841"/>
      <c r="KQ45" s="843" t="s">
        <v>1044</v>
      </c>
      <c r="KR45" s="844"/>
      <c r="KS45" s="847"/>
      <c r="KT45" s="827"/>
      <c r="KU45" s="947"/>
      <c r="KV45" s="947"/>
      <c r="KW45" s="948"/>
      <c r="ND45" s="130"/>
      <c r="NE45" s="653"/>
      <c r="NF45" s="653"/>
      <c r="NG45" s="653"/>
      <c r="NH45" s="653"/>
      <c r="NI45" s="653"/>
      <c r="NJ45" s="653"/>
      <c r="NK45" s="377"/>
      <c r="NL45" s="373"/>
      <c r="NM45" s="373"/>
      <c r="NN45" s="373"/>
      <c r="NO45" s="373"/>
      <c r="NP45" s="373"/>
      <c r="NQ45" s="373"/>
      <c r="NR45" s="373"/>
      <c r="NS45" s="373"/>
      <c r="NT45" s="373"/>
      <c r="NU45" s="373"/>
      <c r="NV45" s="373"/>
      <c r="NW45" s="373"/>
      <c r="NX45" s="373"/>
      <c r="NY45" s="373"/>
      <c r="NZ45" s="373"/>
      <c r="OA45" s="373"/>
      <c r="OB45" s="373"/>
      <c r="OC45" s="373"/>
      <c r="OD45" s="373"/>
      <c r="OE45" s="373"/>
      <c r="OF45" s="374"/>
      <c r="PL45" s="850"/>
      <c r="PM45" s="800" t="s">
        <v>1107</v>
      </c>
      <c r="PN45" s="801"/>
      <c r="PO45" s="761">
        <f>$EN$28</f>
        <v>5.4298617077080698</v>
      </c>
      <c r="PP45" s="761"/>
      <c r="PQ45" s="473" t="s">
        <v>1562</v>
      </c>
      <c r="PR45" s="890">
        <f>$QC$61</f>
        <v>0.97</v>
      </c>
      <c r="PS45" s="890"/>
      <c r="PT45" s="809" t="s">
        <v>152</v>
      </c>
      <c r="PU45" s="797"/>
      <c r="PV45" s="797"/>
      <c r="PW45" s="797"/>
      <c r="PX45" s="797"/>
      <c r="PY45" s="798"/>
      <c r="PZ45" s="1152">
        <f>PO46/1000*PO45/1000*PT44*PQ44*PR45*PR46</f>
        <v>9.7271455717054867</v>
      </c>
      <c r="QA45" s="1153"/>
      <c r="QB45" s="1253" t="s">
        <v>1556</v>
      </c>
      <c r="QC45" s="1189"/>
      <c r="QD45" s="1248"/>
      <c r="QE45" s="1283" t="s">
        <v>1580</v>
      </c>
      <c r="QF45" s="1283"/>
      <c r="QG45" s="1283"/>
      <c r="QH45" s="1289"/>
      <c r="QI45" s="1052"/>
      <c r="QJ45" s="1052"/>
      <c r="QK45" s="1052"/>
      <c r="QL45" s="1052"/>
      <c r="QM45" s="1052"/>
      <c r="QN45" s="1052"/>
      <c r="QO45" s="1052"/>
      <c r="QP45" s="1052"/>
      <c r="QQ45" s="1052"/>
      <c r="QR45" s="1052"/>
      <c r="QS45" s="1052"/>
      <c r="QT45" s="1052"/>
      <c r="RE45" s="653"/>
      <c r="RF45" s="653"/>
      <c r="RG45" s="653"/>
      <c r="RH45" s="653"/>
      <c r="RI45" s="653"/>
      <c r="RJ45" s="653"/>
      <c r="RK45" s="653"/>
      <c r="RL45" s="653"/>
      <c r="RM45" s="653"/>
      <c r="RN45" s="653"/>
      <c r="RO45" s="653"/>
      <c r="RP45" s="653"/>
      <c r="RQ45" s="653"/>
      <c r="RR45" s="653"/>
      <c r="RS45" s="653"/>
      <c r="RT45" s="653"/>
      <c r="RU45" s="653"/>
      <c r="RV45" s="653"/>
      <c r="RW45" s="653"/>
      <c r="RX45" s="653"/>
      <c r="RY45" s="653"/>
      <c r="TC45" s="653"/>
      <c r="TD45" s="653"/>
      <c r="TE45" s="653"/>
      <c r="TF45" s="653"/>
      <c r="TG45" s="653"/>
      <c r="TH45" s="653"/>
      <c r="TI45" s="653"/>
      <c r="TJ45" s="653"/>
      <c r="TK45" s="653"/>
      <c r="TL45" s="653"/>
      <c r="TM45" s="653"/>
      <c r="TN45" s="653"/>
      <c r="TO45" s="653"/>
      <c r="TP45" s="653"/>
      <c r="TQ45" s="653"/>
      <c r="TR45" s="653"/>
      <c r="TS45" s="653"/>
      <c r="TT45" s="653"/>
      <c r="TU45" s="653"/>
      <c r="TX45" s="653"/>
      <c r="TY45" s="653"/>
      <c r="TZ45" s="653"/>
      <c r="UA45" s="653"/>
      <c r="UB45" s="653"/>
      <c r="UC45" s="653"/>
      <c r="UD45" s="653"/>
      <c r="UE45" s="653"/>
      <c r="UF45" s="653"/>
      <c r="UG45" s="653"/>
      <c r="UH45" s="653"/>
      <c r="UI45" s="653"/>
      <c r="UJ45" s="653"/>
      <c r="UK45" s="653"/>
      <c r="UL45" s="653"/>
      <c r="UM45" s="653"/>
      <c r="UN45" s="653"/>
      <c r="UO45" s="653"/>
      <c r="UP45" s="653"/>
      <c r="UQ45" s="653"/>
      <c r="UR45" s="653"/>
      <c r="US45" s="653"/>
      <c r="UT45" s="653"/>
      <c r="UU45" s="653"/>
      <c r="UV45" s="653"/>
      <c r="UW45" s="653"/>
      <c r="UX45" s="653"/>
      <c r="UY45" s="653"/>
      <c r="UZ45" s="653"/>
      <c r="WE45" s="162"/>
      <c r="WF45" s="158"/>
      <c r="WG45" s="158"/>
      <c r="WH45" s="158"/>
      <c r="WI45" s="158"/>
      <c r="WJ45" s="163"/>
      <c r="WK45" s="800" t="s">
        <v>1243</v>
      </c>
      <c r="WL45" s="801"/>
      <c r="WM45" s="937">
        <f>$MP$86</f>
        <v>8.0207023726710278E-2</v>
      </c>
      <c r="WN45" s="937"/>
      <c r="WO45" s="168"/>
      <c r="WP45" s="168"/>
      <c r="WQ45" s="168"/>
      <c r="WR45" s="168"/>
      <c r="WS45" s="168"/>
      <c r="WT45" s="168"/>
      <c r="WU45" s="168"/>
      <c r="WV45" s="168"/>
      <c r="WW45" s="171"/>
      <c r="WX45" s="976">
        <v>13</v>
      </c>
      <c r="WY45" s="977"/>
      <c r="WZ45" s="756" t="s">
        <v>393</v>
      </c>
      <c r="XA45" s="756"/>
      <c r="XB45" s="167"/>
      <c r="XC45" s="168"/>
      <c r="XD45" s="168"/>
      <c r="XE45" s="168"/>
      <c r="XF45" s="171"/>
      <c r="XG45" s="966">
        <f>(3*(XG39^2)*$WM$45)/1000</f>
        <v>1.7043850869377104E-3</v>
      </c>
      <c r="XH45" s="966">
        <f t="shared" ref="XH45:ZS45" si="46">(3*(XH39^2)*$WM$45)/1000</f>
        <v>6.7922017822168177E-3</v>
      </c>
      <c r="XI45" s="966">
        <f t="shared" si="46"/>
        <v>1.5223097206831881E-2</v>
      </c>
      <c r="XJ45" s="966">
        <f t="shared" si="46"/>
        <v>2.6953697456285664E-2</v>
      </c>
      <c r="XK45" s="966">
        <f t="shared" si="46"/>
        <v>4.1937743965640144E-2</v>
      </c>
      <c r="XL45" s="966">
        <f t="shared" si="46"/>
        <v>6.0126234428509617E-2</v>
      </c>
      <c r="XM45" s="966">
        <f t="shared" si="46"/>
        <v>8.1467567613932604E-2</v>
      </c>
      <c r="XN45" s="966">
        <f t="shared" si="46"/>
        <v>0.1059076914269963</v>
      </c>
      <c r="XO45" s="966">
        <f t="shared" si="46"/>
        <v>0.1333902535651188</v>
      </c>
      <c r="XP45" s="966">
        <f t="shared" si="46"/>
        <v>0.16385675413180245</v>
      </c>
      <c r="XQ45" s="966">
        <f t="shared" si="46"/>
        <v>0.19724669958320459</v>
      </c>
      <c r="XR45" s="966">
        <f t="shared" si="46"/>
        <v>0.23349775739976558</v>
      </c>
      <c r="XS45" s="966">
        <f t="shared" si="46"/>
        <v>0.27254591089510027</v>
      </c>
      <c r="XT45" s="966">
        <f t="shared" si="46"/>
        <v>0.31432561359708538</v>
      </c>
      <c r="XU45" s="966">
        <f t="shared" si="46"/>
        <v>0.35876994266126405</v>
      </c>
      <c r="XV45" s="966">
        <f t="shared" si="46"/>
        <v>0.40581075080402068</v>
      </c>
      <c r="XW45" s="966">
        <f t="shared" si="46"/>
        <v>0.45537881627210908</v>
      </c>
      <c r="XX45" s="966">
        <f t="shared" si="46"/>
        <v>0.50740399039577033</v>
      </c>
      <c r="XY45" s="966">
        <f t="shared" si="46"/>
        <v>0.56181534230450625</v>
      </c>
      <c r="XZ45" s="966">
        <f t="shared" si="46"/>
        <v>0.61854130041726985</v>
      </c>
      <c r="YA45" s="966">
        <f t="shared" si="46"/>
        <v>0.67750979035216463</v>
      </c>
      <c r="YB45" s="966">
        <f t="shared" si="46"/>
        <v>0.73864836893431129</v>
      </c>
      <c r="YC45" s="966">
        <f t="shared" si="46"/>
        <v>0.80188435401423508</v>
      </c>
      <c r="YD45" s="966">
        <f t="shared" si="46"/>
        <v>0.86714494984252755</v>
      </c>
      <c r="YE45" s="966">
        <f t="shared" si="46"/>
        <v>0.93435736777959066</v>
      </c>
      <c r="YF45" s="966">
        <f t="shared" si="46"/>
        <v>1.0034489421516097</v>
      </c>
      <c r="YG45" s="966">
        <f t="shared" si="46"/>
        <v>1.0743472410954591</v>
      </c>
      <c r="YH45" s="966">
        <f t="shared" si="46"/>
        <v>1.1469801722657613</v>
      </c>
      <c r="YI45" s="966">
        <f t="shared" si="46"/>
        <v>1.2212760833067344</v>
      </c>
      <c r="YJ45" s="966">
        <f t="shared" si="46"/>
        <v>1.2971638570195589</v>
      </c>
      <c r="YK45" s="966">
        <f t="shared" si="46"/>
        <v>1.3745730011827342</v>
      </c>
      <c r="YL45" s="966">
        <f t="shared" si="46"/>
        <v>1.4534337330081577</v>
      </c>
      <c r="YM45" s="966">
        <f t="shared" si="46"/>
        <v>1.5336770582393999</v>
      </c>
      <c r="YN45" s="966">
        <f t="shared" si="46"/>
        <v>1.6152348449207716</v>
      </c>
      <c r="YO45" s="966">
        <f t="shared" si="46"/>
        <v>1.698039891886332</v>
      </c>
      <c r="YP45" s="966">
        <f t="shared" si="46"/>
        <v>1.7820259920368506</v>
      </c>
      <c r="YQ45" s="966">
        <f t="shared" si="46"/>
        <v>1.8671279904899931</v>
      </c>
      <c r="YR45" s="966">
        <f t="shared" si="46"/>
        <v>1.9532818377046359</v>
      </c>
      <c r="YS45" s="966">
        <f t="shared" si="46"/>
        <v>2.040424637694211</v>
      </c>
      <c r="YT45" s="966">
        <f t="shared" si="46"/>
        <v>2.1284946914564422</v>
      </c>
      <c r="YU45" s="966">
        <f t="shared" si="46"/>
        <v>2.2174315357577519</v>
      </c>
      <c r="YV45" s="966">
        <f t="shared" si="46"/>
        <v>2.3071759774200404</v>
      </c>
      <c r="YW45" s="966">
        <f t="shared" si="46"/>
        <v>2.3976701232655637</v>
      </c>
      <c r="YX45" s="966">
        <f t="shared" si="46"/>
        <v>2.4888574058823267</v>
      </c>
      <c r="YY45" s="966">
        <f t="shared" si="46"/>
        <v>2.5806826053777283</v>
      </c>
      <c r="YZ45" s="966">
        <f t="shared" si="46"/>
        <v>2.6730918672924004</v>
      </c>
      <c r="ZA45" s="966">
        <f t="shared" si="46"/>
        <v>2.7660327168491783</v>
      </c>
      <c r="ZB45" s="966">
        <f t="shared" si="46"/>
        <v>2.8594540697140989</v>
      </c>
      <c r="ZC45" s="966">
        <f t="shared" si="46"/>
        <v>2.9533062394472576</v>
      </c>
      <c r="ZD45" s="966">
        <f t="shared" si="46"/>
        <v>3.0475409418214614</v>
      </c>
      <c r="ZE45" s="966">
        <f t="shared" si="46"/>
        <v>3.1421112961857851</v>
      </c>
      <c r="ZF45" s="966">
        <f t="shared" si="46"/>
        <v>3.2369718240495691</v>
      </c>
      <c r="ZG45" s="966">
        <f t="shared" si="46"/>
        <v>3.3320784450602678</v>
      </c>
      <c r="ZH45" s="966">
        <f t="shared" si="46"/>
        <v>3.4273884705455973</v>
      </c>
      <c r="ZI45" s="966">
        <f t="shared" si="46"/>
        <v>3.5228605947870966</v>
      </c>
      <c r="ZJ45" s="966">
        <f t="shared" si="46"/>
        <v>3.6184548841883557</v>
      </c>
      <c r="ZK45" s="966">
        <f t="shared" si="46"/>
        <v>3.7141327644968327</v>
      </c>
      <c r="ZL45" s="966">
        <f t="shared" si="46"/>
        <v>3.8098570062335928</v>
      </c>
      <c r="ZM45" s="966">
        <f t="shared" si="46"/>
        <v>3.9055917084802991</v>
      </c>
      <c r="ZN45" s="966">
        <f t="shared" si="46"/>
        <v>4.0013022811676393</v>
      </c>
      <c r="ZO45" s="966">
        <f t="shared" si="46"/>
        <v>4.096955426003988</v>
      </c>
      <c r="ZP45" s="966">
        <f t="shared" si="46"/>
        <v>4.1925191161774915</v>
      </c>
      <c r="ZQ45" s="966">
        <f t="shared" si="46"/>
        <v>4.2879625749592316</v>
      </c>
      <c r="ZR45" s="966">
        <f t="shared" si="46"/>
        <v>4.3832562533293027</v>
      </c>
      <c r="ZS45" s="966">
        <f t="shared" si="46"/>
        <v>4.4783718067419205</v>
      </c>
      <c r="ZT45" s="966">
        <f t="shared" ref="ZT45:AAS45" si="47">(3*(ZT39^2)*$WM$45)/1000</f>
        <v>4.5732820711399524</v>
      </c>
      <c r="ZU45" s="966">
        <f t="shared" si="47"/>
        <v>4.6679610383234795</v>
      </c>
      <c r="ZV45" s="966">
        <f t="shared" si="47"/>
        <v>4.7623838307713706</v>
      </c>
      <c r="ZW45" s="966">
        <f t="shared" si="47"/>
        <v>4.8565266760092314</v>
      </c>
      <c r="ZX45" s="966">
        <f t="shared" si="47"/>
        <v>4.9503668806115479</v>
      </c>
      <c r="ZY45" s="966">
        <f t="shared" si="47"/>
        <v>5.0438828039205648</v>
      </c>
      <c r="ZZ45" s="966">
        <f t="shared" si="47"/>
        <v>5.1370538315590526</v>
      </c>
      <c r="AAA45" s="966">
        <f t="shared" si="47"/>
        <v>5.2298603488090922</v>
      </c>
      <c r="AAB45" s="966">
        <f t="shared" si="47"/>
        <v>5.3222837139240076</v>
      </c>
      <c r="AAC45" s="966">
        <f t="shared" si="47"/>
        <v>5.414306231435785</v>
      </c>
      <c r="AAD45" s="966">
        <f t="shared" si="47"/>
        <v>5.5059111255156683</v>
      </c>
      <c r="AAE45" s="966">
        <f t="shared" si="47"/>
        <v>5.5970825134412525</v>
      </c>
      <c r="AAF45" s="966">
        <f t="shared" si="47"/>
        <v>5.6878053792189576</v>
      </c>
      <c r="AAG45" s="966">
        <f t="shared" si="47"/>
        <v>5.7780655474068521</v>
      </c>
      <c r="AAH45" s="966">
        <f t="shared" si="47"/>
        <v>5.8678496571787893</v>
      </c>
      <c r="AAI45" s="966">
        <f t="shared" si="47"/>
        <v>5.9571451366671022</v>
      </c>
      <c r="AAJ45" s="966">
        <f t="shared" si="47"/>
        <v>6.0459401776175339</v>
      </c>
      <c r="AAK45" s="966">
        <f t="shared" si="47"/>
        <v>6.1342237103868564</v>
      </c>
      <c r="AAL45" s="966">
        <f t="shared" si="47"/>
        <v>6.2219853793102322</v>
      </c>
      <c r="AAM45" s="966">
        <f t="shared" si="47"/>
        <v>6.309215518462528</v>
      </c>
      <c r="AAN45" s="966">
        <f t="shared" si="47"/>
        <v>6.3959051278349346</v>
      </c>
      <c r="AAO45" s="966">
        <f t="shared" si="47"/>
        <v>6.4820458499454601</v>
      </c>
      <c r="AAP45" s="966">
        <f t="shared" si="47"/>
        <v>6.5676299468995634</v>
      </c>
      <c r="AAQ45" s="966">
        <f t="shared" si="47"/>
        <v>6.6526502779145762</v>
      </c>
      <c r="AAR45" s="966">
        <f t="shared" si="47"/>
        <v>6.7371002773196622</v>
      </c>
      <c r="AAS45" s="966">
        <f t="shared" si="47"/>
        <v>6.8209739330408095</v>
      </c>
      <c r="AAT45" s="964">
        <v>13</v>
      </c>
      <c r="AAU45" s="756" t="s">
        <v>393</v>
      </c>
      <c r="AAV45" s="756"/>
      <c r="AAW45" s="167"/>
      <c r="AAX45" s="168"/>
      <c r="AAY45" s="168"/>
      <c r="AAZ45" s="168"/>
      <c r="ABA45" s="162"/>
      <c r="ABB45" s="158"/>
      <c r="ABC45" s="158"/>
      <c r="ABD45" s="163"/>
      <c r="ACJ45" s="759">
        <v>0.66666666699999999</v>
      </c>
      <c r="ACK45" s="760"/>
      <c r="ACL45" s="759">
        <v>-0.66666666699999999</v>
      </c>
      <c r="ACM45" s="760"/>
      <c r="ACN45" s="591">
        <v>33</v>
      </c>
      <c r="ACO45" s="759">
        <f t="shared" si="0"/>
        <v>0.22000000011000009</v>
      </c>
      <c r="ACP45" s="760"/>
      <c r="ACQ45" s="757">
        <f t="shared" ref="ACQ45:ACQ62" si="48">(3/$ACN$77 *ACN45) + 1</f>
        <v>1.33</v>
      </c>
      <c r="ACR45" s="758"/>
      <c r="ACT45" s="759">
        <v>1</v>
      </c>
      <c r="ACU45" s="760"/>
      <c r="ACV45" s="759">
        <v>-1.2</v>
      </c>
      <c r="ACW45" s="760"/>
      <c r="ACX45" s="592">
        <v>83</v>
      </c>
      <c r="ACY45" s="759">
        <f t="shared" si="8"/>
        <v>0.63000000000000012</v>
      </c>
      <c r="ACZ45" s="760"/>
      <c r="ADA45" s="757">
        <f t="shared" ref="ADA45:ADA62" si="49">(3/$ACN$77 *ACX45) + 1</f>
        <v>1.83</v>
      </c>
      <c r="ADB45" s="758"/>
      <c r="ADD45" s="1112">
        <v>1.1052631578947401</v>
      </c>
      <c r="ADE45" s="1112"/>
      <c r="ADF45" s="1112">
        <v>-1.42105263157895</v>
      </c>
      <c r="ADG45" s="1112"/>
      <c r="ADH45" s="591">
        <v>132</v>
      </c>
      <c r="ADI45" s="759">
        <f t="shared" si="3"/>
        <v>1.1431578947368473</v>
      </c>
      <c r="ADJ45" s="760"/>
      <c r="ADK45" s="757">
        <f t="shared" ref="ADK45:ADK62" si="50">(3/$ACN$77 *ADH45) + 1</f>
        <v>2.3200000000000003</v>
      </c>
      <c r="ADL45" s="758"/>
      <c r="ADN45" s="759">
        <v>1.1052631580000001</v>
      </c>
      <c r="ADO45" s="760"/>
      <c r="ADP45" s="759">
        <v>-1.42105263157895</v>
      </c>
      <c r="ADQ45" s="760"/>
      <c r="ADR45" s="591">
        <v>182</v>
      </c>
      <c r="ADS45" s="759">
        <f t="shared" si="9"/>
        <v>1.6957894739810504</v>
      </c>
      <c r="ADT45" s="760"/>
      <c r="ADU45" s="757">
        <f t="shared" ref="ADU45:ADU62" si="51">(3/$ACN$77 *ADR45) + 1</f>
        <v>2.8200000000000003</v>
      </c>
      <c r="ADV45" s="758"/>
      <c r="ADX45" s="759">
        <v>1.1052631580000001</v>
      </c>
      <c r="ADY45" s="760"/>
      <c r="ADZ45" s="759">
        <v>-1.42105263157895</v>
      </c>
      <c r="AEA45" s="760"/>
      <c r="AEB45" s="591">
        <v>232</v>
      </c>
      <c r="AEC45" s="759">
        <f t="shared" si="10"/>
        <v>2.2484210529810502</v>
      </c>
      <c r="AED45" s="760"/>
      <c r="AEE45" s="757">
        <f t="shared" ref="AEE45:AEE62" si="52">(3/$ACN$77 *AEB45) + 1</f>
        <v>3.32</v>
      </c>
      <c r="AEF45" s="758"/>
      <c r="AEH45" s="759">
        <v>1.1052631580000001</v>
      </c>
      <c r="AEI45" s="760"/>
      <c r="AEJ45" s="759">
        <v>-1.42105263157895</v>
      </c>
      <c r="AEK45" s="760"/>
      <c r="AEL45" s="591">
        <v>282</v>
      </c>
      <c r="AEM45" s="759">
        <f t="shared" si="37"/>
        <v>2.8010526319810505</v>
      </c>
      <c r="AEN45" s="760"/>
      <c r="AEO45" s="757">
        <f t="shared" ref="AEO45:AEO63" si="53">(3/$ACN$77 *AEL45) + 1</f>
        <v>3.82</v>
      </c>
      <c r="AEP45" s="758"/>
      <c r="AEY45" s="653"/>
      <c r="AEZ45" s="653"/>
      <c r="AFA45" s="653"/>
      <c r="AFB45" s="653"/>
      <c r="AFC45" s="653"/>
      <c r="AFD45" s="653"/>
      <c r="AFE45" s="653"/>
      <c r="AFG45" s="653"/>
      <c r="AFH45" s="653"/>
      <c r="AFI45" s="653"/>
      <c r="AFJ45" s="653"/>
      <c r="AFK45" s="653"/>
      <c r="AFL45" s="653"/>
      <c r="AFM45" s="653"/>
      <c r="AFN45" s="653"/>
      <c r="AFO45" s="653"/>
      <c r="AFP45" s="653"/>
      <c r="AFQ45" s="653"/>
      <c r="AFR45" s="653"/>
      <c r="AFS45" s="653"/>
      <c r="AFT45" s="653"/>
      <c r="AFU45" s="653"/>
      <c r="AFV45" s="653"/>
      <c r="AFW45" s="653"/>
      <c r="AFX45" s="653"/>
      <c r="AFY45" s="653"/>
      <c r="AFZ45" s="653"/>
      <c r="AGA45" s="653"/>
      <c r="AGB45" s="653"/>
      <c r="AGC45" s="653"/>
      <c r="AGD45" s="653"/>
      <c r="AGE45" s="653"/>
      <c r="AGF45" s="653"/>
      <c r="AGG45" s="653"/>
      <c r="AGH45" s="653"/>
      <c r="AGI45" s="653"/>
      <c r="AGJ45" s="653"/>
      <c r="AGL45" s="900"/>
      <c r="AGM45" s="901"/>
      <c r="AGN45" s="902"/>
      <c r="AGO45" s="850"/>
      <c r="AGP45" s="775" t="s">
        <v>1371</v>
      </c>
      <c r="AGQ45" s="776"/>
      <c r="AGR45" s="776"/>
      <c r="AGS45" s="776"/>
      <c r="AGT45" s="776"/>
      <c r="AGU45" s="776"/>
      <c r="AGV45" s="776"/>
      <c r="AGW45" s="776"/>
      <c r="AGX45" s="776"/>
      <c r="AGY45" s="776"/>
      <c r="AGZ45" s="815"/>
      <c r="AHA45" s="1054">
        <f xml:space="preserve">
IF(ACQ83 = "Y",
IF(ADA83 = "Y",
IF(ADK83 = "Y",
IF(ADU83 = "Y",
IF(AEE83 = "Y",
IF(AEO83 = "Y","Ошибка",AEO83),
AEE83),
ADU83),
ADK83),
ADA83),
ACQ83)</f>
        <v>0.69272727272728307</v>
      </c>
      <c r="AHB45" s="1055"/>
      <c r="AHC45" s="1341" t="s">
        <v>729</v>
      </c>
      <c r="AHD45" s="1342"/>
      <c r="AHE45" s="841"/>
      <c r="AHF45" s="893" t="s">
        <v>1370</v>
      </c>
      <c r="AHG45" s="894"/>
      <c r="AHH45" s="847"/>
      <c r="AHM45" s="802" t="s">
        <v>1463</v>
      </c>
      <c r="AHN45" s="1116"/>
      <c r="AHO45" s="1108">
        <f>$AHB$21</f>
        <v>2.923385945848388E-2</v>
      </c>
      <c r="AHP45" s="1109"/>
      <c r="AQL45" s="130"/>
      <c r="ARP45" s="653"/>
    </row>
    <row r="46" spans="3:932 1076:1297" ht="48" customHeight="1" thickBot="1">
      <c r="D46" s="162"/>
      <c r="E46" s="731"/>
      <c r="F46" s="854"/>
      <c r="G46" s="891"/>
      <c r="H46" s="891"/>
      <c r="I46" s="891"/>
      <c r="J46" s="891"/>
      <c r="K46" s="891"/>
      <c r="L46" s="731"/>
      <c r="M46" s="158"/>
      <c r="N46" s="158"/>
      <c r="O46" s="158"/>
      <c r="P46" s="158"/>
      <c r="Q46" s="158"/>
      <c r="R46" s="158"/>
      <c r="S46" s="158"/>
      <c r="T46" s="158"/>
      <c r="U46" s="158"/>
      <c r="V46" s="158"/>
      <c r="W46" s="158"/>
      <c r="X46" s="158"/>
      <c r="Y46" s="163"/>
      <c r="BS46" s="130"/>
      <c r="BX46" s="788"/>
      <c r="BY46" s="789"/>
      <c r="BZ46" s="790"/>
      <c r="CA46" s="219" t="s">
        <v>676</v>
      </c>
      <c r="CB46" s="857"/>
      <c r="CC46" s="857"/>
      <c r="CD46" s="857"/>
      <c r="CE46" s="857"/>
      <c r="CF46" s="857"/>
      <c r="CG46" s="857"/>
      <c r="CH46" s="857"/>
      <c r="CI46" s="857"/>
      <c r="CJ46" s="857"/>
      <c r="CK46" s="857"/>
      <c r="CL46" s="857"/>
      <c r="CM46" s="857"/>
      <c r="CN46" s="838"/>
      <c r="CO46" s="1380"/>
      <c r="CP46" s="1381"/>
      <c r="CQ46" s="1263"/>
      <c r="CR46" s="1264"/>
      <c r="CS46" s="842"/>
      <c r="CT46" s="918"/>
      <c r="CU46" s="919"/>
      <c r="CV46" s="848"/>
      <c r="DZ46" s="903"/>
      <c r="EA46" s="904"/>
      <c r="EB46" s="905"/>
      <c r="EC46" s="851"/>
      <c r="ED46" s="857"/>
      <c r="EE46" s="857"/>
      <c r="EF46" s="857"/>
      <c r="EG46" s="857"/>
      <c r="EH46" s="857"/>
      <c r="EI46" s="857"/>
      <c r="EJ46" s="857"/>
      <c r="EK46" s="857"/>
      <c r="EL46" s="857"/>
      <c r="EM46" s="857"/>
      <c r="EN46" s="857"/>
      <c r="EO46" s="857"/>
      <c r="EP46" s="1562"/>
      <c r="EQ46" s="1195"/>
      <c r="ER46" s="1196"/>
      <c r="ES46" s="1077"/>
      <c r="ET46" s="1078"/>
      <c r="EU46" s="842"/>
      <c r="EV46" s="918"/>
      <c r="EW46" s="1082"/>
      <c r="EX46" s="919"/>
      <c r="EY46" s="848"/>
      <c r="HK46" s="130"/>
      <c r="HL46" s="130"/>
      <c r="HM46" s="130"/>
      <c r="HN46" s="130"/>
      <c r="HO46" s="130"/>
      <c r="HP46" s="130"/>
      <c r="HQ46" s="130"/>
      <c r="JX46" s="1053"/>
      <c r="JY46" s="226" t="s">
        <v>1108</v>
      </c>
      <c r="JZ46" s="1187">
        <f>$JD$57</f>
        <v>47.116337838447592</v>
      </c>
      <c r="KA46" s="1187"/>
      <c r="KB46" s="1060"/>
      <c r="KC46" s="1061"/>
      <c r="KD46" s="1061"/>
      <c r="KE46" s="794"/>
      <c r="KF46" s="795"/>
      <c r="KG46" s="795"/>
      <c r="KH46" s="795"/>
      <c r="KI46" s="795"/>
      <c r="KJ46" s="795"/>
      <c r="KK46" s="796"/>
      <c r="KL46" s="837"/>
      <c r="KM46" s="838"/>
      <c r="KN46" s="1077"/>
      <c r="KO46" s="1078"/>
      <c r="KP46" s="842"/>
      <c r="KQ46" s="845"/>
      <c r="KR46" s="846"/>
      <c r="KS46" s="848"/>
      <c r="KT46" s="828"/>
      <c r="KU46" s="949"/>
      <c r="KV46" s="949"/>
      <c r="KW46" s="950"/>
      <c r="MB46" s="897" t="s">
        <v>973</v>
      </c>
      <c r="MC46" s="898"/>
      <c r="MD46" s="899"/>
      <c r="ME46" s="849"/>
      <c r="MF46" s="852" t="s">
        <v>416</v>
      </c>
      <c r="MG46" s="853"/>
      <c r="MH46" s="344"/>
      <c r="MI46" s="806" t="s">
        <v>1847</v>
      </c>
      <c r="MJ46" s="807"/>
      <c r="MK46" s="808"/>
      <c r="ML46" s="75" t="s">
        <v>451</v>
      </c>
      <c r="MM46" s="344"/>
      <c r="MN46" s="76" t="s">
        <v>441</v>
      </c>
      <c r="MO46" s="854" t="s">
        <v>435</v>
      </c>
      <c r="MP46" s="855"/>
      <c r="MQ46" s="920" t="s">
        <v>111</v>
      </c>
      <c r="MR46" s="921"/>
      <c r="MS46" s="916" t="s">
        <v>704</v>
      </c>
      <c r="MT46" s="917"/>
      <c r="MU46" s="906" t="s">
        <v>447</v>
      </c>
      <c r="MV46" s="907"/>
      <c r="MW46" s="907"/>
      <c r="MX46" s="908"/>
      <c r="ND46" s="130"/>
      <c r="NE46" s="130"/>
      <c r="NF46" s="130"/>
      <c r="NG46" s="130"/>
      <c r="NH46" s="130"/>
      <c r="NI46" s="130"/>
      <c r="NJ46" s="130"/>
      <c r="NK46" s="377"/>
      <c r="NL46" s="373"/>
      <c r="NM46" s="373"/>
      <c r="NN46" s="373"/>
      <c r="NO46" s="373"/>
      <c r="NP46" s="373"/>
      <c r="NQ46" s="373"/>
      <c r="NR46" s="373"/>
      <c r="NS46" s="373"/>
      <c r="NT46" s="373"/>
      <c r="NU46" s="373"/>
      <c r="NV46" s="373"/>
      <c r="NW46" s="373"/>
      <c r="NX46" s="373"/>
      <c r="NY46" s="373"/>
      <c r="NZ46" s="373"/>
      <c r="OA46" s="373"/>
      <c r="OB46" s="373"/>
      <c r="OC46" s="373"/>
      <c r="OD46" s="373"/>
      <c r="OE46" s="373"/>
      <c r="OF46" s="374"/>
      <c r="PL46" s="851"/>
      <c r="PM46" s="1595" t="s">
        <v>1213</v>
      </c>
      <c r="PN46" s="1596"/>
      <c r="PO46" s="804">
        <f>$EK$49</f>
        <v>25.438111676802539</v>
      </c>
      <c r="PP46" s="804"/>
      <c r="PQ46" s="474" t="s">
        <v>1563</v>
      </c>
      <c r="PR46" s="1187">
        <f>$PT$41</f>
        <v>7800</v>
      </c>
      <c r="PS46" s="1187"/>
      <c r="PT46" s="777"/>
      <c r="PU46" s="778"/>
      <c r="PV46" s="778"/>
      <c r="PW46" s="778"/>
      <c r="PX46" s="778"/>
      <c r="PY46" s="799"/>
      <c r="PZ46" s="1154"/>
      <c r="QA46" s="1155"/>
      <c r="QB46" s="1254"/>
      <c r="QC46" s="1191"/>
      <c r="QD46" s="1249"/>
      <c r="QE46" s="1284"/>
      <c r="QF46" s="1284"/>
      <c r="QG46" s="1284"/>
      <c r="QH46" s="1290"/>
      <c r="QI46" s="1053"/>
      <c r="QJ46" s="1053"/>
      <c r="QK46" s="1053"/>
      <c r="QL46" s="1053"/>
      <c r="QM46" s="1053"/>
      <c r="QN46" s="1053"/>
      <c r="QO46" s="1053"/>
      <c r="QP46" s="1053"/>
      <c r="QQ46" s="1053"/>
      <c r="QR46" s="1053"/>
      <c r="QS46" s="1053"/>
      <c r="QT46" s="1053"/>
      <c r="RE46" s="653"/>
      <c r="RF46" s="653"/>
      <c r="RG46" s="653"/>
      <c r="RH46" s="653"/>
      <c r="RI46" s="653"/>
      <c r="RJ46" s="653"/>
      <c r="RK46" s="653"/>
      <c r="RL46" s="653"/>
      <c r="RM46" s="653"/>
      <c r="RN46" s="653"/>
      <c r="RO46" s="653"/>
      <c r="RP46" s="653"/>
      <c r="RQ46" s="653"/>
      <c r="RR46" s="653"/>
      <c r="RS46" s="653"/>
      <c r="RT46" s="653"/>
      <c r="RU46" s="653"/>
      <c r="RV46" s="653"/>
      <c r="RW46" s="653"/>
      <c r="RX46" s="653"/>
      <c r="RY46" s="653"/>
      <c r="SA46" s="861" t="s">
        <v>1679</v>
      </c>
      <c r="SB46" s="861"/>
      <c r="SC46" s="890">
        <f>SN43</f>
        <v>0.8003400905890462</v>
      </c>
      <c r="SD46" s="890"/>
      <c r="TC46" s="653"/>
      <c r="TD46" s="653"/>
      <c r="TE46" s="653"/>
      <c r="TF46" s="653"/>
      <c r="TG46" s="653"/>
      <c r="TH46" s="653"/>
      <c r="TI46" s="653"/>
      <c r="TJ46" s="653"/>
      <c r="TK46" s="653"/>
      <c r="TL46" s="653"/>
      <c r="TM46" s="653"/>
      <c r="TN46" s="653"/>
      <c r="TO46" s="653"/>
      <c r="TP46" s="653"/>
      <c r="TQ46" s="653"/>
      <c r="TR46" s="653"/>
      <c r="TS46" s="653"/>
      <c r="TT46" s="653"/>
      <c r="TU46" s="653"/>
      <c r="TX46" s="653"/>
      <c r="TY46" s="653"/>
      <c r="TZ46" s="653"/>
      <c r="UA46" s="653"/>
      <c r="UB46" s="653"/>
      <c r="UC46" s="653"/>
      <c r="UD46" s="653"/>
      <c r="UE46" s="653"/>
      <c r="UF46" s="653"/>
      <c r="UG46" s="653"/>
      <c r="UH46" s="653"/>
      <c r="UI46" s="653"/>
      <c r="UJ46" s="653"/>
      <c r="UK46" s="653"/>
      <c r="UL46" s="653"/>
      <c r="UM46" s="653"/>
      <c r="UN46" s="653"/>
      <c r="UO46" s="653"/>
      <c r="UP46" s="653"/>
      <c r="UQ46" s="653"/>
      <c r="UR46" s="653"/>
      <c r="US46" s="653"/>
      <c r="UT46" s="653"/>
      <c r="UU46" s="653"/>
      <c r="UV46" s="653"/>
      <c r="UW46" s="653"/>
      <c r="UX46" s="653"/>
      <c r="UY46" s="653"/>
      <c r="UZ46" s="653"/>
      <c r="WE46" s="162"/>
      <c r="WF46" s="158"/>
      <c r="WG46" s="158"/>
      <c r="WH46" s="158"/>
      <c r="WI46" s="158"/>
      <c r="WJ46" s="163"/>
      <c r="WK46" s="169"/>
      <c r="WL46" s="170"/>
      <c r="WM46" s="170"/>
      <c r="WN46" s="170"/>
      <c r="WO46" s="170"/>
      <c r="WP46" s="170"/>
      <c r="WQ46" s="170"/>
      <c r="WR46" s="170"/>
      <c r="WS46" s="170"/>
      <c r="WT46" s="170"/>
      <c r="WU46" s="170"/>
      <c r="WV46" s="170"/>
      <c r="WW46" s="172"/>
      <c r="WX46" s="978"/>
      <c r="WY46" s="979"/>
      <c r="WZ46" s="756"/>
      <c r="XA46" s="756"/>
      <c r="XB46" s="169"/>
      <c r="XC46" s="170"/>
      <c r="XD46" s="170"/>
      <c r="XE46" s="170"/>
      <c r="XF46" s="172"/>
      <c r="XG46" s="967"/>
      <c r="XH46" s="967"/>
      <c r="XI46" s="967"/>
      <c r="XJ46" s="967"/>
      <c r="XK46" s="967"/>
      <c r="XL46" s="967"/>
      <c r="XM46" s="967"/>
      <c r="XN46" s="967"/>
      <c r="XO46" s="967"/>
      <c r="XP46" s="967"/>
      <c r="XQ46" s="967"/>
      <c r="XR46" s="967"/>
      <c r="XS46" s="967"/>
      <c r="XT46" s="967"/>
      <c r="XU46" s="967"/>
      <c r="XV46" s="967"/>
      <c r="XW46" s="967"/>
      <c r="XX46" s="967"/>
      <c r="XY46" s="967"/>
      <c r="XZ46" s="967"/>
      <c r="YA46" s="967"/>
      <c r="YB46" s="967"/>
      <c r="YC46" s="967"/>
      <c r="YD46" s="967"/>
      <c r="YE46" s="967"/>
      <c r="YF46" s="967"/>
      <c r="YG46" s="967"/>
      <c r="YH46" s="967"/>
      <c r="YI46" s="967"/>
      <c r="YJ46" s="967"/>
      <c r="YK46" s="967"/>
      <c r="YL46" s="967"/>
      <c r="YM46" s="967"/>
      <c r="YN46" s="967"/>
      <c r="YO46" s="967"/>
      <c r="YP46" s="967"/>
      <c r="YQ46" s="967"/>
      <c r="YR46" s="967"/>
      <c r="YS46" s="967"/>
      <c r="YT46" s="967"/>
      <c r="YU46" s="967"/>
      <c r="YV46" s="967"/>
      <c r="YW46" s="967"/>
      <c r="YX46" s="967"/>
      <c r="YY46" s="967"/>
      <c r="YZ46" s="967"/>
      <c r="ZA46" s="967"/>
      <c r="ZB46" s="967"/>
      <c r="ZC46" s="967"/>
      <c r="ZD46" s="967"/>
      <c r="ZE46" s="967"/>
      <c r="ZF46" s="967"/>
      <c r="ZG46" s="967"/>
      <c r="ZH46" s="967"/>
      <c r="ZI46" s="967"/>
      <c r="ZJ46" s="967"/>
      <c r="ZK46" s="967"/>
      <c r="ZL46" s="967"/>
      <c r="ZM46" s="967"/>
      <c r="ZN46" s="967"/>
      <c r="ZO46" s="967"/>
      <c r="ZP46" s="967"/>
      <c r="ZQ46" s="967"/>
      <c r="ZR46" s="967"/>
      <c r="ZS46" s="967"/>
      <c r="ZT46" s="967"/>
      <c r="ZU46" s="967"/>
      <c r="ZV46" s="967"/>
      <c r="ZW46" s="967"/>
      <c r="ZX46" s="967"/>
      <c r="ZY46" s="967"/>
      <c r="ZZ46" s="967"/>
      <c r="AAA46" s="967"/>
      <c r="AAB46" s="967"/>
      <c r="AAC46" s="967"/>
      <c r="AAD46" s="967"/>
      <c r="AAE46" s="967"/>
      <c r="AAF46" s="967"/>
      <c r="AAG46" s="967"/>
      <c r="AAH46" s="967"/>
      <c r="AAI46" s="967"/>
      <c r="AAJ46" s="967"/>
      <c r="AAK46" s="967"/>
      <c r="AAL46" s="967"/>
      <c r="AAM46" s="967"/>
      <c r="AAN46" s="967"/>
      <c r="AAO46" s="967"/>
      <c r="AAP46" s="967"/>
      <c r="AAQ46" s="967"/>
      <c r="AAR46" s="967"/>
      <c r="AAS46" s="967"/>
      <c r="AAT46" s="965"/>
      <c r="AAU46" s="756"/>
      <c r="AAV46" s="756"/>
      <c r="AAW46" s="175"/>
      <c r="AAX46" s="173"/>
      <c r="AAY46" s="173"/>
      <c r="AAZ46" s="173"/>
      <c r="ABA46" s="162"/>
      <c r="ABB46" s="158"/>
      <c r="ABC46" s="158"/>
      <c r="ABD46" s="163"/>
      <c r="ACJ46" s="759">
        <v>0.66666666699999999</v>
      </c>
      <c r="ACK46" s="760"/>
      <c r="ACL46" s="759">
        <v>-0.66666666699999999</v>
      </c>
      <c r="ACM46" s="760"/>
      <c r="ACN46" s="591">
        <v>34</v>
      </c>
      <c r="ACO46" s="759">
        <f t="shared" si="0"/>
        <v>0.22666666678000003</v>
      </c>
      <c r="ACP46" s="760"/>
      <c r="ACQ46" s="757">
        <f t="shared" si="48"/>
        <v>1.34</v>
      </c>
      <c r="ACR46" s="758"/>
      <c r="ACT46" s="759">
        <v>1</v>
      </c>
      <c r="ACU46" s="760"/>
      <c r="ACV46" s="759">
        <v>-1.2</v>
      </c>
      <c r="ACW46" s="760"/>
      <c r="ACX46" s="592">
        <v>84</v>
      </c>
      <c r="ACY46" s="759">
        <f t="shared" si="8"/>
        <v>0.6399999999999999</v>
      </c>
      <c r="ACZ46" s="760"/>
      <c r="ADA46" s="757">
        <f t="shared" si="49"/>
        <v>1.8399999999999999</v>
      </c>
      <c r="ADB46" s="758"/>
      <c r="ADD46" s="1112">
        <v>1.1052631578947401</v>
      </c>
      <c r="ADE46" s="1112"/>
      <c r="ADF46" s="1112">
        <v>-1.42105263157895</v>
      </c>
      <c r="ADG46" s="1112"/>
      <c r="ADH46" s="591">
        <v>133</v>
      </c>
      <c r="ADI46" s="759">
        <f>ADD46*ADK46 +ADF46</f>
        <v>1.1542105263157945</v>
      </c>
      <c r="ADJ46" s="760"/>
      <c r="ADK46" s="757">
        <f t="shared" si="50"/>
        <v>2.33</v>
      </c>
      <c r="ADL46" s="758"/>
      <c r="ADN46" s="759">
        <v>1.1052631580000001</v>
      </c>
      <c r="ADO46" s="760"/>
      <c r="ADP46" s="759">
        <v>-1.42105263157895</v>
      </c>
      <c r="ADQ46" s="760"/>
      <c r="ADR46" s="591">
        <v>183</v>
      </c>
      <c r="ADS46" s="759">
        <f t="shared" si="9"/>
        <v>1.7068421055610501</v>
      </c>
      <c r="ADT46" s="760"/>
      <c r="ADU46" s="757">
        <f t="shared" si="51"/>
        <v>2.83</v>
      </c>
      <c r="ADV46" s="758"/>
      <c r="ADX46" s="759">
        <v>1.1052631580000001</v>
      </c>
      <c r="ADY46" s="760"/>
      <c r="ADZ46" s="759">
        <v>-1.42105263157895</v>
      </c>
      <c r="AEA46" s="760"/>
      <c r="AEB46" s="591">
        <v>233</v>
      </c>
      <c r="AEC46" s="759">
        <f t="shared" si="10"/>
        <v>2.2594736845610504</v>
      </c>
      <c r="AED46" s="760"/>
      <c r="AEE46" s="757">
        <f t="shared" si="52"/>
        <v>3.33</v>
      </c>
      <c r="AEF46" s="758"/>
      <c r="AEH46" s="759">
        <v>1.1052631580000001</v>
      </c>
      <c r="AEI46" s="760"/>
      <c r="AEJ46" s="759">
        <v>-1.42105263157895</v>
      </c>
      <c r="AEK46" s="760"/>
      <c r="AEL46" s="591">
        <v>283</v>
      </c>
      <c r="AEM46" s="759">
        <f t="shared" si="37"/>
        <v>2.8121052635610506</v>
      </c>
      <c r="AEN46" s="760"/>
      <c r="AEO46" s="757">
        <f t="shared" si="53"/>
        <v>3.83</v>
      </c>
      <c r="AEP46" s="758"/>
      <c r="AFG46" s="653"/>
      <c r="AFH46" s="653"/>
      <c r="AFI46" s="653"/>
      <c r="AFJ46" s="653"/>
      <c r="AFK46" s="653"/>
      <c r="AFL46" s="653"/>
      <c r="AFM46" s="653"/>
      <c r="AFN46" s="653"/>
      <c r="AFO46" s="653"/>
      <c r="AFP46" s="653"/>
      <c r="AFQ46" s="653"/>
      <c r="AFR46" s="653"/>
      <c r="AFS46" s="653"/>
      <c r="AFT46" s="653"/>
      <c r="AFU46" s="653"/>
      <c r="AFV46" s="653"/>
      <c r="AFW46" s="653"/>
      <c r="AFX46" s="653"/>
      <c r="AFY46" s="653"/>
      <c r="AFZ46" s="653"/>
      <c r="AGA46" s="653"/>
      <c r="AGB46" s="653"/>
      <c r="AGC46" s="653"/>
      <c r="AGD46" s="653"/>
      <c r="AGE46" s="653"/>
      <c r="AGF46" s="653"/>
      <c r="AGG46" s="653"/>
      <c r="AGH46" s="653"/>
      <c r="AGI46" s="653"/>
      <c r="AGJ46" s="653"/>
      <c r="AGL46" s="903"/>
      <c r="AGM46" s="904"/>
      <c r="AGN46" s="905"/>
      <c r="AGO46" s="851"/>
      <c r="AGP46" s="777"/>
      <c r="AGQ46" s="778"/>
      <c r="AGR46" s="778"/>
      <c r="AGS46" s="778"/>
      <c r="AGT46" s="778"/>
      <c r="AGU46" s="778"/>
      <c r="AGV46" s="778"/>
      <c r="AGW46" s="778"/>
      <c r="AGX46" s="778"/>
      <c r="AGY46" s="778"/>
      <c r="AGZ46" s="799"/>
      <c r="AHA46" s="1056"/>
      <c r="AHB46" s="1057"/>
      <c r="AHC46" s="1355"/>
      <c r="AHD46" s="1356"/>
      <c r="AHE46" s="842"/>
      <c r="AHF46" s="918"/>
      <c r="AHG46" s="919"/>
      <c r="AHH46" s="848"/>
      <c r="AQL46" s="130"/>
      <c r="ARP46" s="653"/>
    </row>
    <row r="47" spans="3:932 1076:1297" ht="48" customHeight="1" thickBot="1">
      <c r="D47" s="162"/>
      <c r="E47" s="162"/>
      <c r="F47" s="158"/>
      <c r="G47" s="158"/>
      <c r="H47" s="158"/>
      <c r="I47" s="158"/>
      <c r="J47" s="158"/>
      <c r="K47" s="158"/>
      <c r="L47" s="163"/>
      <c r="M47" s="158"/>
      <c r="N47" s="158"/>
      <c r="O47" s="158"/>
      <c r="P47" s="158"/>
      <c r="Q47" s="158"/>
      <c r="R47" s="158"/>
      <c r="S47" s="158"/>
      <c r="T47" s="158"/>
      <c r="U47" s="158"/>
      <c r="V47" s="158"/>
      <c r="W47" s="158"/>
      <c r="X47" s="158"/>
      <c r="Y47" s="163"/>
      <c r="BS47" s="130"/>
      <c r="EZ47" s="56"/>
      <c r="FA47" s="130"/>
      <c r="FB47" s="130"/>
      <c r="FC47" s="130"/>
      <c r="FV47" s="653"/>
      <c r="GF47" s="1052"/>
      <c r="GG47" s="1257" t="s">
        <v>416</v>
      </c>
      <c r="GH47" s="1257"/>
      <c r="GI47" s="136"/>
      <c r="GJ47" s="76" t="s">
        <v>441</v>
      </c>
      <c r="GK47" s="1464" t="s">
        <v>435</v>
      </c>
      <c r="GL47" s="1464"/>
      <c r="GM47" s="1073" t="s">
        <v>111</v>
      </c>
      <c r="GN47" s="1074"/>
      <c r="GO47" s="916" t="s">
        <v>704</v>
      </c>
      <c r="GP47" s="917"/>
      <c r="GQ47" s="906" t="s">
        <v>447</v>
      </c>
      <c r="GR47" s="907"/>
      <c r="GS47" s="907"/>
      <c r="GT47" s="907"/>
      <c r="GU47" s="908"/>
      <c r="GV47" s="1051" t="s">
        <v>436</v>
      </c>
      <c r="GW47" s="1051"/>
      <c r="GX47" s="1051"/>
      <c r="GY47" s="1051"/>
      <c r="HK47" s="130"/>
      <c r="HL47" s="130"/>
      <c r="HM47" s="130"/>
      <c r="HN47" s="130"/>
      <c r="HO47" s="130"/>
      <c r="HP47" s="130"/>
      <c r="HQ47" s="130"/>
      <c r="MB47" s="900"/>
      <c r="MC47" s="901"/>
      <c r="MD47" s="902"/>
      <c r="ME47" s="850"/>
      <c r="MF47" s="809" t="s">
        <v>1205</v>
      </c>
      <c r="MG47" s="797"/>
      <c r="MH47" s="797"/>
      <c r="MI47" s="797"/>
      <c r="MJ47" s="797"/>
      <c r="MK47" s="797"/>
      <c r="ML47" s="797"/>
      <c r="MM47" s="797"/>
      <c r="MN47" s="797"/>
      <c r="MO47" s="797"/>
      <c r="MP47" s="798"/>
      <c r="MQ47" s="1054">
        <v>1.3</v>
      </c>
      <c r="MR47" s="1055"/>
      <c r="MS47" s="1183" t="s">
        <v>729</v>
      </c>
      <c r="MT47" s="1184"/>
      <c r="MU47" s="841"/>
      <c r="MV47" s="1170" t="s">
        <v>1215</v>
      </c>
      <c r="MW47" s="1172"/>
      <c r="MX47" s="847"/>
      <c r="ND47" s="130"/>
      <c r="NE47" s="130"/>
      <c r="NF47" s="130"/>
      <c r="NG47" s="130"/>
      <c r="NH47" s="130"/>
      <c r="NI47" s="130"/>
      <c r="NJ47" s="130"/>
      <c r="NK47" s="377"/>
      <c r="NL47" s="373"/>
      <c r="NM47" s="373"/>
      <c r="NN47" s="373"/>
      <c r="NO47" s="373"/>
      <c r="NP47" s="373"/>
      <c r="NQ47" s="373"/>
      <c r="NR47" s="373"/>
      <c r="NS47" s="373"/>
      <c r="NT47" s="373"/>
      <c r="NU47" s="373"/>
      <c r="NV47" s="373"/>
      <c r="NW47" s="373"/>
      <c r="NX47" s="373"/>
      <c r="NY47" s="373"/>
      <c r="NZ47" s="373"/>
      <c r="OA47" s="373"/>
      <c r="OB47" s="373"/>
      <c r="OC47" s="373"/>
      <c r="OD47" s="373"/>
      <c r="OE47" s="373"/>
      <c r="OF47" s="374"/>
      <c r="QL47" s="469"/>
      <c r="QM47" s="469"/>
      <c r="QN47" s="469"/>
      <c r="QO47" s="469"/>
      <c r="QP47" s="469"/>
      <c r="RE47" s="653"/>
      <c r="RF47" s="653"/>
      <c r="RG47" s="653"/>
      <c r="RH47" s="653"/>
      <c r="RI47" s="653"/>
      <c r="RJ47" s="653"/>
      <c r="RK47" s="653"/>
      <c r="RL47" s="653"/>
      <c r="RM47" s="653"/>
      <c r="RN47" s="653"/>
      <c r="RO47" s="653"/>
      <c r="RP47" s="653"/>
      <c r="RQ47" s="653"/>
      <c r="RR47" s="653"/>
      <c r="RS47" s="653"/>
      <c r="RT47" s="653"/>
      <c r="RU47" s="653"/>
      <c r="RV47" s="653"/>
      <c r="RW47" s="653"/>
      <c r="RX47" s="653"/>
      <c r="RY47" s="653"/>
      <c r="SJ47" s="653"/>
      <c r="SK47" s="653"/>
      <c r="SL47" s="653"/>
      <c r="SM47" s="653"/>
      <c r="SN47" s="653"/>
      <c r="SO47" s="653"/>
      <c r="SP47" s="653"/>
      <c r="SQ47" s="653"/>
      <c r="SR47" s="653"/>
      <c r="SS47" s="653"/>
      <c r="ST47" s="653"/>
      <c r="SU47" s="653"/>
      <c r="SV47" s="653"/>
      <c r="SW47" s="653"/>
      <c r="SX47" s="653"/>
      <c r="SY47" s="653"/>
      <c r="SZ47" s="653"/>
      <c r="TA47" s="653"/>
      <c r="TB47" s="653"/>
      <c r="TC47" s="653"/>
      <c r="TD47" s="653"/>
      <c r="TE47" s="653"/>
      <c r="TF47" s="653"/>
      <c r="TG47" s="653"/>
      <c r="TH47" s="653"/>
      <c r="TI47" s="653"/>
      <c r="TJ47" s="653"/>
      <c r="TK47" s="653"/>
      <c r="TL47" s="653"/>
      <c r="TM47" s="653"/>
      <c r="TN47" s="653"/>
      <c r="TO47" s="653"/>
      <c r="TP47" s="653"/>
      <c r="TQ47" s="653"/>
      <c r="TR47" s="653"/>
      <c r="TS47" s="653"/>
      <c r="TT47" s="653"/>
      <c r="TU47" s="653"/>
      <c r="TV47" s="653"/>
      <c r="TW47" s="653"/>
      <c r="TX47" s="653"/>
      <c r="TY47" s="653"/>
      <c r="TZ47" s="653"/>
      <c r="UA47" s="653"/>
      <c r="UB47" s="653"/>
      <c r="UC47" s="653"/>
      <c r="UD47" s="653"/>
      <c r="UE47" s="653"/>
      <c r="UF47" s="653"/>
      <c r="UG47" s="653"/>
      <c r="UH47" s="653"/>
      <c r="UI47" s="653"/>
      <c r="UJ47" s="653"/>
      <c r="UK47" s="653"/>
      <c r="UL47" s="653"/>
      <c r="UM47" s="653"/>
      <c r="UN47" s="653"/>
      <c r="UO47" s="653"/>
      <c r="UP47" s="653"/>
      <c r="UQ47" s="653"/>
      <c r="UR47" s="653"/>
      <c r="US47" s="653"/>
      <c r="UT47" s="653"/>
      <c r="UU47" s="653"/>
      <c r="UV47" s="653"/>
      <c r="UW47" s="653"/>
      <c r="UX47" s="653"/>
      <c r="UY47" s="653"/>
      <c r="UZ47" s="653"/>
      <c r="VE47" s="625"/>
      <c r="VL47" s="207"/>
      <c r="VM47" s="207"/>
      <c r="VN47" s="207"/>
      <c r="VO47" s="207"/>
      <c r="WE47" s="162"/>
      <c r="WF47" s="158"/>
      <c r="WG47" s="158"/>
      <c r="WH47" s="158"/>
      <c r="WI47" s="158"/>
      <c r="WJ47" s="163"/>
      <c r="WK47" s="861" t="s">
        <v>1619</v>
      </c>
      <c r="WL47" s="861"/>
      <c r="WM47" s="937">
        <f>$PZ$173</f>
        <v>170.45454545454544</v>
      </c>
      <c r="WN47" s="937"/>
      <c r="WO47" s="800" t="s">
        <v>1078</v>
      </c>
      <c r="WP47" s="801"/>
      <c r="WQ47" s="761">
        <f>$CN$54</f>
        <v>58.696468820435761</v>
      </c>
      <c r="WR47" s="761"/>
      <c r="WS47" s="168"/>
      <c r="WT47" s="168"/>
      <c r="WU47" s="168"/>
      <c r="WV47" s="168"/>
      <c r="WW47" s="171"/>
      <c r="WX47" s="976">
        <v>14</v>
      </c>
      <c r="WY47" s="977"/>
      <c r="WZ47" s="756" t="s">
        <v>393</v>
      </c>
      <c r="XA47" s="756"/>
      <c r="XB47" s="167"/>
      <c r="XC47" s="168"/>
      <c r="XD47" s="168"/>
      <c r="XE47" s="168"/>
      <c r="XF47" s="171"/>
      <c r="XG47" s="966">
        <f>($WM$47*(XG37/$WQ$47))/1000</f>
        <v>4.8347198261656059E-2</v>
      </c>
      <c r="XH47" s="966">
        <f t="shared" ref="XH47:ZS47" si="54">($WM$47*(XH37/$WQ$47))/1000</f>
        <v>5.0653651445012458E-2</v>
      </c>
      <c r="XI47" s="966">
        <f t="shared" si="54"/>
        <v>5.4016171585669535E-2</v>
      </c>
      <c r="XJ47" s="966">
        <f t="shared" si="54"/>
        <v>5.8238210090196897E-2</v>
      </c>
      <c r="XK47" s="966">
        <f t="shared" si="54"/>
        <v>6.3133885080492072E-2</v>
      </c>
      <c r="XL47" s="966">
        <f t="shared" si="54"/>
        <v>6.8545669501117706E-2</v>
      </c>
      <c r="XM47" s="966">
        <f t="shared" si="54"/>
        <v>7.4347996295917845E-2</v>
      </c>
      <c r="XN47" s="966">
        <f t="shared" si="54"/>
        <v>8.0443867811169523E-2</v>
      </c>
      <c r="XO47" s="966">
        <f t="shared" si="54"/>
        <v>8.6759318619764117E-2</v>
      </c>
      <c r="XP47" s="966">
        <f t="shared" si="54"/>
        <v>9.3238043522655717E-2</v>
      </c>
      <c r="XQ47" s="966">
        <f t="shared" si="54"/>
        <v>9.9836969932657338E-2</v>
      </c>
      <c r="XR47" s="966">
        <f t="shared" si="54"/>
        <v>0.10652286069560275</v>
      </c>
      <c r="XS47" s="966">
        <f t="shared" si="54"/>
        <v>0.11326979285395807</v>
      </c>
      <c r="XT47" s="966">
        <f t="shared" si="54"/>
        <v>0.12005731257655283</v>
      </c>
      <c r="XU47" s="966">
        <f t="shared" si="54"/>
        <v>0.12686908965896973</v>
      </c>
      <c r="XV47" s="966">
        <f t="shared" si="54"/>
        <v>0.13369193392328352</v>
      </c>
      <c r="XW47" s="966">
        <f t="shared" si="54"/>
        <v>0.14051507194119539</v>
      </c>
      <c r="XX47" s="966">
        <f t="shared" si="54"/>
        <v>0.14732961101571571</v>
      </c>
      <c r="XY47" s="966">
        <f t="shared" si="54"/>
        <v>0.15412813841372516</v>
      </c>
      <c r="XZ47" s="966">
        <f t="shared" si="54"/>
        <v>0.16090441891522936</v>
      </c>
      <c r="YA47" s="966">
        <f t="shared" si="54"/>
        <v>0.16765316438592076</v>
      </c>
      <c r="YB47" s="966">
        <f t="shared" si="54"/>
        <v>0.17436985655697748</v>
      </c>
      <c r="YC47" s="966">
        <f t="shared" si="54"/>
        <v>0.18105060945460583</v>
      </c>
      <c r="YD47" s="966">
        <f t="shared" si="54"/>
        <v>0.18769206163487312</v>
      </c>
      <c r="YE47" s="966">
        <f t="shared" si="54"/>
        <v>0.19429129101671944</v>
      </c>
      <c r="YF47" s="966">
        <f t="shared" si="54"/>
        <v>0.20084574699255486</v>
      </c>
      <c r="YG47" s="966">
        <f t="shared" si="54"/>
        <v>0.20735319585571393</v>
      </c>
      <c r="YH47" s="966">
        <f t="shared" si="54"/>
        <v>0.21381167657211708</v>
      </c>
      <c r="YI47" s="966">
        <f t="shared" si="54"/>
        <v>0.22021946464725553</v>
      </c>
      <c r="YJ47" s="966">
        <f t="shared" si="54"/>
        <v>0.22657504237403794</v>
      </c>
      <c r="YK47" s="966">
        <f t="shared" si="54"/>
        <v>0.23287707414477554</v>
      </c>
      <c r="YL47" s="966">
        <f t="shared" si="54"/>
        <v>0.23912438580887835</v>
      </c>
      <c r="YM47" s="966">
        <f t="shared" si="54"/>
        <v>0.24531594728321732</v>
      </c>
      <c r="YN47" s="966">
        <f t="shared" si="54"/>
        <v>0.25145085779362836</v>
      </c>
      <c r="YO47" s="966">
        <f t="shared" si="54"/>
        <v>0.25752833325746882</v>
      </c>
      <c r="YP47" s="966">
        <f t="shared" si="54"/>
        <v>0.26354769541851997</v>
      </c>
      <c r="YQ47" s="966">
        <f t="shared" si="54"/>
        <v>0.26950836242422838</v>
      </c>
      <c r="YR47" s="966">
        <f t="shared" si="54"/>
        <v>0.27540984059674462</v>
      </c>
      <c r="YS47" s="966">
        <f t="shared" si="54"/>
        <v>0.28125171719749165</v>
      </c>
      <c r="YT47" s="966">
        <f t="shared" si="54"/>
        <v>0.28703365402312814</v>
      </c>
      <c r="YU47" s="966">
        <f t="shared" si="54"/>
        <v>0.29275538170104215</v>
      </c>
      <c r="YV47" s="966">
        <f t="shared" si="54"/>
        <v>0.2984166945766647</v>
      </c>
      <c r="YW47" s="966">
        <f t="shared" si="54"/>
        <v>0.30401744610425413</v>
      </c>
      <c r="YX47" s="966">
        <f t="shared" si="54"/>
        <v>0.30955754466839386</v>
      </c>
      <c r="YY47" s="966">
        <f t="shared" si="54"/>
        <v>0.31503694977604862</v>
      </c>
      <c r="YZ47" s="966">
        <f t="shared" si="54"/>
        <v>0.32045566856926294</v>
      </c>
      <c r="ZA47" s="966">
        <f t="shared" si="54"/>
        <v>0.32581375261691853</v>
      </c>
      <c r="ZB47" s="966">
        <f t="shared" si="54"/>
        <v>0.33111129495079311</v>
      </c>
      <c r="ZC47" s="966">
        <f t="shared" si="54"/>
        <v>0.33634842731674952</v>
      </c>
      <c r="ZD47" s="966">
        <f t="shared" si="54"/>
        <v>0.34152531761649862</v>
      </c>
      <c r="ZE47" s="966">
        <f t="shared" si="54"/>
        <v>0.34664216751917187</v>
      </c>
      <c r="ZF47" s="966">
        <f t="shared" si="54"/>
        <v>0.3516992102250896</v>
      </c>
      <c r="ZG47" s="966">
        <f t="shared" si="54"/>
        <v>0.35669670836672412</v>
      </c>
      <c r="ZH47" s="966">
        <f t="shared" si="54"/>
        <v>0.36163495203402607</v>
      </c>
      <c r="ZI47" s="966">
        <f t="shared" si="54"/>
        <v>0.36651425691309508</v>
      </c>
      <c r="ZJ47" s="966">
        <f t="shared" si="54"/>
        <v>0.37133496252869302</v>
      </c>
      <c r="ZK47" s="966">
        <f t="shared" si="54"/>
        <v>0.37609743058236206</v>
      </c>
      <c r="ZL47" s="966">
        <f t="shared" si="54"/>
        <v>0.38080204337898005</v>
      </c>
      <c r="ZM47" s="966">
        <f t="shared" si="54"/>
        <v>0.3854492023354773</v>
      </c>
      <c r="ZN47" s="966">
        <f t="shared" si="54"/>
        <v>0.39003932656619483</v>
      </c>
      <c r="ZO47" s="966">
        <f t="shared" si="54"/>
        <v>0.39457285154000366</v>
      </c>
      <c r="ZP47" s="966">
        <f t="shared" si="54"/>
        <v>0.39905022780484278</v>
      </c>
      <c r="ZQ47" s="966">
        <f t="shared" si="54"/>
        <v>0.40347191977579117</v>
      </c>
      <c r="ZR47" s="966">
        <f t="shared" si="54"/>
        <v>0.40783840458318021</v>
      </c>
      <c r="ZS47" s="966">
        <f t="shared" si="54"/>
        <v>0.412150170977583</v>
      </c>
      <c r="ZT47" s="966">
        <f t="shared" ref="ZT47:AAS47" si="55">($WM$47*(ZT37/$WQ$47))/1000</f>
        <v>0.41640771828880163</v>
      </c>
      <c r="ZU47" s="966">
        <f t="shared" si="55"/>
        <v>0.42061155543621664</v>
      </c>
      <c r="ZV47" s="966">
        <f t="shared" si="55"/>
        <v>0.4247621999880723</v>
      </c>
      <c r="ZW47" s="966">
        <f t="shared" si="55"/>
        <v>0.42886017726745279</v>
      </c>
      <c r="ZX47" s="966">
        <f t="shared" si="55"/>
        <v>0.4329060195028564</v>
      </c>
      <c r="ZY47" s="966">
        <f t="shared" si="55"/>
        <v>0.43690026502141988</v>
      </c>
      <c r="ZZ47" s="966">
        <f t="shared" si="55"/>
        <v>0.440843457482956</v>
      </c>
      <c r="AAA47" s="966">
        <f t="shared" si="55"/>
        <v>0.44473614515307652</v>
      </c>
      <c r="AAB47" s="966">
        <f t="shared" si="55"/>
        <v>0.4485788802137653</v>
      </c>
      <c r="AAC47" s="966">
        <f t="shared" si="55"/>
        <v>0.4523722181098489</v>
      </c>
      <c r="AAD47" s="966">
        <f t="shared" si="55"/>
        <v>0.45611671692988487</v>
      </c>
      <c r="AAE47" s="966">
        <f t="shared" si="55"/>
        <v>0.45981293682005764</v>
      </c>
      <c r="AAF47" s="966">
        <f t="shared" si="55"/>
        <v>0.46346143942972901</v>
      </c>
      <c r="AAG47" s="966">
        <f t="shared" si="55"/>
        <v>0.46706278738734897</v>
      </c>
      <c r="AAH47" s="966">
        <f t="shared" si="55"/>
        <v>0.47061754380548326</v>
      </c>
      <c r="AAI47" s="966">
        <f t="shared" si="55"/>
        <v>0.47412627181375955</v>
      </c>
      <c r="AAJ47" s="966">
        <f t="shared" si="55"/>
        <v>0.47758953411858013</v>
      </c>
      <c r="AAK47" s="966">
        <f t="shared" si="55"/>
        <v>0.48100789258849264</v>
      </c>
      <c r="AAL47" s="966">
        <f t="shared" si="55"/>
        <v>0.48438190786414442</v>
      </c>
      <c r="AAM47" s="966">
        <f t="shared" si="55"/>
        <v>0.48771213899178928</v>
      </c>
      <c r="AAN47" s="966">
        <f t="shared" si="55"/>
        <v>0.49099914307934739</v>
      </c>
      <c r="AAO47" s="966">
        <f t="shared" si="55"/>
        <v>0.49424347497405297</v>
      </c>
      <c r="AAP47" s="966">
        <f t="shared" si="55"/>
        <v>0.49744568696076263</v>
      </c>
      <c r="AAQ47" s="966">
        <f t="shared" si="55"/>
        <v>0.50060632848001962</v>
      </c>
      <c r="AAR47" s="966">
        <f t="shared" si="55"/>
        <v>0.50372594586500841</v>
      </c>
      <c r="AAS47" s="966">
        <f t="shared" si="55"/>
        <v>0.50680508209656139</v>
      </c>
      <c r="AAT47" s="964">
        <v>14</v>
      </c>
      <c r="AAU47" s="756" t="s">
        <v>393</v>
      </c>
      <c r="AAV47" s="756"/>
      <c r="AAW47" s="167"/>
      <c r="AAX47" s="168"/>
      <c r="AAY47" s="168"/>
      <c r="AAZ47" s="168"/>
      <c r="ABA47" s="168"/>
      <c r="ABB47" s="168"/>
      <c r="ABC47" s="171"/>
      <c r="ABD47" s="163"/>
      <c r="ACJ47" s="759">
        <v>0.66666666699999999</v>
      </c>
      <c r="ACK47" s="760"/>
      <c r="ACL47" s="759">
        <v>-0.66666666699999999</v>
      </c>
      <c r="ACM47" s="760"/>
      <c r="ACN47" s="591">
        <v>35</v>
      </c>
      <c r="ACO47" s="759">
        <f t="shared" si="0"/>
        <v>0.23333333345000007</v>
      </c>
      <c r="ACP47" s="760"/>
      <c r="ACQ47" s="757">
        <f t="shared" si="48"/>
        <v>1.35</v>
      </c>
      <c r="ACR47" s="758"/>
      <c r="ACT47" s="759">
        <v>1</v>
      </c>
      <c r="ACU47" s="760"/>
      <c r="ACV47" s="759">
        <v>-1.2</v>
      </c>
      <c r="ACW47" s="760"/>
      <c r="ACX47" s="592">
        <v>85</v>
      </c>
      <c r="ACY47" s="759">
        <f t="shared" si="8"/>
        <v>0.65000000000000013</v>
      </c>
      <c r="ACZ47" s="760"/>
      <c r="ADA47" s="757">
        <f t="shared" si="49"/>
        <v>1.85</v>
      </c>
      <c r="ADB47" s="758"/>
      <c r="ADD47" s="1112">
        <v>1.1052631578947401</v>
      </c>
      <c r="ADE47" s="1112"/>
      <c r="ADF47" s="1112">
        <v>-1.42105263157895</v>
      </c>
      <c r="ADG47" s="1112"/>
      <c r="ADH47" s="591">
        <v>134</v>
      </c>
      <c r="ADI47" s="759">
        <f t="shared" ref="ADI47:ADI62" si="56">ADD47*ADK47 + ADF47</f>
        <v>1.1652631578947417</v>
      </c>
      <c r="ADJ47" s="760"/>
      <c r="ADK47" s="757">
        <f t="shared" si="50"/>
        <v>2.34</v>
      </c>
      <c r="ADL47" s="758"/>
      <c r="ADN47" s="759">
        <v>1.1052631580000001</v>
      </c>
      <c r="ADO47" s="760"/>
      <c r="ADP47" s="759">
        <v>-1.42105263157895</v>
      </c>
      <c r="ADQ47" s="760"/>
      <c r="ADR47" s="591">
        <v>184</v>
      </c>
      <c r="ADS47" s="759">
        <f t="shared" si="9"/>
        <v>1.7178947371410502</v>
      </c>
      <c r="ADT47" s="760"/>
      <c r="ADU47" s="757">
        <f t="shared" si="51"/>
        <v>2.84</v>
      </c>
      <c r="ADV47" s="758"/>
      <c r="ADX47" s="759">
        <v>1.1052631580000001</v>
      </c>
      <c r="ADY47" s="760"/>
      <c r="ADZ47" s="759">
        <v>-1.42105263157895</v>
      </c>
      <c r="AEA47" s="760"/>
      <c r="AEB47" s="591">
        <v>234</v>
      </c>
      <c r="AEC47" s="759">
        <f t="shared" si="10"/>
        <v>2.27052631614105</v>
      </c>
      <c r="AED47" s="760"/>
      <c r="AEE47" s="757">
        <f t="shared" si="52"/>
        <v>3.34</v>
      </c>
      <c r="AEF47" s="758"/>
      <c r="AEH47" s="759">
        <v>1.1052631580000001</v>
      </c>
      <c r="AEI47" s="760"/>
      <c r="AEJ47" s="759">
        <v>-1.42105263157895</v>
      </c>
      <c r="AEK47" s="760"/>
      <c r="AEL47" s="591">
        <v>284</v>
      </c>
      <c r="AEM47" s="759">
        <f t="shared" si="37"/>
        <v>2.8231578951410499</v>
      </c>
      <c r="AEN47" s="760"/>
      <c r="AEO47" s="757">
        <f t="shared" si="53"/>
        <v>3.84</v>
      </c>
      <c r="AEP47" s="758"/>
      <c r="AEQ47" s="653"/>
      <c r="AER47" s="653"/>
      <c r="AES47" s="653"/>
      <c r="AET47" s="653"/>
      <c r="AFG47" s="653"/>
      <c r="AFH47" s="653"/>
      <c r="AFI47" s="653"/>
      <c r="AFJ47" s="653"/>
      <c r="AFK47" s="653"/>
      <c r="AFL47" s="653"/>
      <c r="AFM47" s="653"/>
      <c r="AFN47" s="653"/>
      <c r="AFO47" s="653"/>
      <c r="AFP47" s="653"/>
      <c r="AFQ47" s="653"/>
      <c r="AFR47" s="653"/>
      <c r="AFS47" s="653"/>
      <c r="AFT47" s="653"/>
      <c r="AFU47" s="653"/>
      <c r="AFV47" s="653"/>
      <c r="AFW47" s="653"/>
      <c r="AFX47" s="653"/>
      <c r="AFY47" s="653"/>
      <c r="AFZ47" s="653"/>
      <c r="AGA47" s="653"/>
      <c r="AGB47" s="653"/>
      <c r="AGC47" s="653"/>
      <c r="AGD47" s="653"/>
      <c r="AGE47" s="653"/>
      <c r="AGF47" s="653"/>
      <c r="AGG47" s="653"/>
      <c r="AGH47" s="653"/>
      <c r="AGI47" s="653"/>
      <c r="AGJ47" s="653"/>
      <c r="ARP47" s="653"/>
      <c r="ARQ47" s="653"/>
      <c r="ARR47" s="653"/>
      <c r="ARS47" s="653"/>
      <c r="ART47" s="653"/>
      <c r="ARU47" s="653"/>
      <c r="ARV47" s="653"/>
      <c r="ARW47" s="653"/>
      <c r="ARX47" s="653"/>
      <c r="ARY47" s="653"/>
      <c r="ARZ47" s="653"/>
      <c r="ASA47" s="653"/>
      <c r="ASB47" s="653"/>
      <c r="ASC47" s="653"/>
      <c r="ASD47" s="653"/>
      <c r="ASE47" s="653"/>
      <c r="ASF47" s="653"/>
      <c r="ASG47" s="653"/>
      <c r="ASH47" s="653"/>
      <c r="ASI47" s="653"/>
      <c r="ASJ47" s="653"/>
      <c r="ASK47" s="653"/>
      <c r="ASL47" s="653"/>
      <c r="ASM47" s="653"/>
      <c r="ASN47" s="653"/>
      <c r="ASO47" s="653"/>
      <c r="ASP47" s="653"/>
      <c r="ASQ47" s="653"/>
      <c r="ASR47" s="653"/>
      <c r="ASS47" s="653"/>
      <c r="AST47" s="653"/>
      <c r="ASU47" s="653"/>
      <c r="ASV47" s="653"/>
      <c r="ASW47" s="653"/>
      <c r="ASX47" s="653"/>
      <c r="ASY47" s="653"/>
    </row>
    <row r="48" spans="3:932 1076:1297" ht="48" customHeight="1" thickBot="1">
      <c r="D48" s="162"/>
      <c r="E48" s="162"/>
      <c r="F48" s="158"/>
      <c r="G48" s="158"/>
      <c r="H48" s="158"/>
      <c r="I48" s="158"/>
      <c r="J48" s="158"/>
      <c r="K48" s="158"/>
      <c r="L48" s="163"/>
      <c r="M48" s="158"/>
      <c r="N48" s="158"/>
      <c r="O48" s="158"/>
      <c r="P48" s="158"/>
      <c r="Q48" s="158"/>
      <c r="R48" s="158"/>
      <c r="S48" s="158"/>
      <c r="T48" s="158"/>
      <c r="U48" s="158"/>
      <c r="V48" s="158"/>
      <c r="W48" s="158"/>
      <c r="X48" s="158"/>
      <c r="Y48" s="163"/>
      <c r="AI48" s="849"/>
      <c r="AJ48" s="1684">
        <v>1.6</v>
      </c>
      <c r="AK48" s="1684"/>
      <c r="AL48" s="724"/>
      <c r="AM48" s="76" t="s">
        <v>441</v>
      </c>
      <c r="AN48" s="1676" t="s">
        <v>435</v>
      </c>
      <c r="AO48" s="1677"/>
      <c r="AP48" s="924" t="s">
        <v>111</v>
      </c>
      <c r="AQ48" s="925"/>
      <c r="AR48" s="916" t="s">
        <v>704</v>
      </c>
      <c r="AS48" s="917"/>
      <c r="AT48" s="906" t="s">
        <v>447</v>
      </c>
      <c r="AU48" s="907"/>
      <c r="AV48" s="907"/>
      <c r="AW48" s="908"/>
      <c r="AX48" s="1051" t="s">
        <v>446</v>
      </c>
      <c r="AY48" s="1051"/>
      <c r="AZ48" s="1051"/>
      <c r="BA48" s="1051"/>
      <c r="BR48" s="130"/>
      <c r="BS48" s="130"/>
      <c r="BX48" s="849"/>
      <c r="BY48" s="852" t="s">
        <v>23</v>
      </c>
      <c r="BZ48" s="853"/>
      <c r="CA48" s="124"/>
      <c r="CB48" s="622" t="s">
        <v>851</v>
      </c>
      <c r="CC48" s="766">
        <f>$AX$78</f>
        <v>36000</v>
      </c>
      <c r="CD48" s="766"/>
      <c r="CE48" s="626" t="s">
        <v>816</v>
      </c>
      <c r="CF48" s="766">
        <f>$AP$9</f>
        <v>3</v>
      </c>
      <c r="CG48" s="766"/>
      <c r="CH48" s="124"/>
      <c r="CI48" s="76" t="s">
        <v>441</v>
      </c>
      <c r="CJ48" s="854" t="s">
        <v>435</v>
      </c>
      <c r="CK48" s="855"/>
      <c r="CL48" s="920" t="s">
        <v>111</v>
      </c>
      <c r="CM48" s="921"/>
      <c r="CN48" s="916" t="s">
        <v>704</v>
      </c>
      <c r="CO48" s="917"/>
      <c r="CP48" s="906" t="s">
        <v>447</v>
      </c>
      <c r="CQ48" s="907"/>
      <c r="CR48" s="907"/>
      <c r="CS48" s="907"/>
      <c r="CT48" s="907"/>
      <c r="CU48" s="908"/>
      <c r="CV48" s="1051" t="s">
        <v>436</v>
      </c>
      <c r="CW48" s="1051"/>
      <c r="CX48" s="1051"/>
      <c r="CY48" s="1051"/>
      <c r="DZ48" s="76" t="s">
        <v>793</v>
      </c>
      <c r="EA48" s="852" t="s">
        <v>416</v>
      </c>
      <c r="EB48" s="853"/>
      <c r="EC48" s="138"/>
      <c r="ED48" s="78"/>
      <c r="EE48" s="78"/>
      <c r="EF48" s="78"/>
      <c r="EG48" s="138"/>
      <c r="EH48" s="76" t="s">
        <v>441</v>
      </c>
      <c r="EI48" s="854" t="s">
        <v>435</v>
      </c>
      <c r="EJ48" s="855"/>
      <c r="EK48" s="920" t="s">
        <v>111</v>
      </c>
      <c r="EL48" s="921"/>
      <c r="EM48" s="916" t="s">
        <v>704</v>
      </c>
      <c r="EN48" s="917"/>
      <c r="EO48" s="1051" t="s">
        <v>447</v>
      </c>
      <c r="EP48" s="1051"/>
      <c r="EQ48" s="1051"/>
      <c r="ER48" s="1051"/>
      <c r="ES48" s="906"/>
      <c r="ET48" s="1051" t="s">
        <v>436</v>
      </c>
      <c r="EU48" s="1051"/>
      <c r="EV48" s="1051"/>
      <c r="EW48" s="1051"/>
      <c r="EX48" s="1051"/>
      <c r="EY48" s="1051"/>
      <c r="EZ48" s="1051"/>
      <c r="FA48" s="1051"/>
      <c r="FV48" s="653"/>
      <c r="GF48" s="1052"/>
      <c r="GG48" s="426" t="s">
        <v>1078</v>
      </c>
      <c r="GH48" s="761">
        <f>$CN$54</f>
        <v>58.696468820435761</v>
      </c>
      <c r="GI48" s="883"/>
      <c r="GJ48" s="791" t="s">
        <v>788</v>
      </c>
      <c r="GK48" s="792"/>
      <c r="GL48" s="938"/>
      <c r="GM48" s="1781">
        <f>(GQ36/GP53)*10^6</f>
        <v>180.34671544768563</v>
      </c>
      <c r="GN48" s="1443"/>
      <c r="GO48" s="1075" t="s">
        <v>757</v>
      </c>
      <c r="GP48" s="1076"/>
      <c r="GQ48" s="1066"/>
      <c r="GR48" s="893" t="s">
        <v>1336</v>
      </c>
      <c r="GS48" s="1081"/>
      <c r="GT48" s="894"/>
      <c r="GU48" s="847"/>
      <c r="GV48" s="1052"/>
      <c r="GW48" s="1052"/>
      <c r="GX48" s="1052"/>
      <c r="GY48" s="1052"/>
      <c r="HK48" s="130"/>
      <c r="HL48" s="130"/>
      <c r="HM48" s="130"/>
      <c r="HN48" s="130"/>
      <c r="HO48" s="130"/>
      <c r="HP48" s="130"/>
      <c r="HQ48" s="130"/>
      <c r="JX48" s="76" t="s">
        <v>793</v>
      </c>
      <c r="JY48" s="852" t="s">
        <v>416</v>
      </c>
      <c r="JZ48" s="923"/>
      <c r="KA48" s="233"/>
      <c r="KB48" s="78"/>
      <c r="KC48" s="78"/>
      <c r="KD48" s="78"/>
      <c r="KE48" s="78"/>
      <c r="KF48" s="78"/>
      <c r="KG48" s="78"/>
      <c r="KH48" s="142"/>
      <c r="KI48" s="76" t="s">
        <v>441</v>
      </c>
      <c r="KJ48" s="854" t="s">
        <v>435</v>
      </c>
      <c r="KK48" s="855"/>
      <c r="KL48" s="920" t="s">
        <v>111</v>
      </c>
      <c r="KM48" s="921"/>
      <c r="KN48" s="916" t="s">
        <v>704</v>
      </c>
      <c r="KO48" s="917"/>
      <c r="KP48" s="906" t="s">
        <v>447</v>
      </c>
      <c r="KQ48" s="907"/>
      <c r="KR48" s="907"/>
      <c r="KS48" s="908"/>
      <c r="KT48" s="906" t="s">
        <v>436</v>
      </c>
      <c r="KU48" s="907"/>
      <c r="KV48" s="907"/>
      <c r="KW48" s="907"/>
      <c r="KX48" s="907"/>
      <c r="KY48" s="907"/>
      <c r="KZ48" s="908"/>
      <c r="MB48" s="903"/>
      <c r="MC48" s="904"/>
      <c r="MD48" s="905"/>
      <c r="ME48" s="851"/>
      <c r="MF48" s="777"/>
      <c r="MG48" s="778"/>
      <c r="MH48" s="778"/>
      <c r="MI48" s="778"/>
      <c r="MJ48" s="778"/>
      <c r="MK48" s="778"/>
      <c r="ML48" s="778"/>
      <c r="MM48" s="778"/>
      <c r="MN48" s="778"/>
      <c r="MO48" s="778"/>
      <c r="MP48" s="799"/>
      <c r="MQ48" s="1056"/>
      <c r="MR48" s="1057"/>
      <c r="MS48" s="1185"/>
      <c r="MT48" s="1186"/>
      <c r="MU48" s="842"/>
      <c r="MV48" s="1173"/>
      <c r="MW48" s="1175"/>
      <c r="MX48" s="848"/>
      <c r="NK48" s="377"/>
      <c r="NL48" s="373"/>
      <c r="NM48" s="373"/>
      <c r="NN48" s="373"/>
      <c r="NO48" s="373"/>
      <c r="NP48" s="373"/>
      <c r="NQ48" s="373"/>
      <c r="NR48" s="373"/>
      <c r="NS48" s="373"/>
      <c r="NT48" s="373"/>
      <c r="NU48" s="373"/>
      <c r="NV48" s="373"/>
      <c r="NW48" s="373"/>
      <c r="NX48" s="373"/>
      <c r="NY48" s="373"/>
      <c r="NZ48" s="373"/>
      <c r="OA48" s="373"/>
      <c r="OB48" s="373"/>
      <c r="OC48" s="373"/>
      <c r="OD48" s="373"/>
      <c r="OE48" s="373"/>
      <c r="OF48" s="374"/>
      <c r="PL48" s="849"/>
      <c r="PM48" s="852" t="s">
        <v>416</v>
      </c>
      <c r="PN48" s="853"/>
      <c r="PO48" s="466"/>
      <c r="PP48" s="497" t="s">
        <v>1598</v>
      </c>
      <c r="PQ48" s="761">
        <f>$AW$95</f>
        <v>0.19391178434038603</v>
      </c>
      <c r="PR48" s="761"/>
      <c r="PS48" s="473" t="s">
        <v>1034</v>
      </c>
      <c r="PT48" s="937">
        <f>$AX$25</f>
        <v>0.313</v>
      </c>
      <c r="PU48" s="937"/>
      <c r="PV48" s="466"/>
      <c r="PW48" s="76" t="s">
        <v>441</v>
      </c>
      <c r="PX48" s="854" t="s">
        <v>435</v>
      </c>
      <c r="PY48" s="855"/>
      <c r="PZ48" s="920" t="s">
        <v>111</v>
      </c>
      <c r="QA48" s="921"/>
      <c r="QB48" s="916" t="s">
        <v>704</v>
      </c>
      <c r="QC48" s="917"/>
      <c r="QD48" s="1051" t="s">
        <v>447</v>
      </c>
      <c r="QE48" s="1051"/>
      <c r="QF48" s="1051"/>
      <c r="QG48" s="1051"/>
      <c r="QH48" s="1051"/>
      <c r="QI48" s="1051" t="s">
        <v>436</v>
      </c>
      <c r="QJ48" s="1051"/>
      <c r="QK48" s="1051"/>
      <c r="QL48" s="1051"/>
      <c r="QM48" s="1051"/>
      <c r="QN48" s="1051"/>
      <c r="QO48" s="1051"/>
      <c r="QP48" s="1051"/>
      <c r="QQ48" s="1051"/>
      <c r="QR48" s="1051"/>
      <c r="QS48" s="1051"/>
      <c r="RE48" s="653"/>
      <c r="RF48" s="653"/>
      <c r="RG48" s="653"/>
      <c r="RH48" s="653"/>
      <c r="RI48" s="653"/>
      <c r="RJ48" s="653"/>
      <c r="RK48" s="653"/>
      <c r="RL48" s="653"/>
      <c r="RM48" s="653"/>
      <c r="RN48" s="653"/>
      <c r="RO48" s="653"/>
      <c r="RP48" s="653"/>
      <c r="RQ48" s="653"/>
      <c r="RR48" s="653"/>
      <c r="RS48" s="653"/>
      <c r="RT48" s="653"/>
      <c r="RU48" s="653"/>
      <c r="RV48" s="653"/>
      <c r="RW48" s="653"/>
      <c r="RX48" s="653"/>
      <c r="RY48" s="653"/>
      <c r="SJ48" s="653"/>
      <c r="SK48" s="653"/>
      <c r="SL48" s="653"/>
      <c r="SM48" s="653"/>
      <c r="SN48" s="653"/>
      <c r="SO48" s="653"/>
      <c r="SP48" s="653"/>
      <c r="SQ48" s="653"/>
      <c r="SR48" s="653"/>
      <c r="SS48" s="653"/>
      <c r="ST48" s="653"/>
      <c r="SU48" s="653"/>
      <c r="SV48" s="653"/>
      <c r="SW48" s="653"/>
      <c r="SX48" s="653"/>
      <c r="SY48" s="653"/>
      <c r="SZ48" s="653"/>
      <c r="TA48" s="653"/>
      <c r="TB48" s="653"/>
      <c r="TC48" s="653"/>
      <c r="TD48" s="653"/>
      <c r="TE48" s="653"/>
      <c r="TF48" s="653"/>
      <c r="TG48" s="653"/>
      <c r="TH48" s="653"/>
      <c r="TI48" s="653"/>
      <c r="TJ48" s="653"/>
      <c r="TK48" s="653"/>
      <c r="TL48" s="653"/>
      <c r="TM48" s="653"/>
      <c r="TN48" s="653"/>
      <c r="TO48" s="653"/>
      <c r="TP48" s="653"/>
      <c r="TQ48" s="653"/>
      <c r="TR48" s="653"/>
      <c r="TS48" s="653"/>
      <c r="TT48" s="653"/>
      <c r="TU48" s="653"/>
      <c r="TV48" s="653"/>
      <c r="TW48" s="653"/>
      <c r="TX48" s="653"/>
      <c r="TY48" s="653"/>
      <c r="TZ48" s="653"/>
      <c r="UA48" s="653"/>
      <c r="UB48" s="653"/>
      <c r="UC48" s="653"/>
      <c r="UD48" s="653"/>
      <c r="UE48" s="653"/>
      <c r="UF48" s="653"/>
      <c r="UG48" s="653"/>
      <c r="UH48" s="653"/>
      <c r="UI48" s="653"/>
      <c r="UJ48" s="653"/>
      <c r="UK48" s="653"/>
      <c r="UL48" s="653"/>
      <c r="UM48" s="653"/>
      <c r="UN48" s="653"/>
      <c r="UO48" s="653"/>
      <c r="UP48" s="653"/>
      <c r="UQ48" s="653"/>
      <c r="UR48" s="653"/>
      <c r="US48" s="653"/>
      <c r="UT48" s="653"/>
      <c r="UU48" s="653"/>
      <c r="UV48" s="653"/>
      <c r="UW48" s="653"/>
      <c r="UX48" s="653"/>
      <c r="UY48" s="653"/>
      <c r="UZ48" s="653"/>
      <c r="VL48" s="207"/>
      <c r="VM48" s="207"/>
      <c r="VN48" s="207"/>
      <c r="VO48" s="207"/>
      <c r="WE48" s="162"/>
      <c r="WF48" s="158"/>
      <c r="WG48" s="158"/>
      <c r="WH48" s="158"/>
      <c r="WI48" s="158"/>
      <c r="WJ48" s="163"/>
      <c r="WK48" s="668"/>
      <c r="WL48" s="668"/>
      <c r="WM48" s="668"/>
      <c r="WN48" s="668"/>
      <c r="WO48" s="668"/>
      <c r="WP48" s="668"/>
      <c r="WQ48" s="668"/>
      <c r="WR48" s="668"/>
      <c r="WS48" s="170"/>
      <c r="WT48" s="170"/>
      <c r="WU48" s="170"/>
      <c r="WV48" s="170"/>
      <c r="WW48" s="172"/>
      <c r="WX48" s="978"/>
      <c r="WY48" s="979"/>
      <c r="WZ48" s="756"/>
      <c r="XA48" s="756"/>
      <c r="XB48" s="169"/>
      <c r="XC48" s="170"/>
      <c r="XD48" s="170"/>
      <c r="XE48" s="170"/>
      <c r="XF48" s="172"/>
      <c r="XG48" s="967"/>
      <c r="XH48" s="967"/>
      <c r="XI48" s="967"/>
      <c r="XJ48" s="967"/>
      <c r="XK48" s="967"/>
      <c r="XL48" s="967"/>
      <c r="XM48" s="967"/>
      <c r="XN48" s="967"/>
      <c r="XO48" s="967"/>
      <c r="XP48" s="967"/>
      <c r="XQ48" s="967"/>
      <c r="XR48" s="967"/>
      <c r="XS48" s="967"/>
      <c r="XT48" s="967"/>
      <c r="XU48" s="967"/>
      <c r="XV48" s="967"/>
      <c r="XW48" s="967"/>
      <c r="XX48" s="967"/>
      <c r="XY48" s="967"/>
      <c r="XZ48" s="967"/>
      <c r="YA48" s="967"/>
      <c r="YB48" s="967"/>
      <c r="YC48" s="967"/>
      <c r="YD48" s="967"/>
      <c r="YE48" s="967"/>
      <c r="YF48" s="967"/>
      <c r="YG48" s="967"/>
      <c r="YH48" s="967"/>
      <c r="YI48" s="967"/>
      <c r="YJ48" s="967"/>
      <c r="YK48" s="967"/>
      <c r="YL48" s="967"/>
      <c r="YM48" s="967"/>
      <c r="YN48" s="967"/>
      <c r="YO48" s="967"/>
      <c r="YP48" s="967"/>
      <c r="YQ48" s="967"/>
      <c r="YR48" s="967"/>
      <c r="YS48" s="967"/>
      <c r="YT48" s="967"/>
      <c r="YU48" s="967"/>
      <c r="YV48" s="967"/>
      <c r="YW48" s="967"/>
      <c r="YX48" s="967"/>
      <c r="YY48" s="967"/>
      <c r="YZ48" s="967"/>
      <c r="ZA48" s="967"/>
      <c r="ZB48" s="967"/>
      <c r="ZC48" s="967"/>
      <c r="ZD48" s="967"/>
      <c r="ZE48" s="967"/>
      <c r="ZF48" s="967"/>
      <c r="ZG48" s="967"/>
      <c r="ZH48" s="967"/>
      <c r="ZI48" s="967"/>
      <c r="ZJ48" s="967"/>
      <c r="ZK48" s="967"/>
      <c r="ZL48" s="967"/>
      <c r="ZM48" s="967"/>
      <c r="ZN48" s="967"/>
      <c r="ZO48" s="967"/>
      <c r="ZP48" s="967"/>
      <c r="ZQ48" s="967"/>
      <c r="ZR48" s="967"/>
      <c r="ZS48" s="967"/>
      <c r="ZT48" s="967"/>
      <c r="ZU48" s="967"/>
      <c r="ZV48" s="967"/>
      <c r="ZW48" s="967"/>
      <c r="ZX48" s="967"/>
      <c r="ZY48" s="967"/>
      <c r="ZZ48" s="967"/>
      <c r="AAA48" s="967"/>
      <c r="AAB48" s="967"/>
      <c r="AAC48" s="967"/>
      <c r="AAD48" s="967"/>
      <c r="AAE48" s="967"/>
      <c r="AAF48" s="967"/>
      <c r="AAG48" s="967"/>
      <c r="AAH48" s="967"/>
      <c r="AAI48" s="967"/>
      <c r="AAJ48" s="967"/>
      <c r="AAK48" s="967"/>
      <c r="AAL48" s="967"/>
      <c r="AAM48" s="967"/>
      <c r="AAN48" s="967"/>
      <c r="AAO48" s="967"/>
      <c r="AAP48" s="967"/>
      <c r="AAQ48" s="967"/>
      <c r="AAR48" s="967"/>
      <c r="AAS48" s="967"/>
      <c r="AAT48" s="965"/>
      <c r="AAU48" s="756"/>
      <c r="AAV48" s="756"/>
      <c r="AAW48" s="169"/>
      <c r="AAX48" s="170"/>
      <c r="AAY48" s="170"/>
      <c r="AAZ48" s="170"/>
      <c r="ABA48" s="170"/>
      <c r="ABB48" s="170"/>
      <c r="ABC48" s="172"/>
      <c r="ABD48" s="163"/>
      <c r="ACJ48" s="759">
        <v>0.66666666699999999</v>
      </c>
      <c r="ACK48" s="760"/>
      <c r="ACL48" s="759">
        <v>-0.66666666699999999</v>
      </c>
      <c r="ACM48" s="760"/>
      <c r="ACN48" s="591">
        <v>36</v>
      </c>
      <c r="ACO48" s="759">
        <f t="shared" si="0"/>
        <v>0.24000000011999989</v>
      </c>
      <c r="ACP48" s="760"/>
      <c r="ACQ48" s="757">
        <f t="shared" si="48"/>
        <v>1.3599999999999999</v>
      </c>
      <c r="ACR48" s="758"/>
      <c r="ACT48" s="759">
        <v>1</v>
      </c>
      <c r="ACU48" s="760"/>
      <c r="ACV48" s="759">
        <v>-1.2</v>
      </c>
      <c r="ACW48" s="760"/>
      <c r="ACX48" s="592">
        <v>86</v>
      </c>
      <c r="ACY48" s="759">
        <f t="shared" si="8"/>
        <v>0.65999999999999992</v>
      </c>
      <c r="ACZ48" s="760"/>
      <c r="ADA48" s="757">
        <f t="shared" si="49"/>
        <v>1.8599999999999999</v>
      </c>
      <c r="ADB48" s="758"/>
      <c r="ADD48" s="1112">
        <v>1.1052631578947401</v>
      </c>
      <c r="ADE48" s="1112"/>
      <c r="ADF48" s="1112">
        <v>-1.42105263157895</v>
      </c>
      <c r="ADG48" s="1112"/>
      <c r="ADH48" s="591">
        <v>135</v>
      </c>
      <c r="ADI48" s="759">
        <f t="shared" si="56"/>
        <v>1.1763157894736893</v>
      </c>
      <c r="ADJ48" s="760"/>
      <c r="ADK48" s="757">
        <f t="shared" si="50"/>
        <v>2.35</v>
      </c>
      <c r="ADL48" s="758"/>
      <c r="ADN48" s="759">
        <v>1.1052631580000001</v>
      </c>
      <c r="ADO48" s="760"/>
      <c r="ADP48" s="759">
        <v>-1.42105263157895</v>
      </c>
      <c r="ADQ48" s="760"/>
      <c r="ADR48" s="591">
        <v>185</v>
      </c>
      <c r="ADS48" s="759">
        <f t="shared" si="9"/>
        <v>1.7289473687210504</v>
      </c>
      <c r="ADT48" s="760"/>
      <c r="ADU48" s="757">
        <f t="shared" si="51"/>
        <v>2.85</v>
      </c>
      <c r="ADV48" s="758"/>
      <c r="ADX48" s="759">
        <v>1.1052631580000001</v>
      </c>
      <c r="ADY48" s="760"/>
      <c r="ADZ48" s="759">
        <v>-1.42105263157895</v>
      </c>
      <c r="AEA48" s="760"/>
      <c r="AEB48" s="591">
        <v>235</v>
      </c>
      <c r="AEC48" s="759">
        <f t="shared" si="10"/>
        <v>2.2815789477210502</v>
      </c>
      <c r="AED48" s="760"/>
      <c r="AEE48" s="757">
        <f t="shared" si="52"/>
        <v>3.35</v>
      </c>
      <c r="AEF48" s="758"/>
      <c r="AEH48" s="759">
        <v>1.1052631580000001</v>
      </c>
      <c r="AEI48" s="760"/>
      <c r="AEJ48" s="759">
        <v>-1.42105263157895</v>
      </c>
      <c r="AEK48" s="760"/>
      <c r="AEL48" s="591">
        <v>285</v>
      </c>
      <c r="AEM48" s="759">
        <f t="shared" si="37"/>
        <v>2.83421052672105</v>
      </c>
      <c r="AEN48" s="760"/>
      <c r="AEO48" s="757">
        <f t="shared" si="53"/>
        <v>3.85</v>
      </c>
      <c r="AEP48" s="758"/>
      <c r="AEQ48" s="653"/>
      <c r="AER48" s="653"/>
      <c r="AES48" s="653"/>
      <c r="AET48" s="653"/>
      <c r="AFG48" s="653"/>
      <c r="AFH48" s="653"/>
      <c r="AFI48" s="653"/>
      <c r="AFJ48" s="653"/>
      <c r="AFK48" s="653"/>
      <c r="AFL48" s="653"/>
      <c r="AFM48" s="653"/>
      <c r="AFN48" s="653"/>
      <c r="AFO48" s="653"/>
      <c r="AFP48" s="653"/>
      <c r="AFQ48" s="653"/>
      <c r="AFR48" s="653"/>
      <c r="AFS48" s="653"/>
      <c r="AFT48" s="653"/>
      <c r="AFU48" s="653"/>
      <c r="AFV48" s="653"/>
      <c r="AFW48" s="653"/>
      <c r="AFX48" s="653"/>
      <c r="AFY48" s="653"/>
      <c r="AFZ48" s="653"/>
      <c r="AGA48" s="653"/>
      <c r="AGB48" s="653"/>
      <c r="AGC48" s="653"/>
      <c r="AGD48" s="653"/>
      <c r="AGE48" s="653"/>
      <c r="AGF48" s="653"/>
      <c r="AGG48" s="653"/>
      <c r="AGH48" s="653"/>
      <c r="AGI48" s="653"/>
      <c r="AGJ48" s="653"/>
      <c r="AGN48" s="199"/>
      <c r="AGO48" s="852" t="s">
        <v>1734</v>
      </c>
      <c r="AGP48" s="923"/>
      <c r="AGQ48" s="199"/>
      <c r="AGR48" s="1069" t="s">
        <v>126</v>
      </c>
      <c r="AGS48" s="1070"/>
      <c r="AGT48" s="1070"/>
      <c r="AGU48" s="1070"/>
      <c r="AGV48" s="1070"/>
      <c r="AGW48" s="1070"/>
      <c r="AGX48" s="1070"/>
      <c r="AGY48" s="1070"/>
      <c r="AGZ48" s="1070"/>
      <c r="AHA48" s="1070"/>
      <c r="AHB48" s="1071"/>
      <c r="AHC48" s="199"/>
      <c r="AHO48" s="800" t="s">
        <v>1442</v>
      </c>
      <c r="AHP48" s="982"/>
      <c r="AHQ48" s="801"/>
      <c r="AHR48" s="951">
        <f>$AHB$33</f>
        <v>1.8595658001541595</v>
      </c>
      <c r="AHS48" s="952"/>
      <c r="AIG48" s="130"/>
      <c r="AII48" s="130"/>
      <c r="AIJ48" s="130"/>
      <c r="AIK48" s="130"/>
      <c r="AIL48" s="130"/>
      <c r="AIM48" s="130"/>
      <c r="AIN48" s="130"/>
      <c r="AIO48" s="130"/>
      <c r="AIP48" s="130"/>
      <c r="AIQ48" s="130"/>
      <c r="AIR48" s="130"/>
      <c r="AIS48" s="130"/>
      <c r="AIT48" s="130"/>
      <c r="AIU48" s="130"/>
      <c r="AIV48" s="130"/>
    </row>
    <row r="49" spans="4:1011 1128:1224" ht="48" customHeight="1" thickBot="1">
      <c r="D49" s="162"/>
      <c r="E49" s="162"/>
      <c r="F49" s="158"/>
      <c r="G49" s="158"/>
      <c r="H49" s="158"/>
      <c r="I49" s="158"/>
      <c r="J49" s="158"/>
      <c r="K49" s="158"/>
      <c r="L49" s="163"/>
      <c r="M49" s="158"/>
      <c r="N49" s="865" t="s">
        <v>911</v>
      </c>
      <c r="O49" s="867" t="s">
        <v>1837</v>
      </c>
      <c r="P49" s="868"/>
      <c r="Q49" s="868"/>
      <c r="R49" s="868"/>
      <c r="S49" s="869"/>
      <c r="T49" s="158"/>
      <c r="U49" s="158"/>
      <c r="V49" s="158"/>
      <c r="W49" s="158"/>
      <c r="X49" s="158"/>
      <c r="Y49" s="163"/>
      <c r="AI49" s="850"/>
      <c r="AJ49" s="725" t="s">
        <v>1034</v>
      </c>
      <c r="AK49" s="937">
        <f>$AX$25</f>
        <v>0.313</v>
      </c>
      <c r="AL49" s="937"/>
      <c r="AM49" s="768" t="s">
        <v>10</v>
      </c>
      <c r="AN49" s="762"/>
      <c r="AO49" s="763"/>
      <c r="AP49" s="1672">
        <f>AK50*AK49</f>
        <v>0.21284000000000003</v>
      </c>
      <c r="AQ49" s="1673"/>
      <c r="AR49" s="1261" t="s">
        <v>706</v>
      </c>
      <c r="AS49" s="1262"/>
      <c r="AT49" s="847"/>
      <c r="AU49" s="893" t="s">
        <v>444</v>
      </c>
      <c r="AV49" s="894"/>
      <c r="AW49" s="847"/>
      <c r="AX49" s="826"/>
      <c r="AY49" s="945"/>
      <c r="AZ49" s="945"/>
      <c r="BA49" s="946"/>
      <c r="BR49" s="130"/>
      <c r="BS49" s="130"/>
      <c r="BX49" s="850"/>
      <c r="BY49" s="800" t="s">
        <v>1078</v>
      </c>
      <c r="BZ49" s="801"/>
      <c r="CA49" s="883">
        <f>$CN$54</f>
        <v>58.696468820435761</v>
      </c>
      <c r="CB49" s="884"/>
      <c r="CC49" s="768" t="s">
        <v>1662</v>
      </c>
      <c r="CD49" s="762"/>
      <c r="CE49" s="762"/>
      <c r="CF49" s="762"/>
      <c r="CG49" s="762"/>
      <c r="CH49" s="762"/>
      <c r="CI49" s="762"/>
      <c r="CJ49" s="762"/>
      <c r="CK49" s="762"/>
      <c r="CL49" s="1167">
        <f>(3.14*AP49*AX78)/(CA49*CA51)</f>
        <v>8.5394949657600012</v>
      </c>
      <c r="CM49" s="840"/>
      <c r="CN49" s="1634" t="s">
        <v>726</v>
      </c>
      <c r="CO49" s="1635"/>
      <c r="CP49" s="841"/>
      <c r="CQ49" s="1170" t="s">
        <v>1671</v>
      </c>
      <c r="CR49" s="1171"/>
      <c r="CS49" s="1171"/>
      <c r="CT49" s="1172"/>
      <c r="CU49" s="847"/>
      <c r="CV49" s="1052"/>
      <c r="CW49" s="1052"/>
      <c r="CX49" s="1052"/>
      <c r="CY49" s="1052"/>
      <c r="DJ49" s="130"/>
      <c r="DK49" s="130"/>
      <c r="DL49" s="130"/>
      <c r="DM49" s="130"/>
      <c r="DN49" s="130"/>
      <c r="DO49" s="130"/>
      <c r="DP49" s="130"/>
      <c r="DQ49" s="130"/>
      <c r="DR49" s="130"/>
      <c r="DS49" s="130"/>
      <c r="DT49" s="130"/>
      <c r="DU49" s="130"/>
      <c r="DV49" s="130"/>
      <c r="DW49" s="130"/>
      <c r="DX49" s="130"/>
      <c r="DZ49" s="1052"/>
      <c r="EA49" s="243" t="s">
        <v>1034</v>
      </c>
      <c r="EB49" s="937">
        <f>$AX$25</f>
        <v>0.313</v>
      </c>
      <c r="EC49" s="937"/>
      <c r="ED49" s="791" t="s">
        <v>1866</v>
      </c>
      <c r="EE49" s="792"/>
      <c r="EF49" s="792"/>
      <c r="EG49" s="792"/>
      <c r="EH49" s="792"/>
      <c r="EI49" s="792"/>
      <c r="EJ49" s="792"/>
      <c r="EK49" s="885">
        <f>(((EB49-EB50)/2))*(10^3)-EB51</f>
        <v>25.438111676802539</v>
      </c>
      <c r="EL49" s="886"/>
      <c r="EM49" s="1075" t="s">
        <v>45</v>
      </c>
      <c r="EN49" s="1076"/>
      <c r="EO49" s="1066"/>
      <c r="EP49" s="893" t="s">
        <v>1091</v>
      </c>
      <c r="EQ49" s="1081"/>
      <c r="ER49" s="894"/>
      <c r="ES49" s="847"/>
      <c r="ET49" s="1052"/>
      <c r="EU49" s="1052"/>
      <c r="EV49" s="1052"/>
      <c r="EW49" s="1052"/>
      <c r="EX49" s="1052"/>
      <c r="EY49" s="1052"/>
      <c r="EZ49" s="1052"/>
      <c r="FA49" s="1052"/>
      <c r="FV49" s="653"/>
      <c r="FW49" s="653"/>
      <c r="FX49" s="653"/>
      <c r="FY49" s="653"/>
      <c r="FZ49" s="653"/>
      <c r="GA49" s="653"/>
      <c r="GB49" s="653"/>
      <c r="GC49" s="653"/>
      <c r="GF49" s="1052"/>
      <c r="GG49" s="426" t="s">
        <v>1077</v>
      </c>
      <c r="GH49" s="766">
        <f>$GP$53</f>
        <v>2500000</v>
      </c>
      <c r="GI49" s="889"/>
      <c r="GJ49" s="823"/>
      <c r="GK49" s="824"/>
      <c r="GL49" s="939"/>
      <c r="GM49" s="772"/>
      <c r="GN49" s="773"/>
      <c r="GO49" s="1077"/>
      <c r="GP49" s="1078"/>
      <c r="GQ49" s="1067"/>
      <c r="GR49" s="918"/>
      <c r="GS49" s="1082"/>
      <c r="GT49" s="919"/>
      <c r="GU49" s="848"/>
      <c r="GV49" s="1052"/>
      <c r="GW49" s="1052"/>
      <c r="GX49" s="1052"/>
      <c r="GY49" s="1052"/>
      <c r="HK49" s="1779" t="s">
        <v>911</v>
      </c>
      <c r="HL49" s="791" t="s">
        <v>1641</v>
      </c>
      <c r="HM49" s="792"/>
      <c r="HN49" s="792"/>
      <c r="HO49" s="792"/>
      <c r="HP49" s="792"/>
      <c r="HQ49" s="792"/>
      <c r="HR49" s="792"/>
      <c r="HS49" s="792"/>
      <c r="HT49" s="938"/>
      <c r="JX49" s="849"/>
      <c r="JY49" s="800" t="s">
        <v>1446</v>
      </c>
      <c r="JZ49" s="982"/>
      <c r="KA49" s="926">
        <f>$GV$89</f>
        <v>30.233859458483881</v>
      </c>
      <c r="KB49" s="926"/>
      <c r="KC49" s="792" t="s">
        <v>1844</v>
      </c>
      <c r="KD49" s="792"/>
      <c r="KE49" s="792"/>
      <c r="KF49" s="792"/>
      <c r="KG49" s="792"/>
      <c r="KH49" s="792"/>
      <c r="KI49" s="792"/>
      <c r="KJ49" s="792"/>
      <c r="KK49" s="793"/>
      <c r="KL49" s="835">
        <f>KA49-0.1*KA50</f>
        <v>29.749119163787693</v>
      </c>
      <c r="KM49" s="836"/>
      <c r="KN49" s="1075" t="s">
        <v>45</v>
      </c>
      <c r="KO49" s="1076"/>
      <c r="KP49" s="841"/>
      <c r="KQ49" s="1170" t="s">
        <v>1559</v>
      </c>
      <c r="KR49" s="1172"/>
      <c r="KS49" s="847"/>
      <c r="KT49" s="827"/>
      <c r="KU49" s="947"/>
      <c r="KV49" s="947"/>
      <c r="KW49" s="947"/>
      <c r="KX49" s="947"/>
      <c r="KY49" s="947"/>
      <c r="KZ49" s="948"/>
      <c r="NK49" s="377"/>
      <c r="NL49" s="373"/>
      <c r="NM49" s="373"/>
      <c r="NN49" s="373"/>
      <c r="NO49" s="373"/>
      <c r="NP49" s="373"/>
      <c r="NQ49" s="373"/>
      <c r="NR49" s="373"/>
      <c r="NS49" s="373"/>
      <c r="NT49" s="373"/>
      <c r="NU49" s="373"/>
      <c r="NV49" s="373"/>
      <c r="NW49" s="373"/>
      <c r="NX49" s="373"/>
      <c r="NY49" s="373"/>
      <c r="NZ49" s="373"/>
      <c r="OA49" s="373"/>
      <c r="OB49" s="373"/>
      <c r="OC49" s="373"/>
      <c r="OD49" s="373"/>
      <c r="OE49" s="373"/>
      <c r="OF49" s="374"/>
      <c r="PL49" s="850"/>
      <c r="PM49" s="473" t="s">
        <v>1030</v>
      </c>
      <c r="PN49" s="890">
        <f>$KL$20</f>
        <v>24.641888323197445</v>
      </c>
      <c r="PO49" s="890"/>
      <c r="PP49" s="527" t="s">
        <v>1014</v>
      </c>
      <c r="PQ49" s="761">
        <f>$EJ$37</f>
        <v>0.97</v>
      </c>
      <c r="PR49" s="761"/>
      <c r="PS49" s="797" t="s">
        <v>153</v>
      </c>
      <c r="PT49" s="797"/>
      <c r="PU49" s="797"/>
      <c r="PV49" s="797"/>
      <c r="PW49" s="797"/>
      <c r="PX49" s="797"/>
      <c r="PY49" s="798"/>
      <c r="PZ49" s="1152">
        <f>3.14*((PT48-PN49/1000)*PN49/1000*PQ48*PQ49*PN50)</f>
        <v>32.734547777960586</v>
      </c>
      <c r="QA49" s="1153"/>
      <c r="QB49" s="1188" t="s">
        <v>1556</v>
      </c>
      <c r="QC49" s="1189"/>
      <c r="QD49" s="1289"/>
      <c r="QE49" s="1283" t="s">
        <v>1581</v>
      </c>
      <c r="QF49" s="1283"/>
      <c r="QG49" s="1283"/>
      <c r="QH49" s="1289"/>
      <c r="QI49" s="1052"/>
      <c r="QJ49" s="1052"/>
      <c r="QK49" s="1052"/>
      <c r="QL49" s="1052"/>
      <c r="QM49" s="1052"/>
      <c r="QN49" s="1052"/>
      <c r="QO49" s="1052"/>
      <c r="QP49" s="1052"/>
      <c r="QQ49" s="1052"/>
      <c r="QR49" s="1052"/>
      <c r="QS49" s="1052"/>
      <c r="RE49" s="653"/>
      <c r="RF49" s="653"/>
      <c r="RG49" s="653"/>
      <c r="RH49" s="653"/>
      <c r="RI49" s="653"/>
      <c r="RJ49" s="653"/>
      <c r="RK49" s="653"/>
      <c r="RL49" s="653"/>
      <c r="RM49" s="653"/>
      <c r="RN49" s="653"/>
      <c r="RO49" s="653"/>
      <c r="RP49" s="653"/>
      <c r="RQ49" s="653"/>
      <c r="RR49" s="653"/>
      <c r="RS49" s="653"/>
      <c r="RT49" s="653"/>
      <c r="RU49" s="653"/>
      <c r="RV49" s="653"/>
      <c r="RW49" s="653"/>
      <c r="RX49" s="653"/>
      <c r="RY49" s="653"/>
      <c r="SJ49" s="653"/>
      <c r="SK49" s="653"/>
      <c r="SL49" s="653"/>
      <c r="SM49" s="653"/>
      <c r="SN49" s="653"/>
      <c r="SO49" s="653"/>
      <c r="SP49" s="653"/>
      <c r="SQ49" s="653"/>
      <c r="SR49" s="653"/>
      <c r="SS49" s="653"/>
      <c r="ST49" s="653"/>
      <c r="SU49" s="653"/>
      <c r="SV49" s="653"/>
      <c r="SW49" s="653"/>
      <c r="SX49" s="653"/>
      <c r="SY49" s="653"/>
      <c r="SZ49" s="653"/>
      <c r="TA49" s="653"/>
      <c r="TB49" s="653"/>
      <c r="TC49" s="653"/>
      <c r="TD49" s="653"/>
      <c r="TE49" s="653"/>
      <c r="TF49" s="653"/>
      <c r="TG49" s="653"/>
      <c r="TH49" s="653"/>
      <c r="TI49" s="653"/>
      <c r="TJ49" s="653"/>
      <c r="TK49" s="653"/>
      <c r="TL49" s="653"/>
      <c r="TM49" s="653"/>
      <c r="TN49" s="653"/>
      <c r="TO49" s="653"/>
      <c r="TP49" s="653"/>
      <c r="TQ49" s="653"/>
      <c r="TR49" s="653"/>
      <c r="TS49" s="653"/>
      <c r="TT49" s="653"/>
      <c r="TU49" s="653"/>
      <c r="TV49" s="653"/>
      <c r="TW49" s="653"/>
      <c r="TX49" s="653"/>
      <c r="TY49" s="653"/>
      <c r="TZ49" s="653"/>
      <c r="UA49" s="653"/>
      <c r="UB49" s="653"/>
      <c r="UC49" s="653"/>
      <c r="UD49" s="653"/>
      <c r="UE49" s="653"/>
      <c r="UF49" s="653"/>
      <c r="UG49" s="653"/>
      <c r="UH49" s="653"/>
      <c r="UI49" s="653"/>
      <c r="UJ49" s="653"/>
      <c r="UK49" s="653"/>
      <c r="UL49" s="653"/>
      <c r="UM49" s="653"/>
      <c r="UN49" s="653"/>
      <c r="UO49" s="653"/>
      <c r="UP49" s="653"/>
      <c r="UQ49" s="653"/>
      <c r="UR49" s="653"/>
      <c r="US49" s="653"/>
      <c r="UT49" s="653"/>
      <c r="UU49" s="653"/>
      <c r="UV49" s="653"/>
      <c r="UW49" s="653"/>
      <c r="UX49" s="653"/>
      <c r="UY49" s="653"/>
      <c r="UZ49" s="653"/>
      <c r="VD49" s="130"/>
      <c r="VE49" s="130"/>
      <c r="VF49" s="130"/>
      <c r="VG49" s="130"/>
      <c r="VH49" s="130"/>
      <c r="VI49" s="130"/>
      <c r="VJ49" s="130"/>
      <c r="VL49" s="207"/>
      <c r="VM49" s="207"/>
      <c r="VN49" s="207"/>
      <c r="VO49" s="207"/>
      <c r="WE49" s="162"/>
      <c r="WF49" s="158"/>
      <c r="WG49" s="158"/>
      <c r="WH49" s="158"/>
      <c r="WI49" s="158"/>
      <c r="WJ49" s="163"/>
      <c r="WK49" s="800" t="s">
        <v>1611</v>
      </c>
      <c r="WL49" s="982"/>
      <c r="WM49" s="801"/>
      <c r="WN49" s="937">
        <f>$PZ$200</f>
        <v>677.43724341877817</v>
      </c>
      <c r="WO49" s="937"/>
      <c r="WP49" s="800" t="s">
        <v>1620</v>
      </c>
      <c r="WQ49" s="982"/>
      <c r="WR49" s="801"/>
      <c r="WS49" s="937">
        <f>((XG41-WN49/1000)-0.28*WN49/1000)</f>
        <v>1.4468030734747983</v>
      </c>
      <c r="WT49" s="937"/>
      <c r="WU49" s="168"/>
      <c r="WV49" s="168"/>
      <c r="WW49" s="171"/>
      <c r="WX49" s="976">
        <v>15</v>
      </c>
      <c r="WY49" s="977"/>
      <c r="WZ49" s="756" t="s">
        <v>393</v>
      </c>
      <c r="XA49" s="756"/>
      <c r="XB49" s="167"/>
      <c r="XC49" s="168"/>
      <c r="XD49" s="168"/>
      <c r="XE49" s="168"/>
      <c r="XF49" s="171"/>
      <c r="XG49" s="966">
        <f>$WN$49/1000+$WS$49+XG43+XG45+XG47</f>
        <v>2.2932710445670472</v>
      </c>
      <c r="XH49" s="966">
        <f t="shared" ref="XH49:ZS49" si="57">$WN$49/1000+$WS$49+XH43+XH45+XH47</f>
        <v>2.312288141717755</v>
      </c>
      <c r="XI49" s="966">
        <f t="shared" si="57"/>
        <v>2.3419964661074362</v>
      </c>
      <c r="XJ49" s="966">
        <f t="shared" si="57"/>
        <v>2.3820733487123427</v>
      </c>
      <c r="XK49" s="966">
        <f t="shared" si="57"/>
        <v>2.4321984920106052</v>
      </c>
      <c r="XL49" s="966">
        <f t="shared" si="57"/>
        <v>2.4920720658205107</v>
      </c>
      <c r="XM49" s="966">
        <f t="shared" si="57"/>
        <v>2.5614187313489118</v>
      </c>
      <c r="XN49" s="966">
        <f t="shared" si="57"/>
        <v>2.639984678718915</v>
      </c>
      <c r="XO49" s="966">
        <f t="shared" si="57"/>
        <v>2.7275325253011573</v>
      </c>
      <c r="XP49" s="966">
        <f t="shared" si="57"/>
        <v>2.8238363847638652</v>
      </c>
      <c r="XQ49" s="966">
        <f t="shared" si="57"/>
        <v>2.9286778842452792</v>
      </c>
      <c r="XR49" s="966">
        <f t="shared" si="57"/>
        <v>3.0418432139511982</v>
      </c>
      <c r="XS49" s="966">
        <f t="shared" si="57"/>
        <v>3.1631210529885276</v>
      </c>
      <c r="XT49" s="966">
        <f t="shared" si="57"/>
        <v>3.2923011700302864</v>
      </c>
      <c r="XU49" s="966">
        <f t="shared" si="57"/>
        <v>3.4291735206614935</v>
      </c>
      <c r="XV49" s="966">
        <f t="shared" si="57"/>
        <v>3.573527702258684</v>
      </c>
      <c r="XW49" s="966">
        <f t="shared" si="57"/>
        <v>3.7251526634355794</v>
      </c>
      <c r="XX49" s="966">
        <f t="shared" si="57"/>
        <v>3.8838365936872261</v>
      </c>
      <c r="XY49" s="966">
        <f t="shared" si="57"/>
        <v>4.0493669400142238</v>
      </c>
      <c r="XZ49" s="966">
        <f t="shared" si="57"/>
        <v>4.2215305124766793</v>
      </c>
      <c r="YA49" s="966">
        <f t="shared" si="57"/>
        <v>4.4001136513646681</v>
      </c>
      <c r="YB49" s="966">
        <f t="shared" si="57"/>
        <v>4.5849024362463178</v>
      </c>
      <c r="YC49" s="966">
        <f t="shared" si="57"/>
        <v>4.7756829225105095</v>
      </c>
      <c r="YD49" s="966">
        <f t="shared" si="57"/>
        <v>4.972241394830716</v>
      </c>
      <c r="YE49" s="966">
        <f t="shared" si="57"/>
        <v>5.1743646297092187</v>
      </c>
      <c r="YF49" s="966">
        <f t="shared" si="57"/>
        <v>5.3818401612408326</v>
      </c>
      <c r="YG49" s="966">
        <f t="shared" si="57"/>
        <v>5.594456545686147</v>
      </c>
      <c r="YH49" s="966">
        <f t="shared" si="57"/>
        <v>5.8120036215204038</v>
      </c>
      <c r="YI49" s="966">
        <f t="shared" si="57"/>
        <v>6.0342727624327042</v>
      </c>
      <c r="YJ49" s="966">
        <f t="shared" si="57"/>
        <v>6.2610571213656536</v>
      </c>
      <c r="YK49" s="966">
        <f t="shared" si="57"/>
        <v>6.4921518641603413</v>
      </c>
      <c r="YL49" s="966">
        <f t="shared" si="57"/>
        <v>6.72735439174261</v>
      </c>
      <c r="YM49" s="966">
        <f t="shared" si="57"/>
        <v>6.9664645500803477</v>
      </c>
      <c r="YN49" s="966">
        <f t="shared" si="57"/>
        <v>7.2092848273767443</v>
      </c>
      <c r="YO49" s="966">
        <f t="shared" si="57"/>
        <v>7.4556205381549638</v>
      </c>
      <c r="YP49" s="966">
        <f t="shared" si="57"/>
        <v>7.7052799940454415</v>
      </c>
      <c r="YQ49" s="966">
        <f t="shared" si="57"/>
        <v>7.9580746612152371</v>
      </c>
      <c r="YR49" s="966">
        <f t="shared" si="57"/>
        <v>8.213819304485348</v>
      </c>
      <c r="YS49" s="966">
        <f t="shared" si="57"/>
        <v>8.4723321182702733</v>
      </c>
      <c r="YT49" s="966">
        <f t="shared" si="57"/>
        <v>8.7334348445481265</v>
      </c>
      <c r="YU49" s="966">
        <f t="shared" si="57"/>
        <v>8.9969528781310508</v>
      </c>
      <c r="YV49" s="966">
        <f t="shared" si="57"/>
        <v>9.2627153595569656</v>
      </c>
      <c r="YW49" s="966">
        <f t="shared" si="57"/>
        <v>9.530555255965929</v>
      </c>
      <c r="YX49" s="966">
        <f t="shared" si="57"/>
        <v>9.8003094303590998</v>
      </c>
      <c r="YY49" s="966">
        <f t="shared" si="57"/>
        <v>10.07181869966611</v>
      </c>
      <c r="YZ49" s="966">
        <f t="shared" si="57"/>
        <v>10.344927882068797</v>
      </c>
      <c r="ZA49" s="966">
        <f t="shared" si="57"/>
        <v>10.619485834046086</v>
      </c>
      <c r="ZB49" s="966">
        <f t="shared" si="57"/>
        <v>10.895345477617111</v>
      </c>
      <c r="ZC49" s="966">
        <f t="shared" si="57"/>
        <v>11.172363818267716</v>
      </c>
      <c r="ZD49" s="966">
        <f t="shared" si="57"/>
        <v>11.450401954050413</v>
      </c>
      <c r="ZE49" s="966">
        <f t="shared" si="57"/>
        <v>11.729325076348907</v>
      </c>
      <c r="ZF49" s="966">
        <f t="shared" si="57"/>
        <v>12.009002462796936</v>
      </c>
      <c r="ZG49" s="966">
        <f t="shared" si="57"/>
        <v>12.289307462837447</v>
      </c>
      <c r="ZH49" s="966">
        <f t="shared" si="57"/>
        <v>12.570117476401618</v>
      </c>
      <c r="ZI49" s="966">
        <f t="shared" si="57"/>
        <v>12.85131392617939</v>
      </c>
      <c r="ZJ49" s="966">
        <f t="shared" si="57"/>
        <v>13.132782223943224</v>
      </c>
      <c r="ZK49" s="966">
        <f t="shared" si="57"/>
        <v>13.414411731375822</v>
      </c>
      <c r="ZL49" s="966">
        <f t="shared" si="57"/>
        <v>13.696095715839837</v>
      </c>
      <c r="ZM49" s="966">
        <f t="shared" si="57"/>
        <v>13.977731301514414</v>
      </c>
      <c r="ZN49" s="966">
        <f t="shared" si="57"/>
        <v>14.259219416308815</v>
      </c>
      <c r="ZO49" s="966">
        <f t="shared" si="57"/>
        <v>14.540464734948694</v>
      </c>
      <c r="ZP49" s="966">
        <f t="shared" si="57"/>
        <v>14.821375618614827</v>
      </c>
      <c r="ZQ49" s="966">
        <f t="shared" si="57"/>
        <v>15.101864051498305</v>
      </c>
      <c r="ZR49" s="966">
        <f t="shared" si="57"/>
        <v>15.38184557462008</v>
      </c>
      <c r="ZS49" s="966">
        <f t="shared" si="57"/>
        <v>15.661239217246276</v>
      </c>
      <c r="ZT49" s="966">
        <f t="shared" ref="ZT49:AAS49" si="58">$WN$49/1000+$WS$49+ZT43+ZT45+ZT47</f>
        <v>15.939967426214491</v>
      </c>
      <c r="ZU49" s="966">
        <f t="shared" si="58"/>
        <v>16.217955993469861</v>
      </c>
      <c r="ZV49" s="966">
        <f t="shared" si="58"/>
        <v>16.495133982093506</v>
      </c>
      <c r="ZW49" s="966">
        <f t="shared" si="58"/>
        <v>16.77143365109</v>
      </c>
      <c r="ZX49" s="966">
        <f t="shared" si="58"/>
        <v>17.046790379184642</v>
      </c>
      <c r="ZY49" s="966">
        <f t="shared" si="58"/>
        <v>17.321142587866095</v>
      </c>
      <c r="ZZ49" s="966">
        <f t="shared" si="58"/>
        <v>17.594431663894625</v>
      </c>
      <c r="AAA49" s="966">
        <f t="shared" si="58"/>
        <v>17.866601881481742</v>
      </c>
      <c r="AAB49" s="966">
        <f t="shared" si="58"/>
        <v>18.137600324332617</v>
      </c>
      <c r="AAC49" s="966">
        <f t="shared" si="58"/>
        <v>18.407376807729047</v>
      </c>
      <c r="AAD49" s="966">
        <f t="shared" si="58"/>
        <v>18.675883800817289</v>
      </c>
      <c r="AAE49" s="966">
        <f t="shared" si="58"/>
        <v>18.943076349252543</v>
      </c>
      <c r="AAF49" s="966">
        <f t="shared" si="58"/>
        <v>19.208911998339183</v>
      </c>
      <c r="AAG49" s="966">
        <f t="shared" si="58"/>
        <v>19.473350716794606</v>
      </c>
      <c r="AAH49" s="966">
        <f t="shared" si="58"/>
        <v>19.736354821252924</v>
      </c>
      <c r="AAI49" s="966">
        <f t="shared" si="58"/>
        <v>19.997888901614221</v>
      </c>
      <c r="AAJ49" s="966">
        <f t="shared" si="58"/>
        <v>20.257919747334853</v>
      </c>
      <c r="AAK49" s="966">
        <f t="shared" si="58"/>
        <v>20.516416274744799</v>
      </c>
      <c r="AAL49" s="966">
        <f t="shared" si="58"/>
        <v>20.773349455468605</v>
      </c>
      <c r="AAM49" s="966">
        <f t="shared" si="58"/>
        <v>21.028692246018089</v>
      </c>
      <c r="AAN49" s="966">
        <f t="shared" si="58"/>
        <v>21.282419518616958</v>
      </c>
      <c r="AAO49" s="966">
        <f t="shared" si="58"/>
        <v>21.534507993309191</v>
      </c>
      <c r="AAP49" s="966">
        <f t="shared" si="58"/>
        <v>21.784936171396996</v>
      </c>
      <c r="AAQ49" s="966">
        <f t="shared" si="58"/>
        <v>22.033684270245939</v>
      </c>
      <c r="AAR49" s="966">
        <f t="shared" si="58"/>
        <v>22.280734159490049</v>
      </c>
      <c r="AAS49" s="966">
        <f t="shared" si="58"/>
        <v>22.526069298662868</v>
      </c>
      <c r="AAT49" s="964">
        <v>15</v>
      </c>
      <c r="AAU49" s="756" t="s">
        <v>393</v>
      </c>
      <c r="AAV49" s="756"/>
      <c r="AAW49" s="175"/>
      <c r="AAX49" s="173"/>
      <c r="AAY49" s="173"/>
      <c r="AAZ49" s="173"/>
      <c r="ABA49" s="162"/>
      <c r="ABB49" s="158"/>
      <c r="ABC49" s="158"/>
      <c r="ABD49" s="163"/>
      <c r="ACJ49" s="759">
        <v>0.66666666699999999</v>
      </c>
      <c r="ACK49" s="760"/>
      <c r="ACL49" s="759">
        <v>-0.66666666699999999</v>
      </c>
      <c r="ACM49" s="760"/>
      <c r="ACN49" s="591">
        <v>37</v>
      </c>
      <c r="ACO49" s="759">
        <f t="shared" si="0"/>
        <v>0.24666666679000004</v>
      </c>
      <c r="ACP49" s="760"/>
      <c r="ACQ49" s="757">
        <f t="shared" si="48"/>
        <v>1.37</v>
      </c>
      <c r="ACR49" s="758"/>
      <c r="ACT49" s="759">
        <v>1</v>
      </c>
      <c r="ACU49" s="760"/>
      <c r="ACV49" s="759">
        <v>-1.2</v>
      </c>
      <c r="ACW49" s="760"/>
      <c r="ACX49" s="592">
        <v>87</v>
      </c>
      <c r="ACY49" s="759">
        <f t="shared" si="8"/>
        <v>0.67000000000000015</v>
      </c>
      <c r="ACZ49" s="760"/>
      <c r="ADA49" s="757">
        <f t="shared" si="49"/>
        <v>1.87</v>
      </c>
      <c r="ADB49" s="758"/>
      <c r="ADD49" s="1112">
        <v>1.1052631578947401</v>
      </c>
      <c r="ADE49" s="1112"/>
      <c r="ADF49" s="1112">
        <v>-1.42105263157895</v>
      </c>
      <c r="ADG49" s="1112"/>
      <c r="ADH49" s="591">
        <v>136</v>
      </c>
      <c r="ADI49" s="759">
        <f t="shared" si="56"/>
        <v>1.187368421052637</v>
      </c>
      <c r="ADJ49" s="760"/>
      <c r="ADK49" s="757">
        <f t="shared" si="50"/>
        <v>2.3600000000000003</v>
      </c>
      <c r="ADL49" s="758"/>
      <c r="ADN49" s="759">
        <v>1.1052631580000001</v>
      </c>
      <c r="ADO49" s="760"/>
      <c r="ADP49" s="759">
        <v>-1.42105263157895</v>
      </c>
      <c r="ADQ49" s="760"/>
      <c r="ADR49" s="591">
        <v>186</v>
      </c>
      <c r="ADS49" s="759">
        <f t="shared" si="9"/>
        <v>1.7400000003010505</v>
      </c>
      <c r="ADT49" s="760"/>
      <c r="ADU49" s="757">
        <f t="shared" si="51"/>
        <v>2.8600000000000003</v>
      </c>
      <c r="ADV49" s="758"/>
      <c r="ADX49" s="759">
        <v>1.1052631580000001</v>
      </c>
      <c r="ADY49" s="760"/>
      <c r="ADZ49" s="759">
        <v>-1.42105263157895</v>
      </c>
      <c r="AEA49" s="760"/>
      <c r="AEB49" s="591">
        <v>236</v>
      </c>
      <c r="AEC49" s="759">
        <f t="shared" si="10"/>
        <v>2.2926315793010503</v>
      </c>
      <c r="AED49" s="760"/>
      <c r="AEE49" s="757">
        <f t="shared" si="52"/>
        <v>3.36</v>
      </c>
      <c r="AEF49" s="758"/>
      <c r="AEH49" s="759">
        <v>1.1052631580000001</v>
      </c>
      <c r="AEI49" s="760"/>
      <c r="AEJ49" s="759">
        <v>-1.42105263157895</v>
      </c>
      <c r="AEK49" s="760"/>
      <c r="AEL49" s="591">
        <v>286</v>
      </c>
      <c r="AEM49" s="759">
        <f t="shared" si="37"/>
        <v>2.8452631583010501</v>
      </c>
      <c r="AEN49" s="760"/>
      <c r="AEO49" s="757">
        <f t="shared" si="53"/>
        <v>3.86</v>
      </c>
      <c r="AEP49" s="758"/>
      <c r="AEQ49" s="653"/>
      <c r="AER49" s="653"/>
      <c r="AES49" s="653"/>
      <c r="AET49" s="653"/>
      <c r="AFG49" s="653"/>
      <c r="AFH49" s="653"/>
      <c r="AFI49" s="653"/>
      <c r="AFJ49" s="653"/>
      <c r="AFK49" s="653"/>
      <c r="AFL49" s="653"/>
      <c r="AFM49" s="653"/>
      <c r="AFN49" s="653"/>
      <c r="AFO49" s="653"/>
      <c r="AFP49" s="653"/>
      <c r="AFQ49" s="653"/>
      <c r="AFR49" s="653"/>
      <c r="AFS49" s="653"/>
      <c r="AFT49" s="653"/>
      <c r="AFU49" s="653"/>
      <c r="AFV49" s="653"/>
      <c r="AFW49" s="653"/>
      <c r="AFX49" s="653"/>
      <c r="AFY49" s="653"/>
      <c r="AFZ49" s="653"/>
      <c r="AGA49" s="653"/>
      <c r="AGB49" s="653"/>
      <c r="AGC49" s="653"/>
      <c r="AGD49" s="653"/>
      <c r="AGE49" s="653"/>
      <c r="AGF49" s="653"/>
      <c r="AGG49" s="653"/>
      <c r="AGH49" s="653"/>
      <c r="AGI49" s="653"/>
      <c r="AGJ49" s="653"/>
      <c r="AIG49" s="130"/>
      <c r="AIH49" s="130"/>
      <c r="AII49" s="130"/>
      <c r="AIJ49" s="130"/>
      <c r="AIK49" s="130"/>
      <c r="AIN49" s="130"/>
      <c r="AIO49" s="130"/>
      <c r="AIP49" s="130"/>
      <c r="AIQ49" s="130"/>
      <c r="AIR49" s="130"/>
      <c r="AIS49" s="130"/>
      <c r="AIT49" s="130"/>
      <c r="AIU49" s="130"/>
      <c r="AIV49" s="130"/>
      <c r="ARI49" s="653"/>
      <c r="ARJ49" s="653"/>
      <c r="ARK49" s="653"/>
      <c r="ARL49" s="653"/>
      <c r="ARM49" s="653"/>
      <c r="ARN49" s="653"/>
      <c r="ARO49" s="653"/>
      <c r="ARW49" s="199"/>
      <c r="ARX49" s="852" t="s">
        <v>869</v>
      </c>
      <c r="ARY49" s="923"/>
      <c r="ARZ49" s="199"/>
      <c r="ASA49" s="1117" t="s">
        <v>142</v>
      </c>
      <c r="ASB49" s="1118"/>
      <c r="ASC49" s="1118"/>
      <c r="ASD49" s="1118"/>
      <c r="ASE49" s="1118"/>
      <c r="ASF49" s="1118"/>
      <c r="ASG49" s="1118"/>
      <c r="ASH49" s="1118"/>
      <c r="ASI49" s="1118"/>
      <c r="ASJ49" s="1118"/>
      <c r="ASK49" s="1119"/>
      <c r="ASL49" s="199"/>
      <c r="ASW49" s="849"/>
      <c r="ASX49" s="133" t="s">
        <v>416</v>
      </c>
      <c r="ASY49" s="134"/>
      <c r="ASZ49" s="138"/>
      <c r="ATA49" s="78"/>
      <c r="ATB49" s="78"/>
      <c r="ATC49" s="78"/>
      <c r="ATD49" s="78"/>
      <c r="ATE49" s="78"/>
      <c r="ATF49" s="78"/>
      <c r="ATG49" s="138"/>
      <c r="ATH49" s="76" t="s">
        <v>441</v>
      </c>
      <c r="ATI49" s="854" t="s">
        <v>435</v>
      </c>
      <c r="ATJ49" s="1111"/>
      <c r="ATK49" s="920" t="s">
        <v>111</v>
      </c>
      <c r="ATL49" s="921"/>
      <c r="ATM49" s="916" t="s">
        <v>704</v>
      </c>
      <c r="ATN49" s="917"/>
      <c r="ATO49" s="906" t="s">
        <v>447</v>
      </c>
      <c r="ATP49" s="907"/>
      <c r="ATQ49" s="907"/>
      <c r="ATR49" s="908"/>
    </row>
    <row r="50" spans="4:1011 1128:1224" ht="48" customHeight="1" thickBot="1">
      <c r="D50" s="162"/>
      <c r="E50" s="162"/>
      <c r="F50" s="158"/>
      <c r="G50" s="158"/>
      <c r="H50" s="158"/>
      <c r="I50" s="158"/>
      <c r="J50" s="158"/>
      <c r="K50" s="158"/>
      <c r="L50" s="163"/>
      <c r="M50" s="158"/>
      <c r="N50" s="1780"/>
      <c r="O50" s="1587"/>
      <c r="P50" s="1881"/>
      <c r="Q50" s="1881"/>
      <c r="R50" s="1881"/>
      <c r="S50" s="1588"/>
      <c r="T50" s="158"/>
      <c r="U50" s="158"/>
      <c r="V50" s="158"/>
      <c r="W50" s="158"/>
      <c r="X50" s="158"/>
      <c r="Y50" s="163"/>
      <c r="AI50" s="851"/>
      <c r="AJ50" s="730" t="s">
        <v>1682</v>
      </c>
      <c r="AK50" s="774">
        <f>$AY$38</f>
        <v>0.68</v>
      </c>
      <c r="AL50" s="774"/>
      <c r="AM50" s="769"/>
      <c r="AN50" s="764"/>
      <c r="AO50" s="765"/>
      <c r="AP50" s="1674"/>
      <c r="AQ50" s="1675"/>
      <c r="AR50" s="1263"/>
      <c r="AS50" s="1264"/>
      <c r="AT50" s="848"/>
      <c r="AU50" s="918"/>
      <c r="AV50" s="919"/>
      <c r="AW50" s="848"/>
      <c r="AX50" s="828"/>
      <c r="AY50" s="949"/>
      <c r="AZ50" s="949"/>
      <c r="BA50" s="950"/>
      <c r="BR50" s="130"/>
      <c r="BS50" s="130"/>
      <c r="BX50" s="850"/>
      <c r="BY50" s="1583" t="s">
        <v>444</v>
      </c>
      <c r="BZ50" s="1585"/>
      <c r="CA50" s="937">
        <f>$AP$49</f>
        <v>0.21284000000000003</v>
      </c>
      <c r="CB50" s="937"/>
      <c r="CC50" s="880"/>
      <c r="CD50" s="881"/>
      <c r="CE50" s="881"/>
      <c r="CF50" s="881"/>
      <c r="CG50" s="881"/>
      <c r="CH50" s="881"/>
      <c r="CI50" s="881"/>
      <c r="CJ50" s="881"/>
      <c r="CK50" s="881"/>
      <c r="CL50" s="1168"/>
      <c r="CM50" s="815"/>
      <c r="CN50" s="1666"/>
      <c r="CO50" s="1667"/>
      <c r="CP50" s="842"/>
      <c r="CQ50" s="1173"/>
      <c r="CR50" s="1174"/>
      <c r="CS50" s="1174"/>
      <c r="CT50" s="1175"/>
      <c r="CU50" s="848"/>
      <c r="CV50" s="1053"/>
      <c r="CW50" s="1053"/>
      <c r="CX50" s="1053"/>
      <c r="CY50" s="1053"/>
      <c r="DM50" s="130"/>
      <c r="DN50" s="130"/>
      <c r="DO50" s="130"/>
      <c r="DP50" s="130"/>
      <c r="DQ50" s="130"/>
      <c r="DR50" s="130"/>
      <c r="DS50" s="130"/>
      <c r="DW50" s="130"/>
      <c r="DX50" s="130"/>
      <c r="DZ50" s="1052"/>
      <c r="EA50" s="243" t="s">
        <v>444</v>
      </c>
      <c r="EB50" s="937">
        <f>$AP$49</f>
        <v>0.21284000000000003</v>
      </c>
      <c r="EC50" s="937"/>
      <c r="ED50" s="823"/>
      <c r="EE50" s="824"/>
      <c r="EF50" s="824"/>
      <c r="EG50" s="824"/>
      <c r="EH50" s="824"/>
      <c r="EI50" s="824"/>
      <c r="EJ50" s="824"/>
      <c r="EK50" s="887"/>
      <c r="EL50" s="888"/>
      <c r="EM50" s="1077"/>
      <c r="EN50" s="1078"/>
      <c r="EO50" s="1067"/>
      <c r="EP50" s="918"/>
      <c r="EQ50" s="1082"/>
      <c r="ER50" s="919"/>
      <c r="ES50" s="848"/>
      <c r="ET50" s="1052"/>
      <c r="EU50" s="1052"/>
      <c r="EV50" s="1052"/>
      <c r="EW50" s="1052"/>
      <c r="EX50" s="1052"/>
      <c r="EY50" s="1052"/>
      <c r="EZ50" s="1052"/>
      <c r="FA50" s="1052"/>
      <c r="FV50" s="653"/>
      <c r="FW50" s="653"/>
      <c r="FX50" s="653"/>
      <c r="FY50" s="653"/>
      <c r="FZ50" s="653"/>
      <c r="GA50" s="653"/>
      <c r="GB50" s="653"/>
      <c r="GC50" s="653"/>
      <c r="GF50" s="1053"/>
      <c r="GG50" s="1060"/>
      <c r="GH50" s="1061"/>
      <c r="GI50" s="1061"/>
      <c r="GJ50" s="794"/>
      <c r="GK50" s="795"/>
      <c r="GL50" s="825"/>
      <c r="GM50" s="813"/>
      <c r="GN50" s="813"/>
      <c r="GO50" s="813"/>
      <c r="GP50" s="813"/>
      <c r="GQ50" s="813"/>
      <c r="GR50" s="813"/>
      <c r="GS50" s="813"/>
      <c r="GT50" s="813"/>
      <c r="GU50" s="814"/>
      <c r="GV50" s="1053"/>
      <c r="GW50" s="1053"/>
      <c r="GX50" s="1053"/>
      <c r="GY50" s="1053"/>
      <c r="HK50" s="1779"/>
      <c r="HL50" s="823"/>
      <c r="HM50" s="824"/>
      <c r="HN50" s="824"/>
      <c r="HO50" s="824"/>
      <c r="HP50" s="824"/>
      <c r="HQ50" s="824"/>
      <c r="HR50" s="824"/>
      <c r="HS50" s="824"/>
      <c r="HT50" s="939"/>
      <c r="JX50" s="851"/>
      <c r="JY50" s="802" t="s">
        <v>1082</v>
      </c>
      <c r="JZ50" s="803"/>
      <c r="KA50" s="1050">
        <f>$GQ$78</f>
        <v>4.847402946961874</v>
      </c>
      <c r="KB50" s="1050"/>
      <c r="KC50" s="795"/>
      <c r="KD50" s="795"/>
      <c r="KE50" s="795"/>
      <c r="KF50" s="795"/>
      <c r="KG50" s="795"/>
      <c r="KH50" s="795"/>
      <c r="KI50" s="795"/>
      <c r="KJ50" s="795"/>
      <c r="KK50" s="796"/>
      <c r="KL50" s="837"/>
      <c r="KM50" s="838"/>
      <c r="KN50" s="1077"/>
      <c r="KO50" s="1078"/>
      <c r="KP50" s="842"/>
      <c r="KQ50" s="1173"/>
      <c r="KR50" s="1175"/>
      <c r="KS50" s="848"/>
      <c r="KT50" s="828"/>
      <c r="KU50" s="949"/>
      <c r="KV50" s="949"/>
      <c r="KW50" s="949"/>
      <c r="KX50" s="949"/>
      <c r="KY50" s="949"/>
      <c r="KZ50" s="950"/>
      <c r="MD50" s="196"/>
      <c r="ME50" s="852" t="s">
        <v>832</v>
      </c>
      <c r="MF50" s="853"/>
      <c r="MG50" s="196"/>
      <c r="MH50" s="1069" t="s">
        <v>74</v>
      </c>
      <c r="MI50" s="1070"/>
      <c r="MJ50" s="1070"/>
      <c r="MK50" s="1070"/>
      <c r="ML50" s="1070"/>
      <c r="MM50" s="1070"/>
      <c r="MN50" s="1070"/>
      <c r="MO50" s="1070"/>
      <c r="MP50" s="1070"/>
      <c r="MQ50" s="1070"/>
      <c r="MR50" s="1071"/>
      <c r="MS50" s="196"/>
      <c r="NK50" s="377"/>
      <c r="NL50" s="373"/>
      <c r="NM50" s="373"/>
      <c r="NN50" s="373"/>
      <c r="NO50" s="373"/>
      <c r="NP50" s="373"/>
      <c r="NQ50" s="373"/>
      <c r="NR50" s="373"/>
      <c r="NS50" s="373"/>
      <c r="NT50" s="373"/>
      <c r="NU50" s="373"/>
      <c r="NV50" s="373"/>
      <c r="NW50" s="373"/>
      <c r="NX50" s="373"/>
      <c r="NY50" s="373"/>
      <c r="NZ50" s="373"/>
      <c r="OA50" s="373"/>
      <c r="OB50" s="373"/>
      <c r="OC50" s="373"/>
      <c r="OD50" s="373"/>
      <c r="OE50" s="373"/>
      <c r="OF50" s="374"/>
      <c r="PL50" s="851"/>
      <c r="PM50" s="467" t="s">
        <v>1563</v>
      </c>
      <c r="PN50" s="1187">
        <f>$PT$41</f>
        <v>7800</v>
      </c>
      <c r="PO50" s="1187"/>
      <c r="PP50" s="1060"/>
      <c r="PQ50" s="1061"/>
      <c r="PR50" s="1062"/>
      <c r="PS50" s="778"/>
      <c r="PT50" s="778"/>
      <c r="PU50" s="778"/>
      <c r="PV50" s="778"/>
      <c r="PW50" s="778"/>
      <c r="PX50" s="778"/>
      <c r="PY50" s="799"/>
      <c r="PZ50" s="1154"/>
      <c r="QA50" s="1155"/>
      <c r="QB50" s="1190"/>
      <c r="QC50" s="1191"/>
      <c r="QD50" s="1290"/>
      <c r="QE50" s="1284"/>
      <c r="QF50" s="1284"/>
      <c r="QG50" s="1284"/>
      <c r="QH50" s="1290"/>
      <c r="QI50" s="1053"/>
      <c r="QJ50" s="1053"/>
      <c r="QK50" s="1053"/>
      <c r="QL50" s="1053"/>
      <c r="QM50" s="1053"/>
      <c r="QN50" s="1053"/>
      <c r="QO50" s="1053"/>
      <c r="QP50" s="1053"/>
      <c r="QQ50" s="1053"/>
      <c r="QR50" s="1053"/>
      <c r="QS50" s="1053"/>
      <c r="RE50" s="653"/>
      <c r="RF50" s="653"/>
      <c r="RG50" s="653"/>
      <c r="RH50" s="653"/>
      <c r="RI50" s="653"/>
      <c r="RJ50" s="653"/>
      <c r="RK50" s="653"/>
      <c r="RL50" s="653"/>
      <c r="RM50" s="653"/>
      <c r="RN50" s="653"/>
      <c r="RO50" s="653"/>
      <c r="RP50" s="653"/>
      <c r="RQ50" s="653"/>
      <c r="RR50" s="653"/>
      <c r="RS50" s="653"/>
      <c r="RT50" s="653"/>
      <c r="RU50" s="653"/>
      <c r="RV50" s="653"/>
      <c r="RW50" s="653"/>
      <c r="RX50" s="653"/>
      <c r="RY50" s="653"/>
      <c r="SJ50" s="653"/>
      <c r="SK50" s="653"/>
      <c r="SL50" s="653"/>
      <c r="SM50" s="653"/>
      <c r="SN50" s="653"/>
      <c r="SO50" s="653"/>
      <c r="SP50" s="653"/>
      <c r="SQ50" s="653"/>
      <c r="SR50" s="653"/>
      <c r="SS50" s="653"/>
      <c r="ST50" s="653"/>
      <c r="SU50" s="653"/>
      <c r="SV50" s="653"/>
      <c r="SW50" s="653"/>
      <c r="SX50" s="653"/>
      <c r="SY50" s="653"/>
      <c r="SZ50" s="653"/>
      <c r="TA50" s="653"/>
      <c r="TB50" s="653"/>
      <c r="TC50" s="653"/>
      <c r="TD50" s="653"/>
      <c r="TE50" s="653"/>
      <c r="TF50" s="653"/>
      <c r="TG50" s="653"/>
      <c r="TH50" s="653"/>
      <c r="TI50" s="653"/>
      <c r="TJ50" s="653"/>
      <c r="TK50" s="653"/>
      <c r="TL50" s="653"/>
      <c r="TM50" s="653"/>
      <c r="TN50" s="653"/>
      <c r="TO50" s="653"/>
      <c r="TP50" s="653"/>
      <c r="TQ50" s="653"/>
      <c r="TR50" s="653"/>
      <c r="TS50" s="653"/>
      <c r="TT50" s="653"/>
      <c r="TU50" s="653"/>
      <c r="TV50" s="653"/>
      <c r="TW50" s="653"/>
      <c r="TX50" s="653"/>
      <c r="TY50" s="653"/>
      <c r="TZ50" s="653"/>
      <c r="UA50" s="653"/>
      <c r="UB50" s="653"/>
      <c r="UC50" s="653"/>
      <c r="UD50" s="653"/>
      <c r="UE50" s="653"/>
      <c r="UF50" s="653"/>
      <c r="UG50" s="653"/>
      <c r="UH50" s="653"/>
      <c r="UI50" s="653"/>
      <c r="UJ50" s="653"/>
      <c r="UK50" s="653"/>
      <c r="UL50" s="653"/>
      <c r="UM50" s="653"/>
      <c r="UN50" s="653"/>
      <c r="UO50" s="653"/>
      <c r="UP50" s="653"/>
      <c r="UQ50" s="653"/>
      <c r="UR50" s="653"/>
      <c r="US50" s="653"/>
      <c r="UT50" s="653"/>
      <c r="UU50" s="653"/>
      <c r="UV50" s="653"/>
      <c r="UW50" s="653"/>
      <c r="UX50" s="653"/>
      <c r="UY50" s="653"/>
      <c r="UZ50" s="653"/>
      <c r="VD50" s="130"/>
      <c r="VE50" s="130"/>
      <c r="VF50" s="130"/>
      <c r="VG50" s="130"/>
      <c r="VH50" s="130"/>
      <c r="VI50" s="130"/>
      <c r="VJ50" s="130"/>
      <c r="VL50" s="207"/>
      <c r="VM50" s="207"/>
      <c r="VN50" s="207"/>
      <c r="VO50" s="207"/>
      <c r="WE50" s="162"/>
      <c r="WF50" s="158"/>
      <c r="WG50" s="158"/>
      <c r="WH50" s="158"/>
      <c r="WI50" s="158"/>
      <c r="WJ50" s="163"/>
      <c r="WK50" s="800" t="s">
        <v>1639</v>
      </c>
      <c r="WL50" s="982"/>
      <c r="WM50" s="801"/>
      <c r="WN50" s="937">
        <f>$UK$14/1000+VA58+VE58+VI58</f>
        <v>0</v>
      </c>
      <c r="WO50" s="937"/>
      <c r="WP50" s="170"/>
      <c r="WQ50" s="170"/>
      <c r="WR50" s="170"/>
      <c r="WS50" s="170"/>
      <c r="WT50" s="170"/>
      <c r="WU50" s="170"/>
      <c r="WV50" s="170"/>
      <c r="WW50" s="172"/>
      <c r="WX50" s="978"/>
      <c r="WY50" s="979"/>
      <c r="WZ50" s="756"/>
      <c r="XA50" s="756"/>
      <c r="XB50" s="169"/>
      <c r="XC50" s="170"/>
      <c r="XD50" s="170"/>
      <c r="XE50" s="170"/>
      <c r="XF50" s="172"/>
      <c r="XG50" s="967"/>
      <c r="XH50" s="967"/>
      <c r="XI50" s="967"/>
      <c r="XJ50" s="967"/>
      <c r="XK50" s="967"/>
      <c r="XL50" s="967"/>
      <c r="XM50" s="967"/>
      <c r="XN50" s="967"/>
      <c r="XO50" s="967"/>
      <c r="XP50" s="967"/>
      <c r="XQ50" s="967"/>
      <c r="XR50" s="967"/>
      <c r="XS50" s="967"/>
      <c r="XT50" s="967"/>
      <c r="XU50" s="967"/>
      <c r="XV50" s="967"/>
      <c r="XW50" s="967"/>
      <c r="XX50" s="967"/>
      <c r="XY50" s="967"/>
      <c r="XZ50" s="967"/>
      <c r="YA50" s="967"/>
      <c r="YB50" s="967"/>
      <c r="YC50" s="967"/>
      <c r="YD50" s="967"/>
      <c r="YE50" s="967"/>
      <c r="YF50" s="967"/>
      <c r="YG50" s="967"/>
      <c r="YH50" s="967"/>
      <c r="YI50" s="967"/>
      <c r="YJ50" s="967"/>
      <c r="YK50" s="967"/>
      <c r="YL50" s="967"/>
      <c r="YM50" s="967"/>
      <c r="YN50" s="967"/>
      <c r="YO50" s="967"/>
      <c r="YP50" s="967"/>
      <c r="YQ50" s="967"/>
      <c r="YR50" s="967"/>
      <c r="YS50" s="967"/>
      <c r="YT50" s="967"/>
      <c r="YU50" s="967"/>
      <c r="YV50" s="967"/>
      <c r="YW50" s="967"/>
      <c r="YX50" s="967"/>
      <c r="YY50" s="967"/>
      <c r="YZ50" s="967"/>
      <c r="ZA50" s="967"/>
      <c r="ZB50" s="967"/>
      <c r="ZC50" s="967"/>
      <c r="ZD50" s="967"/>
      <c r="ZE50" s="967"/>
      <c r="ZF50" s="967"/>
      <c r="ZG50" s="967"/>
      <c r="ZH50" s="967"/>
      <c r="ZI50" s="967"/>
      <c r="ZJ50" s="967"/>
      <c r="ZK50" s="967"/>
      <c r="ZL50" s="967"/>
      <c r="ZM50" s="967"/>
      <c r="ZN50" s="967"/>
      <c r="ZO50" s="967"/>
      <c r="ZP50" s="967"/>
      <c r="ZQ50" s="967"/>
      <c r="ZR50" s="967"/>
      <c r="ZS50" s="967"/>
      <c r="ZT50" s="967"/>
      <c r="ZU50" s="967"/>
      <c r="ZV50" s="967"/>
      <c r="ZW50" s="967"/>
      <c r="ZX50" s="967"/>
      <c r="ZY50" s="967"/>
      <c r="ZZ50" s="967"/>
      <c r="AAA50" s="967"/>
      <c r="AAB50" s="967"/>
      <c r="AAC50" s="967"/>
      <c r="AAD50" s="967"/>
      <c r="AAE50" s="967"/>
      <c r="AAF50" s="967"/>
      <c r="AAG50" s="967"/>
      <c r="AAH50" s="967"/>
      <c r="AAI50" s="967"/>
      <c r="AAJ50" s="967"/>
      <c r="AAK50" s="967"/>
      <c r="AAL50" s="967"/>
      <c r="AAM50" s="967"/>
      <c r="AAN50" s="967"/>
      <c r="AAO50" s="967"/>
      <c r="AAP50" s="967"/>
      <c r="AAQ50" s="967"/>
      <c r="AAR50" s="967"/>
      <c r="AAS50" s="967"/>
      <c r="AAT50" s="965"/>
      <c r="AAU50" s="756"/>
      <c r="AAV50" s="756"/>
      <c r="AAW50" s="169"/>
      <c r="AAX50" s="170"/>
      <c r="AAY50" s="170"/>
      <c r="AAZ50" s="170"/>
      <c r="ABA50" s="162"/>
      <c r="ABB50" s="158"/>
      <c r="ABC50" s="158"/>
      <c r="ABD50" s="163"/>
      <c r="ACJ50" s="759">
        <v>0.66666666699999999</v>
      </c>
      <c r="ACK50" s="760"/>
      <c r="ACL50" s="759">
        <v>-0.66666666699999999</v>
      </c>
      <c r="ACM50" s="760"/>
      <c r="ACN50" s="591">
        <v>38</v>
      </c>
      <c r="ACO50" s="759">
        <f t="shared" si="0"/>
        <v>0.25333333345999998</v>
      </c>
      <c r="ACP50" s="760"/>
      <c r="ACQ50" s="757">
        <f t="shared" si="48"/>
        <v>1.38</v>
      </c>
      <c r="ACR50" s="758"/>
      <c r="ACT50" s="759">
        <v>1</v>
      </c>
      <c r="ACU50" s="760"/>
      <c r="ACV50" s="759">
        <v>-1.2</v>
      </c>
      <c r="ACW50" s="760"/>
      <c r="ACX50" s="592">
        <v>88</v>
      </c>
      <c r="ACY50" s="759">
        <f t="shared" si="8"/>
        <v>0.67999999999999994</v>
      </c>
      <c r="ACZ50" s="760"/>
      <c r="ADA50" s="757">
        <f t="shared" si="49"/>
        <v>1.88</v>
      </c>
      <c r="ADB50" s="758"/>
      <c r="ADD50" s="1112">
        <v>1.1052631578947401</v>
      </c>
      <c r="ADE50" s="1112"/>
      <c r="ADF50" s="1112">
        <v>-1.42105263157895</v>
      </c>
      <c r="ADG50" s="1112"/>
      <c r="ADH50" s="591">
        <v>137</v>
      </c>
      <c r="ADI50" s="759">
        <f t="shared" si="56"/>
        <v>1.1984210526315842</v>
      </c>
      <c r="ADJ50" s="760"/>
      <c r="ADK50" s="757">
        <f t="shared" si="50"/>
        <v>2.37</v>
      </c>
      <c r="ADL50" s="758"/>
      <c r="ADN50" s="759">
        <v>1.1052631580000001</v>
      </c>
      <c r="ADO50" s="760"/>
      <c r="ADP50" s="759">
        <v>-1.42105263157895</v>
      </c>
      <c r="ADQ50" s="760"/>
      <c r="ADR50" s="591">
        <v>187</v>
      </c>
      <c r="ADS50" s="759">
        <f t="shared" si="9"/>
        <v>1.7510526318810502</v>
      </c>
      <c r="ADT50" s="760"/>
      <c r="ADU50" s="757">
        <f t="shared" si="51"/>
        <v>2.87</v>
      </c>
      <c r="ADV50" s="758"/>
      <c r="ADX50" s="759">
        <v>1.1052631580000001</v>
      </c>
      <c r="ADY50" s="760"/>
      <c r="ADZ50" s="759">
        <v>-1.42105263157895</v>
      </c>
      <c r="AEA50" s="760"/>
      <c r="AEB50" s="591">
        <v>237</v>
      </c>
      <c r="AEC50" s="759">
        <f t="shared" si="10"/>
        <v>2.3036842108810505</v>
      </c>
      <c r="AED50" s="760"/>
      <c r="AEE50" s="757">
        <f t="shared" si="52"/>
        <v>3.37</v>
      </c>
      <c r="AEF50" s="758"/>
      <c r="AEH50" s="759">
        <v>1.1052631580000001</v>
      </c>
      <c r="AEI50" s="760"/>
      <c r="AEJ50" s="759">
        <v>-1.42105263157895</v>
      </c>
      <c r="AEK50" s="760"/>
      <c r="AEL50" s="591">
        <v>287</v>
      </c>
      <c r="AEM50" s="759">
        <f t="shared" si="37"/>
        <v>2.8563157898810503</v>
      </c>
      <c r="AEN50" s="760"/>
      <c r="AEO50" s="757">
        <f t="shared" si="53"/>
        <v>3.87</v>
      </c>
      <c r="AEP50" s="758"/>
      <c r="AEQ50" s="653"/>
      <c r="AER50" s="653"/>
      <c r="AES50" s="653"/>
      <c r="AET50" s="653"/>
      <c r="AFG50" s="653"/>
      <c r="AFH50" s="653"/>
      <c r="AFI50" s="653"/>
      <c r="AFJ50" s="653"/>
      <c r="AFK50" s="653"/>
      <c r="AFL50" s="653"/>
      <c r="AFM50" s="653"/>
      <c r="AFN50" s="653"/>
      <c r="AFO50" s="653"/>
      <c r="AFP50" s="653"/>
      <c r="AFQ50" s="653"/>
      <c r="AFR50" s="653"/>
      <c r="AFS50" s="653"/>
      <c r="AFT50" s="653"/>
      <c r="AFU50" s="653"/>
      <c r="AFV50" s="653"/>
      <c r="AFW50" s="653"/>
      <c r="AFX50" s="653"/>
      <c r="AFY50" s="653"/>
      <c r="AFZ50" s="653"/>
      <c r="AGA50" s="653"/>
      <c r="AGB50" s="653"/>
      <c r="AGC50" s="653"/>
      <c r="AGD50" s="653"/>
      <c r="AGE50" s="653"/>
      <c r="AGF50" s="653"/>
      <c r="AGG50" s="653"/>
      <c r="AGH50" s="653"/>
      <c r="AGI50" s="653"/>
      <c r="AGJ50" s="653"/>
      <c r="AGL50" s="849"/>
      <c r="AGM50" s="852" t="s">
        <v>416</v>
      </c>
      <c r="AGN50" s="853"/>
      <c r="AGO50" s="138"/>
      <c r="AGP50" s="78"/>
      <c r="AGQ50" s="78"/>
      <c r="AGR50" s="78"/>
      <c r="AGS50" s="78"/>
      <c r="AGT50" s="78"/>
      <c r="AGU50" s="78"/>
      <c r="AGV50" s="138"/>
      <c r="AGW50" s="76" t="s">
        <v>441</v>
      </c>
      <c r="AGX50" s="854" t="s">
        <v>435</v>
      </c>
      <c r="AGY50" s="1111"/>
      <c r="AGZ50" s="924" t="s">
        <v>111</v>
      </c>
      <c r="AHA50" s="925"/>
      <c r="AHB50" s="916" t="s">
        <v>704</v>
      </c>
      <c r="AHC50" s="917"/>
      <c r="AHD50" s="906" t="s">
        <v>447</v>
      </c>
      <c r="AHE50" s="907"/>
      <c r="AHF50" s="907"/>
      <c r="AHG50" s="908"/>
      <c r="AHH50" s="906" t="s">
        <v>436</v>
      </c>
      <c r="AHI50" s="907"/>
      <c r="AHJ50" s="908"/>
      <c r="AIG50" s="130"/>
      <c r="AIH50" s="130"/>
      <c r="AII50" s="130"/>
      <c r="AIJ50" s="130"/>
      <c r="AIK50" s="130"/>
      <c r="AIL50" s="130"/>
      <c r="AIM50" s="130"/>
      <c r="AIN50" s="130"/>
      <c r="AIO50" s="130"/>
      <c r="AIP50" s="130"/>
      <c r="AIQ50" s="130"/>
      <c r="AIR50" s="130"/>
      <c r="AIS50" s="130"/>
      <c r="AIT50" s="130"/>
      <c r="AIU50" s="130"/>
      <c r="AIV50" s="130"/>
      <c r="ARI50" s="653"/>
      <c r="ARJ50" s="653"/>
      <c r="ARK50" s="653"/>
      <c r="ARL50" s="653"/>
      <c r="ARM50" s="653"/>
      <c r="ARN50" s="653"/>
      <c r="ARO50" s="653"/>
      <c r="ASW50" s="850"/>
      <c r="ASX50" s="856"/>
      <c r="ASY50" s="856"/>
      <c r="ASZ50" s="856"/>
      <c r="ATA50" s="856"/>
      <c r="ATB50" s="856"/>
      <c r="ATC50" s="856"/>
      <c r="ATD50" s="856"/>
      <c r="ATE50" s="856"/>
      <c r="ATF50" s="856"/>
      <c r="ATG50" s="856"/>
      <c r="ATH50" s="856"/>
      <c r="ATI50" s="856"/>
      <c r="ATJ50" s="1069"/>
      <c r="ATK50" s="1567"/>
      <c r="ATL50" s="1568"/>
      <c r="ATM50" s="1322"/>
      <c r="ATN50" s="840"/>
      <c r="ATO50" s="1066"/>
      <c r="ATP50" s="843" t="s">
        <v>416</v>
      </c>
      <c r="ATQ50" s="844"/>
      <c r="ATR50" s="847"/>
    </row>
    <row r="51" spans="4:1011 1128:1224" ht="48" customHeight="1" thickBot="1">
      <c r="D51" s="162"/>
      <c r="E51" s="162"/>
      <c r="F51" s="158"/>
      <c r="G51" s="158"/>
      <c r="H51" s="158"/>
      <c r="I51" s="158"/>
      <c r="J51" s="158"/>
      <c r="K51" s="158"/>
      <c r="L51" s="163"/>
      <c r="M51" s="158"/>
      <c r="N51" s="866"/>
      <c r="O51" s="870"/>
      <c r="P51" s="871"/>
      <c r="Q51" s="871"/>
      <c r="R51" s="871"/>
      <c r="S51" s="872"/>
      <c r="T51" s="158"/>
      <c r="U51" s="158"/>
      <c r="V51" s="158"/>
      <c r="W51" s="158"/>
      <c r="X51" s="158"/>
      <c r="Y51" s="163"/>
      <c r="BJ51" s="126"/>
      <c r="BK51" s="126"/>
      <c r="BM51" s="126"/>
      <c r="BN51" s="126"/>
      <c r="BR51" s="130"/>
      <c r="BS51" s="130"/>
      <c r="BX51" s="851"/>
      <c r="BY51" s="1685" t="s">
        <v>1106</v>
      </c>
      <c r="BZ51" s="1686"/>
      <c r="CA51" s="1050">
        <f>$CO$28</f>
        <v>48</v>
      </c>
      <c r="CB51" s="1050"/>
      <c r="CC51" s="769"/>
      <c r="CD51" s="764"/>
      <c r="CE51" s="764"/>
      <c r="CF51" s="764"/>
      <c r="CG51" s="764"/>
      <c r="CH51" s="764"/>
      <c r="CI51" s="764"/>
      <c r="CJ51" s="764"/>
      <c r="CK51" s="764"/>
      <c r="CL51" s="1169"/>
      <c r="CM51" s="799"/>
      <c r="CN51" s="1636"/>
      <c r="CO51" s="1637"/>
      <c r="CP51" s="1494"/>
      <c r="CQ51" s="1495"/>
      <c r="CR51" s="1495"/>
      <c r="CS51" s="1495"/>
      <c r="CT51" s="1495"/>
      <c r="CU51" s="1495"/>
      <c r="CV51" s="1495"/>
      <c r="CW51" s="1495"/>
      <c r="CX51" s="1495"/>
      <c r="CY51" s="1496"/>
      <c r="DM51" s="130"/>
      <c r="DN51" s="130"/>
      <c r="DO51" s="130"/>
      <c r="DP51" s="130"/>
      <c r="DQ51" s="130"/>
      <c r="DR51" s="130"/>
      <c r="DS51" s="130"/>
      <c r="DW51" s="130"/>
      <c r="DX51" s="130"/>
      <c r="DZ51" s="1053"/>
      <c r="EA51" s="244" t="s">
        <v>1030</v>
      </c>
      <c r="EB51" s="774">
        <f>$EK$33</f>
        <v>24.641888323197445</v>
      </c>
      <c r="EC51" s="774"/>
      <c r="ED51" s="794"/>
      <c r="EE51" s="795"/>
      <c r="EF51" s="795"/>
      <c r="EG51" s="795"/>
      <c r="EH51" s="795"/>
      <c r="EI51" s="795"/>
      <c r="EJ51" s="795"/>
      <c r="EK51" s="942"/>
      <c r="EL51" s="943"/>
      <c r="EM51" s="943"/>
      <c r="EN51" s="943"/>
      <c r="EO51" s="813"/>
      <c r="EP51" s="813"/>
      <c r="EQ51" s="813"/>
      <c r="ER51" s="813"/>
      <c r="ES51" s="814"/>
      <c r="ET51" s="1053"/>
      <c r="EU51" s="1053"/>
      <c r="EV51" s="1053"/>
      <c r="EW51" s="1053"/>
      <c r="EX51" s="1053"/>
      <c r="EY51" s="1053"/>
      <c r="EZ51" s="1053"/>
      <c r="FA51" s="1053"/>
      <c r="FV51" s="653"/>
      <c r="FW51" s="653"/>
      <c r="FX51" s="653"/>
      <c r="FY51" s="653"/>
      <c r="FZ51" s="653"/>
      <c r="GA51" s="653"/>
      <c r="GB51" s="653"/>
      <c r="GC51" s="653"/>
      <c r="HK51" s="1779"/>
      <c r="HL51" s="909"/>
      <c r="HM51" s="910"/>
      <c r="HN51" s="910"/>
      <c r="HO51" s="910"/>
      <c r="HP51" s="910"/>
      <c r="HQ51" s="910"/>
      <c r="HR51" s="910"/>
      <c r="HS51" s="910"/>
      <c r="HT51" s="1239"/>
      <c r="IW51" s="653"/>
      <c r="IX51" s="653"/>
      <c r="IY51" s="653"/>
      <c r="IZ51" s="653"/>
      <c r="JA51" s="653"/>
      <c r="JB51" s="653"/>
      <c r="JC51" s="653"/>
      <c r="JD51" s="653"/>
      <c r="JE51" s="653"/>
      <c r="JF51" s="653"/>
      <c r="NK51" s="377"/>
      <c r="NL51" s="373"/>
      <c r="NM51" s="373"/>
      <c r="NN51" s="373"/>
      <c r="NO51" s="373"/>
      <c r="NP51" s="373"/>
      <c r="NQ51" s="373"/>
      <c r="NR51" s="373"/>
      <c r="NS51" s="373"/>
      <c r="NT51" s="373"/>
      <c r="NU51" s="373"/>
      <c r="NV51" s="373"/>
      <c r="NW51" s="373"/>
      <c r="NX51" s="373"/>
      <c r="NY51" s="373"/>
      <c r="NZ51" s="373"/>
      <c r="OA51" s="373"/>
      <c r="OB51" s="373"/>
      <c r="OC51" s="373"/>
      <c r="OD51" s="373"/>
      <c r="OE51" s="373"/>
      <c r="OF51" s="374"/>
      <c r="RE51" s="653"/>
      <c r="RF51" s="653"/>
      <c r="RG51" s="653"/>
      <c r="RH51" s="653"/>
      <c r="RI51" s="653"/>
      <c r="RJ51" s="653"/>
      <c r="RK51" s="653"/>
      <c r="RL51" s="653"/>
      <c r="RM51" s="653"/>
      <c r="RN51" s="653"/>
      <c r="RO51" s="653"/>
      <c r="RP51" s="653"/>
      <c r="RQ51" s="653"/>
      <c r="RR51" s="653"/>
      <c r="RS51" s="653"/>
      <c r="RT51" s="653"/>
      <c r="RU51" s="653"/>
      <c r="RV51" s="653"/>
      <c r="RW51" s="653"/>
      <c r="RX51" s="653"/>
      <c r="RY51" s="653"/>
      <c r="SJ51" s="653"/>
      <c r="SK51" s="653"/>
      <c r="SL51" s="653"/>
      <c r="SM51" s="653"/>
      <c r="SN51" s="653"/>
      <c r="SO51" s="653"/>
      <c r="SP51" s="653"/>
      <c r="SQ51" s="653"/>
      <c r="SR51" s="653"/>
      <c r="SS51" s="653"/>
      <c r="ST51" s="653"/>
      <c r="SU51" s="653"/>
      <c r="SV51" s="653"/>
      <c r="SW51" s="653"/>
      <c r="SX51" s="653"/>
      <c r="SY51" s="653"/>
      <c r="SZ51" s="653"/>
      <c r="TA51" s="653"/>
      <c r="TB51" s="653"/>
      <c r="TC51" s="653"/>
      <c r="TD51" s="653"/>
      <c r="TE51" s="653"/>
      <c r="TF51" s="653"/>
      <c r="TG51" s="653"/>
      <c r="TH51" s="653"/>
      <c r="TI51" s="653"/>
      <c r="TJ51" s="653"/>
      <c r="TK51" s="653"/>
      <c r="TL51" s="653"/>
      <c r="TM51" s="653"/>
      <c r="TN51" s="653"/>
      <c r="TO51" s="653"/>
      <c r="TP51" s="653"/>
      <c r="TQ51" s="653"/>
      <c r="TR51" s="653"/>
      <c r="TS51" s="653"/>
      <c r="TT51" s="653"/>
      <c r="TU51" s="653"/>
      <c r="TV51" s="653"/>
      <c r="TW51" s="653"/>
      <c r="TX51" s="653"/>
      <c r="TY51" s="653"/>
      <c r="TZ51" s="653"/>
      <c r="UA51" s="653"/>
      <c r="UB51" s="653"/>
      <c r="UC51" s="653"/>
      <c r="UD51" s="653"/>
      <c r="UE51" s="653"/>
      <c r="UF51" s="653"/>
      <c r="UG51" s="653"/>
      <c r="UH51" s="653"/>
      <c r="UI51" s="653"/>
      <c r="UJ51" s="653"/>
      <c r="UK51" s="653"/>
      <c r="UL51" s="653"/>
      <c r="UM51" s="653"/>
      <c r="UN51" s="653"/>
      <c r="UO51" s="653"/>
      <c r="UP51" s="653"/>
      <c r="UQ51" s="653"/>
      <c r="UR51" s="653"/>
      <c r="US51" s="653"/>
      <c r="UT51" s="653"/>
      <c r="UU51" s="653"/>
      <c r="UV51" s="653"/>
      <c r="UW51" s="653"/>
      <c r="UX51" s="653"/>
      <c r="UY51" s="653"/>
      <c r="UZ51" s="653"/>
      <c r="WE51" s="162"/>
      <c r="WF51" s="158"/>
      <c r="WG51" s="158"/>
      <c r="WH51" s="158"/>
      <c r="WI51" s="158"/>
      <c r="WJ51" s="163"/>
      <c r="WK51" s="167"/>
      <c r="WL51" s="168"/>
      <c r="WM51" s="168"/>
      <c r="WN51" s="168"/>
      <c r="WO51" s="168"/>
      <c r="WP51" s="168"/>
      <c r="WQ51" s="168"/>
      <c r="WR51" s="168"/>
      <c r="WS51" s="168"/>
      <c r="WT51" s="168"/>
      <c r="WU51" s="168"/>
      <c r="WV51" s="168"/>
      <c r="WW51" s="171"/>
      <c r="WX51" s="976">
        <v>16</v>
      </c>
      <c r="WY51" s="977"/>
      <c r="WZ51" s="756" t="s">
        <v>393</v>
      </c>
      <c r="XA51" s="756"/>
      <c r="XB51" s="167"/>
      <c r="XC51" s="168"/>
      <c r="XD51" s="168"/>
      <c r="XE51" s="168"/>
      <c r="XF51" s="171"/>
      <c r="XG51" s="966">
        <f>XG41-XG49</f>
        <v>2.0651700483787394E-2</v>
      </c>
      <c r="XH51" s="966">
        <f t="shared" ref="XH51:ZS51" si="59">XH41-XH49</f>
        <v>1.7021730295644919</v>
      </c>
      <c r="XI51" s="966">
        <f t="shared" si="59"/>
        <v>3.3653492988582032</v>
      </c>
      <c r="XJ51" s="966">
        <f t="shared" si="59"/>
        <v>5.0096727076993606</v>
      </c>
      <c r="XK51" s="966">
        <f t="shared" si="59"/>
        <v>6.6346553547322715</v>
      </c>
      <c r="XL51" s="966">
        <f t="shared" si="59"/>
        <v>8.2398121454263435</v>
      </c>
      <c r="XM51" s="966">
        <f t="shared" si="59"/>
        <v>9.824657684417053</v>
      </c>
      <c r="XN51" s="966">
        <f t="shared" si="59"/>
        <v>11.388710066511337</v>
      </c>
      <c r="XO51" s="966">
        <f t="shared" si="59"/>
        <v>12.931496718606315</v>
      </c>
      <c r="XP51" s="966">
        <f t="shared" si="59"/>
        <v>14.452559982629676</v>
      </c>
      <c r="XQ51" s="966">
        <f t="shared" si="59"/>
        <v>15.951461662553545</v>
      </c>
      <c r="XR51" s="966">
        <f t="shared" si="59"/>
        <v>17.42778645204578</v>
      </c>
      <c r="XS51" s="966">
        <f t="shared" si="59"/>
        <v>18.881144400203048</v>
      </c>
      <c r="XT51" s="966">
        <f t="shared" si="59"/>
        <v>20.311172618388543</v>
      </c>
      <c r="XU51" s="966">
        <f t="shared" si="59"/>
        <v>21.717536408280584</v>
      </c>
      <c r="XV51" s="966">
        <f t="shared" si="59"/>
        <v>23.099929952544347</v>
      </c>
      <c r="XW51" s="966">
        <f t="shared" si="59"/>
        <v>24.458076673639471</v>
      </c>
      <c r="XX51" s="966">
        <f t="shared" si="59"/>
        <v>25.791729337928793</v>
      </c>
      <c r="XY51" s="966">
        <f t="shared" si="59"/>
        <v>27.100669961325643</v>
      </c>
      <c r="XZ51" s="966">
        <f t="shared" si="59"/>
        <v>28.384709557741854</v>
      </c>
      <c r="YA51" s="966">
        <f t="shared" si="59"/>
        <v>29.643687761025284</v>
      </c>
      <c r="YB51" s="966">
        <f t="shared" si="59"/>
        <v>30.87747234363534</v>
      </c>
      <c r="YC51" s="966">
        <f t="shared" si="59"/>
        <v>32.085958650056547</v>
      </c>
      <c r="YD51" s="966">
        <f t="shared" si="59"/>
        <v>33.269068959219865</v>
      </c>
      <c r="YE51" s="966">
        <f t="shared" si="59"/>
        <v>34.426751787522825</v>
      </c>
      <c r="YF51" s="966">
        <f t="shared" si="59"/>
        <v>35.558981142088861</v>
      </c>
      <c r="YG51" s="966">
        <f t="shared" si="59"/>
        <v>36.665755732461015</v>
      </c>
      <c r="YH51" s="966">
        <f t="shared" si="59"/>
        <v>37.747098147833277</v>
      </c>
      <c r="YI51" s="966">
        <f t="shared" si="59"/>
        <v>38.803054006078185</v>
      </c>
      <c r="YJ51" s="966">
        <f t="shared" si="59"/>
        <v>39.833691080159525</v>
      </c>
      <c r="YK51" s="966">
        <f t="shared" si="59"/>
        <v>40.83909840697175</v>
      </c>
      <c r="YL51" s="966">
        <f t="shared" si="59"/>
        <v>41.819385383190799</v>
      </c>
      <c r="YM51" s="966">
        <f t="shared" si="59"/>
        <v>42.774680852326249</v>
      </c>
      <c r="YN51" s="966">
        <f t="shared" si="59"/>
        <v>43.705132186817281</v>
      </c>
      <c r="YO51" s="966">
        <f t="shared" si="59"/>
        <v>44.610904368701782</v>
      </c>
      <c r="YP51" s="966">
        <f t="shared" si="59"/>
        <v>45.492179072101074</v>
      </c>
      <c r="YQ51" s="966">
        <f t="shared" si="59"/>
        <v>46.349153750495347</v>
      </c>
      <c r="YR51" s="966">
        <f t="shared" si="59"/>
        <v>47.182040731514874</v>
      </c>
      <c r="YS51" s="966">
        <f t="shared" si="59"/>
        <v>47.991066321734088</v>
      </c>
      <c r="YT51" s="966">
        <f t="shared" si="59"/>
        <v>48.776469923730772</v>
      </c>
      <c r="YU51" s="966">
        <f t="shared" si="59"/>
        <v>49.538503167456469</v>
      </c>
      <c r="YV51" s="966">
        <f t="shared" si="59"/>
        <v>50.27742905775942</v>
      </c>
      <c r="YW51" s="966">
        <f t="shared" si="59"/>
        <v>50.993521139704093</v>
      </c>
      <c r="YX51" s="966">
        <f t="shared" si="59"/>
        <v>51.687062683144454</v>
      </c>
      <c r="YY51" s="966">
        <f t="shared" si="59"/>
        <v>52.35834588782852</v>
      </c>
      <c r="YZ51" s="966">
        <f t="shared" si="59"/>
        <v>53.007671110142503</v>
      </c>
      <c r="ZA51" s="966">
        <f t="shared" si="59"/>
        <v>53.635346112440232</v>
      </c>
      <c r="ZB51" s="966">
        <f t="shared" si="59"/>
        <v>54.241685335751953</v>
      </c>
      <c r="ZC51" s="966">
        <f t="shared" si="59"/>
        <v>54.827009196520748</v>
      </c>
      <c r="ZD51" s="966">
        <f t="shared" si="59"/>
        <v>55.391643407880942</v>
      </c>
      <c r="ZE51" s="966">
        <f t="shared" si="59"/>
        <v>55.935918325864442</v>
      </c>
      <c r="ZF51" s="966">
        <f t="shared" si="59"/>
        <v>56.460168320802417</v>
      </c>
      <c r="ZG51" s="966">
        <f t="shared" si="59"/>
        <v>56.964731174080221</v>
      </c>
      <c r="ZH51" s="966">
        <f t="shared" si="59"/>
        <v>57.449947500300027</v>
      </c>
      <c r="ZI51" s="966">
        <f t="shared" si="59"/>
        <v>57.91616019481242</v>
      </c>
      <c r="ZJ51" s="966">
        <f t="shared" si="59"/>
        <v>58.363713906491185</v>
      </c>
      <c r="ZK51" s="966">
        <f t="shared" si="59"/>
        <v>58.792954535546556</v>
      </c>
      <c r="ZL51" s="966">
        <f t="shared" si="59"/>
        <v>59.204228756101479</v>
      </c>
      <c r="ZM51" s="966">
        <f t="shared" si="59"/>
        <v>59.597883563189328</v>
      </c>
      <c r="ZN51" s="966">
        <f t="shared" si="59"/>
        <v>59.974265843774937</v>
      </c>
      <c r="ZO51" s="966">
        <f t="shared" si="59"/>
        <v>60.333721971349185</v>
      </c>
      <c r="ZP51" s="966">
        <f t="shared" si="59"/>
        <v>60.676597423600839</v>
      </c>
      <c r="ZQ51" s="966">
        <f t="shared" si="59"/>
        <v>61.003236422631794</v>
      </c>
      <c r="ZR51" s="966">
        <f t="shared" si="59"/>
        <v>61.313981597145919</v>
      </c>
      <c r="ZS51" s="966">
        <f t="shared" si="59"/>
        <v>61.609173666013689</v>
      </c>
      <c r="ZT51" s="966">
        <f t="shared" ref="ZT51:AAS51" si="60">ZT41-ZT49</f>
        <v>61.889151142591103</v>
      </c>
      <c r="ZU51" s="966">
        <f t="shared" si="60"/>
        <v>62.154250059150158</v>
      </c>
      <c r="ZV51" s="966">
        <f t="shared" si="60"/>
        <v>62.404803710765023</v>
      </c>
      <c r="ZW51" s="966">
        <f t="shared" si="60"/>
        <v>62.641142417984149</v>
      </c>
      <c r="ZX51" s="966">
        <f t="shared" si="60"/>
        <v>62.863593307612661</v>
      </c>
      <c r="ZY51" s="966">
        <f t="shared" si="60"/>
        <v>63.072480110923109</v>
      </c>
      <c r="ZZ51" s="966">
        <f t="shared" si="60"/>
        <v>63.26812297861197</v>
      </c>
      <c r="AAA51" s="966">
        <f t="shared" si="60"/>
        <v>63.450838311820348</v>
      </c>
      <c r="AAB51" s="966">
        <f t="shared" si="60"/>
        <v>63.620938608539994</v>
      </c>
      <c r="AAC51" s="966">
        <f t="shared" si="60"/>
        <v>63.778732324732886</v>
      </c>
      <c r="AAD51" s="966">
        <f t="shared" si="60"/>
        <v>63.924523749499215</v>
      </c>
      <c r="AAE51" s="966">
        <f t="shared" si="60"/>
        <v>64.058612893639264</v>
      </c>
      <c r="AAF51" s="966">
        <f t="shared" si="60"/>
        <v>64.181295390964749</v>
      </c>
      <c r="AAG51" s="966">
        <f t="shared" si="60"/>
        <v>64.292862411728748</v>
      </c>
      <c r="AAH51" s="966">
        <f t="shared" si="60"/>
        <v>64.393600587556676</v>
      </c>
      <c r="AAI51" s="966">
        <f t="shared" si="60"/>
        <v>64.483791947274995</v>
      </c>
      <c r="AAJ51" s="966">
        <f t="shared" si="60"/>
        <v>64.563713863050793</v>
      </c>
      <c r="AAK51" s="966">
        <f t="shared" si="60"/>
        <v>64.633639006271778</v>
      </c>
      <c r="AAL51" s="966">
        <f t="shared" si="60"/>
        <v>64.693835312611768</v>
      </c>
      <c r="AAM51" s="966">
        <f t="shared" si="60"/>
        <v>64.744565955746054</v>
      </c>
      <c r="AAN51" s="966">
        <f t="shared" si="60"/>
        <v>64.786089329197139</v>
      </c>
      <c r="AAO51" s="966">
        <f t="shared" si="60"/>
        <v>64.818659035810398</v>
      </c>
      <c r="AAP51" s="966">
        <f t="shared" si="60"/>
        <v>64.842523884376618</v>
      </c>
      <c r="AAQ51" s="966">
        <f t="shared" si="60"/>
        <v>64.857927892936445</v>
      </c>
      <c r="AAR51" s="966">
        <f t="shared" si="60"/>
        <v>64.865110298320701</v>
      </c>
      <c r="AAS51" s="966">
        <f t="shared" si="60"/>
        <v>64.864305571497738</v>
      </c>
      <c r="AAT51" s="964">
        <v>16</v>
      </c>
      <c r="AAU51" s="756" t="s">
        <v>393</v>
      </c>
      <c r="AAV51" s="756"/>
      <c r="AAW51" s="958" t="s">
        <v>936</v>
      </c>
      <c r="AAX51" s="1058"/>
      <c r="AAY51" s="1058"/>
      <c r="AAZ51" s="1058"/>
      <c r="ABA51" s="162"/>
      <c r="ABB51" s="158"/>
      <c r="ABC51" s="158"/>
      <c r="ABD51" s="163"/>
      <c r="ACJ51" s="759">
        <v>0.66666666699999999</v>
      </c>
      <c r="ACK51" s="760"/>
      <c r="ACL51" s="759">
        <v>-0.66666666699999999</v>
      </c>
      <c r="ACM51" s="760"/>
      <c r="ACN51" s="591">
        <v>39</v>
      </c>
      <c r="ACO51" s="759">
        <f t="shared" si="0"/>
        <v>0.26000000013000013</v>
      </c>
      <c r="ACP51" s="760"/>
      <c r="ACQ51" s="757">
        <f t="shared" si="48"/>
        <v>1.3900000000000001</v>
      </c>
      <c r="ACR51" s="758"/>
      <c r="ACT51" s="759">
        <v>1</v>
      </c>
      <c r="ACU51" s="760"/>
      <c r="ACV51" s="759">
        <v>-1.2</v>
      </c>
      <c r="ACW51" s="760"/>
      <c r="ACX51" s="592">
        <v>89</v>
      </c>
      <c r="ACY51" s="759">
        <f t="shared" si="8"/>
        <v>0.69000000000000017</v>
      </c>
      <c r="ACZ51" s="760"/>
      <c r="ADA51" s="757">
        <f t="shared" si="49"/>
        <v>1.8900000000000001</v>
      </c>
      <c r="ADB51" s="758"/>
      <c r="ADD51" s="1112">
        <v>1.1052631578947401</v>
      </c>
      <c r="ADE51" s="1112"/>
      <c r="ADF51" s="1112">
        <v>-1.42105263157895</v>
      </c>
      <c r="ADG51" s="1112"/>
      <c r="ADH51" s="591">
        <v>138</v>
      </c>
      <c r="ADI51" s="759">
        <f t="shared" si="56"/>
        <v>1.2094736842105314</v>
      </c>
      <c r="ADJ51" s="760"/>
      <c r="ADK51" s="757">
        <f t="shared" si="50"/>
        <v>2.38</v>
      </c>
      <c r="ADL51" s="758"/>
      <c r="ADN51" s="759">
        <v>1.1052631580000001</v>
      </c>
      <c r="ADO51" s="760"/>
      <c r="ADP51" s="759">
        <v>-1.42105263157895</v>
      </c>
      <c r="ADQ51" s="760"/>
      <c r="ADR51" s="591">
        <v>188</v>
      </c>
      <c r="ADS51" s="759">
        <f t="shared" si="9"/>
        <v>1.7621052634610499</v>
      </c>
      <c r="ADT51" s="760"/>
      <c r="ADU51" s="757">
        <f t="shared" si="51"/>
        <v>2.88</v>
      </c>
      <c r="ADV51" s="758"/>
      <c r="ADX51" s="759">
        <v>1.1052631580000001</v>
      </c>
      <c r="ADY51" s="760"/>
      <c r="ADZ51" s="759">
        <v>-1.42105263157895</v>
      </c>
      <c r="AEA51" s="760"/>
      <c r="AEB51" s="591">
        <v>238</v>
      </c>
      <c r="AEC51" s="759">
        <f t="shared" si="10"/>
        <v>2.3147368424610502</v>
      </c>
      <c r="AED51" s="760"/>
      <c r="AEE51" s="757">
        <f t="shared" si="52"/>
        <v>3.38</v>
      </c>
      <c r="AEF51" s="758"/>
      <c r="AEH51" s="759">
        <v>1.1052631580000001</v>
      </c>
      <c r="AEI51" s="760"/>
      <c r="AEJ51" s="759">
        <v>-1.42105263157895</v>
      </c>
      <c r="AEK51" s="760"/>
      <c r="AEL51" s="591">
        <v>288</v>
      </c>
      <c r="AEM51" s="759">
        <f t="shared" si="37"/>
        <v>2.8673684214610504</v>
      </c>
      <c r="AEN51" s="760"/>
      <c r="AEO51" s="757">
        <f t="shared" si="53"/>
        <v>3.88</v>
      </c>
      <c r="AEP51" s="758"/>
      <c r="AGL51" s="850"/>
      <c r="AGM51" s="800" t="s">
        <v>1463</v>
      </c>
      <c r="AGN51" s="982"/>
      <c r="AGO51" s="951">
        <f>$AHB$21</f>
        <v>2.923385945848388E-2</v>
      </c>
      <c r="AGP51" s="952"/>
      <c r="AGQ51" s="797" t="s">
        <v>126</v>
      </c>
      <c r="AGR51" s="797"/>
      <c r="AGS51" s="797"/>
      <c r="AGT51" s="797"/>
      <c r="AGU51" s="797"/>
      <c r="AGV51" s="797"/>
      <c r="AGW51" s="797"/>
      <c r="AGX51" s="797"/>
      <c r="AGY51" s="798"/>
      <c r="AGZ51" s="835">
        <f>(AHB21/(1+AGO52))*1000</f>
        <v>17.61075870993005</v>
      </c>
      <c r="AHA51" s="836"/>
      <c r="AHB51" s="1341" t="s">
        <v>729</v>
      </c>
      <c r="AHC51" s="1342"/>
      <c r="AHD51" s="1066"/>
      <c r="AHE51" s="1170" t="s">
        <v>1412</v>
      </c>
      <c r="AHF51" s="1172"/>
      <c r="AHG51" s="847"/>
      <c r="AHH51" s="826"/>
      <c r="AHI51" s="945"/>
      <c r="AHJ51" s="946"/>
      <c r="AIG51" s="130"/>
      <c r="AIH51" s="130"/>
      <c r="AII51" s="130"/>
      <c r="AIJ51" s="130"/>
      <c r="AIK51" s="130"/>
      <c r="AIL51" s="130"/>
      <c r="AIM51" s="130"/>
      <c r="AIN51" s="130"/>
      <c r="AIO51" s="130"/>
      <c r="AIP51" s="130"/>
      <c r="AIQ51" s="130"/>
      <c r="AIR51" s="130"/>
      <c r="AIS51" s="130"/>
      <c r="AIT51" s="130"/>
      <c r="AIU51" s="130"/>
      <c r="AIV51" s="130"/>
      <c r="AQL51" s="130"/>
      <c r="AQV51" s="653"/>
      <c r="AQW51" s="653"/>
      <c r="AQX51" s="653"/>
      <c r="AQY51" s="653"/>
      <c r="AQZ51" s="653"/>
      <c r="ARA51" s="653"/>
      <c r="ARB51" s="653"/>
      <c r="ARC51" s="653"/>
      <c r="ARD51" s="653"/>
      <c r="ARE51" s="653"/>
      <c r="ARF51" s="653"/>
      <c r="ARG51" s="653"/>
      <c r="ARH51" s="653"/>
      <c r="ARI51" s="653"/>
      <c r="ARJ51" s="653"/>
      <c r="ARK51" s="653"/>
      <c r="ARL51" s="653"/>
      <c r="ARU51" s="849"/>
      <c r="ARV51" s="852" t="s">
        <v>416</v>
      </c>
      <c r="ARW51" s="853"/>
      <c r="ARX51" s="142"/>
      <c r="ARY51" s="78"/>
      <c r="ARZ51" s="78"/>
      <c r="ASA51" s="78"/>
      <c r="ASB51" s="78"/>
      <c r="ASC51" s="78"/>
      <c r="ASD51" s="78"/>
      <c r="ASE51" s="142"/>
      <c r="ASF51" s="76" t="s">
        <v>441</v>
      </c>
      <c r="ASG51" s="854" t="s">
        <v>435</v>
      </c>
      <c r="ASH51" s="855"/>
      <c r="ASI51" s="920" t="s">
        <v>111</v>
      </c>
      <c r="ASJ51" s="921"/>
      <c r="ASK51" s="916" t="s">
        <v>704</v>
      </c>
      <c r="ASL51" s="917"/>
      <c r="ASM51" s="906" t="s">
        <v>447</v>
      </c>
      <c r="ASN51" s="907"/>
      <c r="ASO51" s="907"/>
      <c r="ASP51" s="908"/>
      <c r="ASW51" s="851"/>
      <c r="ASX51" s="857"/>
      <c r="ASY51" s="857"/>
      <c r="ASZ51" s="857"/>
      <c r="ATA51" s="857"/>
      <c r="ATB51" s="857"/>
      <c r="ATC51" s="857"/>
      <c r="ATD51" s="857"/>
      <c r="ATE51" s="857"/>
      <c r="ATF51" s="857"/>
      <c r="ATG51" s="857"/>
      <c r="ATH51" s="857"/>
      <c r="ATI51" s="857"/>
      <c r="ATJ51" s="1562"/>
      <c r="ATK51" s="1569"/>
      <c r="ATL51" s="1570"/>
      <c r="ATM51" s="778"/>
      <c r="ATN51" s="799"/>
      <c r="ATO51" s="1067"/>
      <c r="ATP51" s="845"/>
      <c r="ATQ51" s="846"/>
      <c r="ATR51" s="848"/>
    </row>
    <row r="52" spans="4:1011 1128:1224" ht="48" customHeight="1" thickBot="1">
      <c r="D52" s="162"/>
      <c r="E52" s="731"/>
      <c r="F52" s="854"/>
      <c r="G52" s="891"/>
      <c r="H52" s="891"/>
      <c r="I52" s="891"/>
      <c r="J52" s="891"/>
      <c r="K52" s="891"/>
      <c r="L52" s="731"/>
      <c r="M52" s="158"/>
      <c r="N52" s="158"/>
      <c r="O52" s="158"/>
      <c r="P52" s="158"/>
      <c r="Q52" s="158"/>
      <c r="R52" s="158"/>
      <c r="S52" s="158"/>
      <c r="T52" s="158"/>
      <c r="U52" s="158"/>
      <c r="V52" s="158"/>
      <c r="W52" s="158"/>
      <c r="X52" s="158"/>
      <c r="Y52" s="163"/>
      <c r="AI52" s="849"/>
      <c r="AJ52" s="1684">
        <v>1.7</v>
      </c>
      <c r="AK52" s="1684"/>
      <c r="AL52" s="63"/>
      <c r="AM52" s="62" t="s">
        <v>441</v>
      </c>
      <c r="AN52" s="1676" t="s">
        <v>435</v>
      </c>
      <c r="AO52" s="1683"/>
      <c r="AP52" s="924" t="s">
        <v>111</v>
      </c>
      <c r="AQ52" s="925"/>
      <c r="AR52" s="916" t="s">
        <v>704</v>
      </c>
      <c r="AS52" s="917"/>
      <c r="AT52" s="906" t="s">
        <v>447</v>
      </c>
      <c r="AU52" s="907"/>
      <c r="AV52" s="907"/>
      <c r="AW52" s="908"/>
      <c r="AX52" s="1051" t="s">
        <v>446</v>
      </c>
      <c r="AY52" s="1051"/>
      <c r="AZ52" s="1051"/>
      <c r="BA52" s="1051"/>
      <c r="BJ52" s="126"/>
      <c r="BK52" s="126"/>
      <c r="BN52" s="3"/>
      <c r="BO52" s="130"/>
      <c r="BP52" s="130"/>
      <c r="BQ52" s="130"/>
      <c r="BR52" s="130"/>
      <c r="BS52" s="130"/>
      <c r="DM52" s="130"/>
      <c r="DN52" s="130"/>
      <c r="DO52" s="130"/>
      <c r="DP52" s="130"/>
      <c r="DQ52" s="130"/>
      <c r="DR52" s="130"/>
      <c r="DS52" s="130"/>
      <c r="DT52" s="130"/>
      <c r="DU52" s="130"/>
      <c r="DV52" s="130"/>
      <c r="DW52" s="130"/>
      <c r="DX52" s="130"/>
      <c r="FE52" s="6"/>
      <c r="FF52" s="3"/>
      <c r="FV52" s="653"/>
      <c r="FW52" s="653"/>
      <c r="FX52" s="653"/>
      <c r="FY52" s="653"/>
      <c r="FZ52" s="653"/>
      <c r="GA52" s="653"/>
      <c r="GB52" s="653"/>
      <c r="GC52" s="653"/>
      <c r="GF52" s="897" t="s">
        <v>930</v>
      </c>
      <c r="GG52" s="898"/>
      <c r="GH52" s="899"/>
      <c r="GI52" s="1052"/>
      <c r="GJ52" s="852" t="s">
        <v>416</v>
      </c>
      <c r="GK52" s="923"/>
      <c r="GL52" s="136"/>
      <c r="GM52" s="76" t="s">
        <v>441</v>
      </c>
      <c r="GN52" s="854" t="s">
        <v>435</v>
      </c>
      <c r="GO52" s="855"/>
      <c r="GP52" s="924" t="s">
        <v>111</v>
      </c>
      <c r="GQ52" s="925"/>
      <c r="GR52" s="1445" t="s">
        <v>704</v>
      </c>
      <c r="GS52" s="1446"/>
      <c r="GT52" s="1447"/>
      <c r="GU52" s="906" t="s">
        <v>447</v>
      </c>
      <c r="GV52" s="907"/>
      <c r="GW52" s="907"/>
      <c r="GX52" s="908"/>
      <c r="IW52" s="653"/>
      <c r="IX52" s="653"/>
      <c r="IY52" s="653"/>
      <c r="IZ52" s="653"/>
      <c r="JA52" s="653"/>
      <c r="JB52" s="653"/>
      <c r="JC52" s="653"/>
      <c r="JD52" s="653"/>
      <c r="JE52" s="653"/>
      <c r="JF52" s="653"/>
      <c r="JX52" s="1052"/>
      <c r="JY52" s="852" t="s">
        <v>1029</v>
      </c>
      <c r="JZ52" s="923"/>
      <c r="KA52" s="223"/>
      <c r="KB52" s="497" t="s">
        <v>1598</v>
      </c>
      <c r="KC52" s="761">
        <f>$AW$95</f>
        <v>0.19391178434038603</v>
      </c>
      <c r="KD52" s="761"/>
      <c r="KE52" s="136"/>
      <c r="KF52" s="78"/>
      <c r="KG52" s="78"/>
      <c r="KH52" s="136"/>
      <c r="KI52" s="76" t="s">
        <v>441</v>
      </c>
      <c r="KJ52" s="854" t="s">
        <v>435</v>
      </c>
      <c r="KK52" s="855"/>
      <c r="KL52" s="920" t="s">
        <v>111</v>
      </c>
      <c r="KM52" s="921"/>
      <c r="KN52" s="916" t="s">
        <v>704</v>
      </c>
      <c r="KO52" s="917"/>
      <c r="KP52" s="906" t="s">
        <v>447</v>
      </c>
      <c r="KQ52" s="907"/>
      <c r="KR52" s="907"/>
      <c r="KS52" s="907"/>
      <c r="KT52" s="1051" t="s">
        <v>436</v>
      </c>
      <c r="KU52" s="1051"/>
      <c r="KV52" s="1051"/>
      <c r="KW52" s="1051"/>
      <c r="KX52" s="1051"/>
      <c r="KY52" s="1051"/>
      <c r="MB52" s="849"/>
      <c r="MC52" s="852" t="s">
        <v>416</v>
      </c>
      <c r="MD52" s="853"/>
      <c r="ME52" s="344"/>
      <c r="MF52" s="439" t="s">
        <v>1455</v>
      </c>
      <c r="MG52" s="1156">
        <f>$MP$23</f>
        <v>0.14308700299628158</v>
      </c>
      <c r="MH52" s="1156"/>
      <c r="MI52" s="78"/>
      <c r="MJ52" s="78"/>
      <c r="MK52" s="78"/>
      <c r="ML52" s="344"/>
      <c r="MM52" s="76" t="s">
        <v>441</v>
      </c>
      <c r="MN52" s="854" t="s">
        <v>435</v>
      </c>
      <c r="MO52" s="855"/>
      <c r="MP52" s="920" t="s">
        <v>111</v>
      </c>
      <c r="MQ52" s="921"/>
      <c r="MR52" s="916" t="s">
        <v>704</v>
      </c>
      <c r="MS52" s="917"/>
      <c r="MT52" s="906" t="s">
        <v>447</v>
      </c>
      <c r="MU52" s="907"/>
      <c r="MV52" s="907"/>
      <c r="MW52" s="908"/>
      <c r="MX52" s="1051" t="s">
        <v>436</v>
      </c>
      <c r="MY52" s="1051"/>
      <c r="MZ52" s="1051"/>
      <c r="NA52" s="1051"/>
      <c r="NK52" s="377"/>
      <c r="NL52" s="373"/>
      <c r="NM52" s="373"/>
      <c r="NN52" s="373"/>
      <c r="NO52" s="373"/>
      <c r="NP52" s="373"/>
      <c r="NQ52" s="373"/>
      <c r="NR52" s="373"/>
      <c r="NS52" s="373"/>
      <c r="NT52" s="373"/>
      <c r="NU52" s="373"/>
      <c r="NV52" s="373"/>
      <c r="NW52" s="373"/>
      <c r="NX52" s="373"/>
      <c r="NY52" s="373"/>
      <c r="NZ52" s="373"/>
      <c r="OA52" s="373"/>
      <c r="OB52" s="373"/>
      <c r="OC52" s="373"/>
      <c r="OD52" s="373"/>
      <c r="OE52" s="373"/>
      <c r="OF52" s="374"/>
      <c r="PJ52" s="130"/>
      <c r="PL52" s="897" t="s">
        <v>973</v>
      </c>
      <c r="PM52" s="898"/>
      <c r="PN52" s="899"/>
      <c r="PO52" s="849"/>
      <c r="PP52" s="1257" t="s">
        <v>416</v>
      </c>
      <c r="PQ52" s="1257"/>
      <c r="PR52" s="157"/>
      <c r="PS52" s="806" t="s">
        <v>1854</v>
      </c>
      <c r="PT52" s="807"/>
      <c r="PU52" s="808"/>
      <c r="PV52" s="76" t="s">
        <v>451</v>
      </c>
      <c r="PW52" s="157"/>
      <c r="PX52" s="76" t="s">
        <v>441</v>
      </c>
      <c r="PY52" s="854" t="s">
        <v>435</v>
      </c>
      <c r="PZ52" s="1111"/>
      <c r="QA52" s="920" t="s">
        <v>111</v>
      </c>
      <c r="QB52" s="921"/>
      <c r="QC52" s="916" t="s">
        <v>704</v>
      </c>
      <c r="QD52" s="917"/>
      <c r="QE52" s="906" t="s">
        <v>447</v>
      </c>
      <c r="QF52" s="907"/>
      <c r="QG52" s="907"/>
      <c r="QH52" s="908"/>
      <c r="RE52" s="653"/>
      <c r="RF52" s="653"/>
      <c r="RG52" s="653"/>
      <c r="RH52" s="653"/>
      <c r="RI52" s="653"/>
      <c r="RJ52" s="653"/>
      <c r="RK52" s="653"/>
      <c r="RL52" s="653"/>
      <c r="RM52" s="653"/>
      <c r="RN52" s="653"/>
      <c r="RO52" s="653"/>
      <c r="RP52" s="653"/>
      <c r="RQ52" s="653"/>
      <c r="RR52" s="653"/>
      <c r="RS52" s="653"/>
      <c r="RT52" s="653"/>
      <c r="RU52" s="653"/>
      <c r="RV52" s="653"/>
      <c r="RW52" s="653"/>
      <c r="RX52" s="653"/>
      <c r="RY52" s="653"/>
      <c r="SJ52" s="653"/>
      <c r="SK52" s="653"/>
      <c r="SL52" s="653"/>
      <c r="SM52" s="653"/>
      <c r="SN52" s="653"/>
      <c r="SO52" s="653"/>
      <c r="SP52" s="653"/>
      <c r="SQ52" s="653"/>
      <c r="SR52" s="653"/>
      <c r="SS52" s="653"/>
      <c r="ST52" s="653"/>
      <c r="SU52" s="653"/>
      <c r="SV52" s="653"/>
      <c r="SW52" s="653"/>
      <c r="SX52" s="653"/>
      <c r="SY52" s="653"/>
      <c r="SZ52" s="653"/>
      <c r="TA52" s="653"/>
      <c r="TB52" s="653"/>
      <c r="TC52" s="653"/>
      <c r="TD52" s="653"/>
      <c r="TE52" s="653"/>
      <c r="TF52" s="653"/>
      <c r="TG52" s="653"/>
      <c r="TH52" s="653"/>
      <c r="TI52" s="653"/>
      <c r="TJ52" s="653"/>
      <c r="TK52" s="653"/>
      <c r="TL52" s="653"/>
      <c r="TM52" s="653"/>
      <c r="TN52" s="653"/>
      <c r="TO52" s="653"/>
      <c r="TP52" s="653"/>
      <c r="TQ52" s="653"/>
      <c r="TR52" s="653"/>
      <c r="TS52" s="653"/>
      <c r="TT52" s="653"/>
      <c r="TU52" s="653"/>
      <c r="TV52" s="653"/>
      <c r="TW52" s="653"/>
      <c r="TX52" s="653"/>
      <c r="TY52" s="653"/>
      <c r="TZ52" s="653"/>
      <c r="UA52" s="653"/>
      <c r="UB52" s="653"/>
      <c r="UC52" s="653"/>
      <c r="UD52" s="653"/>
      <c r="UE52" s="653"/>
      <c r="UF52" s="653"/>
      <c r="UG52" s="653"/>
      <c r="UH52" s="653"/>
      <c r="UI52" s="653"/>
      <c r="UJ52" s="653"/>
      <c r="UK52" s="653"/>
      <c r="UL52" s="653"/>
      <c r="UM52" s="653"/>
      <c r="UN52" s="653"/>
      <c r="UO52" s="653"/>
      <c r="UP52" s="653"/>
      <c r="UQ52" s="653"/>
      <c r="UR52" s="653"/>
      <c r="US52" s="653"/>
      <c r="UT52" s="653"/>
      <c r="UU52" s="653"/>
      <c r="UV52" s="653"/>
      <c r="UW52" s="653"/>
      <c r="UX52" s="653"/>
      <c r="UY52" s="653"/>
      <c r="UZ52" s="653"/>
      <c r="VV52" s="800" t="s">
        <v>1612</v>
      </c>
      <c r="VW52" s="982"/>
      <c r="VX52" s="801"/>
      <c r="VY52" s="883">
        <f>$SN$26</f>
        <v>0.91906384518855788</v>
      </c>
      <c r="VZ52" s="884"/>
      <c r="WC52" s="130"/>
      <c r="WE52" s="162"/>
      <c r="WF52" s="158"/>
      <c r="WG52" s="158"/>
      <c r="WH52" s="158"/>
      <c r="WI52" s="158"/>
      <c r="WJ52" s="163"/>
      <c r="WK52" s="169"/>
      <c r="WL52" s="170"/>
      <c r="WM52" s="170"/>
      <c r="WN52" s="170"/>
      <c r="WO52" s="170"/>
      <c r="WP52" s="170"/>
      <c r="WQ52" s="170"/>
      <c r="WR52" s="170"/>
      <c r="WS52" s="170"/>
      <c r="WT52" s="170"/>
      <c r="WU52" s="170"/>
      <c r="WV52" s="170"/>
      <c r="WW52" s="172"/>
      <c r="WX52" s="978"/>
      <c r="WY52" s="979"/>
      <c r="WZ52" s="756"/>
      <c r="XA52" s="756"/>
      <c r="XB52" s="169"/>
      <c r="XC52" s="170"/>
      <c r="XD52" s="170"/>
      <c r="XE52" s="170"/>
      <c r="XF52" s="172"/>
      <c r="XG52" s="967"/>
      <c r="XH52" s="967"/>
      <c r="XI52" s="967"/>
      <c r="XJ52" s="967"/>
      <c r="XK52" s="967"/>
      <c r="XL52" s="967"/>
      <c r="XM52" s="967"/>
      <c r="XN52" s="967"/>
      <c r="XO52" s="967"/>
      <c r="XP52" s="967"/>
      <c r="XQ52" s="967"/>
      <c r="XR52" s="967"/>
      <c r="XS52" s="967"/>
      <c r="XT52" s="967"/>
      <c r="XU52" s="967"/>
      <c r="XV52" s="967"/>
      <c r="XW52" s="967"/>
      <c r="XX52" s="967"/>
      <c r="XY52" s="967"/>
      <c r="XZ52" s="967"/>
      <c r="YA52" s="967"/>
      <c r="YB52" s="967"/>
      <c r="YC52" s="967"/>
      <c r="YD52" s="967"/>
      <c r="YE52" s="967"/>
      <c r="YF52" s="967"/>
      <c r="YG52" s="967"/>
      <c r="YH52" s="967"/>
      <c r="YI52" s="967"/>
      <c r="YJ52" s="967"/>
      <c r="YK52" s="967"/>
      <c r="YL52" s="967"/>
      <c r="YM52" s="967"/>
      <c r="YN52" s="967"/>
      <c r="YO52" s="967"/>
      <c r="YP52" s="967"/>
      <c r="YQ52" s="967"/>
      <c r="YR52" s="967"/>
      <c r="YS52" s="967"/>
      <c r="YT52" s="967"/>
      <c r="YU52" s="967"/>
      <c r="YV52" s="967"/>
      <c r="YW52" s="967"/>
      <c r="YX52" s="967"/>
      <c r="YY52" s="967"/>
      <c r="YZ52" s="967"/>
      <c r="ZA52" s="967"/>
      <c r="ZB52" s="967"/>
      <c r="ZC52" s="967"/>
      <c r="ZD52" s="967"/>
      <c r="ZE52" s="967"/>
      <c r="ZF52" s="967"/>
      <c r="ZG52" s="967"/>
      <c r="ZH52" s="967"/>
      <c r="ZI52" s="967"/>
      <c r="ZJ52" s="967"/>
      <c r="ZK52" s="967"/>
      <c r="ZL52" s="967"/>
      <c r="ZM52" s="967"/>
      <c r="ZN52" s="967"/>
      <c r="ZO52" s="967"/>
      <c r="ZP52" s="967"/>
      <c r="ZQ52" s="967"/>
      <c r="ZR52" s="967"/>
      <c r="ZS52" s="967"/>
      <c r="ZT52" s="967"/>
      <c r="ZU52" s="967"/>
      <c r="ZV52" s="967"/>
      <c r="ZW52" s="967"/>
      <c r="ZX52" s="967"/>
      <c r="ZY52" s="967"/>
      <c r="ZZ52" s="967"/>
      <c r="AAA52" s="967"/>
      <c r="AAB52" s="967"/>
      <c r="AAC52" s="967"/>
      <c r="AAD52" s="967"/>
      <c r="AAE52" s="967"/>
      <c r="AAF52" s="967"/>
      <c r="AAG52" s="967"/>
      <c r="AAH52" s="967"/>
      <c r="AAI52" s="967"/>
      <c r="AAJ52" s="967"/>
      <c r="AAK52" s="967"/>
      <c r="AAL52" s="967"/>
      <c r="AAM52" s="967"/>
      <c r="AAN52" s="967"/>
      <c r="AAO52" s="967"/>
      <c r="AAP52" s="967"/>
      <c r="AAQ52" s="967"/>
      <c r="AAR52" s="967"/>
      <c r="AAS52" s="967"/>
      <c r="AAT52" s="965"/>
      <c r="AAU52" s="756"/>
      <c r="AAV52" s="756"/>
      <c r="AAW52" s="962"/>
      <c r="AAX52" s="1059"/>
      <c r="AAY52" s="1059"/>
      <c r="AAZ52" s="1059"/>
      <c r="ABA52" s="162"/>
      <c r="ABB52" s="158"/>
      <c r="ABC52" s="158"/>
      <c r="ABD52" s="163"/>
      <c r="ACJ52" s="759">
        <v>0.66666666699999999</v>
      </c>
      <c r="ACK52" s="760"/>
      <c r="ACL52" s="759">
        <v>-0.66666666699999999</v>
      </c>
      <c r="ACM52" s="760"/>
      <c r="ACN52" s="591">
        <v>40</v>
      </c>
      <c r="ACO52" s="759">
        <f t="shared" si="0"/>
        <v>0.26666666679999995</v>
      </c>
      <c r="ACP52" s="760"/>
      <c r="ACQ52" s="757">
        <f t="shared" si="48"/>
        <v>1.4</v>
      </c>
      <c r="ACR52" s="758"/>
      <c r="ACT52" s="759">
        <v>1</v>
      </c>
      <c r="ACU52" s="760"/>
      <c r="ACV52" s="759">
        <v>-1.2</v>
      </c>
      <c r="ACW52" s="760"/>
      <c r="ACX52" s="592">
        <v>90</v>
      </c>
      <c r="ACY52" s="759">
        <f t="shared" si="8"/>
        <v>0.7</v>
      </c>
      <c r="ACZ52" s="760"/>
      <c r="ADA52" s="757">
        <f t="shared" si="49"/>
        <v>1.9</v>
      </c>
      <c r="ADB52" s="758"/>
      <c r="ADD52" s="1112">
        <v>1.1052631578947401</v>
      </c>
      <c r="ADE52" s="1112"/>
      <c r="ADF52" s="1112">
        <v>-1.42105263157895</v>
      </c>
      <c r="ADG52" s="1112"/>
      <c r="ADH52" s="591">
        <v>139</v>
      </c>
      <c r="ADI52" s="759">
        <f t="shared" si="56"/>
        <v>1.220526315789479</v>
      </c>
      <c r="ADJ52" s="760"/>
      <c r="ADK52" s="757">
        <f t="shared" si="50"/>
        <v>2.39</v>
      </c>
      <c r="ADL52" s="758"/>
      <c r="ADN52" s="759">
        <v>1.1052631580000001</v>
      </c>
      <c r="ADO52" s="760"/>
      <c r="ADP52" s="759">
        <v>-1.42105263157895</v>
      </c>
      <c r="ADQ52" s="760"/>
      <c r="ADR52" s="591">
        <v>189</v>
      </c>
      <c r="ADS52" s="759">
        <f t="shared" si="9"/>
        <v>1.7731578950410505</v>
      </c>
      <c r="ADT52" s="760"/>
      <c r="ADU52" s="757">
        <f t="shared" si="51"/>
        <v>2.89</v>
      </c>
      <c r="ADV52" s="758"/>
      <c r="ADX52" s="759">
        <v>1.1052631580000001</v>
      </c>
      <c r="ADY52" s="760"/>
      <c r="ADZ52" s="759">
        <v>-1.42105263157895</v>
      </c>
      <c r="AEA52" s="760"/>
      <c r="AEB52" s="591">
        <v>239</v>
      </c>
      <c r="AEC52" s="759">
        <f t="shared" si="10"/>
        <v>2.3257894740410503</v>
      </c>
      <c r="AED52" s="760"/>
      <c r="AEE52" s="757">
        <f t="shared" si="52"/>
        <v>3.39</v>
      </c>
      <c r="AEF52" s="758"/>
      <c r="AEH52" s="759">
        <v>1.1052631580000001</v>
      </c>
      <c r="AEI52" s="760"/>
      <c r="AEJ52" s="759">
        <v>-1.42105263157895</v>
      </c>
      <c r="AEK52" s="760"/>
      <c r="AEL52" s="591">
        <v>289</v>
      </c>
      <c r="AEM52" s="759">
        <f t="shared" si="37"/>
        <v>2.8784210530410506</v>
      </c>
      <c r="AEN52" s="760"/>
      <c r="AEO52" s="757">
        <f t="shared" si="53"/>
        <v>3.89</v>
      </c>
      <c r="AEP52" s="758"/>
      <c r="AGL52" s="851"/>
      <c r="AGM52" s="802" t="s">
        <v>432</v>
      </c>
      <c r="AGN52" s="803"/>
      <c r="AGO52" s="1187">
        <f>$AHA$41</f>
        <v>0.65999999999999992</v>
      </c>
      <c r="AGP52" s="1187"/>
      <c r="AGQ52" s="778"/>
      <c r="AGR52" s="778"/>
      <c r="AGS52" s="778"/>
      <c r="AGT52" s="778"/>
      <c r="AGU52" s="778"/>
      <c r="AGV52" s="778"/>
      <c r="AGW52" s="778"/>
      <c r="AGX52" s="778"/>
      <c r="AGY52" s="799"/>
      <c r="AGZ52" s="837"/>
      <c r="AHA52" s="838"/>
      <c r="AHB52" s="1355"/>
      <c r="AHC52" s="1356"/>
      <c r="AHD52" s="1067"/>
      <c r="AHE52" s="1173"/>
      <c r="AHF52" s="1175"/>
      <c r="AHG52" s="848"/>
      <c r="AHH52" s="828"/>
      <c r="AHI52" s="949"/>
      <c r="AHJ52" s="950"/>
      <c r="AHK52" s="130"/>
      <c r="AHL52" s="130"/>
      <c r="AHM52" s="130"/>
      <c r="AHN52" s="130"/>
      <c r="AIG52" s="130"/>
      <c r="AIH52" s="130"/>
      <c r="AII52" s="130"/>
      <c r="AIJ52" s="130"/>
      <c r="AIK52" s="130"/>
      <c r="AIO52" s="130"/>
      <c r="AIP52" s="130"/>
      <c r="AIQ52" s="130"/>
      <c r="AIR52" s="130"/>
      <c r="AIS52" s="130"/>
      <c r="AIT52" s="130"/>
      <c r="AIU52" s="130"/>
      <c r="AIV52" s="130"/>
      <c r="AQL52" s="130"/>
      <c r="ARU52" s="850"/>
      <c r="ARV52" s="856" t="s">
        <v>142</v>
      </c>
      <c r="ARW52" s="856"/>
      <c r="ARX52" s="856"/>
      <c r="ARY52" s="856"/>
      <c r="ARZ52" s="856"/>
      <c r="ASA52" s="856"/>
      <c r="ASB52" s="856"/>
      <c r="ASC52" s="856"/>
      <c r="ASD52" s="856"/>
      <c r="ASE52" s="856"/>
      <c r="ASF52" s="856"/>
      <c r="ASG52" s="856"/>
      <c r="ASH52" s="856"/>
      <c r="ASI52" s="1378"/>
      <c r="ASJ52" s="1379"/>
      <c r="ASK52" s="839"/>
      <c r="ASL52" s="840"/>
      <c r="ASM52" s="841"/>
      <c r="ASN52" s="843" t="s">
        <v>416</v>
      </c>
      <c r="ASO52" s="844"/>
      <c r="ASP52" s="847"/>
    </row>
    <row r="53" spans="4:1011 1128:1224" ht="48" customHeight="1" thickBot="1">
      <c r="D53" s="162"/>
      <c r="E53" s="165"/>
      <c r="F53" s="165"/>
      <c r="G53" s="165"/>
      <c r="H53" s="158"/>
      <c r="I53" s="165"/>
      <c r="J53" s="165"/>
      <c r="K53" s="165"/>
      <c r="L53" s="158"/>
      <c r="M53" s="158"/>
      <c r="N53" s="158"/>
      <c r="O53" s="158"/>
      <c r="P53" s="158"/>
      <c r="Q53" s="158"/>
      <c r="R53" s="158"/>
      <c r="S53" s="158"/>
      <c r="T53" s="158"/>
      <c r="U53" s="158"/>
      <c r="V53" s="158"/>
      <c r="W53" s="158"/>
      <c r="X53" s="158"/>
      <c r="Y53" s="163"/>
      <c r="AI53" s="850"/>
      <c r="AJ53" s="612" t="s">
        <v>402</v>
      </c>
      <c r="AK53" s="761">
        <f>$AP$20</f>
        <v>4</v>
      </c>
      <c r="AL53" s="761"/>
      <c r="AM53" s="768" t="s">
        <v>13</v>
      </c>
      <c r="AN53" s="762"/>
      <c r="AO53" s="762"/>
      <c r="AP53" s="1727">
        <f>(3.14*AK54)/AK53</f>
        <v>0.16707940000000002</v>
      </c>
      <c r="AQ53" s="1728"/>
      <c r="AR53" s="1261" t="s">
        <v>706</v>
      </c>
      <c r="AS53" s="1262"/>
      <c r="AT53" s="847"/>
      <c r="AU53" s="893" t="s">
        <v>430</v>
      </c>
      <c r="AV53" s="894"/>
      <c r="AW53" s="847"/>
      <c r="AX53" s="826"/>
      <c r="AY53" s="945"/>
      <c r="AZ53" s="945"/>
      <c r="BA53" s="946"/>
      <c r="BN53" s="3"/>
      <c r="BQ53" s="130"/>
      <c r="BR53" s="130"/>
      <c r="BS53" s="130"/>
      <c r="BX53" s="849"/>
      <c r="BY53" s="1257" t="s">
        <v>416</v>
      </c>
      <c r="BZ53" s="1257"/>
      <c r="CA53" s="124"/>
      <c r="CB53" s="800" t="s">
        <v>1586</v>
      </c>
      <c r="CC53" s="936"/>
      <c r="CD53" s="1750">
        <f>$AP$5</f>
        <v>30000</v>
      </c>
      <c r="CE53" s="1751"/>
      <c r="CF53" s="1752"/>
      <c r="CG53" s="641" t="s">
        <v>816</v>
      </c>
      <c r="CH53" s="1688">
        <f>$AP$9</f>
        <v>3</v>
      </c>
      <c r="CI53" s="1688"/>
      <c r="CJ53" s="615"/>
      <c r="CK53" s="642" t="s">
        <v>441</v>
      </c>
      <c r="CL53" s="1757" t="s">
        <v>435</v>
      </c>
      <c r="CM53" s="1758"/>
      <c r="CN53" s="920" t="s">
        <v>111</v>
      </c>
      <c r="CO53" s="921"/>
      <c r="CP53" s="1445" t="s">
        <v>704</v>
      </c>
      <c r="CQ53" s="1447"/>
      <c r="CR53" s="906" t="s">
        <v>447</v>
      </c>
      <c r="CS53" s="907"/>
      <c r="CT53" s="907"/>
      <c r="CU53" s="908"/>
      <c r="CV53" s="906" t="s">
        <v>436</v>
      </c>
      <c r="CW53" s="907"/>
      <c r="CX53" s="907"/>
      <c r="CY53" s="907"/>
      <c r="CZ53" s="907"/>
      <c r="DA53" s="908"/>
      <c r="DJ53" s="130"/>
      <c r="DK53" s="130"/>
      <c r="DL53" s="130"/>
      <c r="DM53" s="130"/>
      <c r="DN53" s="130"/>
      <c r="DO53" s="130"/>
      <c r="DP53" s="130"/>
      <c r="DQ53" s="130"/>
      <c r="DR53" s="130"/>
      <c r="DS53" s="130"/>
      <c r="DT53" s="130"/>
      <c r="DU53" s="130"/>
      <c r="DV53" s="130"/>
      <c r="DW53" s="130"/>
      <c r="DX53" s="130"/>
      <c r="DZ53" s="897" t="s">
        <v>929</v>
      </c>
      <c r="EA53" s="898"/>
      <c r="EB53" s="899"/>
      <c r="EC53" s="76" t="s">
        <v>793</v>
      </c>
      <c r="ED53" s="852" t="s">
        <v>416</v>
      </c>
      <c r="EE53" s="853"/>
      <c r="EF53" s="138"/>
      <c r="EG53" s="76" t="s">
        <v>441</v>
      </c>
      <c r="EH53" s="854" t="s">
        <v>435</v>
      </c>
      <c r="EI53" s="855"/>
      <c r="EJ53" s="920" t="s">
        <v>111</v>
      </c>
      <c r="EK53" s="921"/>
      <c r="EL53" s="916" t="s">
        <v>704</v>
      </c>
      <c r="EM53" s="917"/>
      <c r="EN53" s="906" t="s">
        <v>447</v>
      </c>
      <c r="EO53" s="907"/>
      <c r="EP53" s="907"/>
      <c r="EQ53" s="908"/>
      <c r="FV53" s="653"/>
      <c r="FW53" s="653"/>
      <c r="FX53" s="653"/>
      <c r="FY53" s="653"/>
      <c r="FZ53" s="653"/>
      <c r="GA53" s="653"/>
      <c r="GB53" s="653"/>
      <c r="GC53" s="653"/>
      <c r="GF53" s="900"/>
      <c r="GG53" s="901"/>
      <c r="GH53" s="902"/>
      <c r="GI53" s="1052"/>
      <c r="GJ53" s="791" t="s">
        <v>804</v>
      </c>
      <c r="GK53" s="792"/>
      <c r="GL53" s="792"/>
      <c r="GM53" s="792"/>
      <c r="GN53" s="792"/>
      <c r="GO53" s="792"/>
      <c r="GP53" s="1640">
        <f>2.5*10^6</f>
        <v>2500000</v>
      </c>
      <c r="GQ53" s="1641"/>
      <c r="GR53" s="1075" t="s">
        <v>1716</v>
      </c>
      <c r="GS53" s="1638"/>
      <c r="GT53" s="1076"/>
      <c r="GU53" s="1066"/>
      <c r="GV53" s="1170" t="s">
        <v>1087</v>
      </c>
      <c r="GW53" s="1172"/>
      <c r="GX53" s="847"/>
      <c r="JX53" s="1052"/>
      <c r="JY53" s="225" t="s">
        <v>1014</v>
      </c>
      <c r="JZ53" s="761">
        <f>$EJ$37</f>
        <v>0.97</v>
      </c>
      <c r="KA53" s="761"/>
      <c r="KB53" s="228" t="s">
        <v>1059</v>
      </c>
      <c r="KC53" s="1165">
        <f>$CL$95</f>
        <v>0.71874103885740337</v>
      </c>
      <c r="KD53" s="1165"/>
      <c r="KE53" s="791" t="s">
        <v>1048</v>
      </c>
      <c r="KF53" s="792"/>
      <c r="KG53" s="792"/>
      <c r="KH53" s="792"/>
      <c r="KI53" s="792"/>
      <c r="KJ53" s="792"/>
      <c r="KK53" s="793"/>
      <c r="KL53" s="835">
        <f>(KC53*JZ54*1000*JZ55)/(KC54*JZ53*KC52)</f>
        <v>1.8500000000000003</v>
      </c>
      <c r="KM53" s="836"/>
      <c r="KN53" s="1075" t="s">
        <v>17</v>
      </c>
      <c r="KO53" s="1076"/>
      <c r="KP53" s="1066"/>
      <c r="KQ53" s="1603" t="s">
        <v>1026</v>
      </c>
      <c r="KR53" s="1604"/>
      <c r="KS53" s="847"/>
      <c r="KT53" s="1052"/>
      <c r="KU53" s="1052"/>
      <c r="KV53" s="1052"/>
      <c r="KW53" s="1052"/>
      <c r="KX53" s="1052"/>
      <c r="KY53" s="1052"/>
      <c r="MB53" s="850"/>
      <c r="MC53" s="348" t="s">
        <v>1078</v>
      </c>
      <c r="MD53" s="761">
        <f>$CN$54</f>
        <v>58.696468820435761</v>
      </c>
      <c r="ME53" s="761"/>
      <c r="MF53" s="791" t="s">
        <v>1425</v>
      </c>
      <c r="MG53" s="792"/>
      <c r="MH53" s="792"/>
      <c r="MI53" s="792"/>
      <c r="MJ53" s="792"/>
      <c r="MK53" s="792"/>
      <c r="ML53" s="792"/>
      <c r="MM53" s="792"/>
      <c r="MN53" s="792"/>
      <c r="MO53" s="793"/>
      <c r="MP53" s="835">
        <f>MG52*(MD53/MD54)</f>
        <v>3.8175917318094728E-2</v>
      </c>
      <c r="MQ53" s="836"/>
      <c r="MR53" s="1188" t="s">
        <v>392</v>
      </c>
      <c r="MS53" s="1189"/>
      <c r="MT53" s="1066"/>
      <c r="MU53" s="893" t="s">
        <v>853</v>
      </c>
      <c r="MV53" s="894"/>
      <c r="MW53" s="847"/>
      <c r="MX53" s="827"/>
      <c r="MY53" s="947"/>
      <c r="MZ53" s="947"/>
      <c r="NA53" s="948"/>
      <c r="NK53" s="378"/>
      <c r="NL53" s="375"/>
      <c r="NM53" s="375"/>
      <c r="NN53" s="375"/>
      <c r="NO53" s="375"/>
      <c r="NP53" s="375"/>
      <c r="NQ53" s="375"/>
      <c r="NR53" s="375"/>
      <c r="NS53" s="375"/>
      <c r="NT53" s="375"/>
      <c r="NU53" s="375"/>
      <c r="NV53" s="375"/>
      <c r="NW53" s="375"/>
      <c r="NX53" s="375"/>
      <c r="NY53" s="375"/>
      <c r="NZ53" s="375"/>
      <c r="OA53" s="375"/>
      <c r="OB53" s="375"/>
      <c r="OC53" s="375"/>
      <c r="OD53" s="375"/>
      <c r="OE53" s="375"/>
      <c r="OF53" s="376"/>
      <c r="PI53" s="130"/>
      <c r="PJ53" s="130"/>
      <c r="PL53" s="900"/>
      <c r="PM53" s="901"/>
      <c r="PN53" s="902"/>
      <c r="PO53" s="850"/>
      <c r="PP53" s="809" t="s">
        <v>150</v>
      </c>
      <c r="PQ53" s="797"/>
      <c r="PR53" s="797"/>
      <c r="PS53" s="797"/>
      <c r="PT53" s="797"/>
      <c r="PU53" s="797"/>
      <c r="PV53" s="797"/>
      <c r="PW53" s="797"/>
      <c r="PX53" s="797"/>
      <c r="PY53" s="797"/>
      <c r="PZ53" s="797"/>
      <c r="QA53" s="1054">
        <v>1.5</v>
      </c>
      <c r="QB53" s="1055"/>
      <c r="QC53" s="1183" t="s">
        <v>729</v>
      </c>
      <c r="QD53" s="1184"/>
      <c r="QE53" s="1066"/>
      <c r="QF53" s="893" t="s">
        <v>425</v>
      </c>
      <c r="QG53" s="894"/>
      <c r="QH53" s="847"/>
      <c r="RE53" s="653"/>
      <c r="RF53" s="653"/>
      <c r="RG53" s="653"/>
      <c r="RH53" s="653"/>
      <c r="RI53" s="653"/>
      <c r="RJ53" s="653"/>
      <c r="RK53" s="653"/>
      <c r="RL53" s="653"/>
      <c r="RM53" s="653"/>
      <c r="RN53" s="653"/>
      <c r="RO53" s="653"/>
      <c r="RP53" s="653"/>
      <c r="RQ53" s="653"/>
      <c r="RR53" s="653"/>
      <c r="RS53" s="653"/>
      <c r="RT53" s="653"/>
      <c r="RU53" s="653"/>
      <c r="RV53" s="653"/>
      <c r="RW53" s="653"/>
      <c r="RX53" s="653"/>
      <c r="RY53" s="653"/>
      <c r="SJ53" s="653"/>
      <c r="SK53" s="653"/>
      <c r="SL53" s="653"/>
      <c r="SM53" s="653"/>
      <c r="SN53" s="653"/>
      <c r="SO53" s="653"/>
      <c r="SP53" s="653"/>
      <c r="SQ53" s="653"/>
      <c r="SR53" s="653"/>
      <c r="SS53" s="653"/>
      <c r="ST53" s="653"/>
      <c r="SU53" s="653"/>
      <c r="SV53" s="653"/>
      <c r="SW53" s="653"/>
      <c r="SX53" s="653"/>
      <c r="SY53" s="653"/>
      <c r="SZ53" s="653"/>
      <c r="TA53" s="653"/>
      <c r="TB53" s="653"/>
      <c r="TC53" s="653"/>
      <c r="TD53" s="653"/>
      <c r="TE53" s="653"/>
      <c r="TF53" s="653"/>
      <c r="TG53" s="653"/>
      <c r="TH53" s="653"/>
      <c r="TI53" s="653"/>
      <c r="TJ53" s="653"/>
      <c r="TK53" s="653"/>
      <c r="TL53" s="653"/>
      <c r="TM53" s="653"/>
      <c r="TN53" s="653"/>
      <c r="TO53" s="653"/>
      <c r="TP53" s="653"/>
      <c r="TQ53" s="653"/>
      <c r="TR53" s="653"/>
      <c r="TS53" s="653"/>
      <c r="TT53" s="653"/>
      <c r="TU53" s="653"/>
      <c r="TV53" s="653"/>
      <c r="TW53" s="653"/>
      <c r="TX53" s="653"/>
      <c r="TY53" s="653"/>
      <c r="TZ53" s="653"/>
      <c r="UA53" s="653"/>
      <c r="UB53" s="653"/>
      <c r="UC53" s="653"/>
      <c r="UD53" s="653"/>
      <c r="UE53" s="653"/>
      <c r="UF53" s="653"/>
      <c r="UG53" s="653"/>
      <c r="UH53" s="653"/>
      <c r="UI53" s="653"/>
      <c r="UJ53" s="653"/>
      <c r="UK53" s="653"/>
      <c r="UL53" s="653"/>
      <c r="UM53" s="653"/>
      <c r="UN53" s="653"/>
      <c r="UO53" s="653"/>
      <c r="UP53" s="653"/>
      <c r="UQ53" s="653"/>
      <c r="UR53" s="653"/>
      <c r="US53" s="653"/>
      <c r="UT53" s="653"/>
      <c r="UU53" s="653"/>
      <c r="UV53" s="653"/>
      <c r="UW53" s="653"/>
      <c r="UX53" s="653"/>
      <c r="UY53" s="653"/>
      <c r="UZ53" s="653"/>
      <c r="WC53" s="130"/>
      <c r="WE53" s="1026"/>
      <c r="WF53" s="1027"/>
      <c r="WG53" s="1027"/>
      <c r="WH53" s="1027"/>
      <c r="WI53" s="1027"/>
      <c r="WJ53" s="1028"/>
      <c r="WK53" s="861" t="s">
        <v>1586</v>
      </c>
      <c r="WL53" s="861"/>
      <c r="WM53" s="861"/>
      <c r="WN53" s="1094" t="s">
        <v>393</v>
      </c>
      <c r="WO53" s="1094"/>
      <c r="WP53" s="1094"/>
      <c r="WQ53" s="168"/>
      <c r="WR53" s="168"/>
      <c r="WS53" s="168"/>
      <c r="WT53" s="168"/>
      <c r="WU53" s="168"/>
      <c r="WV53" s="168"/>
      <c r="WW53" s="171"/>
      <c r="WX53" s="958"/>
      <c r="WY53" s="959"/>
      <c r="WZ53" s="958"/>
      <c r="XA53" s="959"/>
      <c r="XB53" s="958"/>
      <c r="XC53" s="1058"/>
      <c r="XD53" s="1058"/>
      <c r="XE53" s="1058"/>
      <c r="XF53" s="959"/>
      <c r="XG53" s="708">
        <f t="shared" ref="XG53:ZR53" si="61">$AP$5/1000</f>
        <v>30</v>
      </c>
      <c r="XH53" s="708">
        <f t="shared" si="61"/>
        <v>30</v>
      </c>
      <c r="XI53" s="708">
        <f t="shared" si="61"/>
        <v>30</v>
      </c>
      <c r="XJ53" s="708">
        <f t="shared" si="61"/>
        <v>30</v>
      </c>
      <c r="XK53" s="708">
        <f t="shared" si="61"/>
        <v>30</v>
      </c>
      <c r="XL53" s="708">
        <f t="shared" si="61"/>
        <v>30</v>
      </c>
      <c r="XM53" s="708">
        <f t="shared" si="61"/>
        <v>30</v>
      </c>
      <c r="XN53" s="708">
        <f t="shared" si="61"/>
        <v>30</v>
      </c>
      <c r="XO53" s="708">
        <f t="shared" si="61"/>
        <v>30</v>
      </c>
      <c r="XP53" s="708">
        <f t="shared" si="61"/>
        <v>30</v>
      </c>
      <c r="XQ53" s="708">
        <f t="shared" si="61"/>
        <v>30</v>
      </c>
      <c r="XR53" s="708">
        <f t="shared" si="61"/>
        <v>30</v>
      </c>
      <c r="XS53" s="708">
        <f t="shared" si="61"/>
        <v>30</v>
      </c>
      <c r="XT53" s="708">
        <f t="shared" si="61"/>
        <v>30</v>
      </c>
      <c r="XU53" s="708">
        <f t="shared" si="61"/>
        <v>30</v>
      </c>
      <c r="XV53" s="708">
        <f t="shared" si="61"/>
        <v>30</v>
      </c>
      <c r="XW53" s="708">
        <f t="shared" si="61"/>
        <v>30</v>
      </c>
      <c r="XX53" s="708">
        <f t="shared" si="61"/>
        <v>30</v>
      </c>
      <c r="XY53" s="708">
        <f t="shared" si="61"/>
        <v>30</v>
      </c>
      <c r="XZ53" s="708">
        <f t="shared" si="61"/>
        <v>30</v>
      </c>
      <c r="YA53" s="708">
        <f t="shared" si="61"/>
        <v>30</v>
      </c>
      <c r="YB53" s="708">
        <f t="shared" si="61"/>
        <v>30</v>
      </c>
      <c r="YC53" s="708">
        <f t="shared" si="61"/>
        <v>30</v>
      </c>
      <c r="YD53" s="708">
        <f t="shared" si="61"/>
        <v>30</v>
      </c>
      <c r="YE53" s="708">
        <f t="shared" si="61"/>
        <v>30</v>
      </c>
      <c r="YF53" s="708">
        <f t="shared" si="61"/>
        <v>30</v>
      </c>
      <c r="YG53" s="708">
        <f t="shared" si="61"/>
        <v>30</v>
      </c>
      <c r="YH53" s="708">
        <f t="shared" si="61"/>
        <v>30</v>
      </c>
      <c r="YI53" s="708">
        <f t="shared" si="61"/>
        <v>30</v>
      </c>
      <c r="YJ53" s="708">
        <f t="shared" si="61"/>
        <v>30</v>
      </c>
      <c r="YK53" s="708">
        <f t="shared" si="61"/>
        <v>30</v>
      </c>
      <c r="YL53" s="708">
        <f t="shared" si="61"/>
        <v>30</v>
      </c>
      <c r="YM53" s="708">
        <f t="shared" si="61"/>
        <v>30</v>
      </c>
      <c r="YN53" s="708">
        <f t="shared" si="61"/>
        <v>30</v>
      </c>
      <c r="YO53" s="708">
        <f t="shared" si="61"/>
        <v>30</v>
      </c>
      <c r="YP53" s="708">
        <f t="shared" si="61"/>
        <v>30</v>
      </c>
      <c r="YQ53" s="708">
        <f t="shared" si="61"/>
        <v>30</v>
      </c>
      <c r="YR53" s="708">
        <f t="shared" si="61"/>
        <v>30</v>
      </c>
      <c r="YS53" s="708">
        <f t="shared" si="61"/>
        <v>30</v>
      </c>
      <c r="YT53" s="708">
        <f t="shared" si="61"/>
        <v>30</v>
      </c>
      <c r="YU53" s="708">
        <f t="shared" si="61"/>
        <v>30</v>
      </c>
      <c r="YV53" s="708">
        <f t="shared" si="61"/>
        <v>30</v>
      </c>
      <c r="YW53" s="708">
        <f t="shared" si="61"/>
        <v>30</v>
      </c>
      <c r="YX53" s="708">
        <f t="shared" si="61"/>
        <v>30</v>
      </c>
      <c r="YY53" s="708">
        <f t="shared" si="61"/>
        <v>30</v>
      </c>
      <c r="YZ53" s="708">
        <f t="shared" si="61"/>
        <v>30</v>
      </c>
      <c r="ZA53" s="708">
        <f t="shared" si="61"/>
        <v>30</v>
      </c>
      <c r="ZB53" s="708">
        <f t="shared" si="61"/>
        <v>30</v>
      </c>
      <c r="ZC53" s="708">
        <f t="shared" si="61"/>
        <v>30</v>
      </c>
      <c r="ZD53" s="708">
        <f t="shared" si="61"/>
        <v>30</v>
      </c>
      <c r="ZE53" s="708">
        <f t="shared" si="61"/>
        <v>30</v>
      </c>
      <c r="ZF53" s="708">
        <f t="shared" si="61"/>
        <v>30</v>
      </c>
      <c r="ZG53" s="708">
        <f t="shared" si="61"/>
        <v>30</v>
      </c>
      <c r="ZH53" s="708">
        <f t="shared" si="61"/>
        <v>30</v>
      </c>
      <c r="ZI53" s="708">
        <f t="shared" si="61"/>
        <v>30</v>
      </c>
      <c r="ZJ53" s="708">
        <f t="shared" si="61"/>
        <v>30</v>
      </c>
      <c r="ZK53" s="708">
        <f t="shared" si="61"/>
        <v>30</v>
      </c>
      <c r="ZL53" s="708">
        <f t="shared" si="61"/>
        <v>30</v>
      </c>
      <c r="ZM53" s="708">
        <f t="shared" si="61"/>
        <v>30</v>
      </c>
      <c r="ZN53" s="708">
        <f t="shared" si="61"/>
        <v>30</v>
      </c>
      <c r="ZO53" s="708">
        <f t="shared" si="61"/>
        <v>30</v>
      </c>
      <c r="ZP53" s="708">
        <f t="shared" si="61"/>
        <v>30</v>
      </c>
      <c r="ZQ53" s="708">
        <f t="shared" si="61"/>
        <v>30</v>
      </c>
      <c r="ZR53" s="708">
        <f t="shared" si="61"/>
        <v>30</v>
      </c>
      <c r="ZS53" s="708">
        <f t="shared" ref="ZS53:AAT53" si="62">$AP$5/1000</f>
        <v>30</v>
      </c>
      <c r="ZT53" s="708">
        <f t="shared" si="62"/>
        <v>30</v>
      </c>
      <c r="ZU53" s="708">
        <f t="shared" si="62"/>
        <v>30</v>
      </c>
      <c r="ZV53" s="708">
        <f t="shared" si="62"/>
        <v>30</v>
      </c>
      <c r="ZW53" s="708">
        <f t="shared" si="62"/>
        <v>30</v>
      </c>
      <c r="ZX53" s="708">
        <f t="shared" si="62"/>
        <v>30</v>
      </c>
      <c r="ZY53" s="708">
        <f t="shared" si="62"/>
        <v>30</v>
      </c>
      <c r="ZZ53" s="708">
        <f t="shared" si="62"/>
        <v>30</v>
      </c>
      <c r="AAA53" s="708">
        <f t="shared" si="62"/>
        <v>30</v>
      </c>
      <c r="AAB53" s="708">
        <f t="shared" si="62"/>
        <v>30</v>
      </c>
      <c r="AAC53" s="708">
        <f t="shared" si="62"/>
        <v>30</v>
      </c>
      <c r="AAD53" s="708">
        <f t="shared" si="62"/>
        <v>30</v>
      </c>
      <c r="AAE53" s="708">
        <f t="shared" si="62"/>
        <v>30</v>
      </c>
      <c r="AAF53" s="708">
        <f t="shared" si="62"/>
        <v>30</v>
      </c>
      <c r="AAG53" s="708">
        <f t="shared" si="62"/>
        <v>30</v>
      </c>
      <c r="AAH53" s="708">
        <f t="shared" si="62"/>
        <v>30</v>
      </c>
      <c r="AAI53" s="708">
        <f t="shared" si="62"/>
        <v>30</v>
      </c>
      <c r="AAJ53" s="708">
        <f t="shared" si="62"/>
        <v>30</v>
      </c>
      <c r="AAK53" s="708">
        <f t="shared" si="62"/>
        <v>30</v>
      </c>
      <c r="AAL53" s="708">
        <f t="shared" si="62"/>
        <v>30</v>
      </c>
      <c r="AAM53" s="708">
        <f t="shared" si="62"/>
        <v>30</v>
      </c>
      <c r="AAN53" s="708">
        <f t="shared" si="62"/>
        <v>30</v>
      </c>
      <c r="AAO53" s="708">
        <f t="shared" si="62"/>
        <v>30</v>
      </c>
      <c r="AAP53" s="708">
        <f t="shared" si="62"/>
        <v>30</v>
      </c>
      <c r="AAQ53" s="708">
        <f t="shared" si="62"/>
        <v>30</v>
      </c>
      <c r="AAR53" s="708">
        <f t="shared" si="62"/>
        <v>30</v>
      </c>
      <c r="AAS53" s="708">
        <f t="shared" si="62"/>
        <v>30</v>
      </c>
      <c r="AAT53" s="707">
        <f t="shared" si="62"/>
        <v>30</v>
      </c>
      <c r="AAU53" s="958"/>
      <c r="AAV53" s="959"/>
      <c r="AAW53" s="958"/>
      <c r="AAX53" s="1058"/>
      <c r="AAY53" s="1058"/>
      <c r="AAZ53" s="959"/>
      <c r="ABA53" s="162"/>
      <c r="ABB53" s="158"/>
      <c r="ABC53" s="158"/>
      <c r="ABD53" s="163"/>
      <c r="ACJ53" s="759">
        <v>0.66666666699999999</v>
      </c>
      <c r="ACK53" s="760"/>
      <c r="ACL53" s="759">
        <v>-0.66666666699999999</v>
      </c>
      <c r="ACM53" s="760"/>
      <c r="ACN53" s="591">
        <v>41</v>
      </c>
      <c r="ACO53" s="759">
        <f t="shared" si="0"/>
        <v>0.27333333347000011</v>
      </c>
      <c r="ACP53" s="760"/>
      <c r="ACQ53" s="757">
        <f t="shared" si="48"/>
        <v>1.4100000000000001</v>
      </c>
      <c r="ACR53" s="758"/>
      <c r="ACT53" s="759">
        <v>1</v>
      </c>
      <c r="ACU53" s="760"/>
      <c r="ACV53" s="759">
        <v>-1.2</v>
      </c>
      <c r="ACW53" s="760"/>
      <c r="ACX53" s="592">
        <v>91</v>
      </c>
      <c r="ACY53" s="759">
        <f t="shared" si="8"/>
        <v>0.71000000000000019</v>
      </c>
      <c r="ACZ53" s="760"/>
      <c r="ADA53" s="757">
        <f t="shared" si="49"/>
        <v>1.9100000000000001</v>
      </c>
      <c r="ADB53" s="758"/>
      <c r="ADD53" s="1112">
        <v>1.1052631578947401</v>
      </c>
      <c r="ADE53" s="1112"/>
      <c r="ADF53" s="1112">
        <v>-1.42105263157895</v>
      </c>
      <c r="ADG53" s="1112"/>
      <c r="ADH53" s="591">
        <v>140</v>
      </c>
      <c r="ADI53" s="759">
        <f t="shared" si="56"/>
        <v>1.2315789473684267</v>
      </c>
      <c r="ADJ53" s="760"/>
      <c r="ADK53" s="757">
        <f t="shared" si="50"/>
        <v>2.4000000000000004</v>
      </c>
      <c r="ADL53" s="758"/>
      <c r="ADN53" s="759">
        <v>1.1052631580000001</v>
      </c>
      <c r="ADO53" s="760"/>
      <c r="ADP53" s="759">
        <v>-1.42105263157895</v>
      </c>
      <c r="ADQ53" s="760"/>
      <c r="ADR53" s="591">
        <v>190</v>
      </c>
      <c r="ADS53" s="759">
        <f t="shared" si="9"/>
        <v>1.7842105266210506</v>
      </c>
      <c r="ADT53" s="760"/>
      <c r="ADU53" s="757">
        <f t="shared" si="51"/>
        <v>2.9000000000000004</v>
      </c>
      <c r="ADV53" s="758"/>
      <c r="ADX53" s="759">
        <v>1.1052631580000001</v>
      </c>
      <c r="ADY53" s="760"/>
      <c r="ADZ53" s="759">
        <v>-1.42105263157895</v>
      </c>
      <c r="AEA53" s="760"/>
      <c r="AEB53" s="591">
        <v>240</v>
      </c>
      <c r="AEC53" s="759">
        <f t="shared" si="10"/>
        <v>2.33684210562105</v>
      </c>
      <c r="AED53" s="760"/>
      <c r="AEE53" s="757">
        <f t="shared" si="52"/>
        <v>3.4</v>
      </c>
      <c r="AEF53" s="758"/>
      <c r="AEH53" s="759">
        <v>1.1052631580000001</v>
      </c>
      <c r="AEI53" s="760"/>
      <c r="AEJ53" s="759">
        <v>-1.42105263157895</v>
      </c>
      <c r="AEK53" s="760"/>
      <c r="AEL53" s="591">
        <v>290</v>
      </c>
      <c r="AEM53" s="759">
        <f t="shared" si="37"/>
        <v>2.8894736846210498</v>
      </c>
      <c r="AEN53" s="760"/>
      <c r="AEO53" s="757">
        <f t="shared" si="53"/>
        <v>3.9</v>
      </c>
      <c r="AEP53" s="758"/>
      <c r="AHK53" s="130"/>
      <c r="AHL53" s="130"/>
      <c r="AHM53" s="130"/>
      <c r="AHN53" s="130"/>
      <c r="ALU53" s="130"/>
      <c r="AQL53" s="130"/>
      <c r="ARU53" s="851"/>
      <c r="ARV53" s="857"/>
      <c r="ARW53" s="857"/>
      <c r="ARX53" s="857"/>
      <c r="ARY53" s="857"/>
      <c r="ARZ53" s="857"/>
      <c r="ASA53" s="857"/>
      <c r="ASB53" s="857"/>
      <c r="ASC53" s="857"/>
      <c r="ASD53" s="857"/>
      <c r="ASE53" s="857"/>
      <c r="ASF53" s="857"/>
      <c r="ASG53" s="857"/>
      <c r="ASH53" s="857"/>
      <c r="ASI53" s="1380"/>
      <c r="ASJ53" s="1381"/>
      <c r="ASK53" s="777"/>
      <c r="ASL53" s="799"/>
      <c r="ASM53" s="842"/>
      <c r="ASN53" s="845"/>
      <c r="ASO53" s="846"/>
      <c r="ASP53" s="848"/>
    </row>
    <row r="54" spans="4:1011 1128:1224" ht="48" customHeight="1" thickBot="1">
      <c r="D54" s="162"/>
      <c r="E54" s="897" t="s">
        <v>973</v>
      </c>
      <c r="F54" s="898"/>
      <c r="G54" s="899"/>
      <c r="H54" s="158"/>
      <c r="I54" s="897" t="s">
        <v>974</v>
      </c>
      <c r="J54" s="898"/>
      <c r="K54" s="899"/>
      <c r="L54" s="158"/>
      <c r="M54" s="158"/>
      <c r="N54" s="158"/>
      <c r="O54" s="158"/>
      <c r="P54" s="158"/>
      <c r="Q54" s="158"/>
      <c r="R54" s="158"/>
      <c r="S54" s="158"/>
      <c r="T54" s="158"/>
      <c r="U54" s="158"/>
      <c r="V54" s="158"/>
      <c r="W54" s="158"/>
      <c r="X54" s="158"/>
      <c r="Y54" s="163"/>
      <c r="AI54" s="851"/>
      <c r="AJ54" s="643" t="s">
        <v>444</v>
      </c>
      <c r="AK54" s="1534">
        <f>$AP$49</f>
        <v>0.21284000000000003</v>
      </c>
      <c r="AL54" s="1534"/>
      <c r="AM54" s="769"/>
      <c r="AN54" s="764"/>
      <c r="AO54" s="764"/>
      <c r="AP54" s="1729"/>
      <c r="AQ54" s="1730"/>
      <c r="AR54" s="1263"/>
      <c r="AS54" s="1264"/>
      <c r="AT54" s="848"/>
      <c r="AU54" s="918"/>
      <c r="AV54" s="919"/>
      <c r="AW54" s="848"/>
      <c r="AX54" s="828"/>
      <c r="AY54" s="949"/>
      <c r="AZ54" s="949"/>
      <c r="BA54" s="950"/>
      <c r="BX54" s="850"/>
      <c r="BY54" s="800" t="s">
        <v>1216</v>
      </c>
      <c r="BZ54" s="801"/>
      <c r="CA54" s="766">
        <f>$AP$7</f>
        <v>220</v>
      </c>
      <c r="CB54" s="766"/>
      <c r="CC54" s="810" t="s">
        <v>29</v>
      </c>
      <c r="CD54" s="770"/>
      <c r="CE54" s="770"/>
      <c r="CF54" s="770"/>
      <c r="CG54" s="770"/>
      <c r="CH54" s="770"/>
      <c r="CI54" s="770"/>
      <c r="CJ54" s="770"/>
      <c r="CK54" s="770"/>
      <c r="CL54" s="770"/>
      <c r="CM54" s="770"/>
      <c r="CN54" s="1167">
        <f>CD53/(CH53*CA54*CA55*CA56)</f>
        <v>58.696468820435761</v>
      </c>
      <c r="CO54" s="840"/>
      <c r="CP54" s="931" t="s">
        <v>32</v>
      </c>
      <c r="CQ54" s="932"/>
      <c r="CR54" s="1066"/>
      <c r="CS54" s="1170" t="s">
        <v>943</v>
      </c>
      <c r="CT54" s="1172"/>
      <c r="CU54" s="847"/>
      <c r="CV54" s="826"/>
      <c r="CW54" s="945"/>
      <c r="CX54" s="945"/>
      <c r="CY54" s="945"/>
      <c r="CZ54" s="945"/>
      <c r="DA54" s="946"/>
      <c r="DJ54" s="130"/>
      <c r="DK54" s="130"/>
      <c r="DL54" s="130"/>
      <c r="DM54" s="130"/>
      <c r="DN54" s="130"/>
      <c r="DO54" s="130"/>
      <c r="DP54" s="130"/>
      <c r="DQ54" s="130"/>
      <c r="DR54" s="130"/>
      <c r="DS54" s="130"/>
      <c r="DT54" s="130"/>
      <c r="DU54" s="130"/>
      <c r="DV54" s="130"/>
      <c r="DW54" s="130"/>
      <c r="DX54" s="130"/>
      <c r="DZ54" s="900"/>
      <c r="EA54" s="901"/>
      <c r="EB54" s="902"/>
      <c r="EC54" s="849"/>
      <c r="ED54" s="809" t="s">
        <v>1758</v>
      </c>
      <c r="EE54" s="797"/>
      <c r="EF54" s="797"/>
      <c r="EG54" s="797"/>
      <c r="EH54" s="797"/>
      <c r="EI54" s="797"/>
      <c r="EJ54" s="1453">
        <v>0.25</v>
      </c>
      <c r="EK54" s="1454"/>
      <c r="EL54" s="1075" t="s">
        <v>45</v>
      </c>
      <c r="EM54" s="1076"/>
      <c r="EN54" s="841"/>
      <c r="EO54" s="1170" t="s">
        <v>1099</v>
      </c>
      <c r="EP54" s="1172"/>
      <c r="EQ54" s="847"/>
      <c r="FV54" s="653"/>
      <c r="FW54" s="653"/>
      <c r="FX54" s="653"/>
      <c r="FY54" s="653"/>
      <c r="FZ54" s="653"/>
      <c r="GA54" s="653"/>
      <c r="GB54" s="653"/>
      <c r="GC54" s="653"/>
      <c r="GF54" s="903"/>
      <c r="GG54" s="904"/>
      <c r="GH54" s="905"/>
      <c r="GI54" s="1053"/>
      <c r="GJ54" s="794"/>
      <c r="GK54" s="795"/>
      <c r="GL54" s="795"/>
      <c r="GM54" s="795"/>
      <c r="GN54" s="795"/>
      <c r="GO54" s="795"/>
      <c r="GP54" s="1642"/>
      <c r="GQ54" s="1643"/>
      <c r="GR54" s="1077"/>
      <c r="GS54" s="1639"/>
      <c r="GT54" s="1078"/>
      <c r="GU54" s="1067"/>
      <c r="GV54" s="1173"/>
      <c r="GW54" s="1175"/>
      <c r="GX54" s="848"/>
      <c r="IK54" s="653"/>
      <c r="IL54" s="653"/>
      <c r="IM54" s="653"/>
      <c r="IN54" s="653"/>
      <c r="IO54" s="653"/>
      <c r="IP54" s="653"/>
      <c r="IT54" s="185"/>
      <c r="IU54" s="852"/>
      <c r="IV54" s="923"/>
      <c r="IW54" s="185"/>
      <c r="IX54" s="1069" t="s">
        <v>65</v>
      </c>
      <c r="IY54" s="1070"/>
      <c r="IZ54" s="1070"/>
      <c r="JA54" s="1070"/>
      <c r="JB54" s="1070"/>
      <c r="JC54" s="1070"/>
      <c r="JD54" s="1070"/>
      <c r="JE54" s="1070"/>
      <c r="JF54" s="1070"/>
      <c r="JG54" s="1070"/>
      <c r="JH54" s="1071"/>
      <c r="JI54" s="185"/>
      <c r="JX54" s="1052"/>
      <c r="JY54" s="225" t="s">
        <v>1019</v>
      </c>
      <c r="JZ54" s="890">
        <f>$GM$24</f>
        <v>1.4419426086956524E-2</v>
      </c>
      <c r="KA54" s="890"/>
      <c r="KB54" s="228" t="s">
        <v>1017</v>
      </c>
      <c r="KC54" s="761">
        <f>$GT$69</f>
        <v>5.7753320063898999</v>
      </c>
      <c r="KD54" s="761"/>
      <c r="KE54" s="823"/>
      <c r="KF54" s="824"/>
      <c r="KG54" s="824"/>
      <c r="KH54" s="824"/>
      <c r="KI54" s="824"/>
      <c r="KJ54" s="824"/>
      <c r="KK54" s="1049"/>
      <c r="KL54" s="837"/>
      <c r="KM54" s="838"/>
      <c r="KN54" s="1077"/>
      <c r="KO54" s="1078"/>
      <c r="KP54" s="1067"/>
      <c r="KQ54" s="1605"/>
      <c r="KR54" s="1606"/>
      <c r="KS54" s="848"/>
      <c r="KT54" s="1052"/>
      <c r="KU54" s="1052"/>
      <c r="KV54" s="1052"/>
      <c r="KW54" s="1052"/>
      <c r="KX54" s="1052"/>
      <c r="KY54" s="1052"/>
      <c r="MB54" s="851"/>
      <c r="MC54" s="351" t="s">
        <v>1216</v>
      </c>
      <c r="MD54" s="879">
        <f>$AP$7</f>
        <v>220</v>
      </c>
      <c r="ME54" s="879"/>
      <c r="MF54" s="794"/>
      <c r="MG54" s="795"/>
      <c r="MH54" s="795"/>
      <c r="MI54" s="795"/>
      <c r="MJ54" s="795"/>
      <c r="MK54" s="795"/>
      <c r="ML54" s="795"/>
      <c r="MM54" s="795"/>
      <c r="MN54" s="795"/>
      <c r="MO54" s="796"/>
      <c r="MP54" s="837"/>
      <c r="MQ54" s="838"/>
      <c r="MR54" s="1190"/>
      <c r="MS54" s="1191"/>
      <c r="MT54" s="1067"/>
      <c r="MU54" s="918"/>
      <c r="MV54" s="919"/>
      <c r="MW54" s="848"/>
      <c r="MX54" s="828"/>
      <c r="MY54" s="949"/>
      <c r="MZ54" s="949"/>
      <c r="NA54" s="950"/>
      <c r="PL54" s="903"/>
      <c r="PM54" s="904"/>
      <c r="PN54" s="905"/>
      <c r="PO54" s="851"/>
      <c r="PP54" s="777"/>
      <c r="PQ54" s="778"/>
      <c r="PR54" s="778"/>
      <c r="PS54" s="778"/>
      <c r="PT54" s="778"/>
      <c r="PU54" s="778"/>
      <c r="PV54" s="778"/>
      <c r="PW54" s="778"/>
      <c r="PX54" s="778"/>
      <c r="PY54" s="778"/>
      <c r="PZ54" s="778"/>
      <c r="QA54" s="1056"/>
      <c r="QB54" s="1057"/>
      <c r="QC54" s="1185"/>
      <c r="QD54" s="1186"/>
      <c r="QE54" s="1067"/>
      <c r="QF54" s="918"/>
      <c r="QG54" s="919"/>
      <c r="QH54" s="848"/>
      <c r="RE54" s="653"/>
      <c r="RF54" s="653"/>
      <c r="RG54" s="653"/>
      <c r="RH54" s="653"/>
      <c r="RI54" s="653"/>
      <c r="RJ54" s="653"/>
      <c r="RK54" s="653"/>
      <c r="RL54" s="653"/>
      <c r="RM54" s="653"/>
      <c r="RN54" s="653"/>
      <c r="RO54" s="653"/>
      <c r="RP54" s="653"/>
      <c r="RQ54" s="653"/>
      <c r="RR54" s="653"/>
      <c r="RS54" s="653"/>
      <c r="RT54" s="653"/>
      <c r="RU54" s="653"/>
      <c r="RV54" s="653"/>
      <c r="RW54" s="653"/>
      <c r="RX54" s="653"/>
      <c r="RY54" s="653"/>
      <c r="SJ54" s="653"/>
      <c r="SK54" s="653"/>
      <c r="SL54" s="653"/>
      <c r="SM54" s="653"/>
      <c r="SN54" s="653"/>
      <c r="SO54" s="653"/>
      <c r="SP54" s="653"/>
      <c r="SQ54" s="653"/>
      <c r="SR54" s="653"/>
      <c r="SS54" s="653"/>
      <c r="ST54" s="653"/>
      <c r="SU54" s="653"/>
      <c r="SV54" s="653"/>
      <c r="SW54" s="653"/>
      <c r="SX54" s="653"/>
      <c r="SY54" s="653"/>
      <c r="SZ54" s="653"/>
      <c r="TA54" s="653"/>
      <c r="TB54" s="653"/>
      <c r="TC54" s="653"/>
      <c r="TD54" s="653"/>
      <c r="TE54" s="653"/>
      <c r="TF54" s="653"/>
      <c r="TG54" s="653"/>
      <c r="TH54" s="653"/>
      <c r="TI54" s="653"/>
      <c r="TJ54" s="653"/>
      <c r="TK54" s="653"/>
      <c r="TL54" s="653"/>
      <c r="TM54" s="653"/>
      <c r="TN54" s="653"/>
      <c r="TO54" s="653"/>
      <c r="TP54" s="653"/>
      <c r="TQ54" s="653"/>
      <c r="TR54" s="653"/>
      <c r="TS54" s="653"/>
      <c r="TT54" s="653"/>
      <c r="TU54" s="653"/>
      <c r="TV54" s="653"/>
      <c r="TW54" s="653"/>
      <c r="TX54" s="653"/>
      <c r="TY54" s="653"/>
      <c r="TZ54" s="653"/>
      <c r="UA54" s="653"/>
      <c r="UB54" s="653"/>
      <c r="UC54" s="653"/>
      <c r="UD54" s="653"/>
      <c r="UE54" s="653"/>
      <c r="UF54" s="653"/>
      <c r="UG54" s="653"/>
      <c r="UH54" s="653"/>
      <c r="UI54" s="653"/>
      <c r="UJ54" s="653"/>
      <c r="UK54" s="653"/>
      <c r="UL54" s="653"/>
      <c r="UM54" s="653"/>
      <c r="UN54" s="653"/>
      <c r="UO54" s="653"/>
      <c r="UP54" s="653"/>
      <c r="UQ54" s="653"/>
      <c r="UR54" s="653"/>
      <c r="US54" s="653"/>
      <c r="UT54" s="653"/>
      <c r="UU54" s="653"/>
      <c r="UV54" s="653"/>
      <c r="UW54" s="653"/>
      <c r="UX54" s="653"/>
      <c r="UY54" s="653"/>
      <c r="UZ54" s="653"/>
      <c r="WC54" s="130"/>
      <c r="WE54" s="1026"/>
      <c r="WF54" s="1027"/>
      <c r="WG54" s="1027"/>
      <c r="WH54" s="1027"/>
      <c r="WI54" s="1027"/>
      <c r="WJ54" s="1028"/>
      <c r="WK54" s="800" t="s">
        <v>1199</v>
      </c>
      <c r="WL54" s="982"/>
      <c r="WM54" s="801"/>
      <c r="WN54" s="170"/>
      <c r="WO54" s="170"/>
      <c r="WP54" s="170"/>
      <c r="WQ54" s="170"/>
      <c r="WR54" s="170"/>
      <c r="WS54" s="170"/>
      <c r="WT54" s="170"/>
      <c r="WU54" s="170"/>
      <c r="WV54" s="170"/>
      <c r="WW54" s="172"/>
      <c r="WX54" s="962"/>
      <c r="WY54" s="963"/>
      <c r="WZ54" s="962"/>
      <c r="XA54" s="963"/>
      <c r="XB54" s="962"/>
      <c r="XC54" s="1059"/>
      <c r="XD54" s="1059"/>
      <c r="XE54" s="1059"/>
      <c r="XF54" s="963"/>
      <c r="XG54" s="744">
        <v>1E-3</v>
      </c>
      <c r="XH54" s="744">
        <v>2E-3</v>
      </c>
      <c r="XI54" s="744">
        <v>3.0000000000000001E-3</v>
      </c>
      <c r="XJ54" s="744">
        <v>4.0000000000000001E-3</v>
      </c>
      <c r="XK54" s="744">
        <v>5.0000000000000001E-3</v>
      </c>
      <c r="XL54" s="706">
        <v>6.0000000000000001E-3</v>
      </c>
      <c r="XM54" s="706">
        <v>7.0000000000000001E-3</v>
      </c>
      <c r="XN54" s="706">
        <v>8.0000000000000002E-3</v>
      </c>
      <c r="XO54" s="706">
        <v>8.9999999999999993E-3</v>
      </c>
      <c r="XP54" s="706">
        <v>0.01</v>
      </c>
      <c r="XQ54" s="706">
        <v>1.0999999999999999E-2</v>
      </c>
      <c r="XR54" s="706">
        <v>1.2E-2</v>
      </c>
      <c r="XS54" s="706">
        <v>1.2999999999999999E-2</v>
      </c>
      <c r="XT54" s="706">
        <v>1.4E-2</v>
      </c>
      <c r="XU54" s="706">
        <v>1.4999999999999999E-2</v>
      </c>
      <c r="XV54" s="706">
        <v>1.6E-2</v>
      </c>
      <c r="XW54" s="706">
        <v>1.7000000000000001E-2</v>
      </c>
      <c r="XX54" s="706">
        <v>1.7999999999999999E-2</v>
      </c>
      <c r="XY54" s="706">
        <v>1.9E-2</v>
      </c>
      <c r="XZ54" s="706">
        <v>0.02</v>
      </c>
      <c r="YA54" s="706">
        <v>2.1000000000000001E-2</v>
      </c>
      <c r="YB54" s="706">
        <v>2.1999999999999999E-2</v>
      </c>
      <c r="YC54" s="706">
        <v>2.3E-2</v>
      </c>
      <c r="YD54" s="706">
        <v>2.4E-2</v>
      </c>
      <c r="YE54" s="706">
        <v>2.5000000000000001E-2</v>
      </c>
      <c r="YF54" s="706">
        <v>2.5999999999999999E-2</v>
      </c>
      <c r="YG54" s="706">
        <v>2.7E-2</v>
      </c>
      <c r="YH54" s="706">
        <v>2.8000000000000001E-2</v>
      </c>
      <c r="YI54" s="706">
        <v>2.9000000000000001E-2</v>
      </c>
      <c r="YJ54" s="706">
        <v>0.03</v>
      </c>
      <c r="YK54" s="706">
        <v>3.1E-2</v>
      </c>
      <c r="YL54" s="706">
        <v>3.2000000000000001E-2</v>
      </c>
      <c r="YM54" s="706">
        <v>3.3000000000000002E-2</v>
      </c>
      <c r="YN54" s="706">
        <v>3.4000000000000002E-2</v>
      </c>
      <c r="YO54" s="706">
        <v>3.5000000000000003E-2</v>
      </c>
      <c r="YP54" s="706">
        <v>3.5999999999999997E-2</v>
      </c>
      <c r="YQ54" s="706">
        <v>3.6999999999999998E-2</v>
      </c>
      <c r="YR54" s="706">
        <v>3.7999999999999999E-2</v>
      </c>
      <c r="YS54" s="706">
        <v>3.9E-2</v>
      </c>
      <c r="YT54" s="706">
        <v>0.04</v>
      </c>
      <c r="YU54" s="706">
        <v>4.1000000000000002E-2</v>
      </c>
      <c r="YV54" s="706">
        <v>4.2000000000000003E-2</v>
      </c>
      <c r="YW54" s="706">
        <v>4.2999999999999997E-2</v>
      </c>
      <c r="YX54" s="706">
        <v>4.3999999999999997E-2</v>
      </c>
      <c r="YY54" s="706">
        <v>4.4999999999999998E-2</v>
      </c>
      <c r="YZ54" s="706">
        <v>4.5999999999999999E-2</v>
      </c>
      <c r="ZA54" s="706">
        <v>4.7E-2</v>
      </c>
      <c r="ZB54" s="706">
        <v>4.8000000000000001E-2</v>
      </c>
      <c r="ZC54" s="706">
        <v>4.9000000000000002E-2</v>
      </c>
      <c r="ZD54" s="706">
        <v>0.05</v>
      </c>
      <c r="ZE54" s="706">
        <v>5.0999999999999997E-2</v>
      </c>
      <c r="ZF54" s="706">
        <v>5.1999999999999998E-2</v>
      </c>
      <c r="ZG54" s="706">
        <v>5.2999999999999999E-2</v>
      </c>
      <c r="ZH54" s="706">
        <v>5.3999999999999999E-2</v>
      </c>
      <c r="ZI54" s="706">
        <v>5.5E-2</v>
      </c>
      <c r="ZJ54" s="706">
        <v>5.6000000000000001E-2</v>
      </c>
      <c r="ZK54" s="706">
        <v>5.7000000000000002E-2</v>
      </c>
      <c r="ZL54" s="706">
        <v>5.8000000000000003E-2</v>
      </c>
      <c r="ZM54" s="706">
        <v>5.8999999999999997E-2</v>
      </c>
      <c r="ZN54" s="706">
        <v>0.06</v>
      </c>
      <c r="ZO54" s="706">
        <v>6.0999999999999999E-2</v>
      </c>
      <c r="ZP54" s="706">
        <v>6.2E-2</v>
      </c>
      <c r="ZQ54" s="706">
        <v>6.3E-2</v>
      </c>
      <c r="ZR54" s="706">
        <v>6.4000000000000001E-2</v>
      </c>
      <c r="ZS54" s="706">
        <v>6.5000000000000002E-2</v>
      </c>
      <c r="ZT54" s="706">
        <v>6.6000000000000003E-2</v>
      </c>
      <c r="ZU54" s="706">
        <v>6.7000000000000004E-2</v>
      </c>
      <c r="ZV54" s="706">
        <v>6.8000000000000005E-2</v>
      </c>
      <c r="ZW54" s="706">
        <v>6.9000000000000006E-2</v>
      </c>
      <c r="ZX54" s="706">
        <v>7.0000000000000007E-2</v>
      </c>
      <c r="ZY54" s="706">
        <v>7.0999999999999994E-2</v>
      </c>
      <c r="ZZ54" s="706">
        <v>7.1999999999999995E-2</v>
      </c>
      <c r="AAA54" s="706">
        <v>7.2999999999999995E-2</v>
      </c>
      <c r="AAB54" s="706">
        <v>7.3999999999999996E-2</v>
      </c>
      <c r="AAC54" s="706">
        <v>7.4999999999999997E-2</v>
      </c>
      <c r="AAD54" s="706">
        <v>7.5999999999999998E-2</v>
      </c>
      <c r="AAE54" s="706">
        <v>7.6999999999999999E-2</v>
      </c>
      <c r="AAF54" s="706">
        <v>7.8E-2</v>
      </c>
      <c r="AAG54" s="706">
        <v>7.9000000000000001E-2</v>
      </c>
      <c r="AAH54" s="706">
        <v>0.08</v>
      </c>
      <c r="AAI54" s="706">
        <v>8.1000000000000003E-2</v>
      </c>
      <c r="AAJ54" s="706">
        <v>8.2000000000000003E-2</v>
      </c>
      <c r="AAK54" s="706">
        <v>8.3000000000000004E-2</v>
      </c>
      <c r="AAL54" s="706">
        <v>8.4000000000000005E-2</v>
      </c>
      <c r="AAM54" s="706">
        <v>8.5000000000000006E-2</v>
      </c>
      <c r="AAN54" s="706">
        <v>8.5999999999999993E-2</v>
      </c>
      <c r="AAO54" s="706">
        <v>8.6999999999999994E-2</v>
      </c>
      <c r="AAP54" s="706">
        <v>8.7999999999999995E-2</v>
      </c>
      <c r="AAQ54" s="706">
        <v>8.8999999999999996E-2</v>
      </c>
      <c r="AAR54" s="706">
        <v>0.09</v>
      </c>
      <c r="AAS54" s="706">
        <v>9.0999999999999998E-2</v>
      </c>
      <c r="AAT54" s="706">
        <v>9.1999999999999998E-2</v>
      </c>
      <c r="AAU54" s="962"/>
      <c r="AAV54" s="963"/>
      <c r="AAW54" s="962"/>
      <c r="AAX54" s="1059"/>
      <c r="AAY54" s="1059"/>
      <c r="AAZ54" s="963"/>
      <c r="ABA54" s="162"/>
      <c r="ABB54" s="158"/>
      <c r="ABC54" s="158"/>
      <c r="ABD54" s="163"/>
      <c r="ACJ54" s="759">
        <v>0.66666666699999999</v>
      </c>
      <c r="ACK54" s="760"/>
      <c r="ACL54" s="759">
        <v>-0.66666666699999999</v>
      </c>
      <c r="ACM54" s="760"/>
      <c r="ACN54" s="591">
        <v>42</v>
      </c>
      <c r="ACO54" s="759">
        <f t="shared" si="0"/>
        <v>0.28000000013999993</v>
      </c>
      <c r="ACP54" s="760"/>
      <c r="ACQ54" s="757">
        <f t="shared" si="48"/>
        <v>1.42</v>
      </c>
      <c r="ACR54" s="758"/>
      <c r="ACT54" s="759">
        <v>1</v>
      </c>
      <c r="ACU54" s="760"/>
      <c r="ACV54" s="759">
        <v>-1.2</v>
      </c>
      <c r="ACW54" s="760"/>
      <c r="ACX54" s="592">
        <v>92</v>
      </c>
      <c r="ACY54" s="759">
        <f t="shared" si="8"/>
        <v>0.72</v>
      </c>
      <c r="ACZ54" s="760"/>
      <c r="ADA54" s="757">
        <f t="shared" si="49"/>
        <v>1.92</v>
      </c>
      <c r="ADB54" s="758"/>
      <c r="ADD54" s="1112">
        <v>1.1052631578947401</v>
      </c>
      <c r="ADE54" s="1112"/>
      <c r="ADF54" s="1112">
        <v>-1.42105263157895</v>
      </c>
      <c r="ADG54" s="1112"/>
      <c r="ADH54" s="591">
        <v>141</v>
      </c>
      <c r="ADI54" s="759">
        <f t="shared" si="56"/>
        <v>1.2426315789473739</v>
      </c>
      <c r="ADJ54" s="760"/>
      <c r="ADK54" s="757">
        <f t="shared" si="50"/>
        <v>2.41</v>
      </c>
      <c r="ADL54" s="758"/>
      <c r="ADN54" s="759">
        <v>1.1052631580000001</v>
      </c>
      <c r="ADO54" s="760"/>
      <c r="ADP54" s="759">
        <v>-1.42105263157895</v>
      </c>
      <c r="ADQ54" s="760"/>
      <c r="ADR54" s="591">
        <v>191</v>
      </c>
      <c r="ADS54" s="759">
        <f t="shared" si="9"/>
        <v>1.7952631582010503</v>
      </c>
      <c r="ADT54" s="760"/>
      <c r="ADU54" s="757">
        <f t="shared" si="51"/>
        <v>2.91</v>
      </c>
      <c r="ADV54" s="758"/>
      <c r="ADX54" s="759">
        <v>1.1052631580000001</v>
      </c>
      <c r="ADY54" s="760"/>
      <c r="ADZ54" s="759">
        <v>-1.42105263157895</v>
      </c>
      <c r="AEA54" s="760"/>
      <c r="AEB54" s="591">
        <v>241</v>
      </c>
      <c r="AEC54" s="759">
        <f t="shared" si="10"/>
        <v>2.3478947372010506</v>
      </c>
      <c r="AED54" s="760"/>
      <c r="AEE54" s="757">
        <f t="shared" si="52"/>
        <v>3.41</v>
      </c>
      <c r="AEF54" s="758"/>
      <c r="AEH54" s="759">
        <v>1.1052631580000001</v>
      </c>
      <c r="AEI54" s="760"/>
      <c r="AEJ54" s="759">
        <v>-1.42105263157895</v>
      </c>
      <c r="AEK54" s="760"/>
      <c r="AEL54" s="591">
        <v>291</v>
      </c>
      <c r="AEM54" s="759">
        <f t="shared" si="37"/>
        <v>2.9005263162010508</v>
      </c>
      <c r="AEN54" s="760"/>
      <c r="AEO54" s="757">
        <f t="shared" si="53"/>
        <v>3.91</v>
      </c>
      <c r="AEP54" s="758"/>
      <c r="AGJ54" s="136"/>
      <c r="AGK54" s="891"/>
      <c r="AGL54" s="891"/>
      <c r="AGM54" s="891"/>
      <c r="AGN54" s="891"/>
      <c r="AGO54" s="891"/>
      <c r="AGP54" s="891"/>
      <c r="AGQ54" s="891"/>
      <c r="AGR54" s="891"/>
      <c r="AGS54" s="891"/>
      <c r="AGT54" s="891"/>
      <c r="AGU54" s="891"/>
      <c r="AGV54" s="891"/>
      <c r="AGW54" s="891"/>
      <c r="AGX54" s="891"/>
      <c r="AGY54" s="891"/>
      <c r="AGZ54" s="891"/>
      <c r="AHA54" s="891"/>
      <c r="AHB54" s="891"/>
      <c r="AHC54" s="891"/>
      <c r="AHD54" s="891"/>
      <c r="AHE54" s="891"/>
      <c r="AHF54" s="891"/>
      <c r="AHG54" s="891"/>
      <c r="AHH54" s="891"/>
      <c r="AHI54" s="891"/>
      <c r="AHJ54" s="891"/>
      <c r="AHK54" s="891"/>
      <c r="AHL54" s="891"/>
      <c r="AHM54" s="891"/>
      <c r="AHN54" s="891"/>
      <c r="AHO54" s="891"/>
      <c r="AHP54" s="891"/>
      <c r="AHQ54" s="891"/>
      <c r="AHR54" s="891"/>
      <c r="AHS54" s="891"/>
      <c r="AHT54" s="891"/>
      <c r="AHU54" s="891"/>
      <c r="AHV54" s="891"/>
      <c r="AHW54" s="891"/>
      <c r="AHX54" s="891"/>
      <c r="AHY54" s="136"/>
      <c r="AQL54" s="130"/>
    </row>
    <row r="55" spans="4:1011 1128:1224" ht="48" customHeight="1" thickBot="1">
      <c r="D55" s="162"/>
      <c r="E55" s="900"/>
      <c r="F55" s="901"/>
      <c r="G55" s="902"/>
      <c r="H55" s="158"/>
      <c r="I55" s="900"/>
      <c r="J55" s="901"/>
      <c r="K55" s="902"/>
      <c r="L55" s="158"/>
      <c r="M55" s="158"/>
      <c r="N55" s="158"/>
      <c r="O55" s="158"/>
      <c r="P55" s="158"/>
      <c r="Q55" s="158"/>
      <c r="R55" s="158"/>
      <c r="S55" s="158"/>
      <c r="T55" s="158"/>
      <c r="U55" s="158"/>
      <c r="V55" s="158"/>
      <c r="W55" s="158"/>
      <c r="X55" s="158"/>
      <c r="Y55" s="163"/>
      <c r="BX55" s="850"/>
      <c r="BY55" s="1689" t="s">
        <v>434</v>
      </c>
      <c r="BZ55" s="1690"/>
      <c r="CA55" s="1165">
        <f>$AX$66</f>
        <v>0.88</v>
      </c>
      <c r="CB55" s="1165"/>
      <c r="CC55" s="1691"/>
      <c r="CD55" s="1162"/>
      <c r="CE55" s="1162"/>
      <c r="CF55" s="1162"/>
      <c r="CG55" s="1162"/>
      <c r="CH55" s="1162"/>
      <c r="CI55" s="1162"/>
      <c r="CJ55" s="1162"/>
      <c r="CK55" s="1162"/>
      <c r="CL55" s="1162"/>
      <c r="CM55" s="1162"/>
      <c r="CN55" s="1168"/>
      <c r="CO55" s="815"/>
      <c r="CP55" s="1692"/>
      <c r="CQ55" s="1693"/>
      <c r="CR55" s="1067"/>
      <c r="CS55" s="1173"/>
      <c r="CT55" s="1175"/>
      <c r="CU55" s="848"/>
      <c r="CV55" s="827"/>
      <c r="CW55" s="947"/>
      <c r="CX55" s="947"/>
      <c r="CY55" s="947"/>
      <c r="CZ55" s="947"/>
      <c r="DA55" s="948"/>
      <c r="DJ55" s="130"/>
      <c r="DK55" s="130"/>
      <c r="DL55" s="130"/>
      <c r="DM55" s="130"/>
      <c r="DN55" s="130"/>
      <c r="DO55" s="130"/>
      <c r="DP55" s="130"/>
      <c r="DQ55" s="130"/>
      <c r="DR55" s="130"/>
      <c r="DS55" s="130"/>
      <c r="DT55" s="130"/>
      <c r="DU55" s="130"/>
      <c r="DV55" s="130"/>
      <c r="DZ55" s="903"/>
      <c r="EA55" s="904"/>
      <c r="EB55" s="905"/>
      <c r="EC55" s="851"/>
      <c r="ED55" s="777"/>
      <c r="EE55" s="778"/>
      <c r="EF55" s="778"/>
      <c r="EG55" s="778"/>
      <c r="EH55" s="778"/>
      <c r="EI55" s="778"/>
      <c r="EJ55" s="1455"/>
      <c r="EK55" s="1456"/>
      <c r="EL55" s="1077"/>
      <c r="EM55" s="1078"/>
      <c r="EN55" s="842"/>
      <c r="EO55" s="1173"/>
      <c r="EP55" s="1175"/>
      <c r="EQ55" s="848"/>
      <c r="IK55" s="653"/>
      <c r="IL55" s="653"/>
      <c r="IM55" s="653"/>
      <c r="IN55" s="653"/>
      <c r="IO55" s="653"/>
      <c r="IP55" s="653"/>
      <c r="JX55" s="1053"/>
      <c r="JY55" s="226" t="s">
        <v>1018</v>
      </c>
      <c r="JZ55" s="804">
        <f>$AW$95</f>
        <v>0.19391178434038603</v>
      </c>
      <c r="KA55" s="804"/>
      <c r="KB55" s="1060"/>
      <c r="KC55" s="1061"/>
      <c r="KD55" s="1061"/>
      <c r="KE55" s="794"/>
      <c r="KF55" s="795"/>
      <c r="KG55" s="795"/>
      <c r="KH55" s="795"/>
      <c r="KI55" s="795"/>
      <c r="KJ55" s="795"/>
      <c r="KK55" s="796"/>
      <c r="KL55" s="812"/>
      <c r="KM55" s="813"/>
      <c r="KN55" s="813"/>
      <c r="KO55" s="813"/>
      <c r="KP55" s="813"/>
      <c r="KQ55" s="813"/>
      <c r="KR55" s="813"/>
      <c r="KS55" s="814"/>
      <c r="KT55" s="1053"/>
      <c r="KU55" s="1053"/>
      <c r="KV55" s="1053"/>
      <c r="KW55" s="1053"/>
      <c r="KX55" s="1053"/>
      <c r="KY55" s="1053"/>
      <c r="NK55" s="1213"/>
      <c r="NL55" s="1214"/>
      <c r="NM55" s="1214"/>
      <c r="NN55" s="1214"/>
      <c r="NO55" s="1214"/>
      <c r="NP55" s="1214"/>
      <c r="NQ55" s="1214"/>
      <c r="NR55" s="1214"/>
      <c r="NS55" s="1214"/>
      <c r="NT55" s="1214"/>
      <c r="NU55" s="1214"/>
      <c r="NV55" s="1214"/>
      <c r="NW55" s="1214"/>
      <c r="NX55" s="1214"/>
      <c r="NY55" s="1214"/>
      <c r="NZ55" s="1214"/>
      <c r="OA55" s="1214"/>
      <c r="OB55" s="1214"/>
      <c r="OC55" s="1214"/>
      <c r="OD55" s="1214"/>
      <c r="OE55" s="1214"/>
      <c r="OF55" s="1215"/>
      <c r="RE55" s="653"/>
      <c r="RF55" s="653"/>
      <c r="RG55" s="653"/>
      <c r="RH55" s="653"/>
      <c r="RI55" s="653"/>
      <c r="RJ55" s="653"/>
      <c r="RK55" s="653"/>
      <c r="RL55" s="653"/>
      <c r="RM55" s="653"/>
      <c r="RN55" s="653"/>
      <c r="RO55" s="653"/>
      <c r="RP55" s="653"/>
      <c r="RQ55" s="653"/>
      <c r="RR55" s="653"/>
      <c r="RS55" s="653"/>
      <c r="RT55" s="653"/>
      <c r="RU55" s="653"/>
      <c r="RV55" s="653"/>
      <c r="RW55" s="653"/>
      <c r="RX55" s="653"/>
      <c r="RY55" s="653"/>
      <c r="SJ55" s="653"/>
      <c r="SK55" s="653"/>
      <c r="SL55" s="653"/>
      <c r="SM55" s="653"/>
      <c r="SN55" s="653"/>
      <c r="SO55" s="653"/>
      <c r="SP55" s="653"/>
      <c r="SQ55" s="653"/>
      <c r="SR55" s="653"/>
      <c r="SS55" s="653"/>
      <c r="ST55" s="653"/>
      <c r="SU55" s="653"/>
      <c r="SV55" s="653"/>
      <c r="SW55" s="653"/>
      <c r="SX55" s="653"/>
      <c r="SY55" s="653"/>
      <c r="SZ55" s="653"/>
      <c r="TA55" s="653"/>
      <c r="TB55" s="653"/>
      <c r="TC55" s="653"/>
      <c r="TD55" s="653"/>
      <c r="TE55" s="653"/>
      <c r="TF55" s="653"/>
      <c r="TG55" s="653"/>
      <c r="TH55" s="653"/>
      <c r="TI55" s="653"/>
      <c r="TJ55" s="653"/>
      <c r="TK55" s="653"/>
      <c r="TL55" s="653"/>
      <c r="TM55" s="653"/>
      <c r="TN55" s="653"/>
      <c r="TO55" s="653"/>
      <c r="TP55" s="653"/>
      <c r="TQ55" s="653"/>
      <c r="TR55" s="653"/>
      <c r="TS55" s="653"/>
      <c r="TT55" s="653"/>
      <c r="TU55" s="653"/>
      <c r="TV55" s="653"/>
      <c r="TW55" s="653"/>
      <c r="TX55" s="653"/>
      <c r="TY55" s="653"/>
      <c r="TZ55" s="653"/>
      <c r="UA55" s="653"/>
      <c r="UB55" s="653"/>
      <c r="UC55" s="653"/>
      <c r="UD55" s="653"/>
      <c r="UE55" s="653"/>
      <c r="UF55" s="653"/>
      <c r="UG55" s="653"/>
      <c r="UH55" s="653"/>
      <c r="UI55" s="653"/>
      <c r="UJ55" s="653"/>
      <c r="UK55" s="653"/>
      <c r="UL55" s="653"/>
      <c r="UM55" s="653"/>
      <c r="UN55" s="653"/>
      <c r="UO55" s="653"/>
      <c r="UP55" s="653"/>
      <c r="UQ55" s="653"/>
      <c r="UR55" s="653"/>
      <c r="US55" s="653"/>
      <c r="UT55" s="653"/>
      <c r="UU55" s="653"/>
      <c r="UV55" s="653"/>
      <c r="UW55" s="653"/>
      <c r="UX55" s="653"/>
      <c r="UY55" s="653"/>
      <c r="UZ55" s="653"/>
      <c r="WC55" s="130"/>
      <c r="WE55" s="1026"/>
      <c r="WF55" s="1027"/>
      <c r="WG55" s="1027"/>
      <c r="WH55" s="1027"/>
      <c r="WI55" s="1027"/>
      <c r="WJ55" s="1028"/>
      <c r="WK55" s="167"/>
      <c r="WL55" s="168"/>
      <c r="WM55" s="168"/>
      <c r="WN55" s="168"/>
      <c r="WO55" s="168"/>
      <c r="WP55" s="168"/>
      <c r="WQ55" s="168"/>
      <c r="WR55" s="168"/>
      <c r="WS55" s="168"/>
      <c r="WT55" s="168"/>
      <c r="WU55" s="168"/>
      <c r="WV55" s="168"/>
      <c r="WW55" s="171"/>
      <c r="WX55" s="976">
        <v>17</v>
      </c>
      <c r="WY55" s="977"/>
      <c r="WZ55" s="756" t="s">
        <v>705</v>
      </c>
      <c r="XA55" s="756"/>
      <c r="XB55" s="167"/>
      <c r="XC55" s="168"/>
      <c r="XD55" s="168"/>
      <c r="XE55" s="168"/>
      <c r="XF55" s="171"/>
      <c r="XG55" s="966">
        <f t="shared" ref="XG55:YL55" si="63">1-(XG49/XG41)</f>
        <v>8.9249740631828223E-3</v>
      </c>
      <c r="XH55" s="966">
        <f t="shared" si="63"/>
        <v>0.4240103358680154</v>
      </c>
      <c r="XI55" s="966">
        <f t="shared" si="63"/>
        <v>0.58965225473394178</v>
      </c>
      <c r="XJ55" s="966">
        <f t="shared" si="63"/>
        <v>0.6777387466326581</v>
      </c>
      <c r="XK55" s="966">
        <f t="shared" si="63"/>
        <v>0.73174835139927463</v>
      </c>
      <c r="XL55" s="966">
        <f t="shared" si="63"/>
        <v>0.76778802149124414</v>
      </c>
      <c r="XM55" s="966">
        <f t="shared" si="63"/>
        <v>0.79320176580789226</v>
      </c>
      <c r="XN55" s="966">
        <f t="shared" si="63"/>
        <v>0.8118153736564474</v>
      </c>
      <c r="XO55" s="966">
        <f t="shared" si="63"/>
        <v>0.82581726601204408</v>
      </c>
      <c r="XP55" s="966">
        <f t="shared" si="63"/>
        <v>0.83654945599109953</v>
      </c>
      <c r="XQ55" s="966">
        <f t="shared" si="63"/>
        <v>0.8448804958784405</v>
      </c>
      <c r="XR55" s="966">
        <f t="shared" si="63"/>
        <v>0.85139725224222595</v>
      </c>
      <c r="XS55" s="966">
        <f t="shared" si="63"/>
        <v>0.85651048070959557</v>
      </c>
      <c r="XT55" s="966">
        <f t="shared" si="63"/>
        <v>0.86051624436545127</v>
      </c>
      <c r="XU55" s="966">
        <f t="shared" si="63"/>
        <v>0.86363331305163071</v>
      </c>
      <c r="XV55" s="966">
        <f t="shared" si="63"/>
        <v>0.86602682904834394</v>
      </c>
      <c r="XW55" s="966">
        <f t="shared" si="63"/>
        <v>0.86782378204845601</v>
      </c>
      <c r="XX55" s="966">
        <f t="shared" si="63"/>
        <v>0.86912341949477601</v>
      </c>
      <c r="XY55" s="966">
        <f t="shared" si="63"/>
        <v>0.87000442558576718</v>
      </c>
      <c r="XZ55" s="966">
        <f t="shared" si="63"/>
        <v>0.8705299812739683</v>
      </c>
      <c r="YA55" s="966">
        <f t="shared" si="63"/>
        <v>0.87075140058350575</v>
      </c>
      <c r="YB55" s="966">
        <f t="shared" si="63"/>
        <v>0.87071078954228964</v>
      </c>
      <c r="YC55" s="966">
        <f t="shared" si="63"/>
        <v>0.87044302101660498</v>
      </c>
      <c r="YD55" s="966">
        <f t="shared" si="63"/>
        <v>0.86997722230760199</v>
      </c>
      <c r="YE55" s="966">
        <f t="shared" si="63"/>
        <v>0.86933791019442963</v>
      </c>
      <c r="YF55" s="966">
        <f t="shared" si="63"/>
        <v>0.86854586718310089</v>
      </c>
      <c r="YG55" s="966">
        <f t="shared" si="63"/>
        <v>0.86761882527080791</v>
      </c>
      <c r="YH55" s="966">
        <f t="shared" si="63"/>
        <v>0.86657200480636454</v>
      </c>
      <c r="YI55" s="966">
        <f t="shared" si="63"/>
        <v>0.86541854304591248</v>
      </c>
      <c r="YJ55" s="966">
        <f t="shared" si="63"/>
        <v>0.86416983787410107</v>
      </c>
      <c r="YK55" s="966">
        <f t="shared" si="63"/>
        <v>0.86283582565491657</v>
      </c>
      <c r="YL55" s="966">
        <f t="shared" si="63"/>
        <v>0.86142520748187901</v>
      </c>
      <c r="YM55" s="966">
        <f t="shared" ref="YM55:ZR55" si="64">1-(YM49/YM41)</f>
        <v>0.85994563467082341</v>
      </c>
      <c r="YN55" s="966">
        <f t="shared" si="64"/>
        <v>0.85840386181055695</v>
      </c>
      <c r="YO55" s="966">
        <f t="shared" si="64"/>
        <v>0.85680587380293705</v>
      </c>
      <c r="YP55" s="966">
        <f t="shared" si="64"/>
        <v>0.85515699190698968</v>
      </c>
      <c r="YQ55" s="966">
        <f t="shared" si="64"/>
        <v>0.85346196272650898</v>
      </c>
      <c r="YR55" s="966">
        <f t="shared" si="64"/>
        <v>0.85172503325794713</v>
      </c>
      <c r="YS55" s="966">
        <f t="shared" si="64"/>
        <v>0.84995001448110463</v>
      </c>
      <c r="YT55" s="966">
        <f t="shared" si="64"/>
        <v>0.84814033548243184</v>
      </c>
      <c r="YU55" s="966">
        <f t="shared" si="64"/>
        <v>0.84629908971539902</v>
      </c>
      <c r="YV55" s="966">
        <f t="shared" si="64"/>
        <v>0.84442907469900197</v>
      </c>
      <c r="YW55" s="966">
        <f t="shared" si="64"/>
        <v>0.8425328262151266</v>
      </c>
      <c r="YX55" s="966">
        <f t="shared" si="64"/>
        <v>0.84061264787397205</v>
      </c>
      <c r="YY55" s="966">
        <f t="shared" si="64"/>
        <v>0.83867063676324838</v>
      </c>
      <c r="YZ55" s="966">
        <f t="shared" si="64"/>
        <v>0.83670870577321343</v>
      </c>
      <c r="ZA55" s="966">
        <f t="shared" si="64"/>
        <v>0.83472860308948649</v>
      </c>
      <c r="ZB55" s="966">
        <f t="shared" si="64"/>
        <v>0.8327319292641</v>
      </c>
      <c r="ZC55" s="966">
        <f t="shared" si="64"/>
        <v>0.83072015220865314</v>
      </c>
      <c r="ZD55" s="966">
        <f t="shared" si="64"/>
        <v>0.8286946203987382</v>
      </c>
      <c r="ZE55" s="966">
        <f t="shared" si="64"/>
        <v>0.82665657453372532</v>
      </c>
      <c r="ZF55" s="966">
        <f t="shared" si="64"/>
        <v>0.82460715785865057</v>
      </c>
      <c r="ZG55" s="966">
        <f t="shared" si="64"/>
        <v>0.82254742532392455</v>
      </c>
      <c r="ZH55" s="966">
        <f t="shared" si="64"/>
        <v>0.82047835173269013</v>
      </c>
      <c r="ZI55" s="966">
        <f t="shared" si="64"/>
        <v>0.81840083900398397</v>
      </c>
      <c r="ZJ55" s="966">
        <f t="shared" si="64"/>
        <v>0.81631572266164665</v>
      </c>
      <c r="ZK55" s="966">
        <f t="shared" si="64"/>
        <v>0.8142237776435719</v>
      </c>
      <c r="ZL55" s="966">
        <f t="shared" si="64"/>
        <v>0.81212572351291334</v>
      </c>
      <c r="ZM55" s="966">
        <f t="shared" si="64"/>
        <v>0.81002222914184685</v>
      </c>
      <c r="ZN55" s="966">
        <f t="shared" si="64"/>
        <v>0.80791391692912784</v>
      </c>
      <c r="ZO55" s="966">
        <f t="shared" si="64"/>
        <v>0.80580136660468527</v>
      </c>
      <c r="ZP55" s="966">
        <f t="shared" si="64"/>
        <v>0.80368511866765924</v>
      </c>
      <c r="ZQ55" s="966">
        <f t="shared" si="64"/>
        <v>0.801565677498425</v>
      </c>
      <c r="ZR55" s="966">
        <f t="shared" si="64"/>
        <v>0.79944351418009618</v>
      </c>
      <c r="ZS55" s="966">
        <f t="shared" ref="ZS55:AAS55" si="65">1-(ZS49/ZS41)</f>
        <v>0.7973190690606603</v>
      </c>
      <c r="ZT55" s="966">
        <f t="shared" si="65"/>
        <v>0.79519275408313139</v>
      </c>
      <c r="ZU55" s="966">
        <f t="shared" si="65"/>
        <v>0.79306495490785422</v>
      </c>
      <c r="ZV55" s="966">
        <f t="shared" si="65"/>
        <v>0.79093603284826763</v>
      </c>
      <c r="ZW55" s="966">
        <f t="shared" si="65"/>
        <v>0.78880632663896999</v>
      </c>
      <c r="ZX55" s="966">
        <f t="shared" si="65"/>
        <v>0.7866761540527919</v>
      </c>
      <c r="ZY55" s="966">
        <f t="shared" si="65"/>
        <v>0.78454581338170037</v>
      </c>
      <c r="ZZ55" s="966">
        <f t="shared" si="65"/>
        <v>0.78241558479472206</v>
      </c>
      <c r="AAA55" s="966">
        <f t="shared" si="65"/>
        <v>0.78028573158463277</v>
      </c>
      <c r="AAB55" s="966">
        <f t="shared" si="65"/>
        <v>0.77815650131389469</v>
      </c>
      <c r="AAC55" s="966">
        <f t="shared" si="65"/>
        <v>0.77602812686920974</v>
      </c>
      <c r="AAD55" s="966">
        <f t="shared" si="65"/>
        <v>0.77390082743307564</v>
      </c>
      <c r="AAE55" s="966">
        <f t="shared" si="65"/>
        <v>0.77177480937986076</v>
      </c>
      <c r="AAF55" s="966">
        <f t="shared" si="65"/>
        <v>0.76965026710314888</v>
      </c>
      <c r="AAG55" s="966">
        <f t="shared" si="65"/>
        <v>0.76752738378042173</v>
      </c>
      <c r="AAH55" s="966">
        <f t="shared" si="65"/>
        <v>0.76540633208054398</v>
      </c>
      <c r="AAI55" s="966">
        <f t="shared" si="65"/>
        <v>0.76328727481897451</v>
      </c>
      <c r="AAJ55" s="966">
        <f t="shared" si="65"/>
        <v>0.76117036556515394</v>
      </c>
      <c r="AAK55" s="966">
        <f t="shared" si="65"/>
        <v>0.7590557492060872</v>
      </c>
      <c r="AAL55" s="966">
        <f t="shared" si="65"/>
        <v>0.75694356246975769</v>
      </c>
      <c r="AAM55" s="966">
        <f t="shared" si="65"/>
        <v>0.75483393441167446</v>
      </c>
      <c r="AAN55" s="966">
        <f t="shared" si="65"/>
        <v>0.75272698686753803</v>
      </c>
      <c r="AAO55" s="966">
        <f t="shared" si="65"/>
        <v>0.75062283487474835</v>
      </c>
      <c r="AAP55" s="966">
        <f t="shared" si="65"/>
        <v>0.74852158706521998</v>
      </c>
      <c r="AAQ55" s="966">
        <f t="shared" si="65"/>
        <v>0.74642334603175864</v>
      </c>
      <c r="AAR55" s="966">
        <f t="shared" si="65"/>
        <v>0.74432820867004568</v>
      </c>
      <c r="AAS55" s="966">
        <f t="shared" si="65"/>
        <v>0.74223626649810404</v>
      </c>
      <c r="AAT55" s="964">
        <v>17</v>
      </c>
      <c r="AAU55" s="756" t="s">
        <v>705</v>
      </c>
      <c r="AAV55" s="756"/>
      <c r="AAW55" s="175"/>
      <c r="AAX55" s="173"/>
      <c r="AAY55" s="173"/>
      <c r="AAZ55" s="173"/>
      <c r="ABA55" s="162"/>
      <c r="ABB55" s="158"/>
      <c r="ABC55" s="158"/>
      <c r="ABD55" s="163"/>
      <c r="ACJ55" s="759">
        <v>0.66666666699999999</v>
      </c>
      <c r="ACK55" s="760"/>
      <c r="ACL55" s="759">
        <v>-0.66666666699999999</v>
      </c>
      <c r="ACM55" s="760"/>
      <c r="ACN55" s="591">
        <v>43</v>
      </c>
      <c r="ACO55" s="759">
        <f t="shared" si="0"/>
        <v>0.28666666680999997</v>
      </c>
      <c r="ACP55" s="760"/>
      <c r="ACQ55" s="757">
        <f t="shared" si="48"/>
        <v>1.43</v>
      </c>
      <c r="ACR55" s="758"/>
      <c r="ACT55" s="759">
        <v>1</v>
      </c>
      <c r="ACU55" s="760"/>
      <c r="ACV55" s="759">
        <v>-1.2</v>
      </c>
      <c r="ACW55" s="760"/>
      <c r="ACX55" s="592">
        <v>93</v>
      </c>
      <c r="ACY55" s="759">
        <f t="shared" si="8"/>
        <v>0.7300000000000002</v>
      </c>
      <c r="ACZ55" s="760"/>
      <c r="ADA55" s="757">
        <f t="shared" si="49"/>
        <v>1.9300000000000002</v>
      </c>
      <c r="ADB55" s="758"/>
      <c r="ADD55" s="1112">
        <v>1.1052631578947401</v>
      </c>
      <c r="ADE55" s="1112"/>
      <c r="ADF55" s="1112">
        <v>-1.42105263157895</v>
      </c>
      <c r="ADG55" s="1112"/>
      <c r="ADH55" s="591">
        <v>142</v>
      </c>
      <c r="ADI55" s="759">
        <f t="shared" si="56"/>
        <v>1.2536842105263211</v>
      </c>
      <c r="ADJ55" s="760"/>
      <c r="ADK55" s="757">
        <f t="shared" si="50"/>
        <v>2.42</v>
      </c>
      <c r="ADL55" s="758"/>
      <c r="ADN55" s="759">
        <v>1.1052631580000001</v>
      </c>
      <c r="ADO55" s="760"/>
      <c r="ADP55" s="759">
        <v>-1.42105263157895</v>
      </c>
      <c r="ADQ55" s="760"/>
      <c r="ADR55" s="591">
        <v>192</v>
      </c>
      <c r="ADS55" s="759">
        <f t="shared" si="9"/>
        <v>1.80631578978105</v>
      </c>
      <c r="ADT55" s="760"/>
      <c r="ADU55" s="757">
        <f t="shared" si="51"/>
        <v>2.92</v>
      </c>
      <c r="ADV55" s="758"/>
      <c r="ADX55" s="759">
        <v>1.1052631580000001</v>
      </c>
      <c r="ADY55" s="760"/>
      <c r="ADZ55" s="759">
        <v>-1.42105263157895</v>
      </c>
      <c r="AEA55" s="760"/>
      <c r="AEB55" s="591">
        <v>242</v>
      </c>
      <c r="AEC55" s="759">
        <f t="shared" si="10"/>
        <v>2.3589473687810503</v>
      </c>
      <c r="AED55" s="760"/>
      <c r="AEE55" s="757">
        <f t="shared" si="52"/>
        <v>3.42</v>
      </c>
      <c r="AEF55" s="758"/>
      <c r="AEH55" s="759">
        <v>1.1052631580000001</v>
      </c>
      <c r="AEI55" s="760"/>
      <c r="AEJ55" s="759">
        <v>-1.42105263157895</v>
      </c>
      <c r="AEK55" s="760"/>
      <c r="AEL55" s="591">
        <v>292</v>
      </c>
      <c r="AEM55" s="759">
        <f t="shared" si="37"/>
        <v>2.9115789477810501</v>
      </c>
      <c r="AEN55" s="760"/>
      <c r="AEO55" s="757">
        <f t="shared" si="53"/>
        <v>3.92</v>
      </c>
      <c r="AEP55" s="758"/>
      <c r="AGJ55" s="521"/>
      <c r="AGK55" s="379"/>
      <c r="AGL55" s="379"/>
      <c r="AGM55" s="379"/>
      <c r="AGN55" s="379"/>
      <c r="AGO55" s="379"/>
      <c r="AGP55" s="379"/>
      <c r="AGQ55" s="379"/>
      <c r="AGR55" s="379"/>
      <c r="AGS55" s="379"/>
      <c r="AGT55" s="379"/>
      <c r="AGU55" s="379"/>
      <c r="AGV55" s="379"/>
      <c r="AGW55" s="379"/>
      <c r="AGX55" s="379"/>
      <c r="AGY55" s="379"/>
      <c r="AGZ55" s="379"/>
      <c r="AHA55" s="379"/>
      <c r="AHB55" s="379"/>
      <c r="AHC55" s="379"/>
      <c r="AHD55" s="379"/>
      <c r="AHE55" s="379"/>
      <c r="AHF55" s="379"/>
      <c r="AHG55" s="379"/>
      <c r="AHH55" s="379"/>
      <c r="AHI55" s="379"/>
      <c r="AHJ55" s="379"/>
      <c r="AHK55" s="379"/>
      <c r="AHL55" s="379"/>
      <c r="AHM55" s="379"/>
      <c r="AHN55" s="379"/>
      <c r="AHO55" s="379"/>
      <c r="AHP55" s="379"/>
      <c r="AHQ55" s="379"/>
      <c r="AHR55" s="379"/>
      <c r="AHS55" s="379"/>
      <c r="AHT55" s="379"/>
      <c r="AHU55" s="379"/>
      <c r="AHV55" s="379"/>
      <c r="AHW55" s="379"/>
      <c r="AHX55" s="379"/>
      <c r="AHY55" s="382" t="s">
        <v>1298</v>
      </c>
      <c r="ALU55" s="130"/>
      <c r="AQJ55" s="653"/>
      <c r="AQK55" s="653"/>
      <c r="AQL55" s="653"/>
      <c r="AQM55" s="653"/>
      <c r="AQN55" s="849"/>
      <c r="AQO55" s="852" t="s">
        <v>416</v>
      </c>
      <c r="AQP55" s="853"/>
      <c r="AQQ55" s="199"/>
      <c r="AQR55" s="78"/>
      <c r="AQS55" s="78"/>
      <c r="AQT55" s="78"/>
      <c r="AQU55" s="78"/>
      <c r="AQV55" s="78"/>
      <c r="AQW55" s="78"/>
      <c r="AQX55" s="199"/>
      <c r="AQY55" s="76" t="s">
        <v>441</v>
      </c>
      <c r="AQZ55" s="854" t="s">
        <v>435</v>
      </c>
      <c r="ARA55" s="1111"/>
      <c r="ARB55" s="920" t="s">
        <v>111</v>
      </c>
      <c r="ARC55" s="921"/>
      <c r="ARD55" s="916" t="s">
        <v>704</v>
      </c>
      <c r="ARE55" s="917"/>
      <c r="ARF55" s="906" t="s">
        <v>447</v>
      </c>
      <c r="ARG55" s="907"/>
      <c r="ARH55" s="907"/>
      <c r="ARI55" s="908"/>
      <c r="ARJ55" s="906" t="s">
        <v>436</v>
      </c>
      <c r="ARK55" s="907"/>
      <c r="ARL55" s="907"/>
      <c r="ARM55" s="907"/>
      <c r="ARN55" s="908"/>
      <c r="ARO55" s="653"/>
      <c r="ARP55" s="653"/>
      <c r="ARQ55" s="653"/>
      <c r="ARR55" s="653"/>
      <c r="ARS55" s="653"/>
      <c r="ARU55" s="849"/>
      <c r="ARV55" s="852" t="s">
        <v>416</v>
      </c>
      <c r="ARW55" s="853"/>
      <c r="ARX55" s="142"/>
      <c r="ARY55" s="78"/>
      <c r="ARZ55" s="78"/>
      <c r="ASA55" s="78"/>
      <c r="ASB55" s="78"/>
      <c r="ASC55" s="78"/>
      <c r="ASD55" s="78"/>
      <c r="ASE55" s="142"/>
      <c r="ASF55" s="76" t="s">
        <v>441</v>
      </c>
      <c r="ASG55" s="854" t="s">
        <v>435</v>
      </c>
      <c r="ASH55" s="855"/>
      <c r="ASI55" s="920" t="s">
        <v>111</v>
      </c>
      <c r="ASJ55" s="921"/>
      <c r="ASK55" s="916" t="s">
        <v>704</v>
      </c>
      <c r="ASL55" s="917"/>
      <c r="ASM55" s="906" t="s">
        <v>447</v>
      </c>
      <c r="ASN55" s="907"/>
      <c r="ASO55" s="907"/>
      <c r="ASP55" s="908"/>
    </row>
    <row r="56" spans="4:1011 1128:1224" ht="48" customHeight="1" thickBot="1">
      <c r="D56" s="162"/>
      <c r="E56" s="1522"/>
      <c r="F56" s="1523"/>
      <c r="G56" s="1524"/>
      <c r="H56" s="158"/>
      <c r="I56" s="1522"/>
      <c r="J56" s="1523"/>
      <c r="K56" s="1524"/>
      <c r="L56" s="158"/>
      <c r="M56" s="158"/>
      <c r="N56" s="158"/>
      <c r="O56" s="158"/>
      <c r="P56" s="158"/>
      <c r="Q56" s="158"/>
      <c r="R56" s="158"/>
      <c r="S56" s="158"/>
      <c r="T56" s="158"/>
      <c r="U56" s="158"/>
      <c r="V56" s="158"/>
      <c r="W56" s="158"/>
      <c r="X56" s="158"/>
      <c r="Y56" s="163"/>
      <c r="AI56" s="849"/>
      <c r="AJ56" s="1684">
        <v>1.8</v>
      </c>
      <c r="AK56" s="1684"/>
      <c r="AL56" s="611"/>
      <c r="AM56" s="800" t="s">
        <v>1586</v>
      </c>
      <c r="AN56" s="801"/>
      <c r="AO56" s="889">
        <f>$AP$5</f>
        <v>30000</v>
      </c>
      <c r="AP56" s="1270"/>
      <c r="AQ56" s="1157"/>
      <c r="AR56" s="611"/>
      <c r="AS56" s="76" t="s">
        <v>441</v>
      </c>
      <c r="AT56" s="1676" t="s">
        <v>435</v>
      </c>
      <c r="AU56" s="1677"/>
      <c r="AV56" s="924" t="s">
        <v>111</v>
      </c>
      <c r="AW56" s="925"/>
      <c r="AX56" s="916" t="s">
        <v>704</v>
      </c>
      <c r="AY56" s="917"/>
      <c r="AZ56" s="906" t="s">
        <v>447</v>
      </c>
      <c r="BA56" s="907"/>
      <c r="BB56" s="907"/>
      <c r="BC56" s="908"/>
      <c r="BD56" s="906" t="s">
        <v>446</v>
      </c>
      <c r="BE56" s="907"/>
      <c r="BF56" s="907"/>
      <c r="BG56" s="907"/>
      <c r="BH56" s="908"/>
      <c r="BX56" s="851"/>
      <c r="BY56" s="1408" t="s">
        <v>428</v>
      </c>
      <c r="BZ56" s="1409"/>
      <c r="CA56" s="804">
        <f>$AX$62</f>
        <v>0.88</v>
      </c>
      <c r="CB56" s="804"/>
      <c r="CC56" s="811"/>
      <c r="CD56" s="772"/>
      <c r="CE56" s="772"/>
      <c r="CF56" s="772"/>
      <c r="CG56" s="772"/>
      <c r="CH56" s="772"/>
      <c r="CI56" s="772"/>
      <c r="CJ56" s="772"/>
      <c r="CK56" s="772"/>
      <c r="CL56" s="772"/>
      <c r="CM56" s="772"/>
      <c r="CN56" s="1169"/>
      <c r="CO56" s="799"/>
      <c r="CP56" s="933"/>
      <c r="CQ56" s="934"/>
      <c r="CR56" s="812"/>
      <c r="CS56" s="813"/>
      <c r="CT56" s="813"/>
      <c r="CU56" s="813"/>
      <c r="CV56" s="1495"/>
      <c r="CW56" s="1495"/>
      <c r="CX56" s="1495"/>
      <c r="CY56" s="1495"/>
      <c r="CZ56" s="1495"/>
      <c r="DA56" s="1496"/>
      <c r="GF56" s="897" t="s">
        <v>929</v>
      </c>
      <c r="GG56" s="898"/>
      <c r="GH56" s="899"/>
      <c r="GI56" s="76" t="s">
        <v>793</v>
      </c>
      <c r="GJ56" s="852" t="s">
        <v>416</v>
      </c>
      <c r="GK56" s="853"/>
      <c r="GL56" s="138"/>
      <c r="GM56" s="76" t="s">
        <v>441</v>
      </c>
      <c r="GN56" s="854" t="s">
        <v>435</v>
      </c>
      <c r="GO56" s="1111"/>
      <c r="GP56" s="920" t="s">
        <v>111</v>
      </c>
      <c r="GQ56" s="921"/>
      <c r="GR56" s="916" t="s">
        <v>704</v>
      </c>
      <c r="GS56" s="917"/>
      <c r="GT56" s="1051" t="s">
        <v>447</v>
      </c>
      <c r="GU56" s="1051"/>
      <c r="GV56" s="1051"/>
      <c r="GW56" s="1051"/>
      <c r="GX56" s="1051"/>
      <c r="HX56" s="653"/>
      <c r="HY56" s="653"/>
      <c r="HZ56" s="653"/>
      <c r="IA56" s="653"/>
      <c r="IB56" s="653"/>
      <c r="IC56" s="653"/>
      <c r="ID56" s="653"/>
      <c r="IE56" s="653"/>
      <c r="IF56" s="653"/>
      <c r="IG56" s="653"/>
      <c r="IH56" s="653"/>
      <c r="II56" s="653"/>
      <c r="IJ56" s="653"/>
      <c r="IK56" s="653"/>
      <c r="IL56" s="653"/>
      <c r="IM56" s="653"/>
      <c r="IN56" s="653"/>
      <c r="IO56" s="653"/>
      <c r="IP56" s="653"/>
      <c r="IR56" s="76" t="s">
        <v>793</v>
      </c>
      <c r="IS56" s="852" t="s">
        <v>416</v>
      </c>
      <c r="IT56" s="923"/>
      <c r="IU56" s="224"/>
      <c r="IV56" s="800" t="s">
        <v>1446</v>
      </c>
      <c r="IW56" s="982"/>
      <c r="IX56" s="761">
        <f>$GV$89</f>
        <v>30.233859458483881</v>
      </c>
      <c r="IY56" s="761"/>
      <c r="IZ56" s="136"/>
      <c r="JA56" s="76" t="s">
        <v>441</v>
      </c>
      <c r="JB56" s="854" t="s">
        <v>435</v>
      </c>
      <c r="JC56" s="1111"/>
      <c r="JD56" s="920" t="s">
        <v>111</v>
      </c>
      <c r="JE56" s="921"/>
      <c r="JF56" s="916" t="s">
        <v>704</v>
      </c>
      <c r="JG56" s="917"/>
      <c r="JH56" s="906" t="s">
        <v>447</v>
      </c>
      <c r="JI56" s="907"/>
      <c r="JJ56" s="907"/>
      <c r="JK56" s="908"/>
      <c r="JL56" s="1051" t="s">
        <v>436</v>
      </c>
      <c r="JM56" s="1051"/>
      <c r="JN56" s="1051"/>
      <c r="JO56" s="1051"/>
      <c r="JP56" s="1051"/>
      <c r="JQ56" s="1051"/>
      <c r="MD56" s="196"/>
      <c r="ME56" s="852" t="s">
        <v>1729</v>
      </c>
      <c r="MF56" s="853"/>
      <c r="MG56" s="196"/>
      <c r="MH56" s="1069" t="s">
        <v>860</v>
      </c>
      <c r="MI56" s="1070"/>
      <c r="MJ56" s="1070"/>
      <c r="MK56" s="1070"/>
      <c r="ML56" s="1070"/>
      <c r="MM56" s="1070"/>
      <c r="MN56" s="1070"/>
      <c r="MO56" s="1070"/>
      <c r="MP56" s="1070"/>
      <c r="MQ56" s="1070"/>
      <c r="MR56" s="1071"/>
      <c r="MS56" s="196"/>
      <c r="NK56" s="1216"/>
      <c r="NL56" s="1217"/>
      <c r="NM56" s="1217"/>
      <c r="NN56" s="1217"/>
      <c r="NO56" s="1217"/>
      <c r="NP56" s="1217"/>
      <c r="NQ56" s="1217"/>
      <c r="NR56" s="1217"/>
      <c r="NS56" s="1217"/>
      <c r="NT56" s="1217"/>
      <c r="NU56" s="1217"/>
      <c r="NV56" s="1217"/>
      <c r="NW56" s="1217"/>
      <c r="NX56" s="1217"/>
      <c r="NY56" s="1217"/>
      <c r="NZ56" s="1217"/>
      <c r="OA56" s="1217"/>
      <c r="OB56" s="1217"/>
      <c r="OC56" s="1217"/>
      <c r="OD56" s="1217"/>
      <c r="OE56" s="1217"/>
      <c r="OF56" s="1218"/>
      <c r="PL56" s="897" t="s">
        <v>973</v>
      </c>
      <c r="PM56" s="898"/>
      <c r="PN56" s="899"/>
      <c r="PO56" s="849"/>
      <c r="PP56" s="1257" t="s">
        <v>416</v>
      </c>
      <c r="PQ56" s="1257"/>
      <c r="PR56" s="157"/>
      <c r="PS56" s="806" t="s">
        <v>1854</v>
      </c>
      <c r="PT56" s="807"/>
      <c r="PU56" s="808"/>
      <c r="PV56" s="76" t="s">
        <v>451</v>
      </c>
      <c r="PW56" s="157"/>
      <c r="PX56" s="76" t="s">
        <v>441</v>
      </c>
      <c r="PY56" s="854" t="s">
        <v>435</v>
      </c>
      <c r="PZ56" s="1111"/>
      <c r="QA56" s="920" t="s">
        <v>111</v>
      </c>
      <c r="QB56" s="921"/>
      <c r="QC56" s="916" t="s">
        <v>704</v>
      </c>
      <c r="QD56" s="922"/>
      <c r="QE56" s="1051" t="s">
        <v>447</v>
      </c>
      <c r="QF56" s="1051"/>
      <c r="QG56" s="1051"/>
      <c r="QH56" s="1051"/>
      <c r="QI56" s="1051"/>
      <c r="RE56" s="653"/>
      <c r="RF56" s="653"/>
      <c r="RG56" s="653"/>
      <c r="RH56" s="653"/>
      <c r="RI56" s="653"/>
      <c r="RJ56" s="653"/>
      <c r="RK56" s="653"/>
      <c r="RL56" s="653"/>
      <c r="RM56" s="653"/>
      <c r="RN56" s="653"/>
      <c r="RO56" s="653"/>
      <c r="RP56" s="653"/>
      <c r="RQ56" s="653"/>
      <c r="RR56" s="653"/>
      <c r="RS56" s="653"/>
      <c r="RT56" s="653"/>
      <c r="RU56" s="653"/>
      <c r="RV56" s="653"/>
      <c r="RW56" s="653"/>
      <c r="RX56" s="653"/>
      <c r="RY56" s="653"/>
      <c r="SJ56" s="653"/>
      <c r="SK56" s="653"/>
      <c r="SL56" s="653"/>
      <c r="SM56" s="653"/>
      <c r="SN56" s="653"/>
      <c r="SO56" s="653"/>
      <c r="SP56" s="653"/>
      <c r="SQ56" s="653"/>
      <c r="SR56" s="653"/>
      <c r="SS56" s="653"/>
      <c r="ST56" s="653"/>
      <c r="SU56" s="653"/>
      <c r="SV56" s="653"/>
      <c r="SW56" s="653"/>
      <c r="SX56" s="653"/>
      <c r="SY56" s="653"/>
      <c r="SZ56" s="653"/>
      <c r="TA56" s="653"/>
      <c r="TB56" s="653"/>
      <c r="TC56" s="653"/>
      <c r="TD56" s="653"/>
      <c r="TE56" s="653"/>
      <c r="TF56" s="653"/>
      <c r="TG56" s="653"/>
      <c r="TH56" s="653"/>
      <c r="TI56" s="653"/>
      <c r="TJ56" s="653"/>
      <c r="TK56" s="653"/>
      <c r="TL56" s="653"/>
      <c r="TM56" s="653"/>
      <c r="TN56" s="653"/>
      <c r="TO56" s="653"/>
      <c r="TP56" s="653"/>
      <c r="TQ56" s="653"/>
      <c r="TR56" s="653"/>
      <c r="TS56" s="653"/>
      <c r="TT56" s="653"/>
      <c r="TU56" s="653"/>
      <c r="TV56" s="653"/>
      <c r="TW56" s="653"/>
      <c r="TX56" s="653"/>
      <c r="TY56" s="653"/>
      <c r="TZ56" s="653"/>
      <c r="UA56" s="653"/>
      <c r="UB56" s="653"/>
      <c r="UC56" s="653"/>
      <c r="UD56" s="653"/>
      <c r="UE56" s="653"/>
      <c r="UF56" s="653"/>
      <c r="UG56" s="653"/>
      <c r="UH56" s="653"/>
      <c r="UI56" s="653"/>
      <c r="UJ56" s="653"/>
      <c r="UK56" s="653"/>
      <c r="UL56" s="653"/>
      <c r="UM56" s="653"/>
      <c r="UN56" s="653"/>
      <c r="UO56" s="653"/>
      <c r="UP56" s="653"/>
      <c r="UQ56" s="653"/>
      <c r="UR56" s="653"/>
      <c r="US56" s="653"/>
      <c r="UT56" s="653"/>
      <c r="UU56" s="653"/>
      <c r="UV56" s="653"/>
      <c r="UW56" s="653"/>
      <c r="UX56" s="653"/>
      <c r="UY56" s="653"/>
      <c r="UZ56" s="653"/>
      <c r="VC56" s="973" t="s">
        <v>1725</v>
      </c>
      <c r="VD56" s="974"/>
      <c r="VE56" s="974"/>
      <c r="VF56" s="974"/>
      <c r="VG56" s="974"/>
      <c r="VH56" s="974"/>
      <c r="VI56" s="974"/>
      <c r="VJ56" s="974"/>
      <c r="VK56" s="974"/>
      <c r="VL56" s="974"/>
      <c r="VM56" s="974"/>
      <c r="VN56" s="974"/>
      <c r="VO56" s="975"/>
      <c r="VP56" s="92"/>
      <c r="VQ56" s="94"/>
      <c r="VZ56" s="130"/>
      <c r="WA56" s="130"/>
      <c r="WB56" s="130"/>
      <c r="WC56" s="130"/>
      <c r="WE56" s="1026"/>
      <c r="WF56" s="1027"/>
      <c r="WG56" s="1027"/>
      <c r="WH56" s="1027"/>
      <c r="WI56" s="1027"/>
      <c r="WJ56" s="1028"/>
      <c r="WK56" s="169"/>
      <c r="WL56" s="170"/>
      <c r="WM56" s="170"/>
      <c r="WN56" s="170"/>
      <c r="WO56" s="170"/>
      <c r="WP56" s="170"/>
      <c r="WQ56" s="170"/>
      <c r="WR56" s="170"/>
      <c r="WS56" s="170"/>
      <c r="WT56" s="170"/>
      <c r="WU56" s="170"/>
      <c r="WV56" s="170"/>
      <c r="WW56" s="172"/>
      <c r="WX56" s="978"/>
      <c r="WY56" s="979"/>
      <c r="WZ56" s="756"/>
      <c r="XA56" s="756"/>
      <c r="XB56" s="169"/>
      <c r="XC56" s="170"/>
      <c r="XD56" s="170"/>
      <c r="XE56" s="170"/>
      <c r="XF56" s="172"/>
      <c r="XG56" s="967"/>
      <c r="XH56" s="967"/>
      <c r="XI56" s="967"/>
      <c r="XJ56" s="967"/>
      <c r="XK56" s="967"/>
      <c r="XL56" s="967"/>
      <c r="XM56" s="967"/>
      <c r="XN56" s="967"/>
      <c r="XO56" s="967"/>
      <c r="XP56" s="967"/>
      <c r="XQ56" s="967"/>
      <c r="XR56" s="967"/>
      <c r="XS56" s="967"/>
      <c r="XT56" s="967"/>
      <c r="XU56" s="967"/>
      <c r="XV56" s="967"/>
      <c r="XW56" s="967"/>
      <c r="XX56" s="967"/>
      <c r="XY56" s="967"/>
      <c r="XZ56" s="967"/>
      <c r="YA56" s="967"/>
      <c r="YB56" s="967"/>
      <c r="YC56" s="967"/>
      <c r="YD56" s="967"/>
      <c r="YE56" s="967"/>
      <c r="YF56" s="967"/>
      <c r="YG56" s="967"/>
      <c r="YH56" s="967"/>
      <c r="YI56" s="967"/>
      <c r="YJ56" s="967"/>
      <c r="YK56" s="967"/>
      <c r="YL56" s="967"/>
      <c r="YM56" s="967"/>
      <c r="YN56" s="967"/>
      <c r="YO56" s="967"/>
      <c r="YP56" s="967"/>
      <c r="YQ56" s="967"/>
      <c r="YR56" s="967"/>
      <c r="YS56" s="967"/>
      <c r="YT56" s="967"/>
      <c r="YU56" s="967"/>
      <c r="YV56" s="967"/>
      <c r="YW56" s="967"/>
      <c r="YX56" s="967"/>
      <c r="YY56" s="967"/>
      <c r="YZ56" s="967"/>
      <c r="ZA56" s="967"/>
      <c r="ZB56" s="967"/>
      <c r="ZC56" s="967"/>
      <c r="ZD56" s="967"/>
      <c r="ZE56" s="967"/>
      <c r="ZF56" s="967"/>
      <c r="ZG56" s="967"/>
      <c r="ZH56" s="967"/>
      <c r="ZI56" s="967"/>
      <c r="ZJ56" s="967"/>
      <c r="ZK56" s="967"/>
      <c r="ZL56" s="967"/>
      <c r="ZM56" s="967"/>
      <c r="ZN56" s="967"/>
      <c r="ZO56" s="967"/>
      <c r="ZP56" s="967"/>
      <c r="ZQ56" s="967"/>
      <c r="ZR56" s="967"/>
      <c r="ZS56" s="967"/>
      <c r="ZT56" s="967"/>
      <c r="ZU56" s="967"/>
      <c r="ZV56" s="967"/>
      <c r="ZW56" s="967"/>
      <c r="ZX56" s="967"/>
      <c r="ZY56" s="967"/>
      <c r="ZZ56" s="967"/>
      <c r="AAA56" s="967"/>
      <c r="AAB56" s="967"/>
      <c r="AAC56" s="967"/>
      <c r="AAD56" s="967"/>
      <c r="AAE56" s="967"/>
      <c r="AAF56" s="967"/>
      <c r="AAG56" s="967"/>
      <c r="AAH56" s="967"/>
      <c r="AAI56" s="967"/>
      <c r="AAJ56" s="967"/>
      <c r="AAK56" s="967"/>
      <c r="AAL56" s="967"/>
      <c r="AAM56" s="967"/>
      <c r="AAN56" s="967"/>
      <c r="AAO56" s="967"/>
      <c r="AAP56" s="967"/>
      <c r="AAQ56" s="967"/>
      <c r="AAR56" s="967"/>
      <c r="AAS56" s="967"/>
      <c r="AAT56" s="965"/>
      <c r="AAU56" s="756"/>
      <c r="AAV56" s="756"/>
      <c r="AAW56" s="169"/>
      <c r="AAX56" s="170"/>
      <c r="AAY56" s="170"/>
      <c r="AAZ56" s="170"/>
      <c r="ABA56" s="162"/>
      <c r="ABB56" s="158"/>
      <c r="ABC56" s="158"/>
      <c r="ABD56" s="163"/>
      <c r="ACJ56" s="759">
        <v>0.66666666699999999</v>
      </c>
      <c r="ACK56" s="760"/>
      <c r="ACL56" s="759">
        <v>-0.66666666699999999</v>
      </c>
      <c r="ACM56" s="760"/>
      <c r="ACN56" s="591">
        <v>44</v>
      </c>
      <c r="ACO56" s="759">
        <f t="shared" si="0"/>
        <v>0.29333333348000001</v>
      </c>
      <c r="ACP56" s="760"/>
      <c r="ACQ56" s="757">
        <f t="shared" si="48"/>
        <v>1.44</v>
      </c>
      <c r="ACR56" s="758"/>
      <c r="ACT56" s="759">
        <v>1</v>
      </c>
      <c r="ACU56" s="760"/>
      <c r="ACV56" s="759">
        <v>-1.2</v>
      </c>
      <c r="ACW56" s="760"/>
      <c r="ACX56" s="592">
        <v>94</v>
      </c>
      <c r="ACY56" s="759">
        <f t="shared" si="8"/>
        <v>0.74</v>
      </c>
      <c r="ACZ56" s="760"/>
      <c r="ADA56" s="757">
        <f t="shared" si="49"/>
        <v>1.94</v>
      </c>
      <c r="ADB56" s="758"/>
      <c r="ADD56" s="1112">
        <v>1.1052631578947401</v>
      </c>
      <c r="ADE56" s="1112"/>
      <c r="ADF56" s="1112">
        <v>-1.42105263157895</v>
      </c>
      <c r="ADG56" s="1112"/>
      <c r="ADH56" s="591">
        <v>143</v>
      </c>
      <c r="ADI56" s="759">
        <f t="shared" si="56"/>
        <v>1.2647368421052678</v>
      </c>
      <c r="ADJ56" s="760"/>
      <c r="ADK56" s="757">
        <f t="shared" si="50"/>
        <v>2.4299999999999997</v>
      </c>
      <c r="ADL56" s="758"/>
      <c r="ADN56" s="759">
        <v>1.1052631580000001</v>
      </c>
      <c r="ADO56" s="760"/>
      <c r="ADP56" s="759">
        <v>-1.42105263157895</v>
      </c>
      <c r="ADQ56" s="760"/>
      <c r="ADR56" s="591">
        <v>193</v>
      </c>
      <c r="ADS56" s="759">
        <f t="shared" si="9"/>
        <v>1.8173684213610497</v>
      </c>
      <c r="ADT56" s="760"/>
      <c r="ADU56" s="757">
        <f t="shared" si="51"/>
        <v>2.9299999999999997</v>
      </c>
      <c r="ADV56" s="758"/>
      <c r="ADX56" s="759">
        <v>1.1052631580000001</v>
      </c>
      <c r="ADY56" s="760"/>
      <c r="ADZ56" s="759">
        <v>-1.42105263157895</v>
      </c>
      <c r="AEA56" s="760"/>
      <c r="AEB56" s="591">
        <v>243</v>
      </c>
      <c r="AEC56" s="759">
        <f t="shared" si="10"/>
        <v>2.3700000003610504</v>
      </c>
      <c r="AED56" s="760"/>
      <c r="AEE56" s="757">
        <f t="shared" si="52"/>
        <v>3.43</v>
      </c>
      <c r="AEF56" s="758"/>
      <c r="AEH56" s="759">
        <v>1.1052631580000001</v>
      </c>
      <c r="AEI56" s="760"/>
      <c r="AEJ56" s="759">
        <v>-1.42105263157895</v>
      </c>
      <c r="AEK56" s="760"/>
      <c r="AEL56" s="591">
        <v>293</v>
      </c>
      <c r="AEM56" s="759">
        <f t="shared" si="37"/>
        <v>2.9226315793610502</v>
      </c>
      <c r="AEN56" s="760"/>
      <c r="AEO56" s="757">
        <f t="shared" si="53"/>
        <v>3.93</v>
      </c>
      <c r="AEP56" s="758"/>
      <c r="AGJ56" s="377"/>
      <c r="AGK56" s="373"/>
      <c r="AGL56" s="373"/>
      <c r="AGM56" s="373"/>
      <c r="AGN56" s="849"/>
      <c r="AGO56" s="852" t="s">
        <v>416</v>
      </c>
      <c r="AGP56" s="853"/>
      <c r="AGQ56" s="687"/>
      <c r="AGR56" s="686" t="s">
        <v>1504</v>
      </c>
      <c r="AGS56" s="951">
        <f>$AGZ$51</f>
        <v>17.61075870993005</v>
      </c>
      <c r="AGT56" s="952"/>
      <c r="AGU56" s="78"/>
      <c r="AGV56" s="78"/>
      <c r="AGW56" s="78"/>
      <c r="AGX56" s="687"/>
      <c r="AGY56" s="76" t="s">
        <v>441</v>
      </c>
      <c r="AGZ56" s="854" t="s">
        <v>435</v>
      </c>
      <c r="AHA56" s="1111"/>
      <c r="AHB56" s="920" t="s">
        <v>111</v>
      </c>
      <c r="AHC56" s="921"/>
      <c r="AHD56" s="916" t="s">
        <v>704</v>
      </c>
      <c r="AHE56" s="917"/>
      <c r="AHF56" s="906" t="s">
        <v>447</v>
      </c>
      <c r="AHG56" s="907"/>
      <c r="AHH56" s="907"/>
      <c r="AHI56" s="908"/>
      <c r="AHJ56" s="1051" t="s">
        <v>436</v>
      </c>
      <c r="AHK56" s="1051"/>
      <c r="AHL56" s="1051"/>
      <c r="AHM56" s="1051"/>
      <c r="AHN56" s="1051"/>
      <c r="AHO56" s="1051"/>
      <c r="AHP56" s="1051"/>
      <c r="AHQ56" s="1051"/>
      <c r="AHR56" s="1051"/>
      <c r="AHS56" s="1051"/>
      <c r="AHT56" s="1051"/>
      <c r="AHU56" s="373"/>
      <c r="AHV56" s="373"/>
      <c r="AHW56" s="373"/>
      <c r="AHX56" s="373"/>
      <c r="AHY56" s="381" t="s">
        <v>1297</v>
      </c>
      <c r="ALU56" s="130"/>
      <c r="ALV56" s="130"/>
      <c r="ALW56" s="130"/>
      <c r="AQJ56" s="653"/>
      <c r="AQK56" s="653"/>
      <c r="AQL56" s="653"/>
      <c r="AQM56" s="653"/>
      <c r="AQN56" s="850"/>
      <c r="AQO56" s="809" t="s">
        <v>895</v>
      </c>
      <c r="AQP56" s="797"/>
      <c r="AQQ56" s="797"/>
      <c r="AQR56" s="797"/>
      <c r="AQS56" s="797"/>
      <c r="AQT56" s="797"/>
      <c r="AQU56" s="797"/>
      <c r="AQV56" s="797"/>
      <c r="AQW56" s="797"/>
      <c r="AQX56" s="797"/>
      <c r="AQY56" s="797"/>
      <c r="AQZ56" s="797"/>
      <c r="ARA56" s="797"/>
      <c r="ARB56" s="1167"/>
      <c r="ARC56" s="840"/>
      <c r="ARD56" s="1540" t="s">
        <v>3</v>
      </c>
      <c r="ARE56" s="1541"/>
      <c r="ARF56" s="1066"/>
      <c r="ARG56" s="843"/>
      <c r="ARH56" s="844"/>
      <c r="ARI56" s="847"/>
      <c r="ARJ56" s="826"/>
      <c r="ARK56" s="945"/>
      <c r="ARL56" s="945"/>
      <c r="ARM56" s="945"/>
      <c r="ARN56" s="946"/>
      <c r="ARO56" s="653"/>
      <c r="ARP56" s="653"/>
      <c r="ARQ56" s="653"/>
      <c r="ARR56" s="653"/>
      <c r="ARS56" s="653"/>
      <c r="ARU56" s="850"/>
      <c r="ARV56" s="856" t="s">
        <v>896</v>
      </c>
      <c r="ARW56" s="856"/>
      <c r="ARX56" s="856"/>
      <c r="ARY56" s="856"/>
      <c r="ARZ56" s="856"/>
      <c r="ASA56" s="856"/>
      <c r="ASB56" s="856"/>
      <c r="ASC56" s="856"/>
      <c r="ASD56" s="856"/>
      <c r="ASE56" s="856"/>
      <c r="ASF56" s="856"/>
      <c r="ASG56" s="856"/>
      <c r="ASH56" s="856"/>
      <c r="ASI56" s="835"/>
      <c r="ASJ56" s="836"/>
      <c r="ASK56" s="839"/>
      <c r="ASL56" s="840"/>
      <c r="ASM56" s="841"/>
      <c r="ASN56" s="843" t="s">
        <v>416</v>
      </c>
      <c r="ASO56" s="844"/>
      <c r="ASP56" s="847"/>
    </row>
    <row r="57" spans="4:1011 1128:1224" ht="48" customHeight="1" thickBot="1">
      <c r="D57" s="164"/>
      <c r="E57" s="165"/>
      <c r="F57" s="165"/>
      <c r="G57" s="165"/>
      <c r="H57" s="165"/>
      <c r="I57" s="165"/>
      <c r="J57" s="165"/>
      <c r="K57" s="165"/>
      <c r="L57" s="165"/>
      <c r="M57" s="165"/>
      <c r="N57" s="165"/>
      <c r="O57" s="165"/>
      <c r="P57" s="165"/>
      <c r="Q57" s="165"/>
      <c r="R57" s="165"/>
      <c r="S57" s="165"/>
      <c r="T57" s="165"/>
      <c r="U57" s="165"/>
      <c r="V57" s="165"/>
      <c r="W57" s="165"/>
      <c r="X57" s="165"/>
      <c r="Y57" s="166"/>
      <c r="AI57" s="850"/>
      <c r="AJ57" s="1681" t="s">
        <v>434</v>
      </c>
      <c r="AK57" s="1682"/>
      <c r="AL57" s="761">
        <f>$AX$66</f>
        <v>0.88</v>
      </c>
      <c r="AM57" s="761"/>
      <c r="AN57" s="768" t="s">
        <v>14</v>
      </c>
      <c r="AO57" s="762"/>
      <c r="AP57" s="762"/>
      <c r="AQ57" s="762"/>
      <c r="AR57" s="762"/>
      <c r="AS57" s="762"/>
      <c r="AT57" s="762"/>
      <c r="AU57" s="763"/>
      <c r="AV57" s="1700">
        <f>(AO56*AL59)/(AL57*AL58)</f>
        <v>37771.177685950417</v>
      </c>
      <c r="AW57" s="1701"/>
      <c r="AX57" s="1075" t="s">
        <v>3</v>
      </c>
      <c r="AY57" s="1076"/>
      <c r="AZ57" s="841"/>
      <c r="BA57" s="893" t="s">
        <v>1875</v>
      </c>
      <c r="BB57" s="894"/>
      <c r="BC57" s="847"/>
      <c r="BD57" s="826"/>
      <c r="BE57" s="945"/>
      <c r="BF57" s="945"/>
      <c r="BG57" s="945"/>
      <c r="BH57" s="946"/>
      <c r="BL57" s="130"/>
      <c r="BM57" s="130"/>
      <c r="BN57" s="130"/>
      <c r="BO57" s="6"/>
      <c r="BQ57" s="130"/>
      <c r="BR57" s="130"/>
      <c r="BS57" s="130"/>
      <c r="DZ57" s="897" t="s">
        <v>929</v>
      </c>
      <c r="EA57" s="898"/>
      <c r="EB57" s="899"/>
      <c r="EC57" s="76" t="s">
        <v>793</v>
      </c>
      <c r="ED57" s="852" t="s">
        <v>416</v>
      </c>
      <c r="EE57" s="853"/>
      <c r="EF57" s="138"/>
      <c r="EG57" s="76" t="s">
        <v>441</v>
      </c>
      <c r="EH57" s="854" t="s">
        <v>435</v>
      </c>
      <c r="EI57" s="855"/>
      <c r="EJ57" s="920" t="s">
        <v>111</v>
      </c>
      <c r="EK57" s="921"/>
      <c r="EL57" s="916" t="s">
        <v>704</v>
      </c>
      <c r="EM57" s="917"/>
      <c r="EN57" s="906" t="s">
        <v>447</v>
      </c>
      <c r="EO57" s="907"/>
      <c r="EP57" s="907"/>
      <c r="EQ57" s="908"/>
      <c r="GF57" s="900"/>
      <c r="GG57" s="901"/>
      <c r="GH57" s="902"/>
      <c r="GI57" s="849"/>
      <c r="GJ57" s="791" t="s">
        <v>1637</v>
      </c>
      <c r="GK57" s="792"/>
      <c r="GL57" s="792"/>
      <c r="GM57" s="792"/>
      <c r="GN57" s="792"/>
      <c r="GO57" s="792"/>
      <c r="GP57" s="1453">
        <v>1.5</v>
      </c>
      <c r="GQ57" s="1454"/>
      <c r="GR57" s="1075" t="s">
        <v>45</v>
      </c>
      <c r="GS57" s="1076"/>
      <c r="GT57" s="1066"/>
      <c r="GU57" s="893" t="s">
        <v>1002</v>
      </c>
      <c r="GV57" s="1081"/>
      <c r="GW57" s="894"/>
      <c r="GX57" s="847"/>
      <c r="HX57" s="653"/>
      <c r="HY57" s="653"/>
      <c r="HZ57" s="653"/>
      <c r="IA57" s="653"/>
      <c r="IB57" s="653"/>
      <c r="IC57" s="653"/>
      <c r="ID57" s="653"/>
      <c r="IE57" s="653"/>
      <c r="IF57" s="653"/>
      <c r="IG57" s="653"/>
      <c r="IH57" s="653"/>
      <c r="II57" s="653"/>
      <c r="IK57" s="653"/>
      <c r="IL57" s="653"/>
      <c r="IM57" s="653"/>
      <c r="IN57" s="653"/>
      <c r="IO57" s="653"/>
      <c r="IP57" s="653"/>
      <c r="IR57" s="849"/>
      <c r="IS57" s="225" t="s">
        <v>448</v>
      </c>
      <c r="IT57" s="766">
        <f>$AP$16</f>
        <v>2</v>
      </c>
      <c r="IU57" s="766"/>
      <c r="IV57" s="791" t="s">
        <v>1062</v>
      </c>
      <c r="IW57" s="792"/>
      <c r="IX57" s="792"/>
      <c r="IY57" s="792"/>
      <c r="IZ57" s="792"/>
      <c r="JA57" s="792"/>
      <c r="JB57" s="792"/>
      <c r="JC57" s="792"/>
      <c r="JD57" s="835">
        <f>((2+AP16)/(3.2*AP16))*((GM20*1000/2)-GV89)</f>
        <v>47.116337838447592</v>
      </c>
      <c r="JE57" s="836"/>
      <c r="JF57" s="1075" t="s">
        <v>45</v>
      </c>
      <c r="JG57" s="1076"/>
      <c r="JH57" s="841"/>
      <c r="JI57" s="843" t="s">
        <v>1046</v>
      </c>
      <c r="JJ57" s="844"/>
      <c r="JK57" s="847"/>
      <c r="JL57" s="1052"/>
      <c r="JM57" s="1052"/>
      <c r="JN57" s="1052"/>
      <c r="JO57" s="1052"/>
      <c r="JP57" s="1052"/>
      <c r="JQ57" s="1052"/>
      <c r="LF57" s="130"/>
      <c r="LG57" s="130"/>
      <c r="LH57" s="130"/>
      <c r="LI57" s="130"/>
      <c r="LJ57" s="130"/>
      <c r="LK57" s="130"/>
      <c r="LL57" s="130"/>
      <c r="LM57" s="130"/>
      <c r="LN57" s="130"/>
      <c r="LO57" s="130"/>
      <c r="LP57" s="130"/>
      <c r="LQ57" s="130"/>
      <c r="LR57" s="130"/>
      <c r="LS57" s="130"/>
      <c r="LT57" s="130"/>
      <c r="LU57" s="130"/>
      <c r="LV57" s="130"/>
      <c r="NK57" s="1216"/>
      <c r="NL57" s="1217"/>
      <c r="NM57" s="1217"/>
      <c r="NN57" s="1217"/>
      <c r="NO57" s="1217"/>
      <c r="NP57" s="1217"/>
      <c r="NQ57" s="1217"/>
      <c r="NR57" s="1217"/>
      <c r="NS57" s="1217"/>
      <c r="NT57" s="1217"/>
      <c r="NU57" s="1217"/>
      <c r="NV57" s="1217"/>
      <c r="NW57" s="1217"/>
      <c r="NX57" s="1217"/>
      <c r="NY57" s="1217"/>
      <c r="NZ57" s="1217"/>
      <c r="OA57" s="1217"/>
      <c r="OB57" s="1217"/>
      <c r="OC57" s="1217"/>
      <c r="OD57" s="1217"/>
      <c r="OE57" s="1217"/>
      <c r="OF57" s="1218"/>
      <c r="PL57" s="900"/>
      <c r="PM57" s="901"/>
      <c r="PN57" s="902"/>
      <c r="PO57" s="850"/>
      <c r="PP57" s="809" t="s">
        <v>151</v>
      </c>
      <c r="PQ57" s="797"/>
      <c r="PR57" s="797"/>
      <c r="PS57" s="797"/>
      <c r="PT57" s="797"/>
      <c r="PU57" s="797"/>
      <c r="PV57" s="797"/>
      <c r="PW57" s="797"/>
      <c r="PX57" s="797"/>
      <c r="PY57" s="797"/>
      <c r="PZ57" s="797"/>
      <c r="QA57" s="1054">
        <v>2.5</v>
      </c>
      <c r="QB57" s="1055"/>
      <c r="QC57" s="1183" t="s">
        <v>729</v>
      </c>
      <c r="QD57" s="1184"/>
      <c r="QE57" s="1248"/>
      <c r="QF57" s="1283" t="s">
        <v>1527</v>
      </c>
      <c r="QG57" s="1283"/>
      <c r="QH57" s="1283"/>
      <c r="QI57" s="1289"/>
      <c r="RE57" s="653"/>
      <c r="RF57" s="653"/>
      <c r="RG57" s="653"/>
      <c r="RH57" s="653"/>
      <c r="RI57" s="653"/>
      <c r="RJ57" s="653"/>
      <c r="RK57" s="653"/>
      <c r="RL57" s="653"/>
      <c r="RM57" s="653"/>
      <c r="RN57" s="653"/>
      <c r="RO57" s="653"/>
      <c r="RP57" s="653"/>
      <c r="RQ57" s="653"/>
      <c r="RR57" s="653"/>
      <c r="RS57" s="653"/>
      <c r="RT57" s="653"/>
      <c r="RU57" s="653"/>
      <c r="RV57" s="653"/>
      <c r="RW57" s="653"/>
      <c r="RX57" s="653"/>
      <c r="RY57" s="653"/>
      <c r="SJ57" s="653"/>
      <c r="SK57" s="653"/>
      <c r="SL57" s="653"/>
      <c r="SM57" s="653"/>
      <c r="SN57" s="653"/>
      <c r="SO57" s="653"/>
      <c r="SP57" s="653"/>
      <c r="SQ57" s="653"/>
      <c r="SR57" s="653"/>
      <c r="SS57" s="653"/>
      <c r="ST57" s="653"/>
      <c r="SU57" s="653"/>
      <c r="SV57" s="653"/>
      <c r="SW57" s="653"/>
      <c r="SX57" s="653"/>
      <c r="SY57" s="653"/>
      <c r="SZ57" s="653"/>
      <c r="TA57" s="653"/>
      <c r="TB57" s="653"/>
      <c r="TC57" s="653"/>
      <c r="TD57" s="653"/>
      <c r="TE57" s="653"/>
      <c r="TF57" s="653"/>
      <c r="TG57" s="653"/>
      <c r="TH57" s="653"/>
      <c r="TI57" s="653"/>
      <c r="TJ57" s="653"/>
      <c r="TK57" s="653"/>
      <c r="TL57" s="653"/>
      <c r="TM57" s="653"/>
      <c r="TN57" s="653"/>
      <c r="TO57" s="653"/>
      <c r="TP57" s="653"/>
      <c r="TQ57" s="653"/>
      <c r="TR57" s="653"/>
      <c r="TS57" s="653"/>
      <c r="TT57" s="653"/>
      <c r="TU57" s="653"/>
      <c r="TV57" s="653"/>
      <c r="TW57" s="653"/>
      <c r="TX57" s="653"/>
      <c r="TY57" s="653"/>
      <c r="TZ57" s="653"/>
      <c r="UA57" s="653"/>
      <c r="UB57" s="653"/>
      <c r="UC57" s="653"/>
      <c r="UD57" s="653"/>
      <c r="UE57" s="653"/>
      <c r="UF57" s="653"/>
      <c r="UG57" s="653"/>
      <c r="UH57" s="653"/>
      <c r="UI57" s="653"/>
      <c r="UJ57" s="653"/>
      <c r="UK57" s="653"/>
      <c r="UL57" s="653"/>
      <c r="UM57" s="653"/>
      <c r="UN57" s="653"/>
      <c r="UO57" s="653"/>
      <c r="UP57" s="653"/>
      <c r="UQ57" s="653"/>
      <c r="UR57" s="653"/>
      <c r="US57" s="653"/>
      <c r="UT57" s="653"/>
      <c r="UU57" s="653"/>
      <c r="UV57" s="653"/>
      <c r="UW57" s="653"/>
      <c r="UX57" s="653"/>
      <c r="UY57" s="653"/>
      <c r="UZ57" s="653"/>
      <c r="VC57" s="159"/>
      <c r="VD57" s="160"/>
      <c r="VE57" s="160"/>
      <c r="VF57" s="160"/>
      <c r="VG57" s="160"/>
      <c r="VH57" s="160"/>
      <c r="VI57" s="160"/>
      <c r="VJ57" s="160"/>
      <c r="VK57" s="160"/>
      <c r="VL57" s="160"/>
      <c r="VM57" s="160"/>
      <c r="VN57" s="160"/>
      <c r="VO57" s="160"/>
      <c r="VP57" s="160"/>
      <c r="VQ57" s="161"/>
      <c r="WC57" s="653"/>
      <c r="WD57" s="653"/>
      <c r="WE57" s="1026"/>
      <c r="WF57" s="1027"/>
      <c r="WG57" s="1027"/>
      <c r="WH57" s="1027"/>
      <c r="WI57" s="1027"/>
      <c r="WJ57" s="1028"/>
      <c r="WK57" s="699" t="s">
        <v>1718</v>
      </c>
      <c r="WL57" s="951">
        <v>0</v>
      </c>
      <c r="WM57" s="952"/>
      <c r="WN57" s="168"/>
      <c r="WO57" s="168"/>
      <c r="WP57" s="168"/>
      <c r="WQ57" s="168"/>
      <c r="WR57" s="168"/>
      <c r="WS57" s="168"/>
      <c r="WT57" s="168"/>
      <c r="WU57" s="168"/>
      <c r="WV57" s="168"/>
      <c r="WW57" s="171"/>
      <c r="WX57" s="976">
        <v>18</v>
      </c>
      <c r="WY57" s="977"/>
      <c r="WZ57" s="756" t="s">
        <v>705</v>
      </c>
      <c r="XA57" s="756"/>
      <c r="XB57" s="167"/>
      <c r="XC57" s="168"/>
      <c r="XD57" s="168"/>
      <c r="XE57" s="168"/>
      <c r="XF57" s="171"/>
      <c r="XG57" s="966">
        <f>XG33/XG37 - $WL$57</f>
        <v>0.21058635131497128</v>
      </c>
      <c r="XH57" s="966">
        <f t="shared" ref="XH57:ZS57" si="66">XH33/XH37 - $WL$57</f>
        <v>0.34871383700377057</v>
      </c>
      <c r="XI57" s="966">
        <f t="shared" si="66"/>
        <v>0.46490376175624959</v>
      </c>
      <c r="XJ57" s="966">
        <f t="shared" si="66"/>
        <v>0.55845951648995018</v>
      </c>
      <c r="XK57" s="966">
        <f t="shared" si="66"/>
        <v>0.6318977023955662</v>
      </c>
      <c r="XL57" s="966">
        <f t="shared" si="66"/>
        <v>0.68888801981452941</v>
      </c>
      <c r="XM57" s="966">
        <f t="shared" si="66"/>
        <v>0.73302225943596211</v>
      </c>
      <c r="XN57" s="966">
        <f t="shared" si="66"/>
        <v>0.76732084817088442</v>
      </c>
      <c r="XO57" s="966">
        <f t="shared" si="66"/>
        <v>0.79414787678492949</v>
      </c>
      <c r="XP57" s="966">
        <f t="shared" si="66"/>
        <v>0.81529106729980427</v>
      </c>
      <c r="XQ57" s="966">
        <f t="shared" si="66"/>
        <v>0.83208268502088434</v>
      </c>
      <c r="XR57" s="966">
        <f t="shared" si="66"/>
        <v>0.84551212708939794</v>
      </c>
      <c r="XS57" s="966">
        <f t="shared" si="66"/>
        <v>0.85631628301025509</v>
      </c>
      <c r="XT57" s="966">
        <f t="shared" si="66"/>
        <v>0.86504755470701544</v>
      </c>
      <c r="XU57" s="966">
        <f t="shared" si="66"/>
        <v>0.87212357229618087</v>
      </c>
      <c r="XV57" s="966">
        <f t="shared" si="66"/>
        <v>0.87786308595460893</v>
      </c>
      <c r="XW57" s="966">
        <f t="shared" si="66"/>
        <v>0.88251180012223873</v>
      </c>
      <c r="XX57" s="966">
        <f t="shared" si="66"/>
        <v>0.88626101161145576</v>
      </c>
      <c r="XY57" s="966">
        <f t="shared" si="66"/>
        <v>0.88926112893147191</v>
      </c>
      <c r="XZ57" s="966">
        <f t="shared" si="66"/>
        <v>0.89163154919036558</v>
      </c>
      <c r="YA57" s="966">
        <f t="shared" si="66"/>
        <v>0.89346793281937675</v>
      </c>
      <c r="YB57" s="966">
        <f t="shared" si="66"/>
        <v>0.89484760790918627</v>
      </c>
      <c r="YC57" s="966">
        <f t="shared" si="66"/>
        <v>0.89583362026715907</v>
      </c>
      <c r="YD57" s="966">
        <f t="shared" si="66"/>
        <v>0.89647779502337555</v>
      </c>
      <c r="YE57" s="966">
        <f t="shared" si="66"/>
        <v>0.89682307078203827</v>
      </c>
      <c r="YF57" s="966">
        <f t="shared" si="66"/>
        <v>0.89690529389864659</v>
      </c>
      <c r="YG57" s="966">
        <f t="shared" si="66"/>
        <v>0.89675460875576152</v>
      </c>
      <c r="YH57" s="966">
        <f t="shared" si="66"/>
        <v>0.89639654324730322</v>
      </c>
      <c r="YI57" s="966">
        <f t="shared" si="66"/>
        <v>0.89585286249539764</v>
      </c>
      <c r="YJ57" s="966">
        <f t="shared" si="66"/>
        <v>0.895142244978128</v>
      </c>
      <c r="YK57" s="966">
        <f t="shared" si="66"/>
        <v>0.89428082157847444</v>
      </c>
      <c r="YL57" s="966">
        <f t="shared" si="66"/>
        <v>0.89328260807508186</v>
      </c>
      <c r="YM57" s="966">
        <f t="shared" si="66"/>
        <v>0.89215985423855837</v>
      </c>
      <c r="YN57" s="966">
        <f t="shared" si="66"/>
        <v>0.89092332723841816</v>
      </c>
      <c r="YO57" s="966">
        <f t="shared" si="66"/>
        <v>0.88958254298617268</v>
      </c>
      <c r="YP57" s="966">
        <f t="shared" si="66"/>
        <v>0.8881459559695174</v>
      </c>
      <c r="YQ57" s="966">
        <f t="shared" si="66"/>
        <v>0.8866211158056635</v>
      </c>
      <c r="YR57" s="966">
        <f t="shared" si="66"/>
        <v>0.8850147969668517</v>
      </c>
      <c r="YS57" s="966">
        <f t="shared" si="66"/>
        <v>0.88333310676844079</v>
      </c>
      <c r="YT57" s="966">
        <f t="shared" si="66"/>
        <v>0.88158157565745865</v>
      </c>
      <c r="YU57" s="966">
        <f t="shared" si="66"/>
        <v>0.87976523302173759</v>
      </c>
      <c r="YV57" s="966">
        <f t="shared" si="66"/>
        <v>0.8778886711007684</v>
      </c>
      <c r="YW57" s="966">
        <f t="shared" si="66"/>
        <v>0.8759560990773736</v>
      </c>
      <c r="YX57" s="966">
        <f t="shared" si="66"/>
        <v>0.87397138903278848</v>
      </c>
      <c r="YY57" s="966">
        <f t="shared" si="66"/>
        <v>0.87193811513299657</v>
      </c>
      <c r="YZ57" s="966">
        <f t="shared" si="66"/>
        <v>0.86985958716308576</v>
      </c>
      <c r="ZA57" s="966">
        <f t="shared" si="66"/>
        <v>0.86773887932519056</v>
      </c>
      <c r="ZB57" s="966">
        <f t="shared" si="66"/>
        <v>0.86557885505360466</v>
      </c>
      <c r="ZC57" s="966">
        <f t="shared" si="66"/>
        <v>0.86338218846967674</v>
      </c>
      <c r="ZD57" s="966">
        <f t="shared" si="66"/>
        <v>0.86115138299278493</v>
      </c>
      <c r="ZE57" s="966">
        <f t="shared" si="66"/>
        <v>0.85888878753699871</v>
      </c>
      <c r="ZF57" s="966">
        <f t="shared" si="66"/>
        <v>0.85659661065211434</v>
      </c>
      <c r="ZG57" s="966">
        <f t="shared" si="66"/>
        <v>0.85427693290949502</v>
      </c>
      <c r="ZH57" s="966">
        <f t="shared" si="66"/>
        <v>0.85193171778511978</v>
      </c>
      <c r="ZI57" s="966">
        <f t="shared" si="66"/>
        <v>0.84956282125253069</v>
      </c>
      <c r="ZJ57" s="966">
        <f t="shared" si="66"/>
        <v>0.84717200026540296</v>
      </c>
      <c r="ZK57" s="966">
        <f t="shared" si="66"/>
        <v>0.84476092028201788</v>
      </c>
      <c r="ZL57" s="966">
        <f t="shared" si="66"/>
        <v>0.84233116196100633</v>
      </c>
      <c r="ZM57" s="966">
        <f t="shared" si="66"/>
        <v>0.83988422713853295</v>
      </c>
      <c r="ZN57" s="966">
        <f t="shared" si="66"/>
        <v>0.83742154418096981</v>
      </c>
      <c r="ZO57" s="966">
        <f t="shared" si="66"/>
        <v>0.83494447279353612</v>
      </c>
      <c r="ZP57" s="966">
        <f t="shared" si="66"/>
        <v>0.83245430835390566</v>
      </c>
      <c r="ZQ57" s="966">
        <f t="shared" si="66"/>
        <v>0.82995228583008973</v>
      </c>
      <c r="ZR57" s="966">
        <f t="shared" si="66"/>
        <v>0.82743958333365775</v>
      </c>
      <c r="ZS57" s="966">
        <f t="shared" si="66"/>
        <v>0.82491732535235562</v>
      </c>
      <c r="ZT57" s="966">
        <f t="shared" ref="ZT57:AAS57" si="67">ZT33/ZT37 - $WL$57</f>
        <v>0.82238658570021506</v>
      </c>
      <c r="ZU57" s="966">
        <f t="shared" si="67"/>
        <v>0.81984839021813516</v>
      </c>
      <c r="ZV57" s="966">
        <f t="shared" si="67"/>
        <v>0.81730371925356349</v>
      </c>
      <c r="ZW57" s="966">
        <f t="shared" si="67"/>
        <v>0.81475350994414697</v>
      </c>
      <c r="ZX57" s="966">
        <f t="shared" si="67"/>
        <v>0.81219865832701399</v>
      </c>
      <c r="ZY57" s="966">
        <f t="shared" si="67"/>
        <v>0.80964002129257129</v>
      </c>
      <c r="ZZ57" s="966">
        <f t="shared" si="67"/>
        <v>0.80707841839931305</v>
      </c>
      <c r="AAA57" s="966">
        <f t="shared" si="67"/>
        <v>0.80451463356408059</v>
      </c>
      <c r="AAB57" s="966">
        <f t="shared" si="67"/>
        <v>0.80194941664041464</v>
      </c>
      <c r="AAC57" s="966">
        <f t="shared" si="67"/>
        <v>0.79938348489610622</v>
      </c>
      <c r="AAD57" s="966">
        <f t="shared" si="67"/>
        <v>0.79681752439970666</v>
      </c>
      <c r="AAE57" s="966">
        <f t="shared" si="67"/>
        <v>0.79425219132458547</v>
      </c>
      <c r="AAF57" s="966">
        <f t="shared" si="67"/>
        <v>0.79168811317811905</v>
      </c>
      <c r="AAG57" s="966">
        <f t="shared" si="67"/>
        <v>0.78912588996270361</v>
      </c>
      <c r="AAH57" s="966">
        <f t="shared" si="67"/>
        <v>0.78656609527451549</v>
      </c>
      <c r="AAI57" s="966">
        <f t="shared" si="67"/>
        <v>0.78400927734526948</v>
      </c>
      <c r="AAJ57" s="966">
        <f t="shared" si="67"/>
        <v>0.78145596003163609</v>
      </c>
      <c r="AAK57" s="966">
        <f t="shared" si="67"/>
        <v>0.77890664375646501</v>
      </c>
      <c r="AAL57" s="966">
        <f t="shared" si="67"/>
        <v>0.77636180640550834</v>
      </c>
      <c r="AAM57" s="966">
        <f t="shared" si="67"/>
        <v>0.77382190418294228</v>
      </c>
      <c r="AAN57" s="966">
        <f t="shared" si="67"/>
        <v>0.77128737242863643</v>
      </c>
      <c r="AAO57" s="966">
        <f t="shared" si="67"/>
        <v>0.76875862639981885</v>
      </c>
      <c r="AAP57" s="966">
        <f t="shared" si="67"/>
        <v>0.76623606201950833</v>
      </c>
      <c r="AAQ57" s="966">
        <f t="shared" si="67"/>
        <v>0.76372005659385478</v>
      </c>
      <c r="AAR57" s="966">
        <f t="shared" si="67"/>
        <v>0.76121096950031719</v>
      </c>
      <c r="AAS57" s="966">
        <f t="shared" si="67"/>
        <v>0.75870914284842272</v>
      </c>
      <c r="AAT57" s="964">
        <v>18</v>
      </c>
      <c r="AAU57" s="756" t="s">
        <v>705</v>
      </c>
      <c r="AAV57" s="756"/>
      <c r="AAW57" s="175"/>
      <c r="AAX57" s="173"/>
      <c r="AAY57" s="173"/>
      <c r="AAZ57" s="173"/>
      <c r="ABA57" s="162"/>
      <c r="ABB57" s="158"/>
      <c r="ABC57" s="158"/>
      <c r="ABD57" s="163"/>
      <c r="ACJ57" s="759">
        <v>0.66666666699999999</v>
      </c>
      <c r="ACK57" s="760"/>
      <c r="ACL57" s="759">
        <v>-0.66666666699999999</v>
      </c>
      <c r="ACM57" s="760"/>
      <c r="ACN57" s="591">
        <v>45</v>
      </c>
      <c r="ACO57" s="759">
        <f t="shared" si="0"/>
        <v>0.30000000014999995</v>
      </c>
      <c r="ACP57" s="760"/>
      <c r="ACQ57" s="757">
        <f t="shared" si="48"/>
        <v>1.45</v>
      </c>
      <c r="ACR57" s="758"/>
      <c r="ACT57" s="759">
        <v>1</v>
      </c>
      <c r="ACU57" s="760"/>
      <c r="ACV57" s="759">
        <v>-1.2</v>
      </c>
      <c r="ACW57" s="760"/>
      <c r="ACX57" s="592">
        <v>95</v>
      </c>
      <c r="ACY57" s="759">
        <f t="shared" si="8"/>
        <v>0.75000000000000022</v>
      </c>
      <c r="ACZ57" s="760"/>
      <c r="ADA57" s="757">
        <f t="shared" si="49"/>
        <v>1.9500000000000002</v>
      </c>
      <c r="ADB57" s="758"/>
      <c r="ADD57" s="1112">
        <v>1.1052631578947401</v>
      </c>
      <c r="ADE57" s="1112"/>
      <c r="ADF57" s="1112">
        <v>-1.42105263157895</v>
      </c>
      <c r="ADG57" s="1112"/>
      <c r="ADH57" s="591">
        <v>144</v>
      </c>
      <c r="ADI57" s="759">
        <f t="shared" si="56"/>
        <v>1.2757894736842155</v>
      </c>
      <c r="ADJ57" s="760"/>
      <c r="ADK57" s="757">
        <f t="shared" si="50"/>
        <v>2.44</v>
      </c>
      <c r="ADL57" s="758"/>
      <c r="ADN57" s="759">
        <v>1.1052631580000001</v>
      </c>
      <c r="ADO57" s="760"/>
      <c r="ADP57" s="759">
        <v>-1.42105263157895</v>
      </c>
      <c r="ADQ57" s="760"/>
      <c r="ADR57" s="591">
        <v>194</v>
      </c>
      <c r="ADS57" s="759">
        <f t="shared" si="9"/>
        <v>1.8284210529410503</v>
      </c>
      <c r="ADT57" s="760"/>
      <c r="ADU57" s="757">
        <f t="shared" si="51"/>
        <v>2.94</v>
      </c>
      <c r="ADV57" s="758"/>
      <c r="ADX57" s="759">
        <v>1.1052631580000001</v>
      </c>
      <c r="ADY57" s="760"/>
      <c r="ADZ57" s="759">
        <v>-1.42105263157895</v>
      </c>
      <c r="AEA57" s="760"/>
      <c r="AEB57" s="591">
        <v>244</v>
      </c>
      <c r="AEC57" s="759">
        <f t="shared" si="10"/>
        <v>2.3810526319410501</v>
      </c>
      <c r="AED57" s="760"/>
      <c r="AEE57" s="757">
        <f t="shared" si="52"/>
        <v>3.44</v>
      </c>
      <c r="AEF57" s="758"/>
      <c r="AEH57" s="759">
        <v>1.1052631580000001</v>
      </c>
      <c r="AEI57" s="760"/>
      <c r="AEJ57" s="759">
        <v>-1.42105263157895</v>
      </c>
      <c r="AEK57" s="760"/>
      <c r="AEL57" s="591">
        <v>294</v>
      </c>
      <c r="AEM57" s="759">
        <f t="shared" si="37"/>
        <v>2.9336842109410504</v>
      </c>
      <c r="AEN57" s="760"/>
      <c r="AEO57" s="757">
        <f t="shared" si="53"/>
        <v>3.94</v>
      </c>
      <c r="AEP57" s="758"/>
      <c r="AGJ57" s="377"/>
      <c r="AGK57" s="373"/>
      <c r="AGL57" s="54"/>
      <c r="AGM57" s="381" t="s">
        <v>1297</v>
      </c>
      <c r="AGN57" s="850"/>
      <c r="AGO57" s="935" t="s">
        <v>1074</v>
      </c>
      <c r="AGP57" s="936"/>
      <c r="AGQ57" s="761">
        <f>$GT$73</f>
        <v>7.9639464327648497</v>
      </c>
      <c r="AGR57" s="761"/>
      <c r="AGS57" s="791" t="s">
        <v>1438</v>
      </c>
      <c r="AGT57" s="792"/>
      <c r="AGU57" s="792"/>
      <c r="AGV57" s="792"/>
      <c r="AGW57" s="792"/>
      <c r="AGX57" s="792"/>
      <c r="AGY57" s="792"/>
      <c r="AGZ57" s="792"/>
      <c r="AHA57" s="793"/>
      <c r="AHB57" s="835">
        <f>AGQ57-((AGQ57-AGQ58)/AGQ59)*(AGS56-AGQ58/2)</f>
        <v>5.8905829665713618</v>
      </c>
      <c r="AHC57" s="836"/>
      <c r="AHD57" s="1183"/>
      <c r="AHE57" s="1184"/>
      <c r="AHF57" s="841"/>
      <c r="AHG57" s="1170" t="s">
        <v>1375</v>
      </c>
      <c r="AHH57" s="1172"/>
      <c r="AHI57" s="847"/>
      <c r="AHJ57" s="1052"/>
      <c r="AHK57" s="1052"/>
      <c r="AHL57" s="1052"/>
      <c r="AHM57" s="1052"/>
      <c r="AHN57" s="1052"/>
      <c r="AHO57" s="1052"/>
      <c r="AHP57" s="1052"/>
      <c r="AHQ57" s="1052"/>
      <c r="AHR57" s="1052"/>
      <c r="AHS57" s="1052"/>
      <c r="AHT57" s="1052"/>
      <c r="AHU57" s="373"/>
      <c r="AHV57" s="373"/>
      <c r="AHW57" s="373"/>
      <c r="AHX57" s="373"/>
      <c r="AHY57" s="382" t="s">
        <v>798</v>
      </c>
      <c r="ALU57" s="130"/>
      <c r="ALV57" s="130"/>
      <c r="ALW57" s="130"/>
      <c r="AQJ57" s="653"/>
      <c r="AQK57" s="653"/>
      <c r="AQL57" s="653"/>
      <c r="AQM57" s="653"/>
      <c r="AQN57" s="851"/>
      <c r="AQO57" s="777"/>
      <c r="AQP57" s="778"/>
      <c r="AQQ57" s="778"/>
      <c r="AQR57" s="778"/>
      <c r="AQS57" s="778"/>
      <c r="AQT57" s="778"/>
      <c r="AQU57" s="778"/>
      <c r="AQV57" s="778"/>
      <c r="AQW57" s="778"/>
      <c r="AQX57" s="778"/>
      <c r="AQY57" s="778"/>
      <c r="AQZ57" s="778"/>
      <c r="ARA57" s="778"/>
      <c r="ARB57" s="1169"/>
      <c r="ARC57" s="799"/>
      <c r="ARD57" s="1478"/>
      <c r="ARE57" s="1209"/>
      <c r="ARF57" s="1067"/>
      <c r="ARG57" s="845"/>
      <c r="ARH57" s="846"/>
      <c r="ARI57" s="848"/>
      <c r="ARJ57" s="828"/>
      <c r="ARK57" s="949"/>
      <c r="ARL57" s="949"/>
      <c r="ARM57" s="949"/>
      <c r="ARN57" s="950"/>
      <c r="ARO57" s="653"/>
      <c r="ARP57" s="653"/>
      <c r="ARQ57" s="653"/>
      <c r="ARR57" s="653"/>
      <c r="ARS57" s="653"/>
      <c r="ARU57" s="851"/>
      <c r="ARV57" s="857"/>
      <c r="ARW57" s="857"/>
      <c r="ARX57" s="857"/>
      <c r="ARY57" s="857"/>
      <c r="ARZ57" s="857"/>
      <c r="ASA57" s="857"/>
      <c r="ASB57" s="857"/>
      <c r="ASC57" s="857"/>
      <c r="ASD57" s="857"/>
      <c r="ASE57" s="857"/>
      <c r="ASF57" s="857"/>
      <c r="ASG57" s="857"/>
      <c r="ASH57" s="857"/>
      <c r="ASI57" s="837"/>
      <c r="ASJ57" s="838"/>
      <c r="ASK57" s="777"/>
      <c r="ASL57" s="799"/>
      <c r="ASM57" s="842"/>
      <c r="ASN57" s="845"/>
      <c r="ASO57" s="846"/>
      <c r="ASP57" s="848"/>
    </row>
    <row r="58" spans="4:1011 1128:1224" ht="48" customHeight="1" thickBot="1">
      <c r="AI58" s="850"/>
      <c r="AJ58" s="1681" t="s">
        <v>428</v>
      </c>
      <c r="AK58" s="1682"/>
      <c r="AL58" s="761">
        <f>$AX$62</f>
        <v>0.88</v>
      </c>
      <c r="AM58" s="761"/>
      <c r="AN58" s="880"/>
      <c r="AO58" s="881"/>
      <c r="AP58" s="881"/>
      <c r="AQ58" s="881"/>
      <c r="AR58" s="881"/>
      <c r="AS58" s="881"/>
      <c r="AT58" s="881"/>
      <c r="AU58" s="882"/>
      <c r="AV58" s="1702"/>
      <c r="AW58" s="1703"/>
      <c r="AX58" s="1651"/>
      <c r="AY58" s="1652"/>
      <c r="AZ58" s="842"/>
      <c r="BA58" s="918"/>
      <c r="BB58" s="919"/>
      <c r="BC58" s="848"/>
      <c r="BD58" s="828"/>
      <c r="BE58" s="949"/>
      <c r="BF58" s="949"/>
      <c r="BG58" s="949"/>
      <c r="BH58" s="950"/>
      <c r="BL58" s="130"/>
      <c r="BM58" s="130"/>
      <c r="BQ58" s="130"/>
      <c r="BX58" s="897" t="s">
        <v>973</v>
      </c>
      <c r="BY58" s="898"/>
      <c r="BZ58" s="899"/>
      <c r="CA58" s="849"/>
      <c r="CB58" s="1257" t="s">
        <v>416</v>
      </c>
      <c r="CC58" s="1257"/>
      <c r="CD58" s="611"/>
      <c r="CE58" s="779" t="s">
        <v>1822</v>
      </c>
      <c r="CF58" s="780"/>
      <c r="CG58" s="781"/>
      <c r="CH58" s="75" t="s">
        <v>451</v>
      </c>
      <c r="CI58" s="611"/>
      <c r="CJ58" s="76" t="s">
        <v>441</v>
      </c>
      <c r="CK58" s="854" t="s">
        <v>435</v>
      </c>
      <c r="CL58" s="1111"/>
      <c r="CM58" s="920" t="s">
        <v>111</v>
      </c>
      <c r="CN58" s="921"/>
      <c r="CO58" s="916" t="s">
        <v>704</v>
      </c>
      <c r="CP58" s="917"/>
      <c r="CQ58" s="906" t="s">
        <v>447</v>
      </c>
      <c r="CR58" s="907"/>
      <c r="CS58" s="907"/>
      <c r="CT58" s="908"/>
      <c r="DZ58" s="900"/>
      <c r="EA58" s="901"/>
      <c r="EB58" s="902"/>
      <c r="EC58" s="849"/>
      <c r="ED58" s="809" t="s">
        <v>1759</v>
      </c>
      <c r="EE58" s="797"/>
      <c r="EF58" s="797"/>
      <c r="EG58" s="797"/>
      <c r="EH58" s="797"/>
      <c r="EI58" s="797"/>
      <c r="EJ58" s="1453">
        <v>0.23</v>
      </c>
      <c r="EK58" s="1454"/>
      <c r="EL58" s="1075" t="s">
        <v>45</v>
      </c>
      <c r="EM58" s="1076"/>
      <c r="EN58" s="841"/>
      <c r="EO58" s="1170" t="s">
        <v>1100</v>
      </c>
      <c r="EP58" s="1172"/>
      <c r="EQ58" s="847"/>
      <c r="GF58" s="903"/>
      <c r="GG58" s="904"/>
      <c r="GH58" s="905"/>
      <c r="GI58" s="851"/>
      <c r="GJ58" s="794"/>
      <c r="GK58" s="795"/>
      <c r="GL58" s="795"/>
      <c r="GM58" s="795"/>
      <c r="GN58" s="795"/>
      <c r="GO58" s="795"/>
      <c r="GP58" s="1455"/>
      <c r="GQ58" s="1456"/>
      <c r="GR58" s="1077"/>
      <c r="GS58" s="1078"/>
      <c r="GT58" s="1067"/>
      <c r="GU58" s="918"/>
      <c r="GV58" s="1082"/>
      <c r="GW58" s="919"/>
      <c r="GX58" s="848"/>
      <c r="HX58" s="653"/>
      <c r="HY58" s="653"/>
      <c r="HZ58" s="653"/>
      <c r="IA58" s="653"/>
      <c r="IB58" s="653"/>
      <c r="IC58" s="653"/>
      <c r="IR58" s="851"/>
      <c r="IS58" s="226" t="s">
        <v>1076</v>
      </c>
      <c r="IT58" s="1187">
        <f>$GM$20</f>
        <v>0.21124000000000004</v>
      </c>
      <c r="IU58" s="1187"/>
      <c r="IV58" s="794"/>
      <c r="IW58" s="795"/>
      <c r="IX58" s="795"/>
      <c r="IY58" s="795"/>
      <c r="IZ58" s="795"/>
      <c r="JA58" s="795"/>
      <c r="JB58" s="795"/>
      <c r="JC58" s="795"/>
      <c r="JD58" s="837"/>
      <c r="JE58" s="838"/>
      <c r="JF58" s="1077"/>
      <c r="JG58" s="1078"/>
      <c r="JH58" s="842"/>
      <c r="JI58" s="845"/>
      <c r="JJ58" s="846"/>
      <c r="JK58" s="848"/>
      <c r="JL58" s="1053"/>
      <c r="JM58" s="1053"/>
      <c r="JN58" s="1053"/>
      <c r="JO58" s="1053"/>
      <c r="JP58" s="1053"/>
      <c r="JQ58" s="1053"/>
      <c r="LF58" s="130"/>
      <c r="LG58" s="130"/>
      <c r="LH58" s="130"/>
      <c r="LI58" s="130"/>
      <c r="LJ58" s="130"/>
      <c r="LK58" s="130"/>
      <c r="LL58" s="130"/>
      <c r="LM58" s="130"/>
      <c r="LN58" s="130"/>
      <c r="LO58" s="130"/>
      <c r="LP58" s="130"/>
      <c r="LQ58" s="130"/>
      <c r="LR58" s="130"/>
      <c r="LS58" s="130"/>
      <c r="LT58" s="130"/>
      <c r="LU58" s="130"/>
      <c r="LV58" s="130"/>
      <c r="MB58" s="849"/>
      <c r="MC58" s="852" t="s">
        <v>416</v>
      </c>
      <c r="MD58" s="853"/>
      <c r="ME58" s="344"/>
      <c r="MF58" s="348" t="s">
        <v>53</v>
      </c>
      <c r="MG58" s="890">
        <f>$GM$115</f>
        <v>0.27219609584157206</v>
      </c>
      <c r="MH58" s="890"/>
      <c r="MI58" s="78"/>
      <c r="MJ58" s="78"/>
      <c r="MK58" s="78"/>
      <c r="ML58" s="344"/>
      <c r="MM58" s="76" t="s">
        <v>441</v>
      </c>
      <c r="MN58" s="854" t="s">
        <v>435</v>
      </c>
      <c r="MO58" s="855"/>
      <c r="MP58" s="920" t="s">
        <v>111</v>
      </c>
      <c r="MQ58" s="921"/>
      <c r="MR58" s="916" t="s">
        <v>704</v>
      </c>
      <c r="MS58" s="917"/>
      <c r="MT58" s="906" t="s">
        <v>447</v>
      </c>
      <c r="MU58" s="907"/>
      <c r="MV58" s="907"/>
      <c r="MW58" s="908"/>
      <c r="MX58" s="1051" t="s">
        <v>436</v>
      </c>
      <c r="MY58" s="1051"/>
      <c r="MZ58" s="1051"/>
      <c r="NA58" s="1051"/>
      <c r="NK58" s="1216"/>
      <c r="NL58" s="1217"/>
      <c r="NM58" s="1217"/>
      <c r="NN58" s="1217"/>
      <c r="NO58" s="1217"/>
      <c r="NP58" s="1217"/>
      <c r="NQ58" s="1217"/>
      <c r="NR58" s="1217"/>
      <c r="NS58" s="1217"/>
      <c r="NT58" s="1217"/>
      <c r="NU58" s="1217"/>
      <c r="NV58" s="1217"/>
      <c r="NW58" s="1217"/>
      <c r="NX58" s="1217"/>
      <c r="NY58" s="1217"/>
      <c r="NZ58" s="1217"/>
      <c r="OA58" s="1217"/>
      <c r="OB58" s="1217"/>
      <c r="OC58" s="1217"/>
      <c r="OD58" s="1217"/>
      <c r="OE58" s="1217"/>
      <c r="OF58" s="1218"/>
      <c r="PL58" s="903"/>
      <c r="PM58" s="904"/>
      <c r="PN58" s="905"/>
      <c r="PO58" s="851"/>
      <c r="PP58" s="777"/>
      <c r="PQ58" s="778"/>
      <c r="PR58" s="778"/>
      <c r="PS58" s="778"/>
      <c r="PT58" s="778"/>
      <c r="PU58" s="778"/>
      <c r="PV58" s="778"/>
      <c r="PW58" s="778"/>
      <c r="PX58" s="778"/>
      <c r="PY58" s="778"/>
      <c r="PZ58" s="778"/>
      <c r="QA58" s="1056"/>
      <c r="QB58" s="1057"/>
      <c r="QC58" s="1185"/>
      <c r="QD58" s="1186"/>
      <c r="QE58" s="1249"/>
      <c r="QF58" s="1284"/>
      <c r="QG58" s="1284"/>
      <c r="QH58" s="1284"/>
      <c r="QI58" s="1290"/>
      <c r="QO58" s="130"/>
      <c r="QP58" s="130"/>
      <c r="QQ58" s="130"/>
      <c r="QR58" s="130"/>
      <c r="QS58" s="130"/>
      <c r="QT58" s="130"/>
      <c r="QU58" s="130"/>
      <c r="QV58" s="130"/>
      <c r="QW58" s="130"/>
      <c r="RE58" s="653"/>
      <c r="RF58" s="653"/>
      <c r="RG58" s="653"/>
      <c r="RH58" s="653"/>
      <c r="RI58" s="653"/>
      <c r="RJ58" s="653"/>
      <c r="RK58" s="653"/>
      <c r="RL58" s="653"/>
      <c r="RM58" s="653"/>
      <c r="RN58" s="653"/>
      <c r="RO58" s="653"/>
      <c r="RP58" s="653"/>
      <c r="RQ58" s="653"/>
      <c r="RR58" s="653"/>
      <c r="RS58" s="653"/>
      <c r="RT58" s="653"/>
      <c r="RU58" s="653"/>
      <c r="RV58" s="653"/>
      <c r="RW58" s="653"/>
      <c r="RX58" s="653"/>
      <c r="RY58" s="653"/>
      <c r="SJ58" s="653"/>
      <c r="SK58" s="653"/>
      <c r="SL58" s="653"/>
      <c r="SM58" s="653"/>
      <c r="SN58" s="653"/>
      <c r="SO58" s="653"/>
      <c r="SP58" s="653"/>
      <c r="SQ58" s="653"/>
      <c r="SR58" s="653"/>
      <c r="SS58" s="653"/>
      <c r="ST58" s="653"/>
      <c r="SU58" s="653"/>
      <c r="SV58" s="653"/>
      <c r="SW58" s="653"/>
      <c r="SX58" s="653"/>
      <c r="SY58" s="653"/>
      <c r="SZ58" s="653"/>
      <c r="TA58" s="653"/>
      <c r="TB58" s="653"/>
      <c r="TC58" s="653"/>
      <c r="TD58" s="653"/>
      <c r="TE58" s="653"/>
      <c r="TF58" s="653"/>
      <c r="TG58" s="653"/>
      <c r="TH58" s="653"/>
      <c r="TI58" s="653"/>
      <c r="TJ58" s="653"/>
      <c r="TK58" s="653"/>
      <c r="TL58" s="653"/>
      <c r="TM58" s="653"/>
      <c r="TN58" s="653"/>
      <c r="TO58" s="653"/>
      <c r="TP58" s="653"/>
      <c r="TQ58" s="653"/>
      <c r="TR58" s="653"/>
      <c r="TS58" s="653"/>
      <c r="TT58" s="653"/>
      <c r="TU58" s="653"/>
      <c r="TV58" s="653"/>
      <c r="TW58" s="653"/>
      <c r="TX58" s="653"/>
      <c r="TY58" s="653"/>
      <c r="TZ58" s="653"/>
      <c r="UA58" s="653"/>
      <c r="UB58" s="653"/>
      <c r="UC58" s="653"/>
      <c r="UD58" s="653"/>
      <c r="UE58" s="653"/>
      <c r="UF58" s="653"/>
      <c r="UG58" s="653"/>
      <c r="UH58" s="653"/>
      <c r="UI58" s="653"/>
      <c r="UJ58" s="653"/>
      <c r="UK58" s="653"/>
      <c r="UL58" s="653"/>
      <c r="UM58" s="653"/>
      <c r="UN58" s="653"/>
      <c r="UO58" s="653"/>
      <c r="UP58" s="653"/>
      <c r="UQ58" s="653"/>
      <c r="UR58" s="653"/>
      <c r="US58" s="653"/>
      <c r="UT58" s="653"/>
      <c r="UU58" s="653"/>
      <c r="UV58" s="653"/>
      <c r="UW58" s="653"/>
      <c r="UX58" s="653"/>
      <c r="UY58" s="653"/>
      <c r="UZ58" s="653"/>
      <c r="VC58" s="162"/>
      <c r="VD58" s="158"/>
      <c r="VE58" s="158"/>
      <c r="VF58" s="158"/>
      <c r="VG58" s="158"/>
      <c r="VH58" s="158"/>
      <c r="VI58" s="158"/>
      <c r="VJ58" s="158"/>
      <c r="VK58" s="158"/>
      <c r="VL58" s="158"/>
      <c r="VM58" s="158"/>
      <c r="VN58" s="158"/>
      <c r="VO58" s="158"/>
      <c r="VP58" s="158"/>
      <c r="VQ58" s="163"/>
      <c r="VZ58" s="130"/>
      <c r="WA58" s="130"/>
      <c r="WB58" s="130"/>
      <c r="WC58" s="653"/>
      <c r="WD58" s="653"/>
      <c r="WE58" s="1029"/>
      <c r="WF58" s="1030"/>
      <c r="WG58" s="1030"/>
      <c r="WH58" s="1030"/>
      <c r="WI58" s="1030"/>
      <c r="WJ58" s="1031"/>
      <c r="WK58" s="169"/>
      <c r="WL58" s="170"/>
      <c r="WM58" s="170"/>
      <c r="WN58" s="170"/>
      <c r="WO58" s="170"/>
      <c r="WP58" s="170"/>
      <c r="WQ58" s="170"/>
      <c r="WR58" s="170"/>
      <c r="WS58" s="170"/>
      <c r="WT58" s="170"/>
      <c r="WU58" s="170"/>
      <c r="WV58" s="170"/>
      <c r="WW58" s="172"/>
      <c r="WX58" s="978"/>
      <c r="WY58" s="979"/>
      <c r="WZ58" s="756"/>
      <c r="XA58" s="756"/>
      <c r="XB58" s="169"/>
      <c r="XC58" s="170"/>
      <c r="XD58" s="170"/>
      <c r="XE58" s="170"/>
      <c r="XF58" s="172"/>
      <c r="XG58" s="967"/>
      <c r="XH58" s="967"/>
      <c r="XI58" s="967"/>
      <c r="XJ58" s="967"/>
      <c r="XK58" s="967"/>
      <c r="XL58" s="967"/>
      <c r="XM58" s="967"/>
      <c r="XN58" s="967"/>
      <c r="XO58" s="967"/>
      <c r="XP58" s="967"/>
      <c r="XQ58" s="967"/>
      <c r="XR58" s="967"/>
      <c r="XS58" s="967"/>
      <c r="XT58" s="967"/>
      <c r="XU58" s="967"/>
      <c r="XV58" s="967"/>
      <c r="XW58" s="967"/>
      <c r="XX58" s="967"/>
      <c r="XY58" s="967"/>
      <c r="XZ58" s="967"/>
      <c r="YA58" s="967"/>
      <c r="YB58" s="967"/>
      <c r="YC58" s="967"/>
      <c r="YD58" s="967"/>
      <c r="YE58" s="967"/>
      <c r="YF58" s="967"/>
      <c r="YG58" s="967"/>
      <c r="YH58" s="967"/>
      <c r="YI58" s="967"/>
      <c r="YJ58" s="967"/>
      <c r="YK58" s="967"/>
      <c r="YL58" s="967"/>
      <c r="YM58" s="967"/>
      <c r="YN58" s="967"/>
      <c r="YO58" s="967"/>
      <c r="YP58" s="967"/>
      <c r="YQ58" s="967"/>
      <c r="YR58" s="967"/>
      <c r="YS58" s="967"/>
      <c r="YT58" s="967"/>
      <c r="YU58" s="967"/>
      <c r="YV58" s="967"/>
      <c r="YW58" s="967"/>
      <c r="YX58" s="967"/>
      <c r="YY58" s="967"/>
      <c r="YZ58" s="967"/>
      <c r="ZA58" s="967"/>
      <c r="ZB58" s="967"/>
      <c r="ZC58" s="967"/>
      <c r="ZD58" s="967"/>
      <c r="ZE58" s="967"/>
      <c r="ZF58" s="967"/>
      <c r="ZG58" s="967"/>
      <c r="ZH58" s="967"/>
      <c r="ZI58" s="967"/>
      <c r="ZJ58" s="967"/>
      <c r="ZK58" s="967"/>
      <c r="ZL58" s="967"/>
      <c r="ZM58" s="967"/>
      <c r="ZN58" s="967"/>
      <c r="ZO58" s="967"/>
      <c r="ZP58" s="967"/>
      <c r="ZQ58" s="967"/>
      <c r="ZR58" s="967"/>
      <c r="ZS58" s="967"/>
      <c r="ZT58" s="967"/>
      <c r="ZU58" s="967"/>
      <c r="ZV58" s="967"/>
      <c r="ZW58" s="967"/>
      <c r="ZX58" s="967"/>
      <c r="ZY58" s="967"/>
      <c r="ZZ58" s="967"/>
      <c r="AAA58" s="967"/>
      <c r="AAB58" s="967"/>
      <c r="AAC58" s="967"/>
      <c r="AAD58" s="967"/>
      <c r="AAE58" s="967"/>
      <c r="AAF58" s="967"/>
      <c r="AAG58" s="967"/>
      <c r="AAH58" s="967"/>
      <c r="AAI58" s="967"/>
      <c r="AAJ58" s="967"/>
      <c r="AAK58" s="967"/>
      <c r="AAL58" s="967"/>
      <c r="AAM58" s="967"/>
      <c r="AAN58" s="967"/>
      <c r="AAO58" s="967"/>
      <c r="AAP58" s="967"/>
      <c r="AAQ58" s="967"/>
      <c r="AAR58" s="967"/>
      <c r="AAS58" s="967"/>
      <c r="AAT58" s="965"/>
      <c r="AAU58" s="756"/>
      <c r="AAV58" s="756"/>
      <c r="AAW58" s="169"/>
      <c r="AAX58" s="170"/>
      <c r="AAY58" s="170"/>
      <c r="AAZ58" s="170"/>
      <c r="ABA58" s="164"/>
      <c r="ABB58" s="165"/>
      <c r="ABC58" s="165"/>
      <c r="ABD58" s="166"/>
      <c r="ACJ58" s="759">
        <v>0.66666666699999999</v>
      </c>
      <c r="ACK58" s="760"/>
      <c r="ACL58" s="759">
        <v>-0.66666666699999999</v>
      </c>
      <c r="ACM58" s="760"/>
      <c r="ACN58" s="591">
        <v>46</v>
      </c>
      <c r="ACO58" s="759">
        <f t="shared" si="0"/>
        <v>0.30666666681999999</v>
      </c>
      <c r="ACP58" s="760"/>
      <c r="ACQ58" s="757">
        <f t="shared" si="48"/>
        <v>1.46</v>
      </c>
      <c r="ACR58" s="758"/>
      <c r="ACT58" s="759">
        <v>1</v>
      </c>
      <c r="ACU58" s="760"/>
      <c r="ACV58" s="759">
        <v>-1.2</v>
      </c>
      <c r="ACW58" s="760"/>
      <c r="ACX58" s="592">
        <v>96</v>
      </c>
      <c r="ACY58" s="759">
        <f t="shared" si="8"/>
        <v>0.76</v>
      </c>
      <c r="ACZ58" s="760"/>
      <c r="ADA58" s="757">
        <f t="shared" si="49"/>
        <v>1.96</v>
      </c>
      <c r="ADB58" s="758"/>
      <c r="ADD58" s="1112">
        <v>1.1052631578947401</v>
      </c>
      <c r="ADE58" s="1112"/>
      <c r="ADF58" s="1112">
        <v>-1.42105263157895</v>
      </c>
      <c r="ADG58" s="1112"/>
      <c r="ADH58" s="591">
        <v>145</v>
      </c>
      <c r="ADI58" s="759">
        <f t="shared" si="56"/>
        <v>1.2868421052631631</v>
      </c>
      <c r="ADJ58" s="760"/>
      <c r="ADK58" s="757">
        <f t="shared" si="50"/>
        <v>2.4500000000000002</v>
      </c>
      <c r="ADL58" s="758"/>
      <c r="ADN58" s="759">
        <v>1.1052631580000001</v>
      </c>
      <c r="ADO58" s="760"/>
      <c r="ADP58" s="759">
        <v>-1.42105263157895</v>
      </c>
      <c r="ADQ58" s="760"/>
      <c r="ADR58" s="591">
        <v>195</v>
      </c>
      <c r="ADS58" s="759">
        <f t="shared" si="9"/>
        <v>1.8394736845210504</v>
      </c>
      <c r="ADT58" s="760"/>
      <c r="ADU58" s="757">
        <f t="shared" si="51"/>
        <v>2.95</v>
      </c>
      <c r="ADV58" s="758"/>
      <c r="ADX58" s="759">
        <v>1.1052631580000001</v>
      </c>
      <c r="ADY58" s="760"/>
      <c r="ADZ58" s="759">
        <v>-1.42105263157895</v>
      </c>
      <c r="AEA58" s="760"/>
      <c r="AEB58" s="591">
        <v>245</v>
      </c>
      <c r="AEC58" s="759">
        <f t="shared" si="10"/>
        <v>2.3921052635210502</v>
      </c>
      <c r="AED58" s="760"/>
      <c r="AEE58" s="757">
        <f t="shared" si="52"/>
        <v>3.45</v>
      </c>
      <c r="AEF58" s="758"/>
      <c r="AEH58" s="759">
        <v>1.1052631580000001</v>
      </c>
      <c r="AEI58" s="760"/>
      <c r="AEJ58" s="759">
        <v>-1.42105263157895</v>
      </c>
      <c r="AEK58" s="760"/>
      <c r="AEL58" s="591">
        <v>295</v>
      </c>
      <c r="AEM58" s="759">
        <f t="shared" si="37"/>
        <v>2.9447368425210505</v>
      </c>
      <c r="AEN58" s="760"/>
      <c r="AEO58" s="757">
        <f t="shared" si="53"/>
        <v>3.95</v>
      </c>
      <c r="AEP58" s="758"/>
      <c r="AGJ58" s="377"/>
      <c r="AGK58" s="373"/>
      <c r="AGL58" s="54"/>
      <c r="AGM58" s="373"/>
      <c r="AGN58" s="850"/>
      <c r="AGO58" s="800" t="s">
        <v>1090</v>
      </c>
      <c r="AGP58" s="801"/>
      <c r="AGQ58" s="761">
        <f>$GQ$78</f>
        <v>4.847402946961874</v>
      </c>
      <c r="AGR58" s="761"/>
      <c r="AGS58" s="823"/>
      <c r="AGT58" s="824"/>
      <c r="AGU58" s="824"/>
      <c r="AGV58" s="824"/>
      <c r="AGW58" s="824"/>
      <c r="AGX58" s="824"/>
      <c r="AGY58" s="824"/>
      <c r="AGZ58" s="824"/>
      <c r="AHA58" s="1049"/>
      <c r="AHB58" s="837"/>
      <c r="AHC58" s="838"/>
      <c r="AHD58" s="1185"/>
      <c r="AHE58" s="1186"/>
      <c r="AHF58" s="842"/>
      <c r="AHG58" s="1173"/>
      <c r="AHH58" s="1175"/>
      <c r="AHI58" s="848"/>
      <c r="AHJ58" s="1052"/>
      <c r="AHK58" s="1052"/>
      <c r="AHL58" s="1052"/>
      <c r="AHM58" s="1052"/>
      <c r="AHN58" s="1052"/>
      <c r="AHO58" s="1052"/>
      <c r="AHP58" s="1052"/>
      <c r="AHQ58" s="1052"/>
      <c r="AHR58" s="1052"/>
      <c r="AHS58" s="1052"/>
      <c r="AHT58" s="1052"/>
      <c r="AHU58" s="373"/>
      <c r="AHV58" s="373"/>
      <c r="AHW58" s="373"/>
      <c r="AHX58" s="373"/>
      <c r="AHY58" s="382" t="s">
        <v>1583</v>
      </c>
      <c r="ALU58" s="130"/>
      <c r="ALV58" s="130"/>
      <c r="ALW58" s="130"/>
      <c r="AQJ58" s="653"/>
      <c r="AQK58" s="653"/>
      <c r="AQL58" s="653"/>
      <c r="AQM58" s="653"/>
      <c r="ARO58" s="653"/>
      <c r="ARP58" s="653"/>
      <c r="ARQ58" s="653"/>
      <c r="ARR58" s="653"/>
      <c r="ARS58" s="653"/>
    </row>
    <row r="59" spans="4:1011 1128:1224" ht="48" customHeight="1" thickBot="1">
      <c r="AI59" s="851"/>
      <c r="AJ59" s="1725" t="s">
        <v>1667</v>
      </c>
      <c r="AK59" s="1726"/>
      <c r="AL59" s="805">
        <f>$AX$70</f>
        <v>0.97499999999999998</v>
      </c>
      <c r="AM59" s="805"/>
      <c r="AN59" s="769"/>
      <c r="AO59" s="764"/>
      <c r="AP59" s="764"/>
      <c r="AQ59" s="764"/>
      <c r="AR59" s="764"/>
      <c r="AS59" s="764"/>
      <c r="AT59" s="764"/>
      <c r="AU59" s="765"/>
      <c r="AV59" s="1704"/>
      <c r="AW59" s="1705"/>
      <c r="AX59" s="1077"/>
      <c r="AY59" s="1078"/>
      <c r="AZ59" s="942"/>
      <c r="BA59" s="943"/>
      <c r="BB59" s="943"/>
      <c r="BC59" s="943"/>
      <c r="BD59" s="943"/>
      <c r="BE59" s="943"/>
      <c r="BF59" s="943"/>
      <c r="BG59" s="943"/>
      <c r="BH59" s="944"/>
      <c r="BL59" s="130"/>
      <c r="BM59" s="130"/>
      <c r="BQ59" s="130"/>
      <c r="BX59" s="900"/>
      <c r="BY59" s="901"/>
      <c r="BZ59" s="902"/>
      <c r="CA59" s="850"/>
      <c r="CB59" s="1045" t="s">
        <v>30</v>
      </c>
      <c r="CC59" s="1046"/>
      <c r="CD59" s="1046"/>
      <c r="CE59" s="1046"/>
      <c r="CF59" s="1046"/>
      <c r="CG59" s="1046"/>
      <c r="CH59" s="1046"/>
      <c r="CI59" s="1046"/>
      <c r="CJ59" s="1046"/>
      <c r="CK59" s="1046"/>
      <c r="CL59" s="1046"/>
      <c r="CM59" s="1640">
        <v>2</v>
      </c>
      <c r="CN59" s="1641"/>
      <c r="CO59" s="1183" t="s">
        <v>726</v>
      </c>
      <c r="CP59" s="1184"/>
      <c r="CQ59" s="841"/>
      <c r="CR59" s="893" t="s">
        <v>739</v>
      </c>
      <c r="CS59" s="894"/>
      <c r="CT59" s="847"/>
      <c r="DZ59" s="903"/>
      <c r="EA59" s="904"/>
      <c r="EB59" s="905"/>
      <c r="EC59" s="851"/>
      <c r="ED59" s="777"/>
      <c r="EE59" s="778"/>
      <c r="EF59" s="778"/>
      <c r="EG59" s="778"/>
      <c r="EH59" s="778"/>
      <c r="EI59" s="778"/>
      <c r="EJ59" s="1455"/>
      <c r="EK59" s="1456"/>
      <c r="EL59" s="1077"/>
      <c r="EM59" s="1078"/>
      <c r="EN59" s="842"/>
      <c r="EO59" s="1173"/>
      <c r="EP59" s="1175"/>
      <c r="EQ59" s="848"/>
      <c r="HX59" s="653"/>
      <c r="HY59" s="653"/>
      <c r="HZ59" s="653"/>
      <c r="IA59" s="653"/>
      <c r="IB59" s="653"/>
      <c r="IC59" s="653"/>
      <c r="JU59" s="653"/>
      <c r="JV59" s="653"/>
      <c r="JW59" s="653"/>
      <c r="LF59" s="130"/>
      <c r="LG59" s="130"/>
      <c r="LH59" s="130"/>
      <c r="LI59" s="130"/>
      <c r="LJ59" s="130"/>
      <c r="LK59" s="130"/>
      <c r="LL59" s="130"/>
      <c r="LM59" s="130"/>
      <c r="LN59" s="130"/>
      <c r="LO59" s="130"/>
      <c r="MB59" s="850"/>
      <c r="MC59" s="345" t="s">
        <v>1217</v>
      </c>
      <c r="MD59" s="1156">
        <f>$MP$69</f>
        <v>5.2449590821531827E-5</v>
      </c>
      <c r="ME59" s="1156"/>
      <c r="MF59" s="1819" t="s">
        <v>1424</v>
      </c>
      <c r="MG59" s="1820"/>
      <c r="MH59" s="1820"/>
      <c r="MI59" s="1198"/>
      <c r="MJ59" s="1198"/>
      <c r="MK59" s="1198"/>
      <c r="ML59" s="1198"/>
      <c r="MM59" s="1198"/>
      <c r="MN59" s="1198"/>
      <c r="MO59" s="1199"/>
      <c r="MP59" s="1465">
        <f>MD59+2*(MD60/(MG58^2))</f>
        <v>7.2450292500398427E-5</v>
      </c>
      <c r="MQ59" s="1466"/>
      <c r="MR59" s="1188" t="s">
        <v>392</v>
      </c>
      <c r="MS59" s="1189"/>
      <c r="MT59" s="1066"/>
      <c r="MU59" s="893" t="s">
        <v>852</v>
      </c>
      <c r="MV59" s="894"/>
      <c r="MW59" s="847"/>
      <c r="MX59" s="827"/>
      <c r="MY59" s="947"/>
      <c r="MZ59" s="947"/>
      <c r="NA59" s="948"/>
      <c r="NK59" s="1216"/>
      <c r="NL59" s="1217"/>
      <c r="NM59" s="1217"/>
      <c r="NN59" s="1217"/>
      <c r="NO59" s="1217"/>
      <c r="NP59" s="1217"/>
      <c r="NQ59" s="1217"/>
      <c r="NR59" s="1217"/>
      <c r="NS59" s="1217"/>
      <c r="NT59" s="1217"/>
      <c r="NU59" s="1217"/>
      <c r="NV59" s="1217"/>
      <c r="NW59" s="1217"/>
      <c r="NX59" s="1217"/>
      <c r="NY59" s="1217"/>
      <c r="NZ59" s="1217"/>
      <c r="OA59" s="1217"/>
      <c r="OB59" s="1217"/>
      <c r="OC59" s="1217"/>
      <c r="OD59" s="1217"/>
      <c r="OE59" s="1217"/>
      <c r="OF59" s="1218"/>
      <c r="QO59" s="130"/>
      <c r="QP59" s="130"/>
      <c r="QQ59" s="130"/>
      <c r="QR59" s="130"/>
      <c r="QS59" s="130"/>
      <c r="QT59" s="130"/>
      <c r="QU59" s="130"/>
      <c r="QV59" s="130"/>
      <c r="QW59" s="130"/>
      <c r="RE59" s="653"/>
      <c r="RF59" s="653"/>
      <c r="RG59" s="653"/>
      <c r="RH59" s="653"/>
      <c r="RI59" s="653"/>
      <c r="RJ59" s="653"/>
      <c r="RK59" s="653"/>
      <c r="RL59" s="653"/>
      <c r="RM59" s="653"/>
      <c r="RN59" s="653"/>
      <c r="RO59" s="653"/>
      <c r="RP59" s="653"/>
      <c r="RQ59" s="653"/>
      <c r="RR59" s="653"/>
      <c r="RS59" s="653"/>
      <c r="RT59" s="653"/>
      <c r="RU59" s="653"/>
      <c r="RV59" s="653"/>
      <c r="RW59" s="653"/>
      <c r="RX59" s="653"/>
      <c r="RY59" s="653"/>
      <c r="SJ59" s="653"/>
      <c r="SK59" s="653"/>
      <c r="SL59" s="653"/>
      <c r="SM59" s="653"/>
      <c r="SN59" s="653"/>
      <c r="SO59" s="653"/>
      <c r="SP59" s="653"/>
      <c r="SQ59" s="653"/>
      <c r="SR59" s="653"/>
      <c r="SS59" s="653"/>
      <c r="ST59" s="653"/>
      <c r="SU59" s="653"/>
      <c r="SV59" s="653"/>
      <c r="SW59" s="653"/>
      <c r="SX59" s="653"/>
      <c r="SY59" s="653"/>
      <c r="SZ59" s="653"/>
      <c r="TA59" s="653"/>
      <c r="TB59" s="653"/>
      <c r="TC59" s="653"/>
      <c r="TD59" s="653"/>
      <c r="TE59" s="653"/>
      <c r="TF59" s="653"/>
      <c r="TG59" s="653"/>
      <c r="TH59" s="653"/>
      <c r="TI59" s="653"/>
      <c r="TJ59" s="653"/>
      <c r="TK59" s="653"/>
      <c r="TL59" s="653"/>
      <c r="TM59" s="653"/>
      <c r="TN59" s="653"/>
      <c r="TO59" s="653"/>
      <c r="TP59" s="653"/>
      <c r="TQ59" s="653"/>
      <c r="TR59" s="653"/>
      <c r="TS59" s="653"/>
      <c r="TT59" s="653"/>
      <c r="TU59" s="653"/>
      <c r="TV59" s="653"/>
      <c r="TW59" s="653"/>
      <c r="TX59" s="653"/>
      <c r="TY59" s="653"/>
      <c r="TZ59" s="653"/>
      <c r="UA59" s="653"/>
      <c r="UB59" s="653"/>
      <c r="UC59" s="653"/>
      <c r="UD59" s="653"/>
      <c r="UE59" s="653"/>
      <c r="UF59" s="653"/>
      <c r="UG59" s="653"/>
      <c r="UH59" s="653"/>
      <c r="UI59" s="653"/>
      <c r="UJ59" s="653"/>
      <c r="UK59" s="653"/>
      <c r="UL59" s="653"/>
      <c r="UM59" s="653"/>
      <c r="UN59" s="653"/>
      <c r="UO59" s="653"/>
      <c r="UP59" s="653"/>
      <c r="UQ59" s="653"/>
      <c r="UR59" s="653"/>
      <c r="US59" s="653"/>
      <c r="UT59" s="653"/>
      <c r="UU59" s="653"/>
      <c r="UV59" s="653"/>
      <c r="UW59" s="653"/>
      <c r="UX59" s="653"/>
      <c r="UY59" s="653"/>
      <c r="UZ59" s="653"/>
      <c r="VC59" s="162"/>
      <c r="VD59" s="158"/>
      <c r="VE59" s="158"/>
      <c r="VF59" s="158"/>
      <c r="VG59" s="158"/>
      <c r="VH59" s="158"/>
      <c r="VI59" s="158"/>
      <c r="VJ59" s="158"/>
      <c r="VK59" s="158"/>
      <c r="VL59" s="158"/>
      <c r="VM59" s="158"/>
      <c r="VN59" s="158"/>
      <c r="VO59" s="158"/>
      <c r="VP59" s="158"/>
      <c r="VQ59" s="163"/>
      <c r="VZ59" s="130"/>
      <c r="WA59" s="130"/>
      <c r="WB59" s="130"/>
      <c r="WC59" s="653"/>
      <c r="WD59" s="653"/>
      <c r="WE59" s="653"/>
      <c r="WF59" s="653"/>
      <c r="WG59" s="653"/>
      <c r="WH59" s="653"/>
      <c r="WI59" s="653"/>
      <c r="WJ59" s="653"/>
      <c r="ACJ59" s="759">
        <v>0.66666666699999999</v>
      </c>
      <c r="ACK59" s="760"/>
      <c r="ACL59" s="759">
        <v>-0.66666666699999999</v>
      </c>
      <c r="ACM59" s="760"/>
      <c r="ACN59" s="591">
        <v>47</v>
      </c>
      <c r="ACO59" s="759">
        <f t="shared" si="0"/>
        <v>0.31333333349000003</v>
      </c>
      <c r="ACP59" s="760"/>
      <c r="ACQ59" s="757">
        <f t="shared" si="48"/>
        <v>1.47</v>
      </c>
      <c r="ACR59" s="758"/>
      <c r="ACT59" s="759">
        <v>1</v>
      </c>
      <c r="ACU59" s="760"/>
      <c r="ACV59" s="759">
        <v>-1.2</v>
      </c>
      <c r="ACW59" s="760"/>
      <c r="ACX59" s="592">
        <v>97</v>
      </c>
      <c r="ACY59" s="759">
        <f t="shared" si="8"/>
        <v>0.77</v>
      </c>
      <c r="ACZ59" s="760"/>
      <c r="ADA59" s="757">
        <f t="shared" si="49"/>
        <v>1.97</v>
      </c>
      <c r="ADB59" s="758"/>
      <c r="ADD59" s="1112">
        <v>1.1052631578947401</v>
      </c>
      <c r="ADE59" s="1112"/>
      <c r="ADF59" s="1112">
        <v>-1.42105263157895</v>
      </c>
      <c r="ADG59" s="1112"/>
      <c r="ADH59" s="591">
        <v>146</v>
      </c>
      <c r="ADI59" s="759">
        <f t="shared" si="56"/>
        <v>1.2978947368421103</v>
      </c>
      <c r="ADJ59" s="760"/>
      <c r="ADK59" s="757">
        <f t="shared" si="50"/>
        <v>2.46</v>
      </c>
      <c r="ADL59" s="758"/>
      <c r="ADN59" s="759">
        <v>1.1052631580000001</v>
      </c>
      <c r="ADO59" s="760"/>
      <c r="ADP59" s="759">
        <v>-1.42105263157895</v>
      </c>
      <c r="ADQ59" s="760"/>
      <c r="ADR59" s="591">
        <v>196</v>
      </c>
      <c r="ADS59" s="759">
        <f t="shared" si="9"/>
        <v>1.8505263161010501</v>
      </c>
      <c r="ADT59" s="760"/>
      <c r="ADU59" s="757">
        <f t="shared" si="51"/>
        <v>2.96</v>
      </c>
      <c r="ADV59" s="758"/>
      <c r="ADX59" s="759">
        <v>1.1052631580000001</v>
      </c>
      <c r="ADY59" s="760"/>
      <c r="ADZ59" s="759">
        <v>-1.42105263157895</v>
      </c>
      <c r="AEA59" s="760"/>
      <c r="AEB59" s="591">
        <v>246</v>
      </c>
      <c r="AEC59" s="759">
        <f t="shared" si="10"/>
        <v>2.4031578951010504</v>
      </c>
      <c r="AED59" s="760"/>
      <c r="AEE59" s="757">
        <f t="shared" si="52"/>
        <v>3.46</v>
      </c>
      <c r="AEF59" s="758"/>
      <c r="AEH59" s="759">
        <v>1.1052631580000001</v>
      </c>
      <c r="AEI59" s="760"/>
      <c r="AEJ59" s="759">
        <v>-1.42105263157895</v>
      </c>
      <c r="AEK59" s="760"/>
      <c r="AEL59" s="591">
        <v>296</v>
      </c>
      <c r="AEM59" s="759">
        <f t="shared" si="37"/>
        <v>2.9557894741010506</v>
      </c>
      <c r="AEN59" s="760"/>
      <c r="AEO59" s="757">
        <f t="shared" si="53"/>
        <v>3.96</v>
      </c>
      <c r="AEP59" s="758"/>
      <c r="AGJ59" s="377"/>
      <c r="AGK59" s="373"/>
      <c r="AGL59" s="54"/>
      <c r="AGM59" s="373"/>
      <c r="AGN59" s="851"/>
      <c r="AGO59" s="802" t="s">
        <v>1102</v>
      </c>
      <c r="AGP59" s="1116"/>
      <c r="AGQ59" s="804">
        <f>$GQ$84</f>
        <v>22.82818476862052</v>
      </c>
      <c r="AGR59" s="804"/>
      <c r="AGS59" s="794"/>
      <c r="AGT59" s="795"/>
      <c r="AGU59" s="795"/>
      <c r="AGV59" s="795"/>
      <c r="AGW59" s="795"/>
      <c r="AGX59" s="795"/>
      <c r="AGY59" s="795"/>
      <c r="AGZ59" s="795"/>
      <c r="AHA59" s="796"/>
      <c r="AHB59" s="812"/>
      <c r="AHC59" s="813"/>
      <c r="AHD59" s="813"/>
      <c r="AHE59" s="813"/>
      <c r="AHF59" s="813"/>
      <c r="AHG59" s="813"/>
      <c r="AHH59" s="813"/>
      <c r="AHI59" s="814"/>
      <c r="AHJ59" s="1053"/>
      <c r="AHK59" s="1053"/>
      <c r="AHL59" s="1053"/>
      <c r="AHM59" s="1053"/>
      <c r="AHN59" s="1053"/>
      <c r="AHO59" s="1053"/>
      <c r="AHP59" s="1053"/>
      <c r="AHQ59" s="1053"/>
      <c r="AHR59" s="1053"/>
      <c r="AHS59" s="1053"/>
      <c r="AHT59" s="1053"/>
      <c r="AHU59" s="373"/>
      <c r="AHV59" s="373"/>
      <c r="AHW59" s="373"/>
      <c r="AHX59" s="373"/>
      <c r="AHY59" s="374"/>
      <c r="ALU59" s="130"/>
      <c r="ALV59" s="130"/>
      <c r="ALW59" s="130"/>
      <c r="AQJ59" s="653"/>
      <c r="AQK59" s="653"/>
      <c r="AQL59" s="653"/>
      <c r="AQM59" s="653"/>
      <c r="AQN59" s="849"/>
      <c r="AQO59" s="852" t="s">
        <v>416</v>
      </c>
      <c r="AQP59" s="853"/>
      <c r="AQQ59" s="138"/>
      <c r="AQR59" s="78"/>
      <c r="AQS59" s="78"/>
      <c r="AQT59" s="78"/>
      <c r="AQU59" s="78"/>
      <c r="AQV59" s="78"/>
      <c r="AQW59" s="78"/>
      <c r="AQX59" s="138"/>
      <c r="AQY59" s="76" t="s">
        <v>441</v>
      </c>
      <c r="AQZ59" s="854" t="s">
        <v>435</v>
      </c>
      <c r="ARA59" s="1111"/>
      <c r="ARB59" s="924" t="s">
        <v>111</v>
      </c>
      <c r="ARC59" s="925"/>
      <c r="ARD59" s="916" t="s">
        <v>704</v>
      </c>
      <c r="ARE59" s="917"/>
      <c r="ARF59" s="906" t="s">
        <v>447</v>
      </c>
      <c r="ARG59" s="907"/>
      <c r="ARH59" s="907"/>
      <c r="ARI59" s="908"/>
      <c r="ARO59" s="653"/>
      <c r="ARP59" s="653"/>
      <c r="ARQ59" s="653"/>
      <c r="ARR59" s="653"/>
      <c r="ARS59" s="653"/>
      <c r="ARU59" s="136"/>
      <c r="ARV59" s="891"/>
      <c r="ARW59" s="891"/>
      <c r="ARX59" s="891"/>
      <c r="ARY59" s="891"/>
      <c r="ARZ59" s="891"/>
      <c r="ASA59" s="891"/>
      <c r="ASB59" s="891"/>
      <c r="ASC59" s="891"/>
      <c r="ASD59" s="891"/>
      <c r="ASE59" s="891"/>
      <c r="ASF59" s="891"/>
      <c r="ASG59" s="891"/>
      <c r="ASH59" s="891"/>
      <c r="ASI59" s="891"/>
      <c r="ASJ59" s="891"/>
      <c r="ASK59" s="891"/>
      <c r="ASL59" s="891"/>
      <c r="ASM59" s="891"/>
      <c r="ASN59" s="891"/>
      <c r="ASO59" s="891"/>
      <c r="ASP59" s="891"/>
      <c r="ASQ59" s="891"/>
      <c r="ASR59" s="891"/>
      <c r="ASS59" s="891"/>
      <c r="AST59" s="891"/>
      <c r="ASU59" s="891"/>
      <c r="ASV59" s="891"/>
      <c r="ASW59" s="891"/>
      <c r="ASX59" s="891"/>
      <c r="ASY59" s="891"/>
      <c r="ASZ59" s="891"/>
      <c r="ATA59" s="891"/>
      <c r="ATB59" s="891"/>
      <c r="ATC59" s="891"/>
      <c r="ATD59" s="891"/>
      <c r="ATE59" s="891"/>
      <c r="ATF59" s="891"/>
      <c r="ATG59" s="891"/>
      <c r="ATH59" s="136"/>
    </row>
    <row r="60" spans="4:1011 1128:1224" ht="48" customHeight="1" thickBot="1">
      <c r="BX60" s="903"/>
      <c r="BY60" s="904"/>
      <c r="BZ60" s="905"/>
      <c r="CA60" s="851"/>
      <c r="CB60" s="1047"/>
      <c r="CC60" s="1048"/>
      <c r="CD60" s="1048"/>
      <c r="CE60" s="1048"/>
      <c r="CF60" s="1048"/>
      <c r="CG60" s="1048"/>
      <c r="CH60" s="1048"/>
      <c r="CI60" s="1048"/>
      <c r="CJ60" s="1048"/>
      <c r="CK60" s="1048"/>
      <c r="CL60" s="1048"/>
      <c r="CM60" s="1642"/>
      <c r="CN60" s="1643"/>
      <c r="CO60" s="1185"/>
      <c r="CP60" s="1186"/>
      <c r="CQ60" s="842"/>
      <c r="CR60" s="918"/>
      <c r="CS60" s="919"/>
      <c r="CT60" s="848"/>
      <c r="GF60" s="897" t="s">
        <v>929</v>
      </c>
      <c r="GG60" s="898"/>
      <c r="GH60" s="899"/>
      <c r="GI60" s="76" t="s">
        <v>793</v>
      </c>
      <c r="GJ60" s="852" t="s">
        <v>416</v>
      </c>
      <c r="GK60" s="853"/>
      <c r="GL60" s="138"/>
      <c r="GM60" s="78"/>
      <c r="GN60" s="78"/>
      <c r="GO60" s="78"/>
      <c r="GP60" s="78"/>
      <c r="GQ60" s="78"/>
      <c r="GR60" s="78"/>
      <c r="GS60" s="138"/>
      <c r="GT60" s="76" t="s">
        <v>441</v>
      </c>
      <c r="GU60" s="854" t="s">
        <v>435</v>
      </c>
      <c r="GV60" s="855"/>
      <c r="GW60" s="920" t="s">
        <v>111</v>
      </c>
      <c r="GX60" s="921"/>
      <c r="GY60" s="916" t="s">
        <v>704</v>
      </c>
      <c r="GZ60" s="917"/>
      <c r="HA60" s="1051" t="s">
        <v>447</v>
      </c>
      <c r="HB60" s="1051"/>
      <c r="HC60" s="1051"/>
      <c r="HD60" s="1051"/>
      <c r="HE60" s="1051"/>
      <c r="HX60" s="653"/>
      <c r="HY60" s="653"/>
      <c r="HZ60" s="653"/>
      <c r="IA60" s="653"/>
      <c r="IB60" s="653"/>
      <c r="IC60" s="653"/>
      <c r="IR60" s="849"/>
      <c r="IS60" s="852" t="s">
        <v>416</v>
      </c>
      <c r="IT60" s="923"/>
      <c r="IU60" s="719"/>
      <c r="IV60" s="76" t="s">
        <v>441</v>
      </c>
      <c r="IW60" s="1464" t="s">
        <v>435</v>
      </c>
      <c r="IX60" s="854"/>
      <c r="IY60" s="1072" t="s">
        <v>111</v>
      </c>
      <c r="IZ60" s="1074"/>
      <c r="JA60" s="922" t="s">
        <v>704</v>
      </c>
      <c r="JB60" s="917"/>
      <c r="JC60" s="906" t="s">
        <v>447</v>
      </c>
      <c r="JD60" s="907"/>
      <c r="JE60" s="907"/>
      <c r="JF60" s="908"/>
      <c r="JG60" s="1051" t="s">
        <v>436</v>
      </c>
      <c r="JH60" s="1051"/>
      <c r="JI60" s="1051"/>
      <c r="JJ60" s="1051"/>
      <c r="JU60" s="653"/>
      <c r="JV60" s="653"/>
      <c r="JW60" s="653"/>
      <c r="LF60" s="130"/>
      <c r="LG60" s="130"/>
      <c r="LH60" s="130"/>
      <c r="LI60" s="130"/>
      <c r="LJ60" s="130"/>
      <c r="LK60" s="130"/>
      <c r="LL60" s="130"/>
      <c r="LM60" s="130"/>
      <c r="LN60" s="130"/>
      <c r="LO60" s="130"/>
      <c r="MB60" s="851"/>
      <c r="MC60" s="351" t="s">
        <v>1218</v>
      </c>
      <c r="MD60" s="1863">
        <f>$MP$79</f>
        <v>7.4093313985826271E-7</v>
      </c>
      <c r="ME60" s="1863"/>
      <c r="MF60" s="1201"/>
      <c r="MG60" s="1201"/>
      <c r="MH60" s="1201"/>
      <c r="MI60" s="1201"/>
      <c r="MJ60" s="1201"/>
      <c r="MK60" s="1201"/>
      <c r="ML60" s="1201"/>
      <c r="MM60" s="1201"/>
      <c r="MN60" s="1201"/>
      <c r="MO60" s="1202"/>
      <c r="MP60" s="1467"/>
      <c r="MQ60" s="1468"/>
      <c r="MR60" s="1190"/>
      <c r="MS60" s="1191"/>
      <c r="MT60" s="1067"/>
      <c r="MU60" s="918"/>
      <c r="MV60" s="919"/>
      <c r="MW60" s="848"/>
      <c r="MX60" s="828"/>
      <c r="MY60" s="949"/>
      <c r="MZ60" s="949"/>
      <c r="NA60" s="950"/>
      <c r="NK60" s="1216"/>
      <c r="NL60" s="1217"/>
      <c r="NM60" s="1217"/>
      <c r="NN60" s="1217"/>
      <c r="NO60" s="1217"/>
      <c r="NP60" s="1217"/>
      <c r="NQ60" s="1217"/>
      <c r="NR60" s="1217"/>
      <c r="NS60" s="1217"/>
      <c r="NT60" s="1217"/>
      <c r="NU60" s="1217"/>
      <c r="NV60" s="1217"/>
      <c r="NW60" s="1217"/>
      <c r="NX60" s="1217"/>
      <c r="NY60" s="1217"/>
      <c r="NZ60" s="1217"/>
      <c r="OA60" s="1217"/>
      <c r="OB60" s="1217"/>
      <c r="OC60" s="1217"/>
      <c r="OD60" s="1217"/>
      <c r="OE60" s="1217"/>
      <c r="OF60" s="1218"/>
      <c r="PL60" s="897" t="s">
        <v>929</v>
      </c>
      <c r="PM60" s="898"/>
      <c r="PN60" s="899"/>
      <c r="PO60" s="849"/>
      <c r="PP60" s="1257" t="s">
        <v>416</v>
      </c>
      <c r="PQ60" s="1257"/>
      <c r="PR60" s="466"/>
      <c r="PS60" s="78"/>
      <c r="PT60" s="78"/>
      <c r="PU60" s="78"/>
      <c r="PV60" s="78"/>
      <c r="PW60" s="78"/>
      <c r="PX60" s="78"/>
      <c r="PY60" s="466"/>
      <c r="PZ60" s="76" t="s">
        <v>441</v>
      </c>
      <c r="QA60" s="854" t="s">
        <v>435</v>
      </c>
      <c r="QB60" s="1111"/>
      <c r="QC60" s="920" t="s">
        <v>111</v>
      </c>
      <c r="QD60" s="921"/>
      <c r="QE60" s="916" t="s">
        <v>704</v>
      </c>
      <c r="QF60" s="917"/>
      <c r="QG60" s="906" t="s">
        <v>447</v>
      </c>
      <c r="QH60" s="907"/>
      <c r="QI60" s="907"/>
      <c r="QJ60" s="908"/>
      <c r="QO60" s="130"/>
      <c r="QP60" s="130"/>
      <c r="QQ60" s="130"/>
      <c r="QR60" s="130"/>
      <c r="QS60" s="130"/>
      <c r="QT60" s="130"/>
      <c r="QU60" s="130"/>
      <c r="QV60" s="130"/>
      <c r="QW60" s="130"/>
      <c r="QZ60" s="130"/>
      <c r="RA60" s="130"/>
      <c r="RB60" s="130"/>
      <c r="RC60" s="130"/>
      <c r="RE60" s="653"/>
      <c r="RF60" s="653"/>
      <c r="RG60" s="653"/>
      <c r="RH60" s="653"/>
      <c r="RI60" s="653"/>
      <c r="RJ60" s="653"/>
      <c r="RK60" s="653"/>
      <c r="RL60" s="653"/>
      <c r="RM60" s="653"/>
      <c r="RN60" s="653"/>
      <c r="RO60" s="653"/>
      <c r="RP60" s="653"/>
      <c r="RQ60" s="653"/>
      <c r="RR60" s="653"/>
      <c r="RS60" s="653"/>
      <c r="RT60" s="653"/>
      <c r="RU60" s="653"/>
      <c r="RV60" s="653"/>
      <c r="RW60" s="653"/>
      <c r="RX60" s="653"/>
      <c r="RY60" s="653"/>
      <c r="SJ60" s="653"/>
      <c r="SK60" s="653"/>
      <c r="SL60" s="653"/>
      <c r="SM60" s="653"/>
      <c r="SN60" s="653"/>
      <c r="SO60" s="653"/>
      <c r="SP60" s="653"/>
      <c r="SQ60" s="653"/>
      <c r="SR60" s="653"/>
      <c r="SS60" s="653"/>
      <c r="ST60" s="653"/>
      <c r="SU60" s="653"/>
      <c r="SV60" s="653"/>
      <c r="SW60" s="653"/>
      <c r="SX60" s="653"/>
      <c r="SY60" s="653"/>
      <c r="SZ60" s="653"/>
      <c r="TA60" s="653"/>
      <c r="TB60" s="653"/>
      <c r="TC60" s="653"/>
      <c r="TD60" s="653"/>
      <c r="TE60" s="653"/>
      <c r="TF60" s="653"/>
      <c r="TG60" s="653"/>
      <c r="TH60" s="653"/>
      <c r="TI60" s="653"/>
      <c r="TJ60" s="653"/>
      <c r="TK60" s="653"/>
      <c r="TL60" s="653"/>
      <c r="TM60" s="653"/>
      <c r="TN60" s="653"/>
      <c r="TO60" s="653"/>
      <c r="TP60" s="653"/>
      <c r="TQ60" s="653"/>
      <c r="TR60" s="653"/>
      <c r="TS60" s="653"/>
      <c r="TT60" s="653"/>
      <c r="TU60" s="653"/>
      <c r="TV60" s="653"/>
      <c r="TW60" s="653"/>
      <c r="TX60" s="653"/>
      <c r="TY60" s="653"/>
      <c r="TZ60" s="653"/>
      <c r="UA60" s="653"/>
      <c r="UB60" s="653"/>
      <c r="UC60" s="653"/>
      <c r="UD60" s="653"/>
      <c r="UE60" s="653"/>
      <c r="UF60" s="653"/>
      <c r="UG60" s="653"/>
      <c r="UH60" s="653"/>
      <c r="UI60" s="653"/>
      <c r="UJ60" s="653"/>
      <c r="UK60" s="653"/>
      <c r="UL60" s="653"/>
      <c r="UM60" s="653"/>
      <c r="UN60" s="653"/>
      <c r="UO60" s="653"/>
      <c r="UP60" s="653"/>
      <c r="UQ60" s="653"/>
      <c r="UR60" s="653"/>
      <c r="US60" s="653"/>
      <c r="UT60" s="653"/>
      <c r="UU60" s="653"/>
      <c r="UV60" s="653"/>
      <c r="UW60" s="653"/>
      <c r="UX60" s="653"/>
      <c r="UY60" s="653"/>
      <c r="UZ60" s="653"/>
      <c r="VC60" s="162"/>
      <c r="VD60" s="158"/>
      <c r="VE60" s="158"/>
      <c r="VF60" s="158"/>
      <c r="VG60" s="158"/>
      <c r="VH60" s="158"/>
      <c r="VI60" s="158"/>
      <c r="VJ60" s="158"/>
      <c r="VK60" s="158"/>
      <c r="VL60" s="158"/>
      <c r="VM60" s="158"/>
      <c r="VN60" s="158"/>
      <c r="VO60" s="158"/>
      <c r="VP60" s="158"/>
      <c r="VQ60" s="163"/>
      <c r="VZ60" s="210"/>
      <c r="WA60" s="210"/>
      <c r="WB60" s="210"/>
      <c r="WC60" s="653"/>
      <c r="WD60" s="653"/>
      <c r="WE60" s="653"/>
      <c r="WF60" s="653"/>
      <c r="WG60" s="653"/>
      <c r="WH60" s="653"/>
      <c r="WI60" s="653"/>
      <c r="WJ60" s="653"/>
      <c r="ACJ60" s="759">
        <v>0.66666666699999999</v>
      </c>
      <c r="ACK60" s="760"/>
      <c r="ACL60" s="759">
        <v>-0.66666666699999999</v>
      </c>
      <c r="ACM60" s="760"/>
      <c r="ACN60" s="591">
        <v>48</v>
      </c>
      <c r="ACO60" s="759">
        <f t="shared" si="0"/>
        <v>0.32000000015999996</v>
      </c>
      <c r="ACP60" s="760"/>
      <c r="ACQ60" s="757">
        <f t="shared" si="48"/>
        <v>1.48</v>
      </c>
      <c r="ACR60" s="758"/>
      <c r="ACT60" s="759">
        <v>1</v>
      </c>
      <c r="ACU60" s="760"/>
      <c r="ACV60" s="759">
        <v>-1.2</v>
      </c>
      <c r="ACW60" s="760"/>
      <c r="ACX60" s="592">
        <v>98</v>
      </c>
      <c r="ACY60" s="759">
        <f t="shared" si="8"/>
        <v>0.78</v>
      </c>
      <c r="ACZ60" s="760"/>
      <c r="ADA60" s="757">
        <f t="shared" si="49"/>
        <v>1.98</v>
      </c>
      <c r="ADB60" s="758"/>
      <c r="ADD60" s="1112">
        <v>1.1052631578947401</v>
      </c>
      <c r="ADE60" s="1112"/>
      <c r="ADF60" s="1112">
        <v>-1.42105263157895</v>
      </c>
      <c r="ADG60" s="1112"/>
      <c r="ADH60" s="591">
        <v>147</v>
      </c>
      <c r="ADI60" s="759">
        <f t="shared" si="56"/>
        <v>1.3089473684210575</v>
      </c>
      <c r="ADJ60" s="760"/>
      <c r="ADK60" s="757">
        <f t="shared" si="50"/>
        <v>2.4699999999999998</v>
      </c>
      <c r="ADL60" s="758"/>
      <c r="ADN60" s="759">
        <v>1.1052631580000001</v>
      </c>
      <c r="ADO60" s="760"/>
      <c r="ADP60" s="759">
        <v>-1.42105263157895</v>
      </c>
      <c r="ADQ60" s="760"/>
      <c r="ADR60" s="591">
        <v>197</v>
      </c>
      <c r="ADS60" s="759">
        <f t="shared" si="9"/>
        <v>1.8615789476810498</v>
      </c>
      <c r="ADT60" s="760"/>
      <c r="ADU60" s="757">
        <f t="shared" si="51"/>
        <v>2.9699999999999998</v>
      </c>
      <c r="ADV60" s="758"/>
      <c r="ADX60" s="759">
        <v>1.1052631580000001</v>
      </c>
      <c r="ADY60" s="760"/>
      <c r="ADZ60" s="759">
        <v>-1.42105263157895</v>
      </c>
      <c r="AEA60" s="760"/>
      <c r="AEB60" s="591">
        <v>247</v>
      </c>
      <c r="AEC60" s="759">
        <f t="shared" si="10"/>
        <v>2.4142105266810505</v>
      </c>
      <c r="AED60" s="760"/>
      <c r="AEE60" s="757">
        <f t="shared" si="52"/>
        <v>3.47</v>
      </c>
      <c r="AEF60" s="758"/>
      <c r="AEH60" s="759">
        <v>1.1052631580000001</v>
      </c>
      <c r="AEI60" s="760"/>
      <c r="AEJ60" s="759">
        <v>-1.42105263157895</v>
      </c>
      <c r="AEK60" s="760"/>
      <c r="AEL60" s="591">
        <v>297</v>
      </c>
      <c r="AEM60" s="759">
        <f t="shared" si="37"/>
        <v>2.9668421056810508</v>
      </c>
      <c r="AEN60" s="760"/>
      <c r="AEO60" s="757">
        <f t="shared" si="53"/>
        <v>3.97</v>
      </c>
      <c r="AEP60" s="758"/>
      <c r="AGJ60" s="377"/>
      <c r="AGK60" s="373"/>
      <c r="AGL60" s="54"/>
      <c r="AGM60" s="373"/>
      <c r="AGN60" s="373"/>
      <c r="AGO60" s="373"/>
      <c r="AGP60" s="373"/>
      <c r="AGQ60" s="373"/>
      <c r="AGR60" s="373"/>
      <c r="AGS60" s="373"/>
      <c r="AGT60" s="373"/>
      <c r="AGU60" s="373"/>
      <c r="AGV60" s="373"/>
      <c r="AGW60" s="373"/>
      <c r="AGX60" s="373"/>
      <c r="AGY60" s="373"/>
      <c r="AGZ60" s="373"/>
      <c r="AHA60" s="373"/>
      <c r="AHB60" s="373"/>
      <c r="AHC60" s="373"/>
      <c r="AHD60" s="373"/>
      <c r="AHE60" s="373"/>
      <c r="AHF60" s="373"/>
      <c r="AHG60" s="373"/>
      <c r="AHH60" s="373"/>
      <c r="AHI60" s="373"/>
      <c r="AHJ60" s="373"/>
      <c r="AHK60" s="373"/>
      <c r="AHL60" s="373"/>
      <c r="AHM60" s="373"/>
      <c r="AHN60" s="373"/>
      <c r="AHO60" s="373"/>
      <c r="AHP60" s="373"/>
      <c r="AHQ60" s="373"/>
      <c r="AHR60" s="373"/>
      <c r="AHS60" s="373"/>
      <c r="AHT60" s="373"/>
      <c r="AHU60" s="373"/>
      <c r="AHV60" s="373"/>
      <c r="AHW60" s="373"/>
      <c r="AHX60" s="373"/>
      <c r="AHY60" s="374"/>
      <c r="ALU60" s="130"/>
      <c r="ALV60" s="130"/>
      <c r="ALW60" s="130"/>
      <c r="AQJ60" s="653"/>
      <c r="AQK60" s="653"/>
      <c r="AQL60" s="653"/>
      <c r="AQM60" s="653"/>
      <c r="AQN60" s="850"/>
      <c r="AQO60" s="856" t="s">
        <v>894</v>
      </c>
      <c r="AQP60" s="856"/>
      <c r="AQQ60" s="856"/>
      <c r="AQR60" s="856"/>
      <c r="AQS60" s="856"/>
      <c r="AQT60" s="856"/>
      <c r="AQU60" s="856"/>
      <c r="AQV60" s="856"/>
      <c r="AQW60" s="856"/>
      <c r="AQX60" s="856"/>
      <c r="AQY60" s="856"/>
      <c r="AQZ60" s="856"/>
      <c r="ARA60" s="856"/>
      <c r="ARB60" s="885"/>
      <c r="ARC60" s="886"/>
      <c r="ARD60" s="839"/>
      <c r="ARE60" s="840"/>
      <c r="ARF60" s="1066"/>
      <c r="ARG60" s="843"/>
      <c r="ARH60" s="844"/>
      <c r="ARI60" s="847"/>
      <c r="ARO60" s="653"/>
      <c r="ARP60" s="653"/>
      <c r="ARQ60" s="653"/>
      <c r="ARR60" s="653"/>
      <c r="ARS60" s="653"/>
      <c r="ARU60" s="521"/>
      <c r="ARV60" s="379"/>
      <c r="ARW60" s="379"/>
      <c r="ARX60" s="379"/>
      <c r="ARY60" s="379"/>
      <c r="ARZ60" s="379"/>
      <c r="ASA60" s="379"/>
      <c r="ASB60" s="379"/>
      <c r="ASC60" s="379"/>
      <c r="ASD60" s="379"/>
      <c r="ASE60" s="379"/>
      <c r="ASF60" s="379"/>
      <c r="ASG60" s="379"/>
      <c r="ASH60" s="379"/>
      <c r="ASI60" s="379"/>
      <c r="ASJ60" s="379"/>
      <c r="ASK60" s="379"/>
      <c r="ASL60" s="379"/>
      <c r="ASM60" s="379"/>
      <c r="ASN60" s="379"/>
      <c r="ASO60" s="379"/>
      <c r="ASP60" s="379"/>
      <c r="ASQ60" s="379"/>
      <c r="ASR60" s="379"/>
      <c r="ASS60" s="379"/>
      <c r="AST60" s="379"/>
      <c r="ASU60" s="379"/>
      <c r="ASV60" s="379"/>
      <c r="ASW60" s="379"/>
      <c r="ASX60" s="379"/>
      <c r="ASY60" s="379"/>
      <c r="ASZ60" s="379"/>
      <c r="ATA60" s="379"/>
      <c r="ATB60" s="379"/>
      <c r="ATC60" s="379"/>
      <c r="ATD60" s="379"/>
      <c r="ATE60" s="379"/>
      <c r="ATF60" s="379"/>
      <c r="ATG60" s="379"/>
      <c r="ATH60" s="382" t="s">
        <v>1298</v>
      </c>
    </row>
    <row r="61" spans="4:1011 1128:1224" ht="48" customHeight="1" thickBot="1">
      <c r="AI61" s="897" t="s">
        <v>974</v>
      </c>
      <c r="AJ61" s="898"/>
      <c r="AK61" s="899"/>
      <c r="AL61" s="849"/>
      <c r="AM61" s="1257" t="s">
        <v>1779</v>
      </c>
      <c r="AN61" s="1257"/>
      <c r="AO61" s="117"/>
      <c r="AP61" s="779" t="s">
        <v>1815</v>
      </c>
      <c r="AQ61" s="780"/>
      <c r="AR61" s="781"/>
      <c r="AS61" s="75" t="s">
        <v>702</v>
      </c>
      <c r="AT61" s="117"/>
      <c r="AU61" s="76" t="s">
        <v>441</v>
      </c>
      <c r="AV61" s="1676" t="s">
        <v>435</v>
      </c>
      <c r="AW61" s="1683"/>
      <c r="AX61" s="920" t="s">
        <v>111</v>
      </c>
      <c r="AY61" s="921"/>
      <c r="AZ61" s="916" t="s">
        <v>704</v>
      </c>
      <c r="BA61" s="917"/>
      <c r="BB61" s="906" t="s">
        <v>447</v>
      </c>
      <c r="BC61" s="907"/>
      <c r="BD61" s="907"/>
      <c r="BE61" s="908"/>
      <c r="BQ61" s="130"/>
      <c r="DZ61" s="76" t="s">
        <v>793</v>
      </c>
      <c r="EA61" s="852" t="s">
        <v>416</v>
      </c>
      <c r="EB61" s="853"/>
      <c r="EC61" s="138"/>
      <c r="ED61" s="455" t="s">
        <v>1106</v>
      </c>
      <c r="EE61" s="926">
        <f>$CO$28</f>
        <v>48</v>
      </c>
      <c r="EF61" s="926"/>
      <c r="EG61" s="455" t="s">
        <v>444</v>
      </c>
      <c r="EH61" s="890">
        <f>$AP$49</f>
        <v>0.21284000000000003</v>
      </c>
      <c r="EI61" s="890"/>
      <c r="EJ61" s="138"/>
      <c r="EK61" s="76" t="s">
        <v>441</v>
      </c>
      <c r="EL61" s="854" t="s">
        <v>435</v>
      </c>
      <c r="EM61" s="855"/>
      <c r="EN61" s="920" t="s">
        <v>111</v>
      </c>
      <c r="EO61" s="921"/>
      <c r="EP61" s="916" t="s">
        <v>704</v>
      </c>
      <c r="EQ61" s="917"/>
      <c r="ER61" s="906" t="s">
        <v>447</v>
      </c>
      <c r="ES61" s="907"/>
      <c r="ET61" s="907"/>
      <c r="EU61" s="907"/>
      <c r="EV61" s="908"/>
      <c r="EW61" s="1051" t="s">
        <v>436</v>
      </c>
      <c r="EX61" s="1051"/>
      <c r="EY61" s="1051"/>
      <c r="EZ61" s="1051"/>
      <c r="FA61" s="1051"/>
      <c r="FB61" s="1051"/>
      <c r="FC61" s="1051"/>
      <c r="FD61" s="1051"/>
      <c r="FE61" s="1051"/>
      <c r="FF61" s="1051"/>
      <c r="FG61" s="1051"/>
      <c r="FH61" s="1051"/>
      <c r="FI61" s="1051"/>
      <c r="FJ61" s="1051"/>
      <c r="GF61" s="900"/>
      <c r="GG61" s="901"/>
      <c r="GH61" s="902"/>
      <c r="GI61" s="849"/>
      <c r="GJ61" s="791" t="s">
        <v>1638</v>
      </c>
      <c r="GK61" s="797"/>
      <c r="GL61" s="797"/>
      <c r="GM61" s="797"/>
      <c r="GN61" s="797"/>
      <c r="GO61" s="797"/>
      <c r="GP61" s="797"/>
      <c r="GQ61" s="797"/>
      <c r="GR61" s="797"/>
      <c r="GS61" s="797"/>
      <c r="GT61" s="797"/>
      <c r="GU61" s="797"/>
      <c r="GV61" s="797"/>
      <c r="GW61" s="1453">
        <v>0.7</v>
      </c>
      <c r="GX61" s="1454"/>
      <c r="GY61" s="1075" t="s">
        <v>45</v>
      </c>
      <c r="GZ61" s="1076"/>
      <c r="HA61" s="841"/>
      <c r="HB61" s="893" t="s">
        <v>1001</v>
      </c>
      <c r="HC61" s="1081"/>
      <c r="HD61" s="894"/>
      <c r="HE61" s="847"/>
      <c r="HX61" s="653"/>
      <c r="HY61" s="653"/>
      <c r="HZ61" s="653"/>
      <c r="IA61" s="653"/>
      <c r="IB61" s="653"/>
      <c r="IC61" s="653"/>
      <c r="IR61" s="850"/>
      <c r="IS61" s="720" t="s">
        <v>1785</v>
      </c>
      <c r="IT61" s="926">
        <f>$IY$76</f>
        <v>25.590104674909831</v>
      </c>
      <c r="IU61" s="926"/>
      <c r="IV61" s="791" t="s">
        <v>1787</v>
      </c>
      <c r="IW61" s="797"/>
      <c r="IX61" s="797"/>
      <c r="IY61" s="885">
        <f>IT61/1000*IT62</f>
        <v>3.8896959105862945</v>
      </c>
      <c r="IZ61" s="886"/>
      <c r="JA61" s="931" t="s">
        <v>32</v>
      </c>
      <c r="JB61" s="932"/>
      <c r="JC61" s="841"/>
      <c r="JD61" s="893" t="s">
        <v>846</v>
      </c>
      <c r="JE61" s="894"/>
      <c r="JF61" s="847"/>
      <c r="JG61" s="827"/>
      <c r="JH61" s="947"/>
      <c r="JI61" s="947"/>
      <c r="JJ61" s="948"/>
      <c r="JU61" s="653"/>
      <c r="JV61" s="653"/>
      <c r="JW61" s="653"/>
      <c r="JZ61" s="185"/>
      <c r="KA61" s="852" t="s">
        <v>833</v>
      </c>
      <c r="KB61" s="923"/>
      <c r="KC61" s="185"/>
      <c r="KD61" s="1069" t="s">
        <v>60</v>
      </c>
      <c r="KE61" s="1070"/>
      <c r="KF61" s="1070"/>
      <c r="KG61" s="1070"/>
      <c r="KH61" s="1070"/>
      <c r="KI61" s="1070"/>
      <c r="KJ61" s="1070"/>
      <c r="KK61" s="1070"/>
      <c r="KL61" s="1070"/>
      <c r="KM61" s="1070"/>
      <c r="KN61" s="1071"/>
      <c r="KO61" s="185"/>
      <c r="LF61" s="130"/>
      <c r="LG61" s="130"/>
      <c r="LH61" s="130"/>
      <c r="LI61" s="130"/>
      <c r="LJ61" s="130"/>
      <c r="LK61" s="130"/>
      <c r="LL61" s="130"/>
      <c r="LM61" s="130"/>
      <c r="LN61" s="130"/>
      <c r="LO61" s="130"/>
      <c r="MZ61" s="675"/>
      <c r="NA61" s="675"/>
      <c r="NK61" s="1216"/>
      <c r="NL61" s="1217"/>
      <c r="NM61" s="1217"/>
      <c r="NN61" s="1217"/>
      <c r="NO61" s="1217"/>
      <c r="NP61" s="1217"/>
      <c r="NQ61" s="1217"/>
      <c r="NR61" s="1217"/>
      <c r="NS61" s="1217"/>
      <c r="NT61" s="1217"/>
      <c r="NU61" s="1217"/>
      <c r="NV61" s="1217"/>
      <c r="NW61" s="1217"/>
      <c r="NX61" s="1217"/>
      <c r="NY61" s="1217"/>
      <c r="NZ61" s="1217"/>
      <c r="OA61" s="1217"/>
      <c r="OB61" s="1217"/>
      <c r="OC61" s="1217"/>
      <c r="OD61" s="1217"/>
      <c r="OE61" s="1217"/>
      <c r="OF61" s="1218"/>
      <c r="PL61" s="900"/>
      <c r="PM61" s="901"/>
      <c r="PN61" s="902"/>
      <c r="PO61" s="850"/>
      <c r="PP61" s="809" t="s">
        <v>1528</v>
      </c>
      <c r="PQ61" s="797"/>
      <c r="PR61" s="797"/>
      <c r="PS61" s="797"/>
      <c r="PT61" s="797"/>
      <c r="PU61" s="797"/>
      <c r="PV61" s="797"/>
      <c r="PW61" s="797"/>
      <c r="PX61" s="797"/>
      <c r="PY61" s="797"/>
      <c r="PZ61" s="797"/>
      <c r="QA61" s="797"/>
      <c r="QB61" s="798"/>
      <c r="QC61" s="1054">
        <v>0.97</v>
      </c>
      <c r="QD61" s="1055"/>
      <c r="QE61" s="1183" t="s">
        <v>729</v>
      </c>
      <c r="QF61" s="1184"/>
      <c r="QG61" s="1066"/>
      <c r="QH61" s="843" t="s">
        <v>1529</v>
      </c>
      <c r="QI61" s="844"/>
      <c r="QJ61" s="847"/>
      <c r="QO61" s="130"/>
      <c r="QP61" s="130"/>
      <c r="QQ61" s="130"/>
      <c r="QR61" s="130"/>
      <c r="QS61" s="130"/>
      <c r="QT61" s="130"/>
      <c r="QU61" s="130"/>
      <c r="QV61" s="130"/>
      <c r="QW61" s="130"/>
      <c r="QY61" s="130"/>
      <c r="QZ61" s="130"/>
      <c r="RA61" s="130"/>
      <c r="RB61" s="130"/>
      <c r="RC61" s="130"/>
      <c r="RE61" s="653"/>
      <c r="RF61" s="653"/>
      <c r="RG61" s="653"/>
      <c r="RH61" s="653"/>
      <c r="RI61" s="653"/>
      <c r="RJ61" s="653"/>
      <c r="RK61" s="653"/>
      <c r="RL61" s="653"/>
      <c r="RM61" s="653"/>
      <c r="RN61" s="653"/>
      <c r="RO61" s="653"/>
      <c r="RP61" s="653"/>
      <c r="RQ61" s="653"/>
      <c r="RR61" s="653"/>
      <c r="RS61" s="653"/>
      <c r="RT61" s="653"/>
      <c r="RU61" s="653"/>
      <c r="RV61" s="653"/>
      <c r="RW61" s="653"/>
      <c r="RX61" s="653"/>
      <c r="RY61" s="653"/>
      <c r="SJ61" s="653"/>
      <c r="SK61" s="653"/>
      <c r="SL61" s="653"/>
      <c r="SM61" s="653"/>
      <c r="SN61" s="653"/>
      <c r="SO61" s="653"/>
      <c r="SP61" s="653"/>
      <c r="SQ61" s="653"/>
      <c r="SR61" s="653"/>
      <c r="SS61" s="653"/>
      <c r="ST61" s="653"/>
      <c r="SU61" s="653"/>
      <c r="SV61" s="653"/>
      <c r="SW61" s="653"/>
      <c r="SX61" s="653"/>
      <c r="SY61" s="653"/>
      <c r="SZ61" s="653"/>
      <c r="TA61" s="653"/>
      <c r="TB61" s="653"/>
      <c r="TC61" s="653"/>
      <c r="TD61" s="653"/>
      <c r="TE61" s="653"/>
      <c r="TF61" s="653"/>
      <c r="TG61" s="653"/>
      <c r="TH61" s="653"/>
      <c r="TI61" s="653"/>
      <c r="TJ61" s="653"/>
      <c r="TK61" s="653"/>
      <c r="TL61" s="653"/>
      <c r="TM61" s="653"/>
      <c r="TN61" s="653"/>
      <c r="TO61" s="653"/>
      <c r="TP61" s="653"/>
      <c r="TQ61" s="653"/>
      <c r="TR61" s="653"/>
      <c r="TS61" s="653"/>
      <c r="TT61" s="653"/>
      <c r="TU61" s="653"/>
      <c r="TV61" s="653"/>
      <c r="TW61" s="653"/>
      <c r="TX61" s="653"/>
      <c r="TY61" s="653"/>
      <c r="TZ61" s="653"/>
      <c r="UA61" s="653"/>
      <c r="UB61" s="653"/>
      <c r="UC61" s="653"/>
      <c r="UD61" s="653"/>
      <c r="UE61" s="653"/>
      <c r="UF61" s="653"/>
      <c r="UG61" s="653"/>
      <c r="UH61" s="653"/>
      <c r="UI61" s="653"/>
      <c r="UJ61" s="653"/>
      <c r="UK61" s="653"/>
      <c r="UL61" s="653"/>
      <c r="UM61" s="653"/>
      <c r="UN61" s="653"/>
      <c r="UO61" s="653"/>
      <c r="UP61" s="653"/>
      <c r="UQ61" s="653"/>
      <c r="UR61" s="653"/>
      <c r="US61" s="653"/>
      <c r="UT61" s="653"/>
      <c r="UU61" s="653"/>
      <c r="UV61" s="653"/>
      <c r="UW61" s="653"/>
      <c r="UX61" s="653"/>
      <c r="UY61" s="653"/>
      <c r="UZ61" s="653"/>
      <c r="VC61" s="162"/>
      <c r="VD61" s="158"/>
      <c r="VE61" s="158"/>
      <c r="VF61" s="158"/>
      <c r="VG61" s="158"/>
      <c r="VH61" s="158"/>
      <c r="VI61" s="158"/>
      <c r="VJ61" s="158"/>
      <c r="VK61" s="158"/>
      <c r="VL61" s="158"/>
      <c r="VM61" s="158"/>
      <c r="VN61" s="158"/>
      <c r="VO61" s="158"/>
      <c r="VP61" s="158"/>
      <c r="VQ61" s="163"/>
      <c r="VZ61" s="130"/>
      <c r="WA61" s="130"/>
      <c r="WB61" s="130"/>
      <c r="WC61" s="653"/>
      <c r="WD61" s="653"/>
      <c r="WE61" s="653"/>
      <c r="WF61" s="653"/>
      <c r="WG61" s="653"/>
      <c r="WH61" s="653"/>
      <c r="WI61" s="653"/>
      <c r="WJ61" s="653"/>
      <c r="WK61" s="653"/>
      <c r="WL61" s="653"/>
      <c r="WM61" s="653"/>
      <c r="WN61" s="653"/>
      <c r="WO61" s="653"/>
      <c r="WP61" s="653"/>
      <c r="WQ61" s="653"/>
      <c r="WR61" s="653"/>
      <c r="ACJ61" s="759">
        <v>0.66666666699999999</v>
      </c>
      <c r="ACK61" s="760"/>
      <c r="ACL61" s="759">
        <v>-0.66666666699999999</v>
      </c>
      <c r="ACM61" s="760"/>
      <c r="ACN61" s="591">
        <v>49</v>
      </c>
      <c r="ACO61" s="759">
        <f t="shared" si="0"/>
        <v>0.32666666683000001</v>
      </c>
      <c r="ACP61" s="760"/>
      <c r="ACQ61" s="757">
        <f t="shared" si="48"/>
        <v>1.49</v>
      </c>
      <c r="ACR61" s="758"/>
      <c r="ACT61" s="759">
        <v>1</v>
      </c>
      <c r="ACU61" s="760"/>
      <c r="ACV61" s="759">
        <v>-1.2</v>
      </c>
      <c r="ACW61" s="760"/>
      <c r="ACX61" s="592">
        <v>99</v>
      </c>
      <c r="ACY61" s="759">
        <f t="shared" si="8"/>
        <v>0.79</v>
      </c>
      <c r="ACZ61" s="760"/>
      <c r="ADA61" s="757">
        <f t="shared" si="49"/>
        <v>1.99</v>
      </c>
      <c r="ADB61" s="758"/>
      <c r="ADD61" s="1112">
        <v>1.1052631578947401</v>
      </c>
      <c r="ADE61" s="1112"/>
      <c r="ADF61" s="1112">
        <v>-1.42105263157895</v>
      </c>
      <c r="ADG61" s="1112"/>
      <c r="ADH61" s="591">
        <v>148</v>
      </c>
      <c r="ADI61" s="759">
        <f t="shared" si="56"/>
        <v>1.3200000000000052</v>
      </c>
      <c r="ADJ61" s="760"/>
      <c r="ADK61" s="757">
        <f t="shared" si="50"/>
        <v>2.48</v>
      </c>
      <c r="ADL61" s="758"/>
      <c r="ADN61" s="759">
        <v>1.1052631580000001</v>
      </c>
      <c r="ADO61" s="760"/>
      <c r="ADP61" s="759">
        <v>-1.42105263157895</v>
      </c>
      <c r="ADQ61" s="760"/>
      <c r="ADR61" s="591">
        <v>198</v>
      </c>
      <c r="ADS61" s="759">
        <f t="shared" si="9"/>
        <v>1.8726315792610504</v>
      </c>
      <c r="ADT61" s="760"/>
      <c r="ADU61" s="757">
        <f t="shared" si="51"/>
        <v>2.98</v>
      </c>
      <c r="ADV61" s="758"/>
      <c r="ADX61" s="759">
        <v>1.1052631580000001</v>
      </c>
      <c r="ADY61" s="760"/>
      <c r="ADZ61" s="759">
        <v>-1.42105263157895</v>
      </c>
      <c r="AEA61" s="760"/>
      <c r="AEB61" s="591">
        <v>248</v>
      </c>
      <c r="AEC61" s="759">
        <f t="shared" si="10"/>
        <v>2.4252631582610502</v>
      </c>
      <c r="AED61" s="760"/>
      <c r="AEE61" s="757">
        <f t="shared" si="52"/>
        <v>3.48</v>
      </c>
      <c r="AEF61" s="758"/>
      <c r="AEH61" s="759">
        <v>1.1052631580000001</v>
      </c>
      <c r="AEI61" s="760"/>
      <c r="AEJ61" s="759">
        <v>-1.42105263157895</v>
      </c>
      <c r="AEK61" s="760"/>
      <c r="AEL61" s="591">
        <v>298</v>
      </c>
      <c r="AEM61" s="759">
        <f t="shared" si="37"/>
        <v>2.97789473726105</v>
      </c>
      <c r="AEN61" s="760"/>
      <c r="AEO61" s="757">
        <f t="shared" si="53"/>
        <v>3.98</v>
      </c>
      <c r="AEP61" s="758"/>
      <c r="AGJ61" s="377"/>
      <c r="AGK61" s="373"/>
      <c r="AGL61" s="54"/>
      <c r="AGM61" s="373"/>
      <c r="AGN61" s="652" t="s">
        <v>1654</v>
      </c>
      <c r="AGO61" s="852" t="s">
        <v>416</v>
      </c>
      <c r="AGP61" s="853"/>
      <c r="AGQ61" s="687"/>
      <c r="AGR61" s="78"/>
      <c r="AGS61" s="78"/>
      <c r="AGT61" s="78"/>
      <c r="AGU61" s="78"/>
      <c r="AGV61" s="78"/>
      <c r="AGW61" s="78"/>
      <c r="AGX61" s="687"/>
      <c r="AGY61" s="76" t="s">
        <v>441</v>
      </c>
      <c r="AGZ61" s="854" t="s">
        <v>435</v>
      </c>
      <c r="AHA61" s="855"/>
      <c r="AHB61" s="920" t="s">
        <v>111</v>
      </c>
      <c r="AHC61" s="921"/>
      <c r="AHD61" s="916" t="s">
        <v>704</v>
      </c>
      <c r="AHE61" s="917"/>
      <c r="AHF61" s="906" t="s">
        <v>447</v>
      </c>
      <c r="AHG61" s="907"/>
      <c r="AHH61" s="907"/>
      <c r="AHI61" s="908"/>
      <c r="AHJ61" s="906" t="s">
        <v>1376</v>
      </c>
      <c r="AHK61" s="907"/>
      <c r="AHL61" s="907"/>
      <c r="AHM61" s="1051" t="s">
        <v>436</v>
      </c>
      <c r="AHN61" s="1051"/>
      <c r="AHO61" s="1051"/>
      <c r="AHP61" s="1051"/>
      <c r="AHQ61" s="1051"/>
      <c r="AHR61" s="1051"/>
      <c r="AHS61" s="1051"/>
      <c r="AHT61" s="1051"/>
      <c r="AHU61" s="1051"/>
      <c r="AHV61" s="1051"/>
      <c r="AHW61" s="373"/>
      <c r="AHX61" s="373"/>
      <c r="AHY61" s="374"/>
      <c r="ALU61" s="130"/>
      <c r="ALV61" s="130"/>
      <c r="ALW61" s="130"/>
      <c r="AQJ61" s="653"/>
      <c r="AQK61" s="653"/>
      <c r="AQL61" s="653"/>
      <c r="AQM61" s="653"/>
      <c r="AQN61" s="851"/>
      <c r="AQO61" s="857"/>
      <c r="AQP61" s="857"/>
      <c r="AQQ61" s="857"/>
      <c r="AQR61" s="857"/>
      <c r="AQS61" s="857"/>
      <c r="AQT61" s="857"/>
      <c r="AQU61" s="857"/>
      <c r="AQV61" s="857"/>
      <c r="AQW61" s="857"/>
      <c r="AQX61" s="857"/>
      <c r="AQY61" s="857"/>
      <c r="AQZ61" s="857"/>
      <c r="ARA61" s="857"/>
      <c r="ARB61" s="887"/>
      <c r="ARC61" s="888"/>
      <c r="ARD61" s="777"/>
      <c r="ARE61" s="799"/>
      <c r="ARF61" s="1067"/>
      <c r="ARG61" s="845"/>
      <c r="ARH61" s="846"/>
      <c r="ARI61" s="848"/>
      <c r="ARO61" s="653"/>
      <c r="ARP61" s="653"/>
      <c r="ARQ61" s="653"/>
      <c r="ARR61" s="653"/>
      <c r="ARS61" s="653"/>
      <c r="ARU61" s="377"/>
      <c r="ARV61" s="373"/>
      <c r="ARW61" s="373"/>
      <c r="ARX61" s="373"/>
      <c r="ARY61" s="197" t="s">
        <v>849</v>
      </c>
      <c r="ARZ61" s="852" t="s">
        <v>416</v>
      </c>
      <c r="ASA61" s="853"/>
      <c r="ASB61" s="687"/>
      <c r="ASC61" s="78"/>
      <c r="ASD61" s="78"/>
      <c r="ASE61" s="78"/>
      <c r="ASF61" s="78"/>
      <c r="ASG61" s="78"/>
      <c r="ASH61" s="78"/>
      <c r="ASI61" s="687"/>
      <c r="ASJ61" s="76" t="s">
        <v>441</v>
      </c>
      <c r="ASK61" s="854" t="s">
        <v>435</v>
      </c>
      <c r="ASL61" s="1111"/>
      <c r="ASM61" s="924" t="s">
        <v>111</v>
      </c>
      <c r="ASN61" s="925"/>
      <c r="ASO61" s="916" t="s">
        <v>704</v>
      </c>
      <c r="ASP61" s="917"/>
      <c r="ASQ61" s="906" t="s">
        <v>447</v>
      </c>
      <c r="ASR61" s="907"/>
      <c r="ASS61" s="907"/>
      <c r="AST61" s="908"/>
      <c r="ASU61" s="1051" t="s">
        <v>436</v>
      </c>
      <c r="ASV61" s="1051"/>
      <c r="ASW61" s="1051"/>
      <c r="ASX61" s="1051"/>
      <c r="ASY61" s="1051"/>
      <c r="ASZ61" s="1051"/>
      <c r="ATA61" s="1051"/>
      <c r="ATB61" s="1051"/>
      <c r="ATC61" s="1051"/>
      <c r="ATD61" s="1051"/>
      <c r="ATE61" s="1051"/>
      <c r="ATF61" s="373"/>
      <c r="ATG61" s="373"/>
      <c r="ATH61" s="381" t="s">
        <v>1297</v>
      </c>
    </row>
    <row r="62" spans="4:1011 1128:1224" ht="48" customHeight="1" thickBot="1">
      <c r="AI62" s="900"/>
      <c r="AJ62" s="901"/>
      <c r="AK62" s="902"/>
      <c r="AL62" s="850"/>
      <c r="AM62" s="768" t="s">
        <v>749</v>
      </c>
      <c r="AN62" s="762"/>
      <c r="AO62" s="762"/>
      <c r="AP62" s="762"/>
      <c r="AQ62" s="762"/>
      <c r="AR62" s="762"/>
      <c r="AS62" s="762"/>
      <c r="AT62" s="762"/>
      <c r="AU62" s="762"/>
      <c r="AV62" s="762"/>
      <c r="AW62" s="762"/>
      <c r="AX62" s="1453">
        <v>0.88</v>
      </c>
      <c r="AY62" s="1454"/>
      <c r="AZ62" s="1075" t="s">
        <v>705</v>
      </c>
      <c r="BA62" s="1076"/>
      <c r="BB62" s="841"/>
      <c r="BC62" s="1148" t="s">
        <v>428</v>
      </c>
      <c r="BD62" s="1149"/>
      <c r="BE62" s="847"/>
      <c r="BX62" s="849"/>
      <c r="BY62" s="1257" t="s">
        <v>416</v>
      </c>
      <c r="BZ62" s="1257"/>
      <c r="CA62" s="132"/>
      <c r="CB62" s="78"/>
      <c r="CC62" s="78"/>
      <c r="CD62" s="78"/>
      <c r="CE62" s="132"/>
      <c r="CF62" s="76" t="s">
        <v>441</v>
      </c>
      <c r="CG62" s="854" t="s">
        <v>435</v>
      </c>
      <c r="CH62" s="855"/>
      <c r="CI62" s="1072" t="s">
        <v>111</v>
      </c>
      <c r="CJ62" s="1074"/>
      <c r="CK62" s="916" t="s">
        <v>704</v>
      </c>
      <c r="CL62" s="917"/>
      <c r="CM62" s="906" t="s">
        <v>447</v>
      </c>
      <c r="CN62" s="907"/>
      <c r="CO62" s="907"/>
      <c r="CP62" s="908"/>
      <c r="CQ62" s="1051" t="s">
        <v>436</v>
      </c>
      <c r="CR62" s="1051"/>
      <c r="CS62" s="1051"/>
      <c r="CT62" s="1051"/>
      <c r="DJ62" s="130"/>
      <c r="DK62" s="130"/>
      <c r="DL62" s="130"/>
      <c r="DM62" s="130"/>
      <c r="DN62" s="130"/>
      <c r="DO62" s="130"/>
      <c r="DP62" s="130"/>
      <c r="DQ62" s="130"/>
      <c r="DR62" s="130"/>
      <c r="DS62" s="130"/>
      <c r="DT62" s="130"/>
      <c r="DU62" s="130"/>
      <c r="DV62" s="130"/>
      <c r="DW62" s="130"/>
      <c r="DX62" s="130"/>
      <c r="DZ62" s="849"/>
      <c r="EA62" s="800" t="s">
        <v>1107</v>
      </c>
      <c r="EB62" s="801"/>
      <c r="EC62" s="761">
        <f>$EN$28</f>
        <v>5.4298617077080698</v>
      </c>
      <c r="ED62" s="761"/>
      <c r="EE62" s="797" t="s">
        <v>981</v>
      </c>
      <c r="EF62" s="797"/>
      <c r="EG62" s="797"/>
      <c r="EH62" s="797"/>
      <c r="EI62" s="797"/>
      <c r="EJ62" s="797"/>
      <c r="EK62" s="797"/>
      <c r="EL62" s="797"/>
      <c r="EM62" s="798"/>
      <c r="EN62" s="1623">
        <f>((3.14*(EH61*1000+2*EQ41-EC64)-CO28*EC62))/(EE61-3)</f>
        <v>8.9200941784447281</v>
      </c>
      <c r="EO62" s="1624"/>
      <c r="EP62" s="1075" t="s">
        <v>45</v>
      </c>
      <c r="EQ62" s="1076"/>
      <c r="ER62" s="1066"/>
      <c r="ES62" s="893" t="s">
        <v>979</v>
      </c>
      <c r="ET62" s="1081"/>
      <c r="EU62" s="894"/>
      <c r="EV62" s="847"/>
      <c r="EW62" s="1052"/>
      <c r="EX62" s="1052"/>
      <c r="EY62" s="1052"/>
      <c r="EZ62" s="1052"/>
      <c r="FA62" s="1052"/>
      <c r="FB62" s="1052"/>
      <c r="FC62" s="1052"/>
      <c r="FD62" s="1052"/>
      <c r="FE62" s="1052"/>
      <c r="FF62" s="1052"/>
      <c r="FG62" s="1052"/>
      <c r="FH62" s="1052"/>
      <c r="FI62" s="1052"/>
      <c r="FJ62" s="1052"/>
      <c r="FQ62" s="130"/>
      <c r="FR62" s="130"/>
      <c r="GF62" s="903"/>
      <c r="GG62" s="904"/>
      <c r="GH62" s="905"/>
      <c r="GI62" s="851"/>
      <c r="GJ62" s="777"/>
      <c r="GK62" s="778"/>
      <c r="GL62" s="778"/>
      <c r="GM62" s="778"/>
      <c r="GN62" s="778"/>
      <c r="GO62" s="778"/>
      <c r="GP62" s="778"/>
      <c r="GQ62" s="778"/>
      <c r="GR62" s="778"/>
      <c r="GS62" s="778"/>
      <c r="GT62" s="778"/>
      <c r="GU62" s="778"/>
      <c r="GV62" s="778"/>
      <c r="GW62" s="1455"/>
      <c r="GX62" s="1456"/>
      <c r="GY62" s="1077"/>
      <c r="GZ62" s="1078"/>
      <c r="HA62" s="842"/>
      <c r="HB62" s="918"/>
      <c r="HC62" s="1082"/>
      <c r="HD62" s="919"/>
      <c r="HE62" s="848"/>
      <c r="IR62" s="851"/>
      <c r="IS62" s="721" t="s">
        <v>1786</v>
      </c>
      <c r="IT62" s="1050">
        <f>$JG$95</f>
        <v>152</v>
      </c>
      <c r="IU62" s="1050"/>
      <c r="IV62" s="777"/>
      <c r="IW62" s="778"/>
      <c r="IX62" s="778"/>
      <c r="IY62" s="887"/>
      <c r="IZ62" s="888"/>
      <c r="JA62" s="933"/>
      <c r="JB62" s="934"/>
      <c r="JC62" s="842"/>
      <c r="JD62" s="918"/>
      <c r="JE62" s="919"/>
      <c r="JF62" s="848"/>
      <c r="JG62" s="828"/>
      <c r="JH62" s="949"/>
      <c r="JI62" s="949"/>
      <c r="JJ62" s="950"/>
      <c r="JU62" s="653"/>
      <c r="JV62" s="653"/>
      <c r="JW62" s="653"/>
      <c r="LD62" s="130"/>
      <c r="LE62" s="130"/>
      <c r="LF62" s="130"/>
      <c r="LG62" s="130"/>
      <c r="LH62" s="130"/>
      <c r="LI62" s="130"/>
      <c r="LJ62" s="130"/>
      <c r="LK62" s="130"/>
      <c r="LL62" s="130"/>
      <c r="LM62" s="130"/>
      <c r="LN62" s="130"/>
      <c r="LO62" s="130"/>
      <c r="LP62" s="130"/>
      <c r="LQ62" s="130"/>
      <c r="LR62" s="130"/>
      <c r="LS62" s="130"/>
      <c r="LT62" s="130"/>
      <c r="LU62" s="130"/>
      <c r="LV62" s="130"/>
      <c r="LW62" s="130"/>
      <c r="MB62" s="1023"/>
      <c r="MC62" s="1024"/>
      <c r="MD62" s="1025"/>
      <c r="ME62" s="791" t="s">
        <v>1228</v>
      </c>
      <c r="MF62" s="792"/>
      <c r="MG62" s="792"/>
      <c r="MH62" s="792"/>
      <c r="MI62" s="792"/>
      <c r="MJ62" s="792"/>
      <c r="MK62" s="1063" t="s">
        <v>1224</v>
      </c>
      <c r="ML62" s="1064"/>
      <c r="MM62" s="1065"/>
      <c r="MN62" s="1063" t="s">
        <v>1225</v>
      </c>
      <c r="MO62" s="1064"/>
      <c r="MP62" s="1065"/>
      <c r="MQ62" s="1063" t="s">
        <v>1226</v>
      </c>
      <c r="MR62" s="1064"/>
      <c r="MS62" s="1065"/>
      <c r="MT62" s="1258" t="s">
        <v>1235</v>
      </c>
      <c r="MU62" s="1259"/>
      <c r="MV62" s="1259"/>
      <c r="MW62" s="1260"/>
      <c r="MX62" s="160"/>
      <c r="MY62" s="161"/>
      <c r="MZ62" s="653"/>
      <c r="NA62" s="653"/>
      <c r="NK62" s="1216"/>
      <c r="NL62" s="1217"/>
      <c r="NM62" s="1217"/>
      <c r="NN62" s="1217"/>
      <c r="NO62" s="1217"/>
      <c r="NP62" s="1217"/>
      <c r="NQ62" s="1217"/>
      <c r="NR62" s="1217"/>
      <c r="NS62" s="1217"/>
      <c r="NT62" s="1217"/>
      <c r="NU62" s="1217"/>
      <c r="NV62" s="1217"/>
      <c r="NW62" s="1217"/>
      <c r="NX62" s="1217"/>
      <c r="NY62" s="1217"/>
      <c r="NZ62" s="1217"/>
      <c r="OA62" s="1217"/>
      <c r="OB62" s="1217"/>
      <c r="OC62" s="1217"/>
      <c r="OD62" s="1217"/>
      <c r="OE62" s="1217"/>
      <c r="OF62" s="1218"/>
      <c r="PL62" s="903"/>
      <c r="PM62" s="904"/>
      <c r="PN62" s="905"/>
      <c r="PO62" s="851"/>
      <c r="PP62" s="777"/>
      <c r="PQ62" s="778"/>
      <c r="PR62" s="778"/>
      <c r="PS62" s="778"/>
      <c r="PT62" s="778"/>
      <c r="PU62" s="778"/>
      <c r="PV62" s="778"/>
      <c r="PW62" s="778"/>
      <c r="PX62" s="778"/>
      <c r="PY62" s="778"/>
      <c r="PZ62" s="778"/>
      <c r="QA62" s="778"/>
      <c r="QB62" s="799"/>
      <c r="QC62" s="1056"/>
      <c r="QD62" s="1057"/>
      <c r="QE62" s="1185"/>
      <c r="QF62" s="1186"/>
      <c r="QG62" s="1067"/>
      <c r="QH62" s="845"/>
      <c r="QI62" s="846"/>
      <c r="QJ62" s="848"/>
      <c r="QO62" s="130"/>
      <c r="QP62" s="130"/>
      <c r="QQ62" s="130"/>
      <c r="QR62" s="130"/>
      <c r="QS62" s="130"/>
      <c r="QT62" s="130"/>
      <c r="QU62" s="130"/>
      <c r="QV62" s="130"/>
      <c r="QW62" s="130"/>
      <c r="QY62" s="130"/>
      <c r="QZ62" s="130"/>
      <c r="RA62" s="130"/>
      <c r="RB62" s="130"/>
      <c r="RC62" s="130"/>
      <c r="RE62" s="653"/>
      <c r="RF62" s="653"/>
      <c r="RG62" s="653"/>
      <c r="RH62" s="653"/>
      <c r="RI62" s="653"/>
      <c r="RJ62" s="653"/>
      <c r="RK62" s="653"/>
      <c r="RL62" s="653"/>
      <c r="RM62" s="653"/>
      <c r="RN62" s="653"/>
      <c r="RO62" s="653"/>
      <c r="RP62" s="653"/>
      <c r="RQ62" s="653"/>
      <c r="RR62" s="653"/>
      <c r="RS62" s="653"/>
      <c r="RT62" s="653"/>
      <c r="RU62" s="653"/>
      <c r="RV62" s="653"/>
      <c r="RW62" s="653"/>
      <c r="RX62" s="653"/>
      <c r="RY62" s="653"/>
      <c r="SJ62" s="653"/>
      <c r="SK62" s="653"/>
      <c r="SL62" s="653"/>
      <c r="SM62" s="653"/>
      <c r="SN62" s="653"/>
      <c r="SO62" s="653"/>
      <c r="SP62" s="653"/>
      <c r="SQ62" s="653"/>
      <c r="SR62" s="653"/>
      <c r="SS62" s="653"/>
      <c r="ST62" s="653"/>
      <c r="SU62" s="653"/>
      <c r="SV62" s="653"/>
      <c r="SW62" s="653"/>
      <c r="SX62" s="653"/>
      <c r="SY62" s="653"/>
      <c r="SZ62" s="653"/>
      <c r="TA62" s="653"/>
      <c r="TB62" s="653"/>
      <c r="TC62" s="653"/>
      <c r="TD62" s="653"/>
      <c r="TE62" s="653"/>
      <c r="TF62" s="653"/>
      <c r="TG62" s="653"/>
      <c r="TH62" s="653"/>
      <c r="TI62" s="653"/>
      <c r="TJ62" s="653"/>
      <c r="TK62" s="653"/>
      <c r="TL62" s="653"/>
      <c r="TM62" s="653"/>
      <c r="TN62" s="653"/>
      <c r="TO62" s="653"/>
      <c r="TP62" s="653"/>
      <c r="TQ62" s="653"/>
      <c r="TR62" s="653"/>
      <c r="TS62" s="653"/>
      <c r="TT62" s="653"/>
      <c r="TU62" s="653"/>
      <c r="TV62" s="653"/>
      <c r="TW62" s="653"/>
      <c r="TX62" s="653"/>
      <c r="TY62" s="653"/>
      <c r="TZ62" s="653"/>
      <c r="UA62" s="653"/>
      <c r="UB62" s="653"/>
      <c r="UC62" s="653"/>
      <c r="UD62" s="653"/>
      <c r="UE62" s="653"/>
      <c r="UF62" s="653"/>
      <c r="UG62" s="653"/>
      <c r="UH62" s="653"/>
      <c r="UI62" s="653"/>
      <c r="UJ62" s="653"/>
      <c r="UK62" s="653"/>
      <c r="UL62" s="653"/>
      <c r="UM62" s="653"/>
      <c r="UN62" s="653"/>
      <c r="UO62" s="653"/>
      <c r="UP62" s="653"/>
      <c r="UQ62" s="653"/>
      <c r="UR62" s="653"/>
      <c r="US62" s="653"/>
      <c r="UT62" s="653"/>
      <c r="UU62" s="653"/>
      <c r="UV62" s="653"/>
      <c r="UW62" s="653"/>
      <c r="UX62" s="653"/>
      <c r="UY62" s="653"/>
      <c r="UZ62" s="653"/>
      <c r="VC62" s="162"/>
      <c r="VD62" s="158"/>
      <c r="VE62" s="158"/>
      <c r="VF62" s="158"/>
      <c r="VG62" s="158"/>
      <c r="VH62" s="158"/>
      <c r="VI62" s="158"/>
      <c r="VJ62" s="158"/>
      <c r="VK62" s="158"/>
      <c r="VL62" s="158"/>
      <c r="VM62" s="158"/>
      <c r="VN62" s="158"/>
      <c r="VO62" s="158"/>
      <c r="VP62" s="158"/>
      <c r="VQ62" s="163"/>
      <c r="VZ62" s="130"/>
      <c r="WA62" s="130"/>
      <c r="WB62" s="130"/>
      <c r="WC62" s="653"/>
      <c r="WD62" s="653"/>
      <c r="WE62" s="653"/>
      <c r="WF62" s="653"/>
      <c r="WG62" s="653"/>
      <c r="WH62" s="653"/>
      <c r="WI62" s="653"/>
      <c r="WJ62" s="653"/>
      <c r="WK62" s="653"/>
      <c r="WL62" s="653"/>
      <c r="WM62" s="653"/>
      <c r="WN62" s="653"/>
      <c r="WO62" s="653"/>
      <c r="WP62" s="653"/>
      <c r="WQ62" s="653"/>
      <c r="AAS62" s="653"/>
      <c r="AAT62" s="653"/>
      <c r="AAU62" s="653"/>
      <c r="AAV62" s="653"/>
      <c r="ABE62" s="653"/>
      <c r="ABF62" s="653"/>
      <c r="ABG62" s="653"/>
      <c r="ABH62" s="653"/>
      <c r="ABR62" s="653"/>
      <c r="ACJ62" s="759">
        <v>0.66666666699999999</v>
      </c>
      <c r="ACK62" s="760"/>
      <c r="ACL62" s="759">
        <v>-0.66666666699999999</v>
      </c>
      <c r="ACM62" s="760"/>
      <c r="ACN62" s="591">
        <v>50</v>
      </c>
      <c r="ACO62" s="759">
        <f t="shared" si="0"/>
        <v>0.33333333350000005</v>
      </c>
      <c r="ACP62" s="760"/>
      <c r="ACQ62" s="757">
        <f t="shared" si="48"/>
        <v>1.5</v>
      </c>
      <c r="ACR62" s="758"/>
      <c r="ACT62" s="759">
        <v>1</v>
      </c>
      <c r="ACU62" s="760"/>
      <c r="ACV62" s="759">
        <v>-1.2</v>
      </c>
      <c r="ACW62" s="760"/>
      <c r="ACX62" s="592">
        <v>100</v>
      </c>
      <c r="ACY62" s="759">
        <f t="shared" si="8"/>
        <v>0.8</v>
      </c>
      <c r="ACZ62" s="760"/>
      <c r="ADA62" s="757">
        <f t="shared" si="49"/>
        <v>2</v>
      </c>
      <c r="ADB62" s="758"/>
      <c r="ADD62" s="1112">
        <v>1.1052631578947401</v>
      </c>
      <c r="ADE62" s="1112"/>
      <c r="ADF62" s="1112">
        <v>-1.42105263157895</v>
      </c>
      <c r="ADG62" s="1112"/>
      <c r="ADH62" s="591">
        <v>149</v>
      </c>
      <c r="ADI62" s="759">
        <f t="shared" si="56"/>
        <v>1.3310526315789528</v>
      </c>
      <c r="ADJ62" s="760"/>
      <c r="ADK62" s="757">
        <f t="shared" si="50"/>
        <v>2.4900000000000002</v>
      </c>
      <c r="ADL62" s="758"/>
      <c r="ADN62" s="759">
        <v>1.1052631580000001</v>
      </c>
      <c r="ADO62" s="760"/>
      <c r="ADP62" s="759">
        <v>-1.42105263157895</v>
      </c>
      <c r="ADQ62" s="760"/>
      <c r="ADR62" s="591">
        <v>199</v>
      </c>
      <c r="ADS62" s="759">
        <f t="shared" si="9"/>
        <v>1.8836842108410505</v>
      </c>
      <c r="ADT62" s="760"/>
      <c r="ADU62" s="757">
        <f t="shared" si="51"/>
        <v>2.99</v>
      </c>
      <c r="ADV62" s="758"/>
      <c r="ADX62" s="759">
        <v>1.1052631580000001</v>
      </c>
      <c r="ADY62" s="760"/>
      <c r="ADZ62" s="759">
        <v>-1.42105263157895</v>
      </c>
      <c r="AEA62" s="760"/>
      <c r="AEB62" s="591">
        <v>249</v>
      </c>
      <c r="AEC62" s="759">
        <f t="shared" si="10"/>
        <v>2.4363157898410503</v>
      </c>
      <c r="AED62" s="760"/>
      <c r="AEE62" s="757">
        <f t="shared" si="52"/>
        <v>3.49</v>
      </c>
      <c r="AEF62" s="758"/>
      <c r="AEH62" s="759">
        <v>1.1052631580000001</v>
      </c>
      <c r="AEI62" s="760"/>
      <c r="AEJ62" s="759">
        <v>-1.42105263157895</v>
      </c>
      <c r="AEK62" s="760"/>
      <c r="AEL62" s="591">
        <v>299</v>
      </c>
      <c r="AEM62" s="759">
        <f t="shared" si="37"/>
        <v>2.9889473688410502</v>
      </c>
      <c r="AEN62" s="760"/>
      <c r="AEO62" s="757">
        <f t="shared" si="53"/>
        <v>3.99</v>
      </c>
      <c r="AEP62" s="758"/>
      <c r="AGJ62" s="377"/>
      <c r="AGK62" s="373"/>
      <c r="AGL62" s="54"/>
      <c r="AGM62" s="381" t="s">
        <v>1297</v>
      </c>
      <c r="AGN62" s="1052"/>
      <c r="AGO62" s="800" t="s">
        <v>1448</v>
      </c>
      <c r="AGP62" s="801"/>
      <c r="AGQ62" s="951">
        <f>$AHB$57</f>
        <v>5.8905829665713618</v>
      </c>
      <c r="AGR62" s="952"/>
      <c r="AGS62" s="809" t="s">
        <v>379</v>
      </c>
      <c r="AGT62" s="797"/>
      <c r="AGU62" s="797"/>
      <c r="AGV62" s="797"/>
      <c r="AGW62" s="797"/>
      <c r="AGX62" s="797"/>
      <c r="AGY62" s="797"/>
      <c r="AGZ62" s="797"/>
      <c r="AHA62" s="798"/>
      <c r="AHB62" s="835">
        <f>((3.14*(AGQ63^2))/8)+((AGQ63+AGQ62)/2)*(AGZ51-AGQ63/2)</f>
        <v>119.3042984415008</v>
      </c>
      <c r="AHC62" s="836"/>
      <c r="AHD62" s="927" t="s">
        <v>757</v>
      </c>
      <c r="AHE62" s="928"/>
      <c r="AHF62" s="841"/>
      <c r="AHG62" s="1170" t="s">
        <v>1374</v>
      </c>
      <c r="AHH62" s="1172"/>
      <c r="AHI62" s="847"/>
      <c r="AHJ62" s="1335"/>
      <c r="AHK62" s="1336"/>
      <c r="AHL62" s="1337"/>
      <c r="AHM62" s="1052"/>
      <c r="AHN62" s="1052"/>
      <c r="AHO62" s="1052"/>
      <c r="AHP62" s="1052"/>
      <c r="AHQ62" s="1052"/>
      <c r="AHR62" s="1052"/>
      <c r="AHS62" s="1052"/>
      <c r="AHT62" s="1052"/>
      <c r="AHU62" s="1052"/>
      <c r="AHV62" s="1052"/>
      <c r="AHW62" s="373"/>
      <c r="AHX62" s="373"/>
      <c r="AHY62" s="374"/>
      <c r="ALU62" s="130"/>
      <c r="ALV62" s="130"/>
      <c r="ALW62" s="130"/>
      <c r="AQJ62" s="653"/>
      <c r="AQK62" s="653"/>
      <c r="AQL62" s="653"/>
      <c r="AQM62" s="653"/>
      <c r="AQN62" s="653"/>
      <c r="AQO62" s="653"/>
      <c r="AQP62" s="653"/>
      <c r="AQQ62" s="653"/>
      <c r="AQR62" s="653"/>
      <c r="AQS62" s="653"/>
      <c r="AQT62" s="653"/>
      <c r="AQU62" s="653"/>
      <c r="AQV62" s="653"/>
      <c r="AQW62" s="653"/>
      <c r="AQX62" s="653"/>
      <c r="AQY62" s="653"/>
      <c r="AQZ62" s="653"/>
      <c r="ARA62" s="653"/>
      <c r="ARB62" s="653"/>
      <c r="ARC62" s="653"/>
      <c r="ARD62" s="653"/>
      <c r="ARE62" s="653"/>
      <c r="ARF62" s="653"/>
      <c r="ARG62" s="653"/>
      <c r="ARH62" s="653"/>
      <c r="ARI62" s="653"/>
      <c r="ARJ62" s="653"/>
      <c r="ARK62" s="653"/>
      <c r="ARL62" s="653"/>
      <c r="ARM62" s="653"/>
      <c r="ARN62" s="653"/>
      <c r="ARO62" s="653"/>
      <c r="ARP62" s="653"/>
      <c r="ARQ62" s="653"/>
      <c r="ARR62" s="653"/>
      <c r="ARS62" s="653"/>
      <c r="ARU62" s="377"/>
      <c r="ARV62" s="373"/>
      <c r="ARW62" s="54"/>
      <c r="ARX62" s="381" t="s">
        <v>1297</v>
      </c>
      <c r="ARY62" s="849"/>
      <c r="ARZ62" s="957" t="s">
        <v>390</v>
      </c>
      <c r="ASA62" s="957"/>
      <c r="ASB62" s="957"/>
      <c r="ASC62" s="957"/>
      <c r="ASD62" s="957"/>
      <c r="ASE62" s="957"/>
      <c r="ASF62" s="957"/>
      <c r="ASG62" s="957"/>
      <c r="ASH62" s="957"/>
      <c r="ASI62" s="957"/>
      <c r="ASJ62" s="957"/>
      <c r="ASK62" s="957"/>
      <c r="ASL62" s="957"/>
      <c r="ASM62" s="835">
        <f>ASG143-(1-ASJ20)*(ARC101+PZ17)</f>
        <v>-392.35132196011165</v>
      </c>
      <c r="ASN62" s="836"/>
      <c r="ASO62" s="839"/>
      <c r="ASP62" s="840"/>
      <c r="ASQ62" s="1066"/>
      <c r="ASR62" s="843" t="s">
        <v>416</v>
      </c>
      <c r="ASS62" s="844"/>
      <c r="AST62" s="847"/>
      <c r="ASU62" s="1052"/>
      <c r="ASV62" s="1052"/>
      <c r="ASW62" s="1052"/>
      <c r="ASX62" s="1052"/>
      <c r="ASY62" s="1052"/>
      <c r="ASZ62" s="1052"/>
      <c r="ATA62" s="1052"/>
      <c r="ATB62" s="1052"/>
      <c r="ATC62" s="1052"/>
      <c r="ATD62" s="1052"/>
      <c r="ATE62" s="1052"/>
      <c r="ATF62" s="373"/>
      <c r="ATG62" s="373"/>
      <c r="ATH62" s="382" t="s">
        <v>798</v>
      </c>
      <c r="ATN62" s="130"/>
      <c r="ATO62" s="130"/>
      <c r="ATP62" s="130"/>
      <c r="ATQ62" s="130"/>
      <c r="ATR62" s="130"/>
      <c r="ATS62" s="130"/>
      <c r="ATT62" s="130"/>
      <c r="ATU62" s="130"/>
      <c r="ATV62" s="130"/>
      <c r="ATW62" s="130"/>
      <c r="ATX62" s="130"/>
      <c r="ATY62" s="130"/>
      <c r="ATZ62" s="130"/>
      <c r="AUA62" s="130"/>
      <c r="AUB62" s="130"/>
    </row>
    <row r="63" spans="4:1011 1128:1224" ht="48" customHeight="1" thickBot="1">
      <c r="AI63" s="903"/>
      <c r="AJ63" s="904"/>
      <c r="AK63" s="905"/>
      <c r="AL63" s="851"/>
      <c r="AM63" s="769"/>
      <c r="AN63" s="764"/>
      <c r="AO63" s="764"/>
      <c r="AP63" s="764"/>
      <c r="AQ63" s="764"/>
      <c r="AR63" s="764"/>
      <c r="AS63" s="764"/>
      <c r="AT63" s="764"/>
      <c r="AU63" s="764"/>
      <c r="AV63" s="764"/>
      <c r="AW63" s="764"/>
      <c r="AX63" s="1455"/>
      <c r="AY63" s="1456"/>
      <c r="AZ63" s="1077"/>
      <c r="BA63" s="1078"/>
      <c r="BB63" s="842"/>
      <c r="BC63" s="1150"/>
      <c r="BD63" s="1151"/>
      <c r="BE63" s="848"/>
      <c r="BX63" s="850"/>
      <c r="BY63" s="800" t="s">
        <v>1670</v>
      </c>
      <c r="BZ63" s="982"/>
      <c r="CA63" s="801"/>
      <c r="CB63" s="937">
        <f>$CL$49</f>
        <v>8.5394949657600012</v>
      </c>
      <c r="CC63" s="937"/>
      <c r="CD63" s="768" t="s">
        <v>1817</v>
      </c>
      <c r="CE63" s="762"/>
      <c r="CF63" s="762"/>
      <c r="CG63" s="762"/>
      <c r="CH63" s="762"/>
      <c r="CI63" s="1168">
        <f>CL49*CM59</f>
        <v>17.078989931520002</v>
      </c>
      <c r="CJ63" s="815"/>
      <c r="CK63" s="1183" t="s">
        <v>729</v>
      </c>
      <c r="CL63" s="1184"/>
      <c r="CM63" s="841"/>
      <c r="CN63" s="893" t="s">
        <v>1486</v>
      </c>
      <c r="CO63" s="894"/>
      <c r="CP63" s="847"/>
      <c r="CQ63" s="1052"/>
      <c r="CR63" s="1052"/>
      <c r="CS63" s="1052"/>
      <c r="CT63" s="1052"/>
      <c r="DJ63" s="130"/>
      <c r="DK63" s="130"/>
      <c r="DL63" s="130"/>
      <c r="DM63" s="130"/>
      <c r="DN63" s="130"/>
      <c r="DO63" s="130"/>
      <c r="DP63" s="130"/>
      <c r="DQ63" s="130"/>
      <c r="DR63" s="130"/>
      <c r="DS63" s="130"/>
      <c r="DX63" s="130"/>
      <c r="DZ63" s="850"/>
      <c r="EA63" s="800" t="s">
        <v>1508</v>
      </c>
      <c r="EB63" s="801"/>
      <c r="EC63" s="761">
        <f>$EQ$41</f>
        <v>1</v>
      </c>
      <c r="ED63" s="761"/>
      <c r="EE63" s="776"/>
      <c r="EF63" s="776"/>
      <c r="EG63" s="776"/>
      <c r="EH63" s="776"/>
      <c r="EI63" s="776"/>
      <c r="EJ63" s="776"/>
      <c r="EK63" s="776"/>
      <c r="EL63" s="776"/>
      <c r="EM63" s="815"/>
      <c r="EN63" s="1658"/>
      <c r="EO63" s="1659"/>
      <c r="EP63" s="1651"/>
      <c r="EQ63" s="1652"/>
      <c r="ER63" s="1067"/>
      <c r="ES63" s="918"/>
      <c r="ET63" s="1082"/>
      <c r="EU63" s="919"/>
      <c r="EV63" s="848"/>
      <c r="EW63" s="1052"/>
      <c r="EX63" s="1052"/>
      <c r="EY63" s="1052"/>
      <c r="EZ63" s="1052"/>
      <c r="FA63" s="1052"/>
      <c r="FB63" s="1052"/>
      <c r="FC63" s="1052"/>
      <c r="FD63" s="1052"/>
      <c r="FE63" s="1052"/>
      <c r="FF63" s="1052"/>
      <c r="FG63" s="1052"/>
      <c r="FH63" s="1052"/>
      <c r="FI63" s="1052"/>
      <c r="FJ63" s="1052"/>
      <c r="FK63" s="130"/>
      <c r="FO63" s="130"/>
      <c r="FP63" s="130"/>
      <c r="FQ63" s="130"/>
      <c r="FR63" s="130"/>
      <c r="HH63" s="865" t="s">
        <v>911</v>
      </c>
      <c r="HI63" s="791" t="s">
        <v>1645</v>
      </c>
      <c r="HJ63" s="792"/>
      <c r="HK63" s="792"/>
      <c r="HL63" s="792"/>
      <c r="HM63" s="938"/>
      <c r="HN63" s="1"/>
      <c r="HO63" s="1779" t="s">
        <v>911</v>
      </c>
      <c r="HP63" s="957" t="s">
        <v>1641</v>
      </c>
      <c r="HQ63" s="957"/>
      <c r="HR63" s="957"/>
      <c r="HS63" s="957"/>
      <c r="HT63" s="957"/>
      <c r="HU63" s="957"/>
      <c r="HV63" s="957"/>
      <c r="HW63" s="130"/>
      <c r="HX63" s="130"/>
      <c r="JU63" s="653"/>
      <c r="JV63" s="653"/>
      <c r="JW63" s="653"/>
      <c r="JX63" s="1052"/>
      <c r="JY63" s="852" t="s">
        <v>416</v>
      </c>
      <c r="JZ63" s="923"/>
      <c r="KA63" s="229"/>
      <c r="KB63" s="228" t="s">
        <v>725</v>
      </c>
      <c r="KC63" s="761">
        <f>$GU$12</f>
        <v>0.8</v>
      </c>
      <c r="KD63" s="761"/>
      <c r="KE63" s="136"/>
      <c r="KF63" s="76" t="s">
        <v>441</v>
      </c>
      <c r="KG63" s="854" t="s">
        <v>435</v>
      </c>
      <c r="KH63" s="855"/>
      <c r="KI63" s="920" t="s">
        <v>111</v>
      </c>
      <c r="KJ63" s="921"/>
      <c r="KK63" s="916" t="s">
        <v>704</v>
      </c>
      <c r="KL63" s="917"/>
      <c r="KM63" s="906" t="s">
        <v>447</v>
      </c>
      <c r="KN63" s="907"/>
      <c r="KO63" s="907"/>
      <c r="KP63" s="908"/>
      <c r="KQ63" s="1051" t="s">
        <v>436</v>
      </c>
      <c r="KR63" s="1051"/>
      <c r="KS63" s="1051"/>
      <c r="KT63" s="1051"/>
      <c r="KU63" s="1051"/>
      <c r="LD63" s="130"/>
      <c r="LE63" s="130"/>
      <c r="LF63" s="130"/>
      <c r="LG63" s="130"/>
      <c r="LH63" s="130"/>
      <c r="LI63" s="130"/>
      <c r="LJ63" s="130"/>
      <c r="LK63" s="130"/>
      <c r="LL63" s="130"/>
      <c r="LM63" s="130"/>
      <c r="LN63" s="130"/>
      <c r="LO63" s="130"/>
      <c r="LP63" s="130"/>
      <c r="LQ63" s="130"/>
      <c r="LR63" s="130"/>
      <c r="LS63" s="130"/>
      <c r="LT63" s="130"/>
      <c r="LU63" s="130"/>
      <c r="LV63" s="130"/>
      <c r="LW63" s="130"/>
      <c r="MB63" s="1029"/>
      <c r="MC63" s="1030"/>
      <c r="MD63" s="1031"/>
      <c r="ME63" s="909"/>
      <c r="MF63" s="910"/>
      <c r="MG63" s="910"/>
      <c r="MH63" s="910"/>
      <c r="MI63" s="910"/>
      <c r="MJ63" s="1239"/>
      <c r="MK63" s="1228">
        <f>'Программные таблицы'!F430</f>
        <v>2.8571428571428569E-8</v>
      </c>
      <c r="ML63" s="1228"/>
      <c r="MM63" s="1228"/>
      <c r="MN63" s="1228">
        <f>'Программные таблицы'!H430</f>
        <v>4.6511627906976744E-8</v>
      </c>
      <c r="MO63" s="1228"/>
      <c r="MP63" s="1228"/>
      <c r="MQ63" s="1228">
        <f>'Программные таблицы'!J430</f>
        <v>4.8780487804878047E-8</v>
      </c>
      <c r="MR63" s="1228"/>
      <c r="MS63" s="1228"/>
      <c r="MT63" s="1589"/>
      <c r="MU63" s="1590"/>
      <c r="MV63" s="357">
        <f xml:space="preserve">
IF(MQ65=MK63,20,
IF(MQ65=MN63,75,
IF(MQ65=MQ63,115,""
)))</f>
        <v>115</v>
      </c>
      <c r="MW63" s="738" t="s">
        <v>1234</v>
      </c>
      <c r="MX63" s="165"/>
      <c r="MY63" s="166"/>
      <c r="MZ63" s="653"/>
      <c r="NA63" s="653"/>
      <c r="NK63" s="1216"/>
      <c r="NL63" s="1217"/>
      <c r="NM63" s="1217"/>
      <c r="NN63" s="1217"/>
      <c r="NO63" s="1217"/>
      <c r="NP63" s="1217"/>
      <c r="NQ63" s="1217"/>
      <c r="NR63" s="1217"/>
      <c r="NS63" s="1217"/>
      <c r="NT63" s="1217"/>
      <c r="NU63" s="1217"/>
      <c r="NV63" s="1217"/>
      <c r="NW63" s="1217"/>
      <c r="NX63" s="1217"/>
      <c r="NY63" s="1217"/>
      <c r="NZ63" s="1217"/>
      <c r="OA63" s="1217"/>
      <c r="OB63" s="1217"/>
      <c r="OC63" s="1217"/>
      <c r="OD63" s="1217"/>
      <c r="OE63" s="1217"/>
      <c r="OF63" s="1218"/>
      <c r="QR63" s="130"/>
      <c r="QS63" s="130"/>
      <c r="QT63" s="130"/>
      <c r="QU63" s="130"/>
      <c r="QY63" s="130"/>
      <c r="QZ63" s="130"/>
      <c r="RA63" s="130"/>
      <c r="RB63" s="130"/>
      <c r="RC63" s="130"/>
      <c r="RE63" s="653"/>
      <c r="RF63" s="653"/>
      <c r="RG63" s="653"/>
      <c r="RH63" s="653"/>
      <c r="RI63" s="653"/>
      <c r="RJ63" s="653"/>
      <c r="RK63" s="653"/>
      <c r="RL63" s="653"/>
      <c r="RM63" s="653"/>
      <c r="RN63" s="653"/>
      <c r="RO63" s="653"/>
      <c r="RP63" s="653"/>
      <c r="RQ63" s="653"/>
      <c r="RR63" s="653"/>
      <c r="RS63" s="653"/>
      <c r="RT63" s="653"/>
      <c r="RU63" s="653"/>
      <c r="RV63" s="653"/>
      <c r="RW63" s="653"/>
      <c r="RX63" s="653"/>
      <c r="RY63" s="653"/>
      <c r="SJ63" s="653"/>
      <c r="SK63" s="653"/>
      <c r="SL63" s="653"/>
      <c r="SM63" s="653"/>
      <c r="SN63" s="653"/>
      <c r="SO63" s="653"/>
      <c r="SP63" s="653"/>
      <c r="SQ63" s="653"/>
      <c r="SR63" s="653"/>
      <c r="SS63" s="653"/>
      <c r="ST63" s="653"/>
      <c r="SU63" s="653"/>
      <c r="SV63" s="653"/>
      <c r="SW63" s="653"/>
      <c r="SX63" s="653"/>
      <c r="SY63" s="653"/>
      <c r="SZ63" s="653"/>
      <c r="TA63" s="653"/>
      <c r="TB63" s="653"/>
      <c r="TC63" s="653"/>
      <c r="TD63" s="653"/>
      <c r="TE63" s="653"/>
      <c r="TF63" s="653"/>
      <c r="TG63" s="653"/>
      <c r="TH63" s="653"/>
      <c r="TI63" s="653"/>
      <c r="TJ63" s="653"/>
      <c r="TK63" s="653"/>
      <c r="TL63" s="653"/>
      <c r="TM63" s="653"/>
      <c r="TN63" s="653"/>
      <c r="TO63" s="653"/>
      <c r="TP63" s="653"/>
      <c r="TQ63" s="653"/>
      <c r="TR63" s="653"/>
      <c r="TS63" s="653"/>
      <c r="TT63" s="653"/>
      <c r="TU63" s="653"/>
      <c r="TV63" s="653"/>
      <c r="TW63" s="653"/>
      <c r="TX63" s="653"/>
      <c r="TY63" s="653"/>
      <c r="TZ63" s="653"/>
      <c r="UA63" s="653"/>
      <c r="UB63" s="653"/>
      <c r="UC63" s="653"/>
      <c r="UD63" s="653"/>
      <c r="UE63" s="653"/>
      <c r="UF63" s="653"/>
      <c r="UG63" s="653"/>
      <c r="UH63" s="653"/>
      <c r="UI63" s="653"/>
      <c r="UJ63" s="653"/>
      <c r="UK63" s="653"/>
      <c r="UL63" s="653"/>
      <c r="UM63" s="653"/>
      <c r="UN63" s="653"/>
      <c r="UO63" s="653"/>
      <c r="UP63" s="653"/>
      <c r="UQ63" s="653"/>
      <c r="UR63" s="653"/>
      <c r="US63" s="653"/>
      <c r="UT63" s="653"/>
      <c r="UU63" s="653"/>
      <c r="UV63" s="653"/>
      <c r="UW63" s="653"/>
      <c r="UX63" s="653"/>
      <c r="UY63" s="653"/>
      <c r="UZ63" s="653"/>
      <c r="VC63" s="162"/>
      <c r="VD63" s="158"/>
      <c r="VE63" s="158"/>
      <c r="VF63" s="158"/>
      <c r="VG63" s="158"/>
      <c r="VH63" s="158"/>
      <c r="VI63" s="158"/>
      <c r="VJ63" s="158"/>
      <c r="VK63" s="158"/>
      <c r="VL63" s="158"/>
      <c r="VM63" s="158"/>
      <c r="VN63" s="158"/>
      <c r="VO63" s="158"/>
      <c r="VP63" s="158"/>
      <c r="VQ63" s="163"/>
      <c r="VZ63" s="130"/>
      <c r="WA63" s="130"/>
      <c r="WB63" s="130"/>
      <c r="WC63" s="653"/>
      <c r="WD63" s="653"/>
      <c r="XB63" s="653"/>
      <c r="XC63" s="653"/>
      <c r="XD63" s="653"/>
      <c r="XE63" s="653"/>
      <c r="AAS63" s="469"/>
      <c r="AAT63" s="469"/>
      <c r="AAU63" s="653"/>
      <c r="AAV63" s="653"/>
      <c r="ABE63" s="653"/>
      <c r="ABF63" s="653"/>
      <c r="ABG63" s="653"/>
      <c r="ABH63" s="653"/>
      <c r="ABR63" s="653"/>
      <c r="ADL63" s="672"/>
      <c r="ADM63" s="672"/>
      <c r="ADN63" s="672"/>
      <c r="AEH63" s="759">
        <v>1.1052631580000001</v>
      </c>
      <c r="AEI63" s="760"/>
      <c r="AEJ63" s="759">
        <v>-1.42105263157895</v>
      </c>
      <c r="AEK63" s="760"/>
      <c r="AEL63" s="591">
        <v>300</v>
      </c>
      <c r="AEM63" s="759">
        <f>AEH63*AEO63 + AEJ63</f>
        <v>3.0000000004210503</v>
      </c>
      <c r="AEN63" s="760"/>
      <c r="AEO63" s="757">
        <f t="shared" si="53"/>
        <v>4</v>
      </c>
      <c r="AEP63" s="758"/>
      <c r="AGJ63" s="377"/>
      <c r="AGK63" s="373"/>
      <c r="AGL63" s="54"/>
      <c r="AGM63" s="373"/>
      <c r="AGN63" s="1052"/>
      <c r="AGO63" s="800" t="s">
        <v>1074</v>
      </c>
      <c r="AGP63" s="801"/>
      <c r="AGQ63" s="761">
        <f>$GT$73</f>
        <v>7.9639464327648497</v>
      </c>
      <c r="AGR63" s="761"/>
      <c r="AGS63" s="775"/>
      <c r="AGT63" s="776"/>
      <c r="AGU63" s="776"/>
      <c r="AGV63" s="776"/>
      <c r="AGW63" s="776"/>
      <c r="AGX63" s="776"/>
      <c r="AGY63" s="776"/>
      <c r="AGZ63" s="776"/>
      <c r="AHA63" s="815"/>
      <c r="AHB63" s="837"/>
      <c r="AHC63" s="838"/>
      <c r="AHD63" s="929"/>
      <c r="AHE63" s="930"/>
      <c r="AHF63" s="842"/>
      <c r="AHG63" s="1173"/>
      <c r="AHH63" s="1175"/>
      <c r="AHI63" s="848"/>
      <c r="AHJ63" s="1559"/>
      <c r="AHK63" s="1560"/>
      <c r="AHL63" s="1561"/>
      <c r="AHM63" s="1052"/>
      <c r="AHN63" s="1052"/>
      <c r="AHO63" s="1052"/>
      <c r="AHP63" s="1052"/>
      <c r="AHQ63" s="1052"/>
      <c r="AHR63" s="1052"/>
      <c r="AHS63" s="1052"/>
      <c r="AHT63" s="1052"/>
      <c r="AHU63" s="1052"/>
      <c r="AHV63" s="1052"/>
      <c r="AHW63" s="373"/>
      <c r="AHX63" s="373"/>
      <c r="AHY63" s="374"/>
      <c r="ARU63" s="377"/>
      <c r="ARV63" s="373"/>
      <c r="ARW63" s="54"/>
      <c r="ARX63" s="373"/>
      <c r="ARY63" s="851"/>
      <c r="ARZ63" s="1147"/>
      <c r="ASA63" s="1147"/>
      <c r="ASB63" s="1147"/>
      <c r="ASC63" s="1147"/>
      <c r="ASD63" s="1147"/>
      <c r="ASE63" s="1147"/>
      <c r="ASF63" s="1147"/>
      <c r="ASG63" s="1147"/>
      <c r="ASH63" s="1147"/>
      <c r="ASI63" s="1147"/>
      <c r="ASJ63" s="1147"/>
      <c r="ASK63" s="1147"/>
      <c r="ASL63" s="1147"/>
      <c r="ASM63" s="837"/>
      <c r="ASN63" s="838"/>
      <c r="ASO63" s="777"/>
      <c r="ASP63" s="799"/>
      <c r="ASQ63" s="1067"/>
      <c r="ASR63" s="845"/>
      <c r="ASS63" s="846"/>
      <c r="AST63" s="848"/>
      <c r="ASU63" s="1053"/>
      <c r="ASV63" s="1053"/>
      <c r="ASW63" s="1053"/>
      <c r="ASX63" s="1053"/>
      <c r="ASY63" s="1053"/>
      <c r="ASZ63" s="1053"/>
      <c r="ATA63" s="1053"/>
      <c r="ATB63" s="1053"/>
      <c r="ATC63" s="1053"/>
      <c r="ATD63" s="1053"/>
      <c r="ATE63" s="1053"/>
      <c r="ATF63" s="373"/>
      <c r="ATG63" s="373"/>
      <c r="ATH63" s="382" t="s">
        <v>1583</v>
      </c>
      <c r="ATN63" s="130"/>
      <c r="ATO63" s="130"/>
      <c r="ATP63" s="130"/>
      <c r="ATQ63" s="130"/>
      <c r="ATR63" s="130"/>
      <c r="ATS63" s="130"/>
      <c r="ATT63" s="130"/>
      <c r="ATU63" s="130"/>
      <c r="ATV63" s="130"/>
      <c r="ATW63" s="130"/>
      <c r="ATX63" s="130"/>
      <c r="ATY63" s="130"/>
      <c r="ATZ63" s="130"/>
      <c r="AUA63" s="130"/>
      <c r="AUB63" s="130"/>
    </row>
    <row r="64" spans="4:1011 1128:1224" ht="48" customHeight="1" thickBot="1">
      <c r="D64" s="159"/>
      <c r="E64" s="160"/>
      <c r="F64" s="160"/>
      <c r="G64" s="160"/>
      <c r="H64" s="1458" t="s">
        <v>885</v>
      </c>
      <c r="I64" s="1280"/>
      <c r="J64" s="1280"/>
      <c r="K64" s="1281"/>
      <c r="L64" s="160"/>
      <c r="M64" s="160"/>
      <c r="N64" s="161"/>
      <c r="O64" s="143"/>
      <c r="P64" s="143"/>
      <c r="Q64" s="143"/>
      <c r="R64" s="143"/>
      <c r="S64" s="143"/>
      <c r="T64" s="143"/>
      <c r="U64" s="143"/>
      <c r="BX64" s="851"/>
      <c r="BY64" s="802" t="s">
        <v>739</v>
      </c>
      <c r="BZ64" s="1116"/>
      <c r="CA64" s="803"/>
      <c r="CB64" s="879">
        <f>$CM$59</f>
        <v>2</v>
      </c>
      <c r="CC64" s="879"/>
      <c r="CD64" s="769"/>
      <c r="CE64" s="764"/>
      <c r="CF64" s="764"/>
      <c r="CG64" s="764"/>
      <c r="CH64" s="764"/>
      <c r="CI64" s="1169"/>
      <c r="CJ64" s="799"/>
      <c r="CK64" s="1185"/>
      <c r="CL64" s="1186"/>
      <c r="CM64" s="842"/>
      <c r="CN64" s="918"/>
      <c r="CO64" s="919"/>
      <c r="CP64" s="848"/>
      <c r="CQ64" s="1053"/>
      <c r="CR64" s="1053"/>
      <c r="CS64" s="1053"/>
      <c r="CT64" s="1053"/>
      <c r="DL64" s="130"/>
      <c r="DM64" s="130"/>
      <c r="DN64" s="130"/>
      <c r="DO64" s="130"/>
      <c r="DP64" s="130"/>
      <c r="DQ64" s="130"/>
      <c r="DR64" s="130"/>
      <c r="DS64" s="130"/>
      <c r="DT64" s="130"/>
      <c r="DU64" s="130"/>
      <c r="DV64" s="130"/>
      <c r="DW64" s="130"/>
      <c r="DX64" s="130"/>
      <c r="DZ64" s="851"/>
      <c r="EA64" s="802" t="s">
        <v>1061</v>
      </c>
      <c r="EB64" s="803"/>
      <c r="EC64" s="804">
        <f>$EQ$45</f>
        <v>4</v>
      </c>
      <c r="ED64" s="804"/>
      <c r="EE64" s="778"/>
      <c r="EF64" s="778"/>
      <c r="EG64" s="778"/>
      <c r="EH64" s="778"/>
      <c r="EI64" s="778"/>
      <c r="EJ64" s="778"/>
      <c r="EK64" s="778"/>
      <c r="EL64" s="778"/>
      <c r="EM64" s="799"/>
      <c r="EN64" s="1625"/>
      <c r="EO64" s="1626"/>
      <c r="EP64" s="1077"/>
      <c r="EQ64" s="1078"/>
      <c r="ER64" s="812"/>
      <c r="ES64" s="813"/>
      <c r="ET64" s="813"/>
      <c r="EU64" s="813"/>
      <c r="EV64" s="814"/>
      <c r="EW64" s="1053"/>
      <c r="EX64" s="1053"/>
      <c r="EY64" s="1053"/>
      <c r="EZ64" s="1053"/>
      <c r="FA64" s="1053"/>
      <c r="FB64" s="1053"/>
      <c r="FC64" s="1053"/>
      <c r="FD64" s="1053"/>
      <c r="FE64" s="1053"/>
      <c r="FF64" s="1053"/>
      <c r="FG64" s="1053"/>
      <c r="FH64" s="1053"/>
      <c r="FI64" s="1053"/>
      <c r="FJ64" s="1053"/>
      <c r="FO64" s="130"/>
      <c r="FP64" s="130"/>
      <c r="FQ64" s="130"/>
      <c r="FR64" s="130"/>
      <c r="GF64" s="897" t="s">
        <v>929</v>
      </c>
      <c r="GG64" s="898"/>
      <c r="GH64" s="899"/>
      <c r="GI64" s="76" t="s">
        <v>793</v>
      </c>
      <c r="GJ64" s="852" t="s">
        <v>416</v>
      </c>
      <c r="GK64" s="853"/>
      <c r="GL64" s="138"/>
      <c r="GM64" s="78"/>
      <c r="GN64" s="78"/>
      <c r="GO64" s="78"/>
      <c r="GP64" s="78"/>
      <c r="GQ64" s="78"/>
      <c r="GR64" s="78"/>
      <c r="GS64" s="138"/>
      <c r="GT64" s="76" t="s">
        <v>441</v>
      </c>
      <c r="GU64" s="854" t="s">
        <v>435</v>
      </c>
      <c r="GV64" s="855"/>
      <c r="GW64" s="920" t="s">
        <v>111</v>
      </c>
      <c r="GX64" s="921"/>
      <c r="GY64" s="916" t="s">
        <v>704</v>
      </c>
      <c r="GZ64" s="922"/>
      <c r="HA64" s="1051" t="s">
        <v>447</v>
      </c>
      <c r="HB64" s="1051"/>
      <c r="HC64" s="1051"/>
      <c r="HD64" s="1051"/>
      <c r="HE64" s="1051"/>
      <c r="HF64" s="1051"/>
      <c r="HH64" s="1780"/>
      <c r="HI64" s="823"/>
      <c r="HJ64" s="824"/>
      <c r="HK64" s="824"/>
      <c r="HL64" s="824"/>
      <c r="HM64" s="939"/>
      <c r="HN64" s="1"/>
      <c r="HO64" s="1779"/>
      <c r="HP64" s="957"/>
      <c r="HQ64" s="957"/>
      <c r="HR64" s="957"/>
      <c r="HS64" s="957"/>
      <c r="HT64" s="957"/>
      <c r="HU64" s="957"/>
      <c r="HV64" s="957"/>
      <c r="HW64" s="130"/>
      <c r="HX64" s="130"/>
      <c r="IJ64" s="130"/>
      <c r="IK64" s="130"/>
      <c r="IM64" s="136"/>
      <c r="IN64" s="891"/>
      <c r="IO64" s="891"/>
      <c r="IP64" s="891"/>
      <c r="IQ64" s="891"/>
      <c r="IR64" s="891"/>
      <c r="IS64" s="891"/>
      <c r="IT64" s="891"/>
      <c r="IU64" s="891"/>
      <c r="IV64" s="891"/>
      <c r="IW64" s="891"/>
      <c r="IX64" s="891"/>
      <c r="IY64" s="891"/>
      <c r="IZ64" s="891"/>
      <c r="JA64" s="891"/>
      <c r="JB64" s="891"/>
      <c r="JC64" s="891"/>
      <c r="JD64" s="891"/>
      <c r="JE64" s="891"/>
      <c r="JF64" s="891"/>
      <c r="JG64" s="891"/>
      <c r="JH64" s="891"/>
      <c r="JI64" s="891"/>
      <c r="JJ64" s="891"/>
      <c r="JK64" s="891"/>
      <c r="JL64" s="891"/>
      <c r="JM64" s="891"/>
      <c r="JN64" s="891"/>
      <c r="JO64" s="891"/>
      <c r="JP64" s="891"/>
      <c r="JQ64" s="891"/>
      <c r="JR64" s="891"/>
      <c r="JS64" s="891"/>
      <c r="JT64" s="136"/>
      <c r="JU64" s="653"/>
      <c r="JV64" s="653"/>
      <c r="JW64" s="653"/>
      <c r="JX64" s="1052"/>
      <c r="JY64" s="225" t="s">
        <v>1058</v>
      </c>
      <c r="JZ64" s="1156">
        <f>$KM$68</f>
        <v>1.2559999999999999E-6</v>
      </c>
      <c r="KA64" s="1156"/>
      <c r="KB64" s="225" t="s">
        <v>1060</v>
      </c>
      <c r="KC64" s="937">
        <f>$KL$72</f>
        <v>1.1666666666666667</v>
      </c>
      <c r="KD64" s="937"/>
      <c r="KE64" s="791" t="s">
        <v>1809</v>
      </c>
      <c r="KF64" s="792"/>
      <c r="KG64" s="792"/>
      <c r="KH64" s="792"/>
      <c r="KI64" s="835">
        <f>(2/((4*3.14)/10^7))*CL95*GU12/1000*KL72</f>
        <v>1068.1926267519793</v>
      </c>
      <c r="KJ64" s="836"/>
      <c r="KK64" s="1075" t="s">
        <v>32</v>
      </c>
      <c r="KL64" s="1076"/>
      <c r="KM64" s="1066"/>
      <c r="KN64" s="893" t="s">
        <v>1056</v>
      </c>
      <c r="KO64" s="894"/>
      <c r="KP64" s="847"/>
      <c r="KQ64" s="1052"/>
      <c r="KR64" s="1052"/>
      <c r="KS64" s="1052"/>
      <c r="KT64" s="1052"/>
      <c r="KU64" s="1052"/>
      <c r="LD64" s="130"/>
      <c r="LE64" s="130"/>
      <c r="LF64" s="130"/>
      <c r="LG64" s="130"/>
      <c r="LH64" s="130"/>
      <c r="LI64" s="130"/>
      <c r="LJ64" s="130"/>
      <c r="LK64" s="130"/>
      <c r="LL64" s="130"/>
      <c r="LM64" s="130"/>
      <c r="LN64" s="130"/>
      <c r="LO64" s="130"/>
      <c r="LP64" s="130"/>
      <c r="LQ64" s="130"/>
      <c r="LR64" s="130"/>
      <c r="LS64" s="130"/>
      <c r="LT64" s="130"/>
      <c r="LU64" s="130"/>
      <c r="LV64" s="130"/>
      <c r="LW64" s="130"/>
      <c r="MB64" s="897" t="s">
        <v>973</v>
      </c>
      <c r="MC64" s="898"/>
      <c r="MD64" s="899"/>
      <c r="ME64" s="849"/>
      <c r="MF64" s="852" t="s">
        <v>416</v>
      </c>
      <c r="MG64" s="853"/>
      <c r="MH64" s="737"/>
      <c r="MI64" s="806" t="s">
        <v>1801</v>
      </c>
      <c r="MJ64" s="807"/>
      <c r="MK64" s="808"/>
      <c r="ML64" s="652" t="s">
        <v>451</v>
      </c>
      <c r="MM64" s="737"/>
      <c r="MN64" s="76" t="s">
        <v>441</v>
      </c>
      <c r="MO64" s="854" t="s">
        <v>435</v>
      </c>
      <c r="MP64" s="855"/>
      <c r="MQ64" s="1072" t="s">
        <v>111</v>
      </c>
      <c r="MR64" s="1073"/>
      <c r="MS64" s="1074"/>
      <c r="MT64" s="1376" t="s">
        <v>704</v>
      </c>
      <c r="MU64" s="1377"/>
      <c r="MV64" s="906" t="s">
        <v>447</v>
      </c>
      <c r="MW64" s="907"/>
      <c r="MX64" s="907"/>
      <c r="MY64" s="908"/>
      <c r="MZ64" s="653"/>
      <c r="NA64" s="653"/>
      <c r="ND64" s="865" t="s">
        <v>911</v>
      </c>
      <c r="NE64" s="791" t="s">
        <v>1646</v>
      </c>
      <c r="NF64" s="792"/>
      <c r="NG64" s="792"/>
      <c r="NH64" s="792"/>
      <c r="NI64" s="938"/>
      <c r="NK64" s="1216"/>
      <c r="NL64" s="1217"/>
      <c r="NM64" s="1217"/>
      <c r="NN64" s="1217"/>
      <c r="NO64" s="1217"/>
      <c r="NP64" s="1217"/>
      <c r="NQ64" s="1217"/>
      <c r="NR64" s="1217"/>
      <c r="NS64" s="1217"/>
      <c r="NT64" s="1217"/>
      <c r="NU64" s="1217"/>
      <c r="NV64" s="1217"/>
      <c r="NW64" s="1217"/>
      <c r="NX64" s="1217"/>
      <c r="NY64" s="1217"/>
      <c r="NZ64" s="1217"/>
      <c r="OA64" s="1217"/>
      <c r="OB64" s="1217"/>
      <c r="OC64" s="1217"/>
      <c r="OD64" s="1217"/>
      <c r="OE64" s="1217"/>
      <c r="OF64" s="1218"/>
      <c r="PG64" s="130"/>
      <c r="PL64" s="849"/>
      <c r="PM64" s="1257" t="s">
        <v>416</v>
      </c>
      <c r="PN64" s="1257"/>
      <c r="PO64" s="595"/>
      <c r="PP64" s="78"/>
      <c r="PQ64" s="78"/>
      <c r="PR64" s="78"/>
      <c r="PS64" s="78"/>
      <c r="PT64" s="78"/>
      <c r="PU64" s="78"/>
      <c r="PV64" s="595"/>
      <c r="PW64" s="76" t="s">
        <v>441</v>
      </c>
      <c r="PX64" s="854" t="s">
        <v>435</v>
      </c>
      <c r="PY64" s="1111"/>
      <c r="PZ64" s="920" t="s">
        <v>111</v>
      </c>
      <c r="QA64" s="921"/>
      <c r="QB64" s="916" t="s">
        <v>704</v>
      </c>
      <c r="QC64" s="917"/>
      <c r="QD64" s="906" t="s">
        <v>447</v>
      </c>
      <c r="QE64" s="907"/>
      <c r="QF64" s="907"/>
      <c r="QG64" s="907"/>
      <c r="QH64" s="908"/>
      <c r="QI64" s="906" t="s">
        <v>436</v>
      </c>
      <c r="QJ64" s="907"/>
      <c r="QK64" s="907"/>
      <c r="QL64" s="907"/>
      <c r="QM64" s="907"/>
      <c r="QN64" s="907"/>
      <c r="QO64" s="908"/>
      <c r="QR64" s="130"/>
      <c r="QS64" s="130"/>
      <c r="QT64" s="130"/>
      <c r="QU64" s="130"/>
      <c r="QZ64" s="130"/>
      <c r="RA64" s="130"/>
      <c r="RB64" s="130"/>
      <c r="RC64" s="130"/>
      <c r="RE64" s="653"/>
      <c r="RF64" s="653"/>
      <c r="RG64" s="653"/>
      <c r="RH64" s="653"/>
      <c r="RI64" s="653"/>
      <c r="RJ64" s="653"/>
      <c r="RK64" s="653"/>
      <c r="RL64" s="653"/>
      <c r="RM64" s="653"/>
      <c r="RN64" s="653"/>
      <c r="RO64" s="653"/>
      <c r="RP64" s="653"/>
      <c r="RQ64" s="653"/>
      <c r="RR64" s="653"/>
      <c r="RS64" s="653"/>
      <c r="RT64" s="653"/>
      <c r="RU64" s="653"/>
      <c r="RV64" s="653"/>
      <c r="RW64" s="653"/>
      <c r="RX64" s="653"/>
      <c r="RY64" s="653"/>
      <c r="RZ64" s="653"/>
      <c r="SA64" s="653"/>
      <c r="SB64" s="653"/>
      <c r="SC64" s="653"/>
      <c r="SD64" s="653"/>
      <c r="SE64" s="653"/>
      <c r="SF64" s="653"/>
      <c r="SG64" s="653"/>
      <c r="SH64" s="653"/>
      <c r="SI64" s="653"/>
      <c r="SJ64" s="653"/>
      <c r="SK64" s="653"/>
      <c r="SL64" s="653"/>
      <c r="SM64" s="653"/>
      <c r="SN64" s="653"/>
      <c r="SO64" s="653"/>
      <c r="SP64" s="653"/>
      <c r="SQ64" s="653"/>
      <c r="SR64" s="653"/>
      <c r="SS64" s="653"/>
      <c r="ST64" s="653"/>
      <c r="SU64" s="653"/>
      <c r="SV64" s="653"/>
      <c r="SW64" s="653"/>
      <c r="SX64" s="653"/>
      <c r="SY64" s="653"/>
      <c r="SZ64" s="653"/>
      <c r="TA64" s="653"/>
      <c r="TB64" s="653"/>
      <c r="TC64" s="653"/>
      <c r="TD64" s="653"/>
      <c r="TE64" s="653"/>
      <c r="TF64" s="653"/>
      <c r="TG64" s="653"/>
      <c r="TH64" s="653"/>
      <c r="TI64" s="653"/>
      <c r="TJ64" s="653"/>
      <c r="TK64" s="653"/>
      <c r="TL64" s="653"/>
      <c r="TM64" s="653"/>
      <c r="TN64" s="653"/>
      <c r="TO64" s="653"/>
      <c r="TP64" s="653"/>
      <c r="TQ64" s="653"/>
      <c r="TR64" s="653"/>
      <c r="TS64" s="653"/>
      <c r="TT64" s="653"/>
      <c r="TU64" s="653"/>
      <c r="TV64" s="653"/>
      <c r="TW64" s="653"/>
      <c r="TX64" s="653"/>
      <c r="TY64" s="653"/>
      <c r="TZ64" s="653"/>
      <c r="UA64" s="653"/>
      <c r="UB64" s="653"/>
      <c r="UC64" s="653"/>
      <c r="UD64" s="653"/>
      <c r="UE64" s="653"/>
      <c r="UF64" s="653"/>
      <c r="UG64" s="653"/>
      <c r="UH64" s="653"/>
      <c r="UI64" s="653"/>
      <c r="UJ64" s="653"/>
      <c r="UK64" s="653"/>
      <c r="UL64" s="653"/>
      <c r="UM64" s="653"/>
      <c r="UN64" s="653"/>
      <c r="UO64" s="653"/>
      <c r="UP64" s="653"/>
      <c r="UQ64" s="653"/>
      <c r="UR64" s="653"/>
      <c r="US64" s="653"/>
      <c r="UT64" s="653"/>
      <c r="UU64" s="653"/>
      <c r="UV64" s="653"/>
      <c r="UW64" s="653"/>
      <c r="UX64" s="653"/>
      <c r="UY64" s="653"/>
      <c r="UZ64" s="653"/>
      <c r="VC64" s="162"/>
      <c r="VD64" s="158"/>
      <c r="VE64" s="158"/>
      <c r="VF64" s="158"/>
      <c r="VG64" s="158"/>
      <c r="VH64" s="158"/>
      <c r="VI64" s="158"/>
      <c r="VJ64" s="158"/>
      <c r="VK64" s="158"/>
      <c r="VL64" s="158"/>
      <c r="VM64" s="158"/>
      <c r="VN64" s="158"/>
      <c r="VO64" s="158"/>
      <c r="VP64" s="158"/>
      <c r="VQ64" s="163"/>
      <c r="VZ64" s="130"/>
      <c r="WA64" s="130"/>
      <c r="WB64" s="130"/>
      <c r="WC64" s="653"/>
      <c r="WD64" s="653"/>
      <c r="XB64" s="653"/>
      <c r="XC64" s="653"/>
      <c r="XD64" s="653"/>
      <c r="XE64" s="653"/>
      <c r="XF64" s="970"/>
      <c r="XG64" s="160"/>
      <c r="XH64" s="160"/>
      <c r="XI64" s="160"/>
      <c r="XJ64" s="160"/>
      <c r="XK64" s="160"/>
      <c r="XL64" s="160"/>
      <c r="XM64" s="160"/>
      <c r="XN64" s="160"/>
      <c r="XO64" s="160"/>
      <c r="XP64" s="160"/>
      <c r="XQ64" s="160"/>
      <c r="XR64" s="160"/>
      <c r="XS64" s="160"/>
      <c r="XT64" s="160"/>
      <c r="XU64" s="160"/>
      <c r="XV64" s="160"/>
      <c r="XW64" s="160"/>
      <c r="XX64" s="160"/>
      <c r="XY64" s="160"/>
      <c r="XZ64" s="160"/>
      <c r="YA64" s="160"/>
      <c r="YB64" s="160"/>
      <c r="YC64" s="160"/>
      <c r="YD64" s="160"/>
      <c r="YE64" s="160"/>
      <c r="YF64" s="160"/>
      <c r="YG64" s="160"/>
      <c r="YH64" s="160"/>
      <c r="YI64" s="160"/>
      <c r="YJ64" s="160"/>
      <c r="YK64" s="160"/>
      <c r="YL64" s="160"/>
      <c r="YM64" s="160"/>
      <c r="YN64" s="160"/>
      <c r="YO64" s="160"/>
      <c r="YP64" s="160"/>
      <c r="YQ64" s="160"/>
      <c r="YR64" s="160"/>
      <c r="YS64" s="160"/>
      <c r="YT64" s="160"/>
      <c r="YU64" s="160"/>
      <c r="YV64" s="160"/>
      <c r="YW64" s="160"/>
      <c r="YX64" s="160"/>
      <c r="YY64" s="160"/>
      <c r="YZ64" s="160"/>
      <c r="ZA64" s="160"/>
      <c r="ZB64" s="160"/>
      <c r="ZC64" s="160"/>
      <c r="ZD64" s="160"/>
      <c r="ZE64" s="160"/>
      <c r="ZF64" s="160"/>
      <c r="ZG64" s="160"/>
      <c r="ZH64" s="160"/>
      <c r="ZI64" s="160"/>
      <c r="ZJ64" s="160"/>
      <c r="ZK64" s="160"/>
      <c r="ZL64" s="160"/>
      <c r="ZM64" s="160"/>
      <c r="ZN64" s="160"/>
      <c r="ZO64" s="160"/>
      <c r="ZP64" s="160"/>
      <c r="ZQ64" s="160"/>
      <c r="ZR64" s="160"/>
      <c r="ZS64" s="160"/>
      <c r="ZT64" s="160"/>
      <c r="ZU64" s="160"/>
      <c r="ZV64" s="160"/>
      <c r="ZW64" s="160"/>
      <c r="ZX64" s="160"/>
      <c r="ZY64" s="160"/>
      <c r="ZZ64" s="160"/>
      <c r="AAA64" s="160"/>
      <c r="AAB64" s="160"/>
      <c r="AAC64" s="160"/>
      <c r="AAD64" s="160"/>
      <c r="AAE64" s="160"/>
      <c r="AAF64" s="160"/>
      <c r="AAG64" s="160"/>
      <c r="AAH64" s="160"/>
      <c r="AAI64" s="160"/>
      <c r="AAJ64" s="160"/>
      <c r="AAK64" s="160"/>
      <c r="AAL64" s="160"/>
      <c r="AAM64" s="160"/>
      <c r="AAN64" s="160"/>
      <c r="AAO64" s="160"/>
      <c r="AAP64" s="160"/>
      <c r="AAQ64" s="160"/>
      <c r="AAR64" s="160"/>
      <c r="AAS64" s="160"/>
      <c r="AAT64" s="103"/>
      <c r="ABE64" s="653"/>
      <c r="ABF64" s="653"/>
      <c r="ABG64" s="653"/>
      <c r="ABH64" s="653"/>
      <c r="ABR64" s="653"/>
      <c r="ACV64" s="672"/>
      <c r="ACW64" s="672"/>
      <c r="ACX64" s="672"/>
      <c r="AGJ64" s="377"/>
      <c r="AGK64" s="373"/>
      <c r="AGL64" s="54"/>
      <c r="AGM64" s="373"/>
      <c r="AGN64" s="1053"/>
      <c r="AGO64" s="1037"/>
      <c r="AGP64" s="1038"/>
      <c r="AGQ64" s="1038"/>
      <c r="AGR64" s="1039"/>
      <c r="AGS64" s="777"/>
      <c r="AGT64" s="778"/>
      <c r="AGU64" s="778"/>
      <c r="AGV64" s="778"/>
      <c r="AGW64" s="778"/>
      <c r="AGX64" s="778"/>
      <c r="AGY64" s="778"/>
      <c r="AGZ64" s="778"/>
      <c r="AHA64" s="799"/>
      <c r="AHB64" s="812"/>
      <c r="AHC64" s="813"/>
      <c r="AHD64" s="813"/>
      <c r="AHE64" s="813"/>
      <c r="AHF64" s="813"/>
      <c r="AHG64" s="813"/>
      <c r="AHH64" s="813"/>
      <c r="AHI64" s="813"/>
      <c r="AHJ64" s="813"/>
      <c r="AHK64" s="813"/>
      <c r="AHL64" s="814"/>
      <c r="AHM64" s="1053"/>
      <c r="AHN64" s="1053"/>
      <c r="AHO64" s="1053"/>
      <c r="AHP64" s="1053"/>
      <c r="AHQ64" s="1053"/>
      <c r="AHR64" s="1053"/>
      <c r="AHS64" s="1053"/>
      <c r="AHT64" s="1053"/>
      <c r="AHU64" s="1053"/>
      <c r="AHV64" s="1053"/>
      <c r="AHW64" s="373"/>
      <c r="AHX64" s="373"/>
      <c r="AHY64" s="374"/>
      <c r="ARS64" s="653"/>
      <c r="ART64" s="653"/>
      <c r="ARU64" s="377"/>
      <c r="ARV64" s="373"/>
      <c r="ARW64" s="54"/>
      <c r="ARX64" s="373"/>
      <c r="ARY64" s="373"/>
      <c r="ARZ64" s="373"/>
      <c r="ASA64" s="373"/>
      <c r="ASB64" s="373"/>
      <c r="ASC64" s="373"/>
      <c r="ASD64" s="373"/>
      <c r="ASE64" s="373"/>
      <c r="ASF64" s="373"/>
      <c r="ASG64" s="373"/>
      <c r="ASH64" s="373"/>
      <c r="ASI64" s="373"/>
      <c r="ASJ64" s="373"/>
      <c r="ASK64" s="373"/>
      <c r="ASL64" s="373"/>
      <c r="ASM64" s="373"/>
      <c r="ASN64" s="373"/>
      <c r="ASO64" s="373"/>
      <c r="ASP64" s="373"/>
      <c r="ASQ64" s="373"/>
      <c r="ASR64" s="373"/>
      <c r="ASS64" s="373"/>
      <c r="AST64" s="373"/>
      <c r="ASU64" s="373"/>
      <c r="ASV64" s="373"/>
      <c r="ASW64" s="373"/>
      <c r="ASX64" s="373"/>
      <c r="ASY64" s="373"/>
      <c r="ASZ64" s="373"/>
      <c r="ATA64" s="373"/>
      <c r="ATB64" s="373"/>
      <c r="ATC64" s="373"/>
      <c r="ATD64" s="373"/>
      <c r="ATE64" s="373"/>
      <c r="ATF64" s="373"/>
      <c r="ATG64" s="373"/>
      <c r="ATH64" s="374"/>
      <c r="ATN64" s="130"/>
      <c r="ATO64" s="130"/>
      <c r="ATP64" s="130"/>
      <c r="ATQ64" s="130"/>
      <c r="ATR64" s="130"/>
      <c r="ATS64" s="130"/>
      <c r="ATT64" s="130"/>
      <c r="ATU64" s="130"/>
      <c r="ATV64" s="130"/>
      <c r="ATW64" s="130"/>
      <c r="ATX64" s="130"/>
      <c r="ATY64" s="130"/>
      <c r="ATZ64" s="130"/>
      <c r="AUA64" s="130"/>
      <c r="AUB64" s="130"/>
    </row>
    <row r="65" spans="4:945 1051:1224" ht="48" customHeight="1" thickBot="1">
      <c r="D65" s="164"/>
      <c r="E65" s="165"/>
      <c r="F65" s="165"/>
      <c r="G65" s="165"/>
      <c r="H65" s="1708" t="s">
        <v>456</v>
      </c>
      <c r="I65" s="1708"/>
      <c r="J65" s="1708" t="s">
        <v>457</v>
      </c>
      <c r="K65" s="1708"/>
      <c r="L65" s="165"/>
      <c r="M65" s="165"/>
      <c r="N65" s="166"/>
      <c r="O65" s="143"/>
      <c r="P65" s="143"/>
      <c r="Q65" s="143"/>
      <c r="R65" s="143"/>
      <c r="S65" s="143"/>
      <c r="T65" s="143"/>
      <c r="U65" s="143"/>
      <c r="AI65" s="897" t="s">
        <v>974</v>
      </c>
      <c r="AJ65" s="898"/>
      <c r="AK65" s="899"/>
      <c r="AL65" s="849"/>
      <c r="AM65" s="1257" t="s">
        <v>1780</v>
      </c>
      <c r="AN65" s="1257"/>
      <c r="AO65" s="117"/>
      <c r="AP65" s="779" t="s">
        <v>1815</v>
      </c>
      <c r="AQ65" s="780"/>
      <c r="AR65" s="781"/>
      <c r="AS65" s="75" t="s">
        <v>702</v>
      </c>
      <c r="AT65" s="117"/>
      <c r="AU65" s="76" t="s">
        <v>441</v>
      </c>
      <c r="AV65" s="1676" t="s">
        <v>435</v>
      </c>
      <c r="AW65" s="1683"/>
      <c r="AX65" s="924" t="s">
        <v>111</v>
      </c>
      <c r="AY65" s="925"/>
      <c r="AZ65" s="916" t="s">
        <v>704</v>
      </c>
      <c r="BA65" s="917"/>
      <c r="BB65" s="906" t="s">
        <v>447</v>
      </c>
      <c r="BC65" s="907"/>
      <c r="BD65" s="907"/>
      <c r="BE65" s="908"/>
      <c r="DL65" s="130"/>
      <c r="DM65" s="653"/>
      <c r="DN65" s="653"/>
      <c r="DO65" s="653"/>
      <c r="DP65" s="653"/>
      <c r="DQ65" s="653"/>
      <c r="DR65" s="653"/>
      <c r="DS65" s="653"/>
      <c r="DT65" s="653"/>
      <c r="DU65" s="653"/>
      <c r="DV65" s="653"/>
      <c r="DW65" s="653"/>
      <c r="DX65" s="653"/>
      <c r="DY65" s="653"/>
      <c r="DZ65" s="653"/>
      <c r="EA65" s="653"/>
      <c r="EB65" s="653"/>
      <c r="EC65" s="653"/>
      <c r="ED65" s="653"/>
      <c r="EE65" s="653"/>
      <c r="EF65" s="653"/>
      <c r="EG65" s="653"/>
      <c r="EH65" s="653"/>
      <c r="EI65" s="653"/>
      <c r="EJ65" s="653"/>
      <c r="EK65" s="653"/>
      <c r="EL65" s="653"/>
      <c r="EM65" s="653"/>
      <c r="EN65" s="653"/>
      <c r="EO65" s="653"/>
      <c r="EP65" s="653"/>
      <c r="EQ65" s="653"/>
      <c r="ER65" s="653"/>
      <c r="ES65" s="653"/>
      <c r="ET65" s="653"/>
      <c r="EU65" s="653"/>
      <c r="EV65" s="653"/>
      <c r="EW65" s="653"/>
      <c r="EX65" s="653"/>
      <c r="EY65" s="653"/>
      <c r="EZ65" s="653"/>
      <c r="FA65" s="653"/>
      <c r="FB65" s="653"/>
      <c r="FC65" s="653"/>
      <c r="FD65" s="653"/>
      <c r="FO65" s="130"/>
      <c r="FP65" s="130"/>
      <c r="FQ65" s="130"/>
      <c r="FR65" s="130"/>
      <c r="FS65" s="130"/>
      <c r="FT65" s="130"/>
      <c r="FU65" s="130"/>
      <c r="FV65" s="130"/>
      <c r="FW65" s="126"/>
      <c r="FX65" s="126"/>
      <c r="GF65" s="900"/>
      <c r="GG65" s="901"/>
      <c r="GH65" s="902"/>
      <c r="GI65" s="849"/>
      <c r="GJ65" s="791" t="s">
        <v>1642</v>
      </c>
      <c r="GK65" s="797"/>
      <c r="GL65" s="797"/>
      <c r="GM65" s="797"/>
      <c r="GN65" s="797"/>
      <c r="GO65" s="797"/>
      <c r="GP65" s="797"/>
      <c r="GQ65" s="797"/>
      <c r="GR65" s="797"/>
      <c r="GS65" s="797"/>
      <c r="GT65" s="797"/>
      <c r="GU65" s="797"/>
      <c r="GV65" s="797"/>
      <c r="GW65" s="1453">
        <v>0.3</v>
      </c>
      <c r="GX65" s="1454"/>
      <c r="GY65" s="1075" t="s">
        <v>45</v>
      </c>
      <c r="GZ65" s="1076"/>
      <c r="HA65" s="1248"/>
      <c r="HB65" s="1305" t="s">
        <v>1000</v>
      </c>
      <c r="HC65" s="1305"/>
      <c r="HD65" s="1305"/>
      <c r="HE65" s="1305"/>
      <c r="HF65" s="1289"/>
      <c r="HH65" s="866"/>
      <c r="HI65" s="909"/>
      <c r="HJ65" s="910"/>
      <c r="HK65" s="910"/>
      <c r="HL65" s="910"/>
      <c r="HM65" s="1239"/>
      <c r="HN65" s="1"/>
      <c r="HO65" s="1779"/>
      <c r="HP65" s="957"/>
      <c r="HQ65" s="957"/>
      <c r="HR65" s="957"/>
      <c r="HS65" s="957"/>
      <c r="HT65" s="957"/>
      <c r="HU65" s="957"/>
      <c r="HV65" s="957"/>
      <c r="HW65" s="130"/>
      <c r="HX65" s="130"/>
      <c r="HY65" s="130"/>
      <c r="HZ65" s="130"/>
      <c r="IA65" s="130"/>
      <c r="IB65" s="130"/>
      <c r="IC65" s="130"/>
      <c r="ID65" s="130"/>
      <c r="IE65" s="130"/>
      <c r="IF65" s="130"/>
      <c r="IG65" s="130"/>
      <c r="IH65" s="130"/>
      <c r="II65" s="130"/>
      <c r="IJ65" s="130"/>
      <c r="IM65" s="377"/>
      <c r="IN65" s="373"/>
      <c r="IO65" s="373"/>
      <c r="IP65" s="373"/>
      <c r="IQ65" s="373"/>
      <c r="IR65" s="373"/>
      <c r="IS65" s="373"/>
      <c r="IT65" s="373"/>
      <c r="IU65" s="373"/>
      <c r="IV65" s="373"/>
      <c r="IW65" s="373"/>
      <c r="IX65" s="373"/>
      <c r="IY65" s="373"/>
      <c r="IZ65" s="373"/>
      <c r="JA65" s="373"/>
      <c r="JB65" s="373"/>
      <c r="JC65" s="373"/>
      <c r="JD65" s="373"/>
      <c r="JE65" s="373"/>
      <c r="JF65" s="373"/>
      <c r="JG65" s="373"/>
      <c r="JH65" s="373"/>
      <c r="JI65" s="373"/>
      <c r="JJ65" s="373"/>
      <c r="JK65" s="373"/>
      <c r="JL65" s="373"/>
      <c r="JM65" s="373"/>
      <c r="JN65" s="373"/>
      <c r="JO65" s="373"/>
      <c r="JP65" s="373"/>
      <c r="JQ65" s="373"/>
      <c r="JR65" s="373"/>
      <c r="JS65" s="373"/>
      <c r="JT65" s="382" t="s">
        <v>1298</v>
      </c>
      <c r="JU65" s="653"/>
      <c r="JV65" s="653"/>
      <c r="JW65" s="653"/>
      <c r="JX65" s="1053"/>
      <c r="JY65" s="231" t="s">
        <v>1059</v>
      </c>
      <c r="JZ65" s="805">
        <f>$CL$95</f>
        <v>0.71874103885740337</v>
      </c>
      <c r="KA65" s="805"/>
      <c r="KB65" s="1060"/>
      <c r="KC65" s="1061"/>
      <c r="KD65" s="1061"/>
      <c r="KE65" s="794"/>
      <c r="KF65" s="795"/>
      <c r="KG65" s="795"/>
      <c r="KH65" s="795"/>
      <c r="KI65" s="837"/>
      <c r="KJ65" s="838"/>
      <c r="KK65" s="1077"/>
      <c r="KL65" s="1078"/>
      <c r="KM65" s="1067"/>
      <c r="KN65" s="918"/>
      <c r="KO65" s="919"/>
      <c r="KP65" s="848"/>
      <c r="KQ65" s="1053"/>
      <c r="KR65" s="1053"/>
      <c r="KS65" s="1053"/>
      <c r="KT65" s="1053"/>
      <c r="KU65" s="1053"/>
      <c r="LD65" s="130"/>
      <c r="LE65" s="130"/>
      <c r="LF65" s="130"/>
      <c r="LG65" s="130"/>
      <c r="LH65" s="130"/>
      <c r="LI65" s="130"/>
      <c r="LJ65" s="130"/>
      <c r="LK65" s="130"/>
      <c r="LL65" s="130"/>
      <c r="LM65" s="130"/>
      <c r="LN65" s="130"/>
      <c r="LO65" s="130"/>
      <c r="LP65" s="130"/>
      <c r="MB65" s="900"/>
      <c r="MC65" s="901"/>
      <c r="MD65" s="902"/>
      <c r="ME65" s="850"/>
      <c r="MF65" s="791" t="s">
        <v>1840</v>
      </c>
      <c r="MG65" s="792"/>
      <c r="MH65" s="792"/>
      <c r="MI65" s="792"/>
      <c r="MJ65" s="792"/>
      <c r="MK65" s="792"/>
      <c r="ML65" s="792"/>
      <c r="MM65" s="792"/>
      <c r="MN65" s="792"/>
      <c r="MO65" s="792"/>
      <c r="MP65" s="792"/>
      <c r="MQ65" s="1222">
        <f>MQ63</f>
        <v>4.8780487804878047E-8</v>
      </c>
      <c r="MR65" s="1223"/>
      <c r="MS65" s="1224"/>
      <c r="MT65" s="1188" t="s">
        <v>1219</v>
      </c>
      <c r="MU65" s="1189"/>
      <c r="MV65" s="841"/>
      <c r="MW65" s="1170" t="s">
        <v>1233</v>
      </c>
      <c r="MX65" s="1172"/>
      <c r="MY65" s="847"/>
      <c r="MZ65" s="653"/>
      <c r="NA65" s="653"/>
      <c r="ND65" s="1780"/>
      <c r="NE65" s="823"/>
      <c r="NF65" s="824"/>
      <c r="NG65" s="824"/>
      <c r="NH65" s="824"/>
      <c r="NI65" s="939"/>
      <c r="NK65" s="1216"/>
      <c r="NL65" s="1217"/>
      <c r="NM65" s="1217"/>
      <c r="NN65" s="1217"/>
      <c r="NO65" s="1217"/>
      <c r="NP65" s="1217"/>
      <c r="NQ65" s="1217"/>
      <c r="NR65" s="1217"/>
      <c r="NS65" s="1217"/>
      <c r="NT65" s="1217"/>
      <c r="NU65" s="1217"/>
      <c r="NV65" s="1217"/>
      <c r="NW65" s="1217"/>
      <c r="NX65" s="1217"/>
      <c r="NY65" s="1217"/>
      <c r="NZ65" s="1217"/>
      <c r="OA65" s="1217"/>
      <c r="OB65" s="1217"/>
      <c r="OC65" s="1217"/>
      <c r="OD65" s="1217"/>
      <c r="OE65" s="1217"/>
      <c r="OF65" s="1218"/>
      <c r="OS65" s="130"/>
      <c r="OT65" s="130"/>
      <c r="OU65" s="130"/>
      <c r="OV65" s="130"/>
      <c r="OW65" s="130"/>
      <c r="OX65" s="130"/>
      <c r="OY65" s="130"/>
      <c r="OZ65" s="130"/>
      <c r="PA65" s="130"/>
      <c r="PB65" s="130"/>
      <c r="PC65" s="130"/>
      <c r="PD65" s="130"/>
      <c r="PE65" s="130"/>
      <c r="PF65" s="130"/>
      <c r="PG65" s="130"/>
      <c r="PH65" s="130"/>
      <c r="PI65" s="130"/>
      <c r="PL65" s="850"/>
      <c r="PM65" s="800" t="s">
        <v>1054</v>
      </c>
      <c r="PN65" s="801"/>
      <c r="PO65" s="883">
        <f>$EN$62</f>
        <v>8.9200941784447281</v>
      </c>
      <c r="PP65" s="884"/>
      <c r="PQ65" s="809" t="s">
        <v>154</v>
      </c>
      <c r="PR65" s="797"/>
      <c r="PS65" s="797"/>
      <c r="PT65" s="797"/>
      <c r="PU65" s="797"/>
      <c r="PV65" s="797"/>
      <c r="PW65" s="797"/>
      <c r="PX65" s="797"/>
      <c r="PY65" s="798"/>
      <c r="PZ65" s="835">
        <f>(PO65+PO66)/2</f>
        <v>10.370834374225831</v>
      </c>
      <c r="QA65" s="836"/>
      <c r="QB65" s="1075" t="s">
        <v>45</v>
      </c>
      <c r="QC65" s="1076"/>
      <c r="QD65" s="841"/>
      <c r="QE65" s="1170" t="s">
        <v>1536</v>
      </c>
      <c r="QF65" s="1171"/>
      <c r="QG65" s="1172"/>
      <c r="QH65" s="847"/>
      <c r="QI65" s="826"/>
      <c r="QJ65" s="945"/>
      <c r="QK65" s="945"/>
      <c r="QL65" s="945"/>
      <c r="QM65" s="945"/>
      <c r="QN65" s="945"/>
      <c r="QO65" s="946"/>
      <c r="QR65" s="130"/>
      <c r="QS65" s="130"/>
      <c r="QT65" s="130"/>
      <c r="QU65" s="130"/>
      <c r="RE65" s="653"/>
      <c r="RF65" s="653"/>
      <c r="RG65" s="653"/>
      <c r="RH65" s="653"/>
      <c r="RI65" s="653"/>
      <c r="RJ65" s="653"/>
      <c r="RK65" s="653"/>
      <c r="RL65" s="653"/>
      <c r="RM65" s="653"/>
      <c r="RN65" s="653"/>
      <c r="RO65" s="653"/>
      <c r="RP65" s="653"/>
      <c r="RQ65" s="653"/>
      <c r="RR65" s="653"/>
      <c r="RS65" s="653"/>
      <c r="RT65" s="653"/>
      <c r="RU65" s="653"/>
      <c r="RV65" s="653"/>
      <c r="RW65" s="653"/>
      <c r="RX65" s="653"/>
      <c r="RY65" s="653"/>
      <c r="RZ65" s="653"/>
      <c r="SA65" s="653"/>
      <c r="SB65" s="653"/>
      <c r="SC65" s="653"/>
      <c r="SD65" s="653"/>
      <c r="SE65" s="653"/>
      <c r="SF65" s="653"/>
      <c r="SG65" s="653"/>
      <c r="SH65" s="653"/>
      <c r="SI65" s="653"/>
      <c r="SJ65" s="653"/>
      <c r="SK65" s="653"/>
      <c r="SL65" s="653"/>
      <c r="SM65" s="653"/>
      <c r="SN65" s="653"/>
      <c r="SO65" s="653"/>
      <c r="SP65" s="653"/>
      <c r="SQ65" s="653"/>
      <c r="SR65" s="653"/>
      <c r="SS65" s="653"/>
      <c r="ST65" s="653"/>
      <c r="SU65" s="653"/>
      <c r="SV65" s="653"/>
      <c r="SW65" s="653"/>
      <c r="SX65" s="653"/>
      <c r="SY65" s="653"/>
      <c r="SZ65" s="653"/>
      <c r="TA65" s="653"/>
      <c r="TB65" s="653"/>
      <c r="TC65" s="653"/>
      <c r="TD65" s="653"/>
      <c r="TE65" s="653"/>
      <c r="TF65" s="653"/>
      <c r="TG65" s="653"/>
      <c r="TH65" s="653"/>
      <c r="TI65" s="653"/>
      <c r="TJ65" s="653"/>
      <c r="TK65" s="653"/>
      <c r="TL65" s="653"/>
      <c r="TM65" s="653"/>
      <c r="TN65" s="653"/>
      <c r="TO65" s="653"/>
      <c r="TP65" s="653"/>
      <c r="TQ65" s="653"/>
      <c r="TR65" s="653"/>
      <c r="TS65" s="653"/>
      <c r="TT65" s="653"/>
      <c r="TU65" s="653"/>
      <c r="TV65" s="653"/>
      <c r="TW65" s="653"/>
      <c r="TX65" s="653"/>
      <c r="TY65" s="653"/>
      <c r="TZ65" s="653"/>
      <c r="UA65" s="653"/>
      <c r="UB65" s="653"/>
      <c r="UC65" s="653"/>
      <c r="UD65" s="653"/>
      <c r="UE65" s="653"/>
      <c r="UF65" s="653"/>
      <c r="UG65" s="653"/>
      <c r="UH65" s="653"/>
      <c r="UI65" s="653"/>
      <c r="UJ65" s="653"/>
      <c r="UK65" s="653"/>
      <c r="UL65" s="653"/>
      <c r="UM65" s="653"/>
      <c r="UN65" s="653"/>
      <c r="UO65" s="653"/>
      <c r="UP65" s="653"/>
      <c r="UQ65" s="653"/>
      <c r="UR65" s="653"/>
      <c r="US65" s="653"/>
      <c r="UT65" s="653"/>
      <c r="UU65" s="653"/>
      <c r="UV65" s="653"/>
      <c r="UW65" s="653"/>
      <c r="UX65" s="653"/>
      <c r="UY65" s="653"/>
      <c r="UZ65" s="653"/>
      <c r="VC65" s="162"/>
      <c r="VD65" s="158"/>
      <c r="VE65" s="158"/>
      <c r="VF65" s="158"/>
      <c r="VG65" s="158"/>
      <c r="VH65" s="158"/>
      <c r="VI65" s="158"/>
      <c r="VJ65" s="158"/>
      <c r="VK65" s="158"/>
      <c r="VL65" s="158"/>
      <c r="VM65" s="158"/>
      <c r="VN65" s="158"/>
      <c r="VO65" s="158"/>
      <c r="VP65" s="158"/>
      <c r="VQ65" s="163"/>
      <c r="VZ65" s="130"/>
      <c r="WA65" s="130"/>
      <c r="WB65" s="130"/>
      <c r="WC65" s="653"/>
      <c r="WD65" s="653"/>
      <c r="XB65" s="653"/>
      <c r="XC65" s="653"/>
      <c r="XD65" s="653"/>
      <c r="XE65" s="653"/>
      <c r="XF65" s="971"/>
      <c r="XG65" s="158"/>
      <c r="XH65" s="158"/>
      <c r="XI65" s="158"/>
      <c r="XJ65" s="158"/>
      <c r="XK65" s="158"/>
      <c r="XL65" s="158"/>
      <c r="XM65" s="158"/>
      <c r="XN65" s="158"/>
      <c r="XO65" s="158"/>
      <c r="XP65" s="158"/>
      <c r="XQ65" s="158"/>
      <c r="XR65" s="158"/>
      <c r="XS65" s="158"/>
      <c r="XT65" s="158"/>
      <c r="XU65" s="158"/>
      <c r="XV65" s="158"/>
      <c r="XW65" s="158"/>
      <c r="XX65" s="158"/>
      <c r="XY65" s="158"/>
      <c r="XZ65" s="158"/>
      <c r="YA65" s="158"/>
      <c r="YB65" s="158"/>
      <c r="YC65" s="158"/>
      <c r="YD65" s="158"/>
      <c r="YE65" s="158"/>
      <c r="YF65" s="158"/>
      <c r="YG65" s="158"/>
      <c r="YH65" s="158"/>
      <c r="YI65" s="158"/>
      <c r="YJ65" s="158"/>
      <c r="YK65" s="158"/>
      <c r="YL65" s="158"/>
      <c r="YM65" s="158"/>
      <c r="YN65" s="158"/>
      <c r="YO65" s="158"/>
      <c r="YP65" s="158"/>
      <c r="YQ65" s="158"/>
      <c r="YR65" s="158"/>
      <c r="YS65" s="158"/>
      <c r="YT65" s="158"/>
      <c r="YU65" s="158"/>
      <c r="YV65" s="158"/>
      <c r="YW65" s="158"/>
      <c r="YX65" s="158"/>
      <c r="YY65" s="158"/>
      <c r="YZ65" s="158"/>
      <c r="ZA65" s="158"/>
      <c r="ZB65" s="158"/>
      <c r="ZC65" s="158"/>
      <c r="ZD65" s="158"/>
      <c r="ZE65" s="158"/>
      <c r="ZF65" s="158"/>
      <c r="ZG65" s="158"/>
      <c r="ZH65" s="158"/>
      <c r="ZI65" s="158"/>
      <c r="ZJ65" s="158"/>
      <c r="ZK65" s="158"/>
      <c r="ZL65" s="158"/>
      <c r="ZM65" s="158"/>
      <c r="ZN65" s="158"/>
      <c r="ZO65" s="158"/>
      <c r="ZP65" s="158"/>
      <c r="ZQ65" s="158"/>
      <c r="ZR65" s="158"/>
      <c r="ZS65" s="158"/>
      <c r="ZT65" s="158"/>
      <c r="ZU65" s="158"/>
      <c r="ZV65" s="158"/>
      <c r="ZW65" s="158"/>
      <c r="ZX65" s="158"/>
      <c r="ZY65" s="158"/>
      <c r="ZZ65" s="158"/>
      <c r="AAA65" s="158"/>
      <c r="AAB65" s="158"/>
      <c r="AAC65" s="158"/>
      <c r="AAD65" s="158"/>
      <c r="AAE65" s="158"/>
      <c r="AAF65" s="158"/>
      <c r="AAG65" s="158"/>
      <c r="AAH65" s="158"/>
      <c r="AAI65" s="158"/>
      <c r="AAJ65" s="158"/>
      <c r="AAK65" s="158"/>
      <c r="AAL65" s="158"/>
      <c r="AAM65" s="158"/>
      <c r="AAN65" s="158"/>
      <c r="AAO65" s="158"/>
      <c r="AAP65" s="158"/>
      <c r="AAQ65" s="158"/>
      <c r="AAR65" s="158"/>
      <c r="AAS65" s="158"/>
      <c r="AAT65" s="100"/>
      <c r="AAW65" s="653"/>
      <c r="AAX65" s="653"/>
      <c r="AAY65" s="653"/>
      <c r="AAZ65" s="653"/>
      <c r="ABA65" s="653"/>
      <c r="ABB65" s="653"/>
      <c r="ABC65" s="653"/>
      <c r="ABD65" s="653"/>
      <c r="ABE65" s="653"/>
      <c r="ABF65" s="653"/>
      <c r="ABG65" s="653"/>
      <c r="ABH65" s="653"/>
      <c r="ABQ65" s="653"/>
      <c r="ABR65" s="653"/>
      <c r="ACV65" s="672"/>
      <c r="ACW65" s="672"/>
      <c r="ACX65" s="672"/>
      <c r="AGJ65" s="377"/>
      <c r="AGK65" s="373"/>
      <c r="AGL65" s="54"/>
      <c r="AGM65" s="373"/>
      <c r="AGN65" s="373"/>
      <c r="AGO65" s="373"/>
      <c r="AGP65" s="373"/>
      <c r="AGQ65" s="373"/>
      <c r="AGR65" s="373"/>
      <c r="AGS65" s="373"/>
      <c r="AGT65" s="373"/>
      <c r="AGU65" s="373"/>
      <c r="AGV65" s="373"/>
      <c r="AGW65" s="373"/>
      <c r="AGX65" s="373"/>
      <c r="AGY65" s="373"/>
      <c r="AGZ65" s="373"/>
      <c r="AHA65" s="373"/>
      <c r="AHB65" s="373"/>
      <c r="AHC65" s="373"/>
      <c r="AHD65" s="373"/>
      <c r="AHE65" s="373"/>
      <c r="AHF65" s="373"/>
      <c r="AHG65" s="373"/>
      <c r="AHH65" s="373"/>
      <c r="AHI65" s="373"/>
      <c r="AHJ65" s="373"/>
      <c r="AHK65" s="373"/>
      <c r="AHL65" s="373"/>
      <c r="AHM65" s="373"/>
      <c r="AHN65" s="373"/>
      <c r="AHO65" s="373"/>
      <c r="AHP65" s="373"/>
      <c r="AHQ65" s="373"/>
      <c r="AHR65" s="373"/>
      <c r="AHS65" s="373"/>
      <c r="AHT65" s="373"/>
      <c r="AHU65" s="373"/>
      <c r="AHV65" s="373"/>
      <c r="AHW65" s="373"/>
      <c r="AHX65" s="373"/>
      <c r="AHY65" s="374"/>
      <c r="ARS65" s="653"/>
      <c r="ART65" s="653"/>
      <c r="ARU65" s="377"/>
      <c r="ARV65" s="373"/>
      <c r="ARW65" s="54"/>
      <c r="ARX65" s="373"/>
      <c r="ARY65" s="197" t="s">
        <v>849</v>
      </c>
      <c r="ARZ65" s="852" t="s">
        <v>416</v>
      </c>
      <c r="ASA65" s="853"/>
      <c r="ASB65" s="687"/>
      <c r="ASC65" s="78"/>
      <c r="ASD65" s="78"/>
      <c r="ASE65" s="78"/>
      <c r="ASF65" s="78"/>
      <c r="ASG65" s="78"/>
      <c r="ASH65" s="78"/>
      <c r="ASI65" s="687"/>
      <c r="ASJ65" s="76" t="s">
        <v>441</v>
      </c>
      <c r="ASK65" s="854" t="s">
        <v>435</v>
      </c>
      <c r="ASL65" s="1111"/>
      <c r="ASM65" s="924" t="s">
        <v>111</v>
      </c>
      <c r="ASN65" s="925"/>
      <c r="ASO65" s="916" t="s">
        <v>704</v>
      </c>
      <c r="ASP65" s="917"/>
      <c r="ASQ65" s="906" t="s">
        <v>447</v>
      </c>
      <c r="ASR65" s="907"/>
      <c r="ASS65" s="907"/>
      <c r="AST65" s="908"/>
      <c r="ASU65" s="1051" t="s">
        <v>436</v>
      </c>
      <c r="ASV65" s="1051"/>
      <c r="ASW65" s="1051"/>
      <c r="ASX65" s="1051"/>
      <c r="ASY65" s="1051"/>
      <c r="ASZ65" s="1051"/>
      <c r="ATA65" s="1051"/>
      <c r="ATB65" s="1051"/>
      <c r="ATC65" s="1051"/>
      <c r="ATD65" s="1051"/>
      <c r="ATE65" s="1051"/>
      <c r="ATF65" s="1051"/>
      <c r="ATG65" s="373"/>
      <c r="ATH65" s="374"/>
      <c r="ATI65" s="130"/>
      <c r="ATJ65" s="130"/>
      <c r="ATK65" s="130"/>
      <c r="ATL65" s="130"/>
      <c r="ATM65" s="130"/>
      <c r="ATN65" s="130"/>
      <c r="ATO65" s="130"/>
      <c r="ATP65" s="130"/>
      <c r="ATQ65" s="130"/>
      <c r="ATR65" s="130"/>
      <c r="ATS65" s="130"/>
      <c r="ATT65" s="130"/>
      <c r="ATU65" s="130"/>
      <c r="ATV65" s="130"/>
      <c r="ATW65" s="130"/>
      <c r="ATX65" s="130"/>
      <c r="ATY65" s="130"/>
      <c r="ATZ65" s="130"/>
      <c r="AUA65" s="130"/>
      <c r="AUB65" s="130"/>
    </row>
    <row r="66" spans="4:945 1051:1224" ht="48" customHeight="1" thickBot="1">
      <c r="D66" s="129"/>
      <c r="E66" s="852" t="s">
        <v>416</v>
      </c>
      <c r="F66" s="853"/>
      <c r="G66" s="420"/>
      <c r="H66" s="75" t="s">
        <v>702</v>
      </c>
      <c r="I66" s="420"/>
      <c r="J66" s="76" t="s">
        <v>441</v>
      </c>
      <c r="K66" s="854" t="s">
        <v>435</v>
      </c>
      <c r="L66" s="1111"/>
      <c r="M66" s="924" t="s">
        <v>111</v>
      </c>
      <c r="N66" s="925"/>
      <c r="O66" s="143"/>
      <c r="P66" s="1458" t="s">
        <v>965</v>
      </c>
      <c r="Q66" s="1280"/>
      <c r="R66" s="1280"/>
      <c r="S66" s="1280"/>
      <c r="T66" s="1280"/>
      <c r="U66" s="1281"/>
      <c r="V66" s="1706" t="str">
        <f>$M$73</f>
        <v>F</v>
      </c>
      <c r="W66" s="1707"/>
      <c r="AI66" s="900"/>
      <c r="AJ66" s="901"/>
      <c r="AK66" s="902"/>
      <c r="AL66" s="850"/>
      <c r="AM66" s="768" t="s">
        <v>748</v>
      </c>
      <c r="AN66" s="762"/>
      <c r="AO66" s="762"/>
      <c r="AP66" s="762"/>
      <c r="AQ66" s="762"/>
      <c r="AR66" s="762"/>
      <c r="AS66" s="762"/>
      <c r="AT66" s="762"/>
      <c r="AU66" s="762"/>
      <c r="AV66" s="762"/>
      <c r="AW66" s="762"/>
      <c r="AX66" s="1453">
        <v>0.88</v>
      </c>
      <c r="AY66" s="1454"/>
      <c r="AZ66" s="1075" t="s">
        <v>705</v>
      </c>
      <c r="BA66" s="1076"/>
      <c r="BB66" s="847"/>
      <c r="BC66" s="893" t="s">
        <v>434</v>
      </c>
      <c r="BD66" s="894"/>
      <c r="BE66" s="847"/>
      <c r="BX66" s="782" t="s">
        <v>721</v>
      </c>
      <c r="BY66" s="783"/>
      <c r="BZ66" s="784"/>
      <c r="CA66" s="198" t="s">
        <v>849</v>
      </c>
      <c r="CB66" s="1257" t="s">
        <v>416</v>
      </c>
      <c r="CC66" s="1257"/>
      <c r="CD66" s="132"/>
      <c r="CE66" s="76" t="s">
        <v>441</v>
      </c>
      <c r="CF66" s="854" t="s">
        <v>435</v>
      </c>
      <c r="CG66" s="855"/>
      <c r="CH66" s="920" t="s">
        <v>111</v>
      </c>
      <c r="CI66" s="921"/>
      <c r="CJ66" s="916" t="s">
        <v>704</v>
      </c>
      <c r="CK66" s="917"/>
      <c r="CL66" s="906" t="s">
        <v>447</v>
      </c>
      <c r="CM66" s="907"/>
      <c r="CN66" s="907"/>
      <c r="CO66" s="908"/>
      <c r="DL66" s="130"/>
      <c r="DM66" s="653"/>
      <c r="DN66" s="653"/>
      <c r="DO66" s="653"/>
      <c r="DP66" s="653"/>
      <c r="DQ66" s="653"/>
      <c r="DR66" s="653"/>
      <c r="DS66" s="653"/>
      <c r="DT66" s="653"/>
      <c r="DU66" s="653"/>
      <c r="DV66" s="653"/>
      <c r="DW66" s="653"/>
      <c r="DX66" s="653"/>
      <c r="DY66" s="653"/>
      <c r="DZ66" s="76" t="s">
        <v>793</v>
      </c>
      <c r="EA66" s="852" t="s">
        <v>416</v>
      </c>
      <c r="EB66" s="853"/>
      <c r="EC66" s="218"/>
      <c r="ED66" s="713" t="s">
        <v>444</v>
      </c>
      <c r="EE66" s="890">
        <f>$AP$49</f>
        <v>0.21284000000000003</v>
      </c>
      <c r="EF66" s="890"/>
      <c r="EG66" s="713" t="s">
        <v>1106</v>
      </c>
      <c r="EH66" s="926">
        <f>$CO$28</f>
        <v>48</v>
      </c>
      <c r="EI66" s="926"/>
      <c r="EJ66" s="218"/>
      <c r="EK66" s="76" t="s">
        <v>441</v>
      </c>
      <c r="EL66" s="854" t="s">
        <v>435</v>
      </c>
      <c r="EM66" s="855"/>
      <c r="EN66" s="920" t="s">
        <v>111</v>
      </c>
      <c r="EO66" s="921"/>
      <c r="EP66" s="916" t="s">
        <v>704</v>
      </c>
      <c r="EQ66" s="917"/>
      <c r="ER66" s="1051" t="s">
        <v>447</v>
      </c>
      <c r="ES66" s="1051"/>
      <c r="ET66" s="1051"/>
      <c r="EU66" s="1051"/>
      <c r="EV66" s="1051"/>
      <c r="EW66" s="1051" t="s">
        <v>436</v>
      </c>
      <c r="EX66" s="1051"/>
      <c r="EY66" s="1051"/>
      <c r="EZ66" s="1051"/>
      <c r="FA66" s="1051"/>
      <c r="FB66" s="1051"/>
      <c r="FC66" s="1051"/>
      <c r="FD66" s="653"/>
      <c r="FO66" s="126"/>
      <c r="FP66" s="126"/>
      <c r="FQ66" s="126"/>
      <c r="FR66" s="126"/>
      <c r="FS66" s="126"/>
      <c r="FT66" s="126"/>
      <c r="FU66" s="126"/>
      <c r="FV66" s="126"/>
      <c r="FW66" s="126"/>
      <c r="FX66" s="126"/>
      <c r="GF66" s="903"/>
      <c r="GG66" s="904"/>
      <c r="GH66" s="905"/>
      <c r="GI66" s="851"/>
      <c r="GJ66" s="777"/>
      <c r="GK66" s="778"/>
      <c r="GL66" s="778"/>
      <c r="GM66" s="778"/>
      <c r="GN66" s="778"/>
      <c r="GO66" s="778"/>
      <c r="GP66" s="778"/>
      <c r="GQ66" s="778"/>
      <c r="GR66" s="778"/>
      <c r="GS66" s="778"/>
      <c r="GT66" s="778"/>
      <c r="GU66" s="778"/>
      <c r="GV66" s="778"/>
      <c r="GW66" s="1455"/>
      <c r="GX66" s="1456"/>
      <c r="GY66" s="1077"/>
      <c r="GZ66" s="1078"/>
      <c r="HA66" s="1249"/>
      <c r="HB66" s="1306"/>
      <c r="HC66" s="1306"/>
      <c r="HD66" s="1306"/>
      <c r="HE66" s="1306"/>
      <c r="HF66" s="1290"/>
      <c r="HU66" s="130"/>
      <c r="HV66" s="130"/>
      <c r="HW66" s="130"/>
      <c r="HX66" s="130"/>
      <c r="HY66" s="130"/>
      <c r="HZ66" s="130"/>
      <c r="IA66" s="130"/>
      <c r="IB66" s="130"/>
      <c r="IC66" s="130"/>
      <c r="ID66" s="130"/>
      <c r="IE66" s="130"/>
      <c r="IF66" s="130"/>
      <c r="IG66" s="130"/>
      <c r="IH66" s="130"/>
      <c r="II66" s="130"/>
      <c r="IJ66" s="130"/>
      <c r="IM66" s="377"/>
      <c r="IN66" s="373"/>
      <c r="IO66" s="373"/>
      <c r="IP66" s="373"/>
      <c r="IQ66" s="373"/>
      <c r="IR66" s="76" t="s">
        <v>1654</v>
      </c>
      <c r="IS66" s="852" t="s">
        <v>416</v>
      </c>
      <c r="IT66" s="923"/>
      <c r="IU66" s="709"/>
      <c r="IV66" s="78"/>
      <c r="IW66" s="78"/>
      <c r="IX66" s="78"/>
      <c r="IY66" s="709"/>
      <c r="IZ66" s="76" t="s">
        <v>441</v>
      </c>
      <c r="JA66" s="1296" t="s">
        <v>435</v>
      </c>
      <c r="JB66" s="1297"/>
      <c r="JC66" s="920" t="s">
        <v>111</v>
      </c>
      <c r="JD66" s="921"/>
      <c r="JE66" s="916" t="s">
        <v>704</v>
      </c>
      <c r="JF66" s="917"/>
      <c r="JG66" s="906" t="s">
        <v>447</v>
      </c>
      <c r="JH66" s="907"/>
      <c r="JI66" s="907"/>
      <c r="JJ66" s="908"/>
      <c r="JK66" s="1051" t="s">
        <v>436</v>
      </c>
      <c r="JL66" s="1051"/>
      <c r="JM66" s="1051"/>
      <c r="JN66" s="1051"/>
      <c r="JO66" s="1051"/>
      <c r="JP66" s="373"/>
      <c r="JQ66" s="373"/>
      <c r="JR66" s="373"/>
      <c r="JS66" s="373"/>
      <c r="JT66" s="381" t="s">
        <v>1297</v>
      </c>
      <c r="JU66" s="653"/>
      <c r="JV66" s="653"/>
      <c r="JW66" s="653"/>
      <c r="LD66" s="130"/>
      <c r="LE66" s="130"/>
      <c r="LF66" s="130"/>
      <c r="LG66" s="130"/>
      <c r="LH66" s="130"/>
      <c r="LI66" s="130"/>
      <c r="LJ66" s="130"/>
      <c r="LK66" s="130"/>
      <c r="LL66" s="130"/>
      <c r="LM66" s="130"/>
      <c r="LN66" s="130"/>
      <c r="LO66" s="130"/>
      <c r="LP66" s="130"/>
      <c r="LQ66" s="130"/>
      <c r="LR66" s="130"/>
      <c r="LS66" s="130"/>
      <c r="LT66" s="130"/>
      <c r="LU66" s="130"/>
      <c r="LV66" s="130"/>
      <c r="LW66" s="130"/>
      <c r="MB66" s="1522"/>
      <c r="MC66" s="1523"/>
      <c r="MD66" s="1524"/>
      <c r="ME66" s="876"/>
      <c r="MF66" s="909"/>
      <c r="MG66" s="910"/>
      <c r="MH66" s="910"/>
      <c r="MI66" s="910"/>
      <c r="MJ66" s="910"/>
      <c r="MK66" s="910"/>
      <c r="ML66" s="910"/>
      <c r="MM66" s="910"/>
      <c r="MN66" s="910"/>
      <c r="MO66" s="910"/>
      <c r="MP66" s="910"/>
      <c r="MQ66" s="1243"/>
      <c r="MR66" s="1244"/>
      <c r="MS66" s="1245"/>
      <c r="MT66" s="1240"/>
      <c r="MU66" s="1241"/>
      <c r="MV66" s="1242"/>
      <c r="MW66" s="1555"/>
      <c r="MX66" s="1556"/>
      <c r="MY66" s="1554"/>
      <c r="ND66" s="866"/>
      <c r="NE66" s="909"/>
      <c r="NF66" s="910"/>
      <c r="NG66" s="910"/>
      <c r="NH66" s="910"/>
      <c r="NI66" s="1239"/>
      <c r="NK66" s="1216"/>
      <c r="NL66" s="1217"/>
      <c r="NM66" s="1217"/>
      <c r="NN66" s="1217"/>
      <c r="NO66" s="1217"/>
      <c r="NP66" s="1217"/>
      <c r="NQ66" s="1217"/>
      <c r="NR66" s="1217"/>
      <c r="NS66" s="1217"/>
      <c r="NT66" s="1217"/>
      <c r="NU66" s="1217"/>
      <c r="NV66" s="1217"/>
      <c r="NW66" s="1217"/>
      <c r="NX66" s="1217"/>
      <c r="NY66" s="1217"/>
      <c r="NZ66" s="1217"/>
      <c r="OA66" s="1217"/>
      <c r="OB66" s="1217"/>
      <c r="OC66" s="1217"/>
      <c r="OD66" s="1217"/>
      <c r="OE66" s="1217"/>
      <c r="OF66" s="1218"/>
      <c r="OS66" s="130"/>
      <c r="OT66" s="130"/>
      <c r="OU66" s="130"/>
      <c r="OV66" s="130"/>
      <c r="OW66" s="130"/>
      <c r="OX66" s="130"/>
      <c r="OY66" s="130"/>
      <c r="OZ66" s="130"/>
      <c r="PA66" s="130"/>
      <c r="PB66" s="130"/>
      <c r="PC66" s="130"/>
      <c r="PD66" s="130"/>
      <c r="PE66" s="130"/>
      <c r="PF66" s="130"/>
      <c r="PG66" s="130"/>
      <c r="PH66" s="130"/>
      <c r="PI66" s="130"/>
      <c r="PL66" s="850"/>
      <c r="PM66" s="802" t="s">
        <v>1055</v>
      </c>
      <c r="PN66" s="803"/>
      <c r="PO66" s="1632">
        <f>$EN$67</f>
        <v>11.821574570006934</v>
      </c>
      <c r="PP66" s="1633"/>
      <c r="PQ66" s="775"/>
      <c r="PR66" s="776"/>
      <c r="PS66" s="776"/>
      <c r="PT66" s="776"/>
      <c r="PU66" s="776"/>
      <c r="PV66" s="776"/>
      <c r="PW66" s="776"/>
      <c r="PX66" s="776"/>
      <c r="PY66" s="815"/>
      <c r="PZ66" s="837"/>
      <c r="QA66" s="838"/>
      <c r="QB66" s="1077"/>
      <c r="QC66" s="1078"/>
      <c r="QD66" s="842"/>
      <c r="QE66" s="1173"/>
      <c r="QF66" s="1174"/>
      <c r="QG66" s="1175"/>
      <c r="QH66" s="848"/>
      <c r="QI66" s="827"/>
      <c r="QJ66" s="947"/>
      <c r="QK66" s="947"/>
      <c r="QL66" s="947"/>
      <c r="QM66" s="947"/>
      <c r="QN66" s="947"/>
      <c r="QO66" s="948"/>
      <c r="QR66" s="130"/>
      <c r="QS66" s="130"/>
      <c r="QT66" s="130"/>
      <c r="QU66" s="130"/>
      <c r="RE66" s="653"/>
      <c r="RF66" s="653"/>
      <c r="RG66" s="653"/>
      <c r="RH66" s="653"/>
      <c r="RI66" s="653"/>
      <c r="RJ66" s="653"/>
      <c r="RK66" s="653"/>
      <c r="RL66" s="653"/>
      <c r="RM66" s="653"/>
      <c r="RN66" s="653"/>
      <c r="RO66" s="653"/>
      <c r="RP66" s="653"/>
      <c r="RQ66" s="653"/>
      <c r="RR66" s="653"/>
      <c r="RS66" s="653"/>
      <c r="RT66" s="653"/>
      <c r="RU66" s="653"/>
      <c r="RV66" s="653"/>
      <c r="RW66" s="653"/>
      <c r="RX66" s="653"/>
      <c r="RY66" s="653"/>
      <c r="RZ66" s="653"/>
      <c r="SA66" s="653"/>
      <c r="SB66" s="653"/>
      <c r="SC66" s="653"/>
      <c r="SD66" s="653"/>
      <c r="SE66" s="653"/>
      <c r="SF66" s="653"/>
      <c r="SG66" s="653"/>
      <c r="SH66" s="653"/>
      <c r="SI66" s="653"/>
      <c r="SJ66" s="653"/>
      <c r="SK66" s="653"/>
      <c r="SL66" s="653"/>
      <c r="SM66" s="653"/>
      <c r="SN66" s="653"/>
      <c r="SO66" s="653"/>
      <c r="SP66" s="653"/>
      <c r="SQ66" s="653"/>
      <c r="SR66" s="653"/>
      <c r="SS66" s="653"/>
      <c r="ST66" s="653"/>
      <c r="SU66" s="653"/>
      <c r="SV66" s="653"/>
      <c r="SW66" s="653"/>
      <c r="SX66" s="653"/>
      <c r="SY66" s="653"/>
      <c r="SZ66" s="653"/>
      <c r="TA66" s="653"/>
      <c r="TB66" s="653"/>
      <c r="TC66" s="653"/>
      <c r="TD66" s="653"/>
      <c r="TE66" s="653"/>
      <c r="TF66" s="653"/>
      <c r="TG66" s="653"/>
      <c r="TH66" s="653"/>
      <c r="TI66" s="653"/>
      <c r="TJ66" s="653"/>
      <c r="TK66" s="653"/>
      <c r="TL66" s="653"/>
      <c r="TM66" s="653"/>
      <c r="TN66" s="653"/>
      <c r="TO66" s="653"/>
      <c r="TP66" s="653"/>
      <c r="TQ66" s="653"/>
      <c r="TR66" s="653"/>
      <c r="TS66" s="653"/>
      <c r="TT66" s="653"/>
      <c r="TU66" s="653"/>
      <c r="TV66" s="653"/>
      <c r="TW66" s="653"/>
      <c r="TX66" s="653"/>
      <c r="TY66" s="653"/>
      <c r="TZ66" s="653"/>
      <c r="UA66" s="653"/>
      <c r="UB66" s="653"/>
      <c r="UC66" s="653"/>
      <c r="UD66" s="653"/>
      <c r="UE66" s="653"/>
      <c r="UF66" s="653"/>
      <c r="UG66" s="653"/>
      <c r="UH66" s="653"/>
      <c r="UI66" s="653"/>
      <c r="UJ66" s="653"/>
      <c r="UK66" s="653"/>
      <c r="UL66" s="653"/>
      <c r="UM66" s="653"/>
      <c r="UN66" s="653"/>
      <c r="UO66" s="653"/>
      <c r="UP66" s="653"/>
      <c r="UQ66" s="653"/>
      <c r="UR66" s="653"/>
      <c r="US66" s="653"/>
      <c r="UT66" s="653"/>
      <c r="UU66" s="653"/>
      <c r="UV66" s="653"/>
      <c r="UW66" s="653"/>
      <c r="UX66" s="653"/>
      <c r="UY66" s="653"/>
      <c r="UZ66" s="653"/>
      <c r="VC66" s="162"/>
      <c r="VD66" s="158"/>
      <c r="VE66" s="158"/>
      <c r="VF66" s="158"/>
      <c r="VG66" s="158"/>
      <c r="VH66" s="158"/>
      <c r="VI66" s="158"/>
      <c r="VJ66" s="158"/>
      <c r="VK66" s="158"/>
      <c r="VL66" s="158"/>
      <c r="VM66" s="158"/>
      <c r="VN66" s="158"/>
      <c r="VO66" s="158"/>
      <c r="VP66" s="158"/>
      <c r="VQ66" s="163"/>
      <c r="VZ66" s="130"/>
      <c r="WA66" s="130"/>
      <c r="WB66" s="130"/>
      <c r="WC66" s="653"/>
      <c r="WD66" s="653"/>
      <c r="XB66" s="653"/>
      <c r="XC66" s="653"/>
      <c r="XD66" s="653"/>
      <c r="XE66" s="653"/>
      <c r="XF66" s="971"/>
      <c r="XG66" s="158"/>
      <c r="XH66" s="158"/>
      <c r="XI66" s="158"/>
      <c r="XJ66" s="158"/>
      <c r="XK66" s="158"/>
      <c r="XL66" s="158"/>
      <c r="XM66" s="158"/>
      <c r="XN66" s="158"/>
      <c r="XO66" s="158"/>
      <c r="XP66" s="158"/>
      <c r="XQ66" s="158"/>
      <c r="XR66" s="158"/>
      <c r="XS66" s="158"/>
      <c r="XT66" s="158"/>
      <c r="XU66" s="158"/>
      <c r="XV66" s="158"/>
      <c r="XW66" s="158"/>
      <c r="XX66" s="158"/>
      <c r="XY66" s="158"/>
      <c r="XZ66" s="158"/>
      <c r="YA66" s="158"/>
      <c r="YB66" s="158"/>
      <c r="YC66" s="158"/>
      <c r="YD66" s="158"/>
      <c r="YE66" s="158"/>
      <c r="YF66" s="158"/>
      <c r="YG66" s="158"/>
      <c r="YH66" s="158"/>
      <c r="YI66" s="158"/>
      <c r="YJ66" s="158"/>
      <c r="YK66" s="158"/>
      <c r="YL66" s="158"/>
      <c r="YM66" s="158"/>
      <c r="YN66" s="158"/>
      <c r="YO66" s="158"/>
      <c r="YP66" s="158"/>
      <c r="YQ66" s="158"/>
      <c r="YR66" s="158"/>
      <c r="YS66" s="158"/>
      <c r="YT66" s="158"/>
      <c r="YU66" s="158"/>
      <c r="YV66" s="158"/>
      <c r="YW66" s="158"/>
      <c r="YX66" s="158"/>
      <c r="YY66" s="158"/>
      <c r="YZ66" s="158"/>
      <c r="ZA66" s="158"/>
      <c r="ZB66" s="158"/>
      <c r="ZC66" s="158"/>
      <c r="ZD66" s="158"/>
      <c r="ZE66" s="158"/>
      <c r="ZF66" s="158"/>
      <c r="ZG66" s="158"/>
      <c r="ZH66" s="158"/>
      <c r="ZI66" s="158"/>
      <c r="ZJ66" s="158"/>
      <c r="ZK66" s="158"/>
      <c r="ZL66" s="158"/>
      <c r="ZM66" s="158"/>
      <c r="ZN66" s="158"/>
      <c r="ZO66" s="158"/>
      <c r="ZP66" s="158"/>
      <c r="ZQ66" s="158"/>
      <c r="ZR66" s="158"/>
      <c r="ZS66" s="158"/>
      <c r="ZT66" s="158"/>
      <c r="ZU66" s="158"/>
      <c r="ZV66" s="158"/>
      <c r="ZW66" s="158"/>
      <c r="ZX66" s="158"/>
      <c r="ZY66" s="158"/>
      <c r="ZZ66" s="158"/>
      <c r="AAA66" s="158"/>
      <c r="AAB66" s="158"/>
      <c r="AAC66" s="158"/>
      <c r="AAD66" s="158"/>
      <c r="AAE66" s="158"/>
      <c r="AAF66" s="158"/>
      <c r="AAG66" s="158"/>
      <c r="AAH66" s="158"/>
      <c r="AAI66" s="158"/>
      <c r="AAJ66" s="158"/>
      <c r="AAK66" s="158"/>
      <c r="AAL66" s="158"/>
      <c r="AAM66" s="158"/>
      <c r="AAN66" s="158"/>
      <c r="AAO66" s="158"/>
      <c r="AAP66" s="158"/>
      <c r="AAQ66" s="158"/>
      <c r="AAR66" s="158"/>
      <c r="AAS66" s="158"/>
      <c r="AAT66" s="100"/>
      <c r="AAW66" s="653"/>
      <c r="AAX66" s="653"/>
      <c r="AAY66" s="653"/>
      <c r="AAZ66" s="653"/>
      <c r="ABA66" s="653"/>
      <c r="ABB66" s="653"/>
      <c r="ABC66" s="653"/>
      <c r="ABD66" s="653"/>
      <c r="ABE66" s="653"/>
      <c r="ABF66" s="653"/>
      <c r="ABG66" s="653"/>
      <c r="ABH66" s="653"/>
      <c r="ABQ66" s="653"/>
      <c r="ABR66" s="653"/>
      <c r="ABW66" s="653"/>
      <c r="ABX66" s="653"/>
      <c r="ACI66" s="653"/>
      <c r="ACJ66" s="653"/>
      <c r="ACK66" s="653"/>
      <c r="ACL66" s="653"/>
      <c r="ACM66" s="653"/>
      <c r="ACN66" s="653"/>
      <c r="ACO66" s="653"/>
      <c r="ACP66" s="653"/>
      <c r="ACQ66" s="653"/>
      <c r="ACR66" s="653"/>
      <c r="ACS66" s="653"/>
      <c r="ACT66" s="653"/>
      <c r="ACU66" s="653"/>
      <c r="ACV66" s="653"/>
      <c r="ACW66" s="653"/>
      <c r="ACX66" s="653"/>
      <c r="ACY66" s="653"/>
      <c r="ACZ66" s="653"/>
      <c r="ADA66" s="653"/>
      <c r="ADB66" s="653"/>
      <c r="ADC66" s="653"/>
      <c r="ADD66" s="653"/>
      <c r="AGJ66" s="377"/>
      <c r="AGK66" s="373"/>
      <c r="AGL66" s="54"/>
      <c r="AGM66" s="373"/>
      <c r="AGN66" s="652" t="s">
        <v>1654</v>
      </c>
      <c r="AGO66" s="852" t="s">
        <v>416</v>
      </c>
      <c r="AGP66" s="853"/>
      <c r="AGQ66" s="687"/>
      <c r="AGR66" s="78"/>
      <c r="AGS66" s="78"/>
      <c r="AGT66" s="78"/>
      <c r="AGU66" s="687"/>
      <c r="AGV66" s="76" t="s">
        <v>441</v>
      </c>
      <c r="AGW66" s="854" t="s">
        <v>435</v>
      </c>
      <c r="AGX66" s="1111"/>
      <c r="AGY66" s="920" t="s">
        <v>111</v>
      </c>
      <c r="AGZ66" s="921"/>
      <c r="AHA66" s="916" t="s">
        <v>704</v>
      </c>
      <c r="AHB66" s="917"/>
      <c r="AHC66" s="906" t="s">
        <v>447</v>
      </c>
      <c r="AHD66" s="907"/>
      <c r="AHE66" s="907"/>
      <c r="AHF66" s="908"/>
      <c r="AHG66" s="906" t="s">
        <v>1376</v>
      </c>
      <c r="AHH66" s="907"/>
      <c r="AHI66" s="907"/>
      <c r="AHJ66" s="1051" t="s">
        <v>436</v>
      </c>
      <c r="AHK66" s="1051"/>
      <c r="AHL66" s="1051"/>
      <c r="AHM66" s="1051"/>
      <c r="AHN66" s="1051"/>
      <c r="AHO66" s="373"/>
      <c r="AHP66" s="373"/>
      <c r="AHQ66" s="373"/>
      <c r="AHR66" s="373"/>
      <c r="AHS66" s="373"/>
      <c r="AHT66" s="373"/>
      <c r="AHU66" s="373"/>
      <c r="AHV66" s="373"/>
      <c r="AHW66" s="373"/>
      <c r="AHX66" s="373"/>
      <c r="AHY66" s="374"/>
      <c r="APU66" s="653"/>
      <c r="APV66" s="653"/>
      <c r="APW66" s="653"/>
      <c r="APX66" s="653"/>
      <c r="APY66" s="653"/>
      <c r="ARS66" s="653"/>
      <c r="ART66" s="653"/>
      <c r="ARU66" s="377"/>
      <c r="ARV66" s="373"/>
      <c r="ARW66" s="54"/>
      <c r="ARX66" s="381" t="s">
        <v>1297</v>
      </c>
      <c r="ARY66" s="849"/>
      <c r="ARZ66" s="957" t="s">
        <v>389</v>
      </c>
      <c r="ASA66" s="957"/>
      <c r="ASB66" s="957"/>
      <c r="ASC66" s="957"/>
      <c r="ASD66" s="957"/>
      <c r="ASE66" s="957"/>
      <c r="ASF66" s="957"/>
      <c r="ASG66" s="957"/>
      <c r="ASH66" s="957"/>
      <c r="ASI66" s="957"/>
      <c r="ASJ66" s="957"/>
      <c r="ASK66" s="957"/>
      <c r="ASL66" s="957"/>
      <c r="ASM66" s="1471">
        <f>ASG143-(1-ASO206)*(ARB60+PZ17)</f>
        <v>-490.99517177184606</v>
      </c>
      <c r="ASN66" s="1472"/>
      <c r="ASO66" s="839"/>
      <c r="ASP66" s="840"/>
      <c r="ASQ66" s="1066"/>
      <c r="ASR66" s="843" t="s">
        <v>416</v>
      </c>
      <c r="ASS66" s="844"/>
      <c r="AST66" s="847"/>
      <c r="ASU66" s="1052"/>
      <c r="ASV66" s="1052"/>
      <c r="ASW66" s="1052"/>
      <c r="ASX66" s="1052"/>
      <c r="ASY66" s="1052"/>
      <c r="ASZ66" s="1052"/>
      <c r="ATA66" s="1052"/>
      <c r="ATB66" s="1052"/>
      <c r="ATC66" s="1052"/>
      <c r="ATD66" s="1052"/>
      <c r="ATE66" s="1052"/>
      <c r="ATF66" s="1052"/>
      <c r="ATG66" s="373"/>
      <c r="ATH66" s="374"/>
      <c r="ATI66" s="130"/>
      <c r="ATJ66" s="130"/>
      <c r="ATK66" s="130"/>
      <c r="ATL66" s="130"/>
      <c r="ATM66" s="130"/>
      <c r="ATN66" s="130"/>
      <c r="ATO66" s="130"/>
      <c r="ATP66" s="130"/>
      <c r="ATQ66" s="130"/>
      <c r="ATR66" s="130"/>
      <c r="ATS66" s="130"/>
      <c r="ATT66" s="130"/>
      <c r="ATU66" s="130"/>
      <c r="ATV66" s="130"/>
      <c r="ATW66" s="130"/>
      <c r="ATX66" s="130"/>
      <c r="ATY66" s="130"/>
      <c r="ATZ66" s="130"/>
      <c r="AUA66" s="130"/>
      <c r="AUB66" s="130"/>
    </row>
    <row r="67" spans="4:945 1051:1224" ht="48" customHeight="1" thickBot="1">
      <c r="D67" s="121"/>
      <c r="E67" s="791" t="s">
        <v>1811</v>
      </c>
      <c r="F67" s="792"/>
      <c r="G67" s="792"/>
      <c r="H67" s="792"/>
      <c r="I67" s="792"/>
      <c r="J67" s="792"/>
      <c r="K67" s="792"/>
      <c r="L67" s="792"/>
      <c r="M67" s="1448" t="str">
        <f>H65</f>
        <v>IP44</v>
      </c>
      <c r="N67" s="1449"/>
      <c r="O67" s="143"/>
      <c r="AI67" s="903"/>
      <c r="AJ67" s="904"/>
      <c r="AK67" s="905"/>
      <c r="AL67" s="851"/>
      <c r="AM67" s="769"/>
      <c r="AN67" s="764"/>
      <c r="AO67" s="764"/>
      <c r="AP67" s="764"/>
      <c r="AQ67" s="764"/>
      <c r="AR67" s="764"/>
      <c r="AS67" s="764"/>
      <c r="AT67" s="764"/>
      <c r="AU67" s="764"/>
      <c r="AV67" s="764"/>
      <c r="AW67" s="764"/>
      <c r="AX67" s="1455"/>
      <c r="AY67" s="1456"/>
      <c r="AZ67" s="1077"/>
      <c r="BA67" s="1078"/>
      <c r="BB67" s="848"/>
      <c r="BC67" s="918"/>
      <c r="BD67" s="919"/>
      <c r="BE67" s="848"/>
      <c r="BX67" s="785"/>
      <c r="BY67" s="786"/>
      <c r="BZ67" s="787"/>
      <c r="CA67" s="849"/>
      <c r="CB67" s="768" t="s">
        <v>1823</v>
      </c>
      <c r="CC67" s="770"/>
      <c r="CD67" s="770"/>
      <c r="CE67" s="770"/>
      <c r="CF67" s="770"/>
      <c r="CG67" s="770"/>
      <c r="CH67" s="1753">
        <f>ROUND(CI63,0)</f>
        <v>17</v>
      </c>
      <c r="CI67" s="1754"/>
      <c r="CJ67" s="1183" t="s">
        <v>726</v>
      </c>
      <c r="CK67" s="1184"/>
      <c r="CL67" s="841"/>
      <c r="CM67" s="893" t="s">
        <v>1486</v>
      </c>
      <c r="CN67" s="894"/>
      <c r="CO67" s="847"/>
      <c r="DJ67" s="130"/>
      <c r="DK67" s="130"/>
      <c r="DL67" s="130"/>
      <c r="DM67" s="653"/>
      <c r="DN67" s="653"/>
      <c r="DO67" s="653"/>
      <c r="DP67" s="653"/>
      <c r="DQ67" s="653"/>
      <c r="DR67" s="653"/>
      <c r="DS67" s="653"/>
      <c r="DT67" s="653"/>
      <c r="DU67" s="653"/>
      <c r="DV67" s="653"/>
      <c r="DW67" s="653"/>
      <c r="DX67" s="653"/>
      <c r="DY67" s="653"/>
      <c r="DZ67" s="849"/>
      <c r="EA67" s="1732" t="s">
        <v>1564</v>
      </c>
      <c r="EB67" s="1733"/>
      <c r="EC67" s="890">
        <f>$EK$49</f>
        <v>25.438111676802539</v>
      </c>
      <c r="ED67" s="890"/>
      <c r="EE67" s="809" t="s">
        <v>980</v>
      </c>
      <c r="EF67" s="797"/>
      <c r="EG67" s="797"/>
      <c r="EH67" s="797"/>
      <c r="EI67" s="797"/>
      <c r="EJ67" s="797"/>
      <c r="EK67" s="797"/>
      <c r="EL67" s="797"/>
      <c r="EM67" s="798"/>
      <c r="EN67" s="1382">
        <f>((3.14*(EE66*1000+2*EC67)/EH66)-EC68)</f>
        <v>11.821574570006934</v>
      </c>
      <c r="EO67" s="1383"/>
      <c r="EP67" s="1075" t="s">
        <v>45</v>
      </c>
      <c r="EQ67" s="1076"/>
      <c r="ER67" s="1500"/>
      <c r="ES67" s="1305" t="s">
        <v>978</v>
      </c>
      <c r="ET67" s="1305"/>
      <c r="EU67" s="1305"/>
      <c r="EV67" s="1289"/>
      <c r="EW67" s="68"/>
      <c r="EX67" s="64"/>
      <c r="EY67" s="64"/>
      <c r="EZ67" s="64"/>
      <c r="FA67" s="64"/>
      <c r="FB67" s="64"/>
      <c r="FC67" s="65"/>
      <c r="FD67" s="653"/>
      <c r="FH67" s="126"/>
      <c r="FI67" s="126"/>
      <c r="FJ67" s="126"/>
      <c r="FK67" s="126"/>
      <c r="FO67" s="126"/>
      <c r="FP67" s="126"/>
      <c r="FQ67" s="126"/>
      <c r="FR67" s="126"/>
      <c r="FS67" s="126"/>
      <c r="FT67" s="126"/>
      <c r="FU67" s="126"/>
      <c r="FV67" s="126"/>
      <c r="FW67" s="126"/>
      <c r="FX67" s="126"/>
      <c r="FY67" s="126"/>
      <c r="FZ67" s="126"/>
      <c r="GA67" s="126"/>
      <c r="HR67" s="130"/>
      <c r="HS67" s="130"/>
      <c r="HT67" s="130"/>
      <c r="HU67" s="130"/>
      <c r="HV67" s="130"/>
      <c r="HW67" s="130"/>
      <c r="HX67" s="130"/>
      <c r="HY67" s="130"/>
      <c r="HZ67" s="130"/>
      <c r="IA67" s="130"/>
      <c r="IB67" s="130"/>
      <c r="IC67" s="130"/>
      <c r="ID67" s="130"/>
      <c r="IE67" s="130"/>
      <c r="IF67" s="130"/>
      <c r="IG67" s="130"/>
      <c r="IH67" s="130"/>
      <c r="II67" s="130"/>
      <c r="IM67" s="377"/>
      <c r="IN67" s="373"/>
      <c r="IO67" s="373"/>
      <c r="IP67" s="381"/>
      <c r="IQ67" s="381" t="s">
        <v>1297</v>
      </c>
      <c r="IR67" s="1052"/>
      <c r="IS67" s="710" t="s">
        <v>1172</v>
      </c>
      <c r="IT67" s="761">
        <f>GM28</f>
        <v>7.1989999999999998E-2</v>
      </c>
      <c r="IU67" s="761"/>
      <c r="IV67" s="823" t="s">
        <v>1839</v>
      </c>
      <c r="IW67" s="824"/>
      <c r="IX67" s="824"/>
      <c r="IY67" s="824"/>
      <c r="IZ67" s="824"/>
      <c r="JA67" s="824"/>
      <c r="JB67" s="824"/>
      <c r="JC67" s="885">
        <f>(3.14*(IT67*1000-IT68))/IT69</f>
        <v>25.590104674909831</v>
      </c>
      <c r="JD67" s="886"/>
      <c r="JE67" s="1075" t="s">
        <v>45</v>
      </c>
      <c r="JF67" s="1076"/>
      <c r="JG67" s="841"/>
      <c r="JH67" s="893" t="s">
        <v>845</v>
      </c>
      <c r="JI67" s="894"/>
      <c r="JJ67" s="847"/>
      <c r="JK67" s="1052"/>
      <c r="JL67" s="1052"/>
      <c r="JM67" s="1052"/>
      <c r="JN67" s="1052"/>
      <c r="JO67" s="1052"/>
      <c r="JP67" s="373"/>
      <c r="JQ67" s="373"/>
      <c r="JR67" s="373"/>
      <c r="JS67" s="373"/>
      <c r="JT67" s="382" t="s">
        <v>798</v>
      </c>
      <c r="JU67" s="653"/>
      <c r="JV67" s="653"/>
      <c r="JW67" s="653"/>
      <c r="JX67" s="1298" t="s">
        <v>750</v>
      </c>
      <c r="JY67" s="849"/>
      <c r="JZ67" s="852" t="s">
        <v>416</v>
      </c>
      <c r="KA67" s="923"/>
      <c r="KB67" s="229"/>
      <c r="KC67" s="78"/>
      <c r="KD67" s="78"/>
      <c r="KE67" s="78"/>
      <c r="KF67" s="78"/>
      <c r="KG67" s="78"/>
      <c r="KH67" s="78"/>
      <c r="KI67" s="229"/>
      <c r="KJ67" s="76" t="s">
        <v>441</v>
      </c>
      <c r="KK67" s="854" t="s">
        <v>435</v>
      </c>
      <c r="KL67" s="1111"/>
      <c r="KM67" s="1072" t="s">
        <v>111</v>
      </c>
      <c r="KN67" s="1073"/>
      <c r="KO67" s="1074"/>
      <c r="KP67" s="916" t="s">
        <v>704</v>
      </c>
      <c r="KQ67" s="917"/>
      <c r="KR67" s="906" t="s">
        <v>447</v>
      </c>
      <c r="KS67" s="907"/>
      <c r="KT67" s="907"/>
      <c r="KU67" s="908"/>
      <c r="LD67" s="130"/>
      <c r="LE67" s="130"/>
      <c r="LF67" s="130"/>
      <c r="LG67" s="130"/>
      <c r="LH67" s="130"/>
      <c r="LI67" s="130"/>
      <c r="LJ67" s="130"/>
      <c r="LK67" s="130"/>
      <c r="LL67" s="130"/>
      <c r="LM67" s="130"/>
      <c r="LN67" s="130"/>
      <c r="LO67" s="130"/>
      <c r="LP67" s="130"/>
      <c r="LQ67" s="130"/>
      <c r="LR67" s="130"/>
      <c r="LS67" s="130"/>
      <c r="LT67" s="130"/>
      <c r="LU67" s="130"/>
      <c r="LV67" s="130"/>
      <c r="LW67" s="130"/>
      <c r="NK67" s="1216"/>
      <c r="NL67" s="1217"/>
      <c r="NM67" s="1217"/>
      <c r="NN67" s="1217"/>
      <c r="NO67" s="1217"/>
      <c r="NP67" s="1217"/>
      <c r="NQ67" s="1217"/>
      <c r="NR67" s="1217"/>
      <c r="NS67" s="1217"/>
      <c r="NT67" s="1217"/>
      <c r="NU67" s="1217"/>
      <c r="NV67" s="1217"/>
      <c r="NW67" s="1217"/>
      <c r="NX67" s="1217"/>
      <c r="NY67" s="1217"/>
      <c r="NZ67" s="1217"/>
      <c r="OA67" s="1217"/>
      <c r="OB67" s="1217"/>
      <c r="OC67" s="1217"/>
      <c r="OD67" s="1217"/>
      <c r="OE67" s="1217"/>
      <c r="OF67" s="1218"/>
      <c r="OS67" s="130"/>
      <c r="OT67" s="130"/>
      <c r="OU67" s="130"/>
      <c r="OV67" s="130"/>
      <c r="OW67" s="130"/>
      <c r="OX67" s="130"/>
      <c r="OY67" s="130"/>
      <c r="OZ67" s="130"/>
      <c r="PA67" s="130"/>
      <c r="PB67" s="130"/>
      <c r="PC67" s="130"/>
      <c r="PD67" s="130"/>
      <c r="PE67" s="130"/>
      <c r="PF67" s="130"/>
      <c r="PG67" s="130"/>
      <c r="PH67" s="130"/>
      <c r="PI67" s="130"/>
      <c r="PL67" s="828"/>
      <c r="PM67" s="1060"/>
      <c r="PN67" s="1061"/>
      <c r="PO67" s="1061"/>
      <c r="PP67" s="1062"/>
      <c r="PQ67" s="778"/>
      <c r="PR67" s="778"/>
      <c r="PS67" s="778"/>
      <c r="PT67" s="778"/>
      <c r="PU67" s="778"/>
      <c r="PV67" s="778"/>
      <c r="PW67" s="778"/>
      <c r="PX67" s="778"/>
      <c r="PY67" s="799"/>
      <c r="PZ67" s="942"/>
      <c r="QA67" s="943"/>
      <c r="QB67" s="943"/>
      <c r="QC67" s="943"/>
      <c r="QD67" s="943"/>
      <c r="QE67" s="943"/>
      <c r="QF67" s="943"/>
      <c r="QG67" s="943"/>
      <c r="QH67" s="944"/>
      <c r="QI67" s="828"/>
      <c r="QJ67" s="949"/>
      <c r="QK67" s="949"/>
      <c r="QL67" s="949"/>
      <c r="QM67" s="949"/>
      <c r="QN67" s="949"/>
      <c r="QO67" s="950"/>
      <c r="QR67" s="130"/>
      <c r="QS67" s="130"/>
      <c r="QT67" s="130"/>
      <c r="QU67" s="130"/>
      <c r="RE67" s="653"/>
      <c r="RF67" s="653"/>
      <c r="RG67" s="653"/>
      <c r="RH67" s="653"/>
      <c r="RI67" s="653"/>
      <c r="RJ67" s="653"/>
      <c r="RK67" s="653"/>
      <c r="RL67" s="653"/>
      <c r="RM67" s="653"/>
      <c r="RN67" s="653"/>
      <c r="RO67" s="653"/>
      <c r="RP67" s="653"/>
      <c r="RQ67" s="653"/>
      <c r="RR67" s="653"/>
      <c r="RS67" s="653"/>
      <c r="RT67" s="653"/>
      <c r="RU67" s="653"/>
      <c r="RV67" s="653"/>
      <c r="RW67" s="653"/>
      <c r="RX67" s="653"/>
      <c r="RY67" s="653"/>
      <c r="RZ67" s="653"/>
      <c r="SA67" s="653"/>
      <c r="SB67" s="653"/>
      <c r="SC67" s="653"/>
      <c r="SD67" s="653"/>
      <c r="SE67" s="653"/>
      <c r="SF67" s="653"/>
      <c r="SG67" s="653"/>
      <c r="SH67" s="653"/>
      <c r="SI67" s="653"/>
      <c r="SJ67" s="653"/>
      <c r="SK67" s="653"/>
      <c r="SL67" s="653"/>
      <c r="SM67" s="653"/>
      <c r="SN67" s="653"/>
      <c r="SO67" s="653"/>
      <c r="SP67" s="653"/>
      <c r="SQ67" s="653"/>
      <c r="SR67" s="653"/>
      <c r="SS67" s="653"/>
      <c r="ST67" s="653"/>
      <c r="SU67" s="653"/>
      <c r="SV67" s="653"/>
      <c r="SW67" s="653"/>
      <c r="SX67" s="653"/>
      <c r="SY67" s="653"/>
      <c r="SZ67" s="653"/>
      <c r="TA67" s="653"/>
      <c r="TB67" s="653"/>
      <c r="TC67" s="653"/>
      <c r="TD67" s="653"/>
      <c r="TE67" s="653"/>
      <c r="TF67" s="653"/>
      <c r="TG67" s="653"/>
      <c r="TH67" s="653"/>
      <c r="TI67" s="653"/>
      <c r="TJ67" s="653"/>
      <c r="TK67" s="653"/>
      <c r="TL67" s="653"/>
      <c r="TM67" s="653"/>
      <c r="TN67" s="653"/>
      <c r="TO67" s="653"/>
      <c r="TP67" s="653"/>
      <c r="TQ67" s="653"/>
      <c r="TR67" s="653"/>
      <c r="TS67" s="653"/>
      <c r="TT67" s="653"/>
      <c r="TU67" s="653"/>
      <c r="TV67" s="653"/>
      <c r="TW67" s="653"/>
      <c r="TX67" s="653"/>
      <c r="TY67" s="653"/>
      <c r="TZ67" s="653"/>
      <c r="UA67" s="653"/>
      <c r="UB67" s="653"/>
      <c r="UC67" s="653"/>
      <c r="UD67" s="653"/>
      <c r="UE67" s="653"/>
      <c r="UF67" s="653"/>
      <c r="UG67" s="653"/>
      <c r="UH67" s="653"/>
      <c r="UI67" s="653"/>
      <c r="UJ67" s="653"/>
      <c r="UK67" s="653"/>
      <c r="UL67" s="653"/>
      <c r="UM67" s="653"/>
      <c r="UN67" s="653"/>
      <c r="UO67" s="653"/>
      <c r="UP67" s="653"/>
      <c r="UQ67" s="653"/>
      <c r="UR67" s="653"/>
      <c r="US67" s="653"/>
      <c r="UT67" s="653"/>
      <c r="UU67" s="653"/>
      <c r="UV67" s="653"/>
      <c r="UW67" s="653"/>
      <c r="UX67" s="653"/>
      <c r="UY67" s="653"/>
      <c r="UZ67" s="653"/>
      <c r="VC67" s="162"/>
      <c r="VD67" s="158"/>
      <c r="VE67" s="158"/>
      <c r="VF67" s="158"/>
      <c r="VG67" s="158"/>
      <c r="VH67" s="158"/>
      <c r="VI67" s="158"/>
      <c r="VJ67" s="158"/>
      <c r="VK67" s="158"/>
      <c r="VL67" s="158"/>
      <c r="VM67" s="158"/>
      <c r="VN67" s="158"/>
      <c r="VO67" s="158"/>
      <c r="VP67" s="158"/>
      <c r="VQ67" s="163"/>
      <c r="WC67" s="653"/>
      <c r="WD67" s="653"/>
      <c r="XB67" s="653"/>
      <c r="XC67" s="653"/>
      <c r="XD67" s="653"/>
      <c r="XE67" s="653"/>
      <c r="XF67" s="971"/>
      <c r="XG67" s="158"/>
      <c r="XH67" s="158"/>
      <c r="XI67" s="158"/>
      <c r="XJ67" s="158"/>
      <c r="XK67" s="158"/>
      <c r="XL67" s="158"/>
      <c r="XM67" s="158"/>
      <c r="XN67" s="158"/>
      <c r="XO67" s="158"/>
      <c r="XP67" s="158"/>
      <c r="XQ67" s="158"/>
      <c r="XR67" s="158"/>
      <c r="XS67" s="158"/>
      <c r="XT67" s="158"/>
      <c r="XU67" s="158"/>
      <c r="XV67" s="158"/>
      <c r="XW67" s="158"/>
      <c r="XX67" s="158"/>
      <c r="XY67" s="158"/>
      <c r="XZ67" s="158"/>
      <c r="YA67" s="158"/>
      <c r="YB67" s="158"/>
      <c r="YC67" s="158"/>
      <c r="YD67" s="158"/>
      <c r="YE67" s="158"/>
      <c r="YF67" s="158"/>
      <c r="YG67" s="158"/>
      <c r="YH67" s="158"/>
      <c r="YI67" s="158"/>
      <c r="YJ67" s="158"/>
      <c r="YK67" s="158"/>
      <c r="YL67" s="158"/>
      <c r="YM67" s="158"/>
      <c r="YN67" s="158"/>
      <c r="YO67" s="158"/>
      <c r="YP67" s="158"/>
      <c r="YQ67" s="158"/>
      <c r="YR67" s="158"/>
      <c r="YS67" s="158"/>
      <c r="YT67" s="158"/>
      <c r="YU67" s="158"/>
      <c r="YV67" s="158"/>
      <c r="YW67" s="158"/>
      <c r="YX67" s="158"/>
      <c r="YY67" s="158"/>
      <c r="YZ67" s="158"/>
      <c r="ZA67" s="158"/>
      <c r="ZB67" s="158"/>
      <c r="ZC67" s="158"/>
      <c r="ZD67" s="158"/>
      <c r="ZE67" s="158"/>
      <c r="ZF67" s="158"/>
      <c r="ZG67" s="158"/>
      <c r="ZH67" s="158"/>
      <c r="ZI67" s="158"/>
      <c r="ZJ67" s="158"/>
      <c r="ZK67" s="158"/>
      <c r="ZL67" s="158"/>
      <c r="ZM67" s="158"/>
      <c r="ZN67" s="158"/>
      <c r="ZO67" s="158"/>
      <c r="ZP67" s="158"/>
      <c r="ZQ67" s="158"/>
      <c r="ZR67" s="158"/>
      <c r="ZS67" s="158"/>
      <c r="ZT67" s="158"/>
      <c r="ZU67" s="158"/>
      <c r="ZV67" s="158"/>
      <c r="ZW67" s="158"/>
      <c r="ZX67" s="158"/>
      <c r="ZY67" s="158"/>
      <c r="ZZ67" s="158"/>
      <c r="AAA67" s="158"/>
      <c r="AAB67" s="158"/>
      <c r="AAC67" s="158"/>
      <c r="AAD67" s="158"/>
      <c r="AAE67" s="158"/>
      <c r="AAF67" s="158"/>
      <c r="AAG67" s="158"/>
      <c r="AAH67" s="158"/>
      <c r="AAI67" s="158"/>
      <c r="AAJ67" s="158"/>
      <c r="AAK67" s="158"/>
      <c r="AAL67" s="158"/>
      <c r="AAM67" s="158"/>
      <c r="AAN67" s="158"/>
      <c r="AAO67" s="158"/>
      <c r="AAP67" s="158"/>
      <c r="AAQ67" s="158"/>
      <c r="AAR67" s="158"/>
      <c r="AAS67" s="158"/>
      <c r="AAT67" s="100"/>
      <c r="AAW67" s="653"/>
      <c r="AAX67" s="653"/>
      <c r="AAY67" s="653"/>
      <c r="AAZ67" s="653"/>
      <c r="ABA67" s="653"/>
      <c r="ABB67" s="653"/>
      <c r="ABC67" s="653"/>
      <c r="ABD67" s="653"/>
      <c r="ABE67" s="653"/>
      <c r="ABF67" s="653"/>
      <c r="ABG67" s="653"/>
      <c r="ABH67" s="653"/>
      <c r="ABQ67" s="653"/>
      <c r="ABR67" s="653"/>
      <c r="ABW67" s="653"/>
      <c r="ABX67" s="653"/>
      <c r="ACI67" s="653"/>
      <c r="ACJ67" s="653"/>
      <c r="ACK67" s="653"/>
      <c r="ACL67" s="653"/>
      <c r="ACM67" s="653"/>
      <c r="ACN67" s="653"/>
      <c r="ACO67" s="653"/>
      <c r="ACP67" s="653"/>
      <c r="ACQ67" s="653"/>
      <c r="ACR67" s="653"/>
      <c r="ACS67" s="653"/>
      <c r="ACT67" s="653"/>
      <c r="ACU67" s="653"/>
      <c r="ACV67" s="653"/>
      <c r="ACW67" s="653"/>
      <c r="ACX67" s="653"/>
      <c r="ACY67" s="653"/>
      <c r="ACZ67" s="653"/>
      <c r="ADA67" s="653"/>
      <c r="ADB67" s="653"/>
      <c r="ADC67" s="653"/>
      <c r="ADD67" s="653"/>
      <c r="AEQ67" s="653"/>
      <c r="AER67" s="653"/>
      <c r="AES67" s="653"/>
      <c r="AET67" s="653"/>
      <c r="AEU67" s="653"/>
      <c r="AEV67" s="653"/>
      <c r="AEW67" s="653"/>
      <c r="AEX67" s="653"/>
      <c r="AEY67" s="653"/>
      <c r="AEZ67" s="653"/>
      <c r="AFA67" s="653"/>
      <c r="AFB67" s="653"/>
      <c r="AFC67" s="653"/>
      <c r="AFD67" s="653"/>
      <c r="AFE67" s="653"/>
      <c r="AGJ67" s="377"/>
      <c r="AGK67" s="373"/>
      <c r="AGL67" s="54"/>
      <c r="AGM67" s="381" t="s">
        <v>1297</v>
      </c>
      <c r="AGN67" s="849"/>
      <c r="AGO67" s="861" t="s">
        <v>1090</v>
      </c>
      <c r="AGP67" s="861"/>
      <c r="AGQ67" s="937">
        <f>$GQ$78</f>
        <v>4.847402946961874</v>
      </c>
      <c r="AGR67" s="937"/>
      <c r="AGS67" s="791" t="s">
        <v>379</v>
      </c>
      <c r="AGT67" s="792"/>
      <c r="AGU67" s="792"/>
      <c r="AGV67" s="792"/>
      <c r="AGW67" s="792"/>
      <c r="AGX67" s="792"/>
      <c r="AGY67" s="835">
        <f>(3.14*(AGQ67^2))/(4*AGQ68+1)</f>
        <v>19.565990152015562</v>
      </c>
      <c r="AGZ67" s="836"/>
      <c r="AHA67" s="927" t="s">
        <v>757</v>
      </c>
      <c r="AHB67" s="928"/>
      <c r="AHC67" s="841"/>
      <c r="AHD67" s="1170" t="s">
        <v>1374</v>
      </c>
      <c r="AHE67" s="1172"/>
      <c r="AHF67" s="847"/>
      <c r="AHG67" s="1335"/>
      <c r="AHH67" s="1336"/>
      <c r="AHI67" s="1337"/>
      <c r="AHJ67" s="1052"/>
      <c r="AHK67" s="1052"/>
      <c r="AHL67" s="1052"/>
      <c r="AHM67" s="1052"/>
      <c r="AHN67" s="1052"/>
      <c r="AHO67" s="373"/>
      <c r="AHP67" s="373"/>
      <c r="AHQ67" s="373"/>
      <c r="AHR67" s="373"/>
      <c r="AHS67" s="373"/>
      <c r="AHT67" s="373"/>
      <c r="AHU67" s="373"/>
      <c r="AHV67" s="373"/>
      <c r="AHW67" s="373"/>
      <c r="AHX67" s="373"/>
      <c r="AHY67" s="374"/>
      <c r="APU67" s="653"/>
      <c r="APV67" s="653"/>
      <c r="APW67" s="653"/>
      <c r="APX67" s="653"/>
      <c r="APY67" s="653"/>
      <c r="ARU67" s="377"/>
      <c r="ARV67" s="373"/>
      <c r="ARW67" s="54"/>
      <c r="ARX67" s="373"/>
      <c r="ARY67" s="851"/>
      <c r="ARZ67" s="1147"/>
      <c r="ASA67" s="1147"/>
      <c r="ASB67" s="1147"/>
      <c r="ASC67" s="1147"/>
      <c r="ASD67" s="1147"/>
      <c r="ASE67" s="1147"/>
      <c r="ASF67" s="1147"/>
      <c r="ASG67" s="1147"/>
      <c r="ASH67" s="1147"/>
      <c r="ASI67" s="1147"/>
      <c r="ASJ67" s="1147"/>
      <c r="ASK67" s="1147"/>
      <c r="ASL67" s="1147"/>
      <c r="ASM67" s="1473"/>
      <c r="ASN67" s="1474"/>
      <c r="ASO67" s="777"/>
      <c r="ASP67" s="799"/>
      <c r="ASQ67" s="1067"/>
      <c r="ASR67" s="845"/>
      <c r="ASS67" s="846"/>
      <c r="AST67" s="848"/>
      <c r="ASU67" s="1053"/>
      <c r="ASV67" s="1053"/>
      <c r="ASW67" s="1053"/>
      <c r="ASX67" s="1053"/>
      <c r="ASY67" s="1053"/>
      <c r="ASZ67" s="1053"/>
      <c r="ATA67" s="1053"/>
      <c r="ATB67" s="1053"/>
      <c r="ATC67" s="1053"/>
      <c r="ATD67" s="1053"/>
      <c r="ATE67" s="1053"/>
      <c r="ATF67" s="1053"/>
      <c r="ATG67" s="373"/>
      <c r="ATH67" s="374"/>
      <c r="ATI67" s="130"/>
      <c r="ATJ67" s="130"/>
      <c r="ATK67" s="130"/>
      <c r="ATL67" s="130"/>
      <c r="ATM67" s="130"/>
      <c r="ATN67" s="130"/>
      <c r="ATO67" s="130"/>
      <c r="ATP67" s="130"/>
      <c r="ATQ67" s="130"/>
      <c r="ATR67" s="130"/>
      <c r="ATS67" s="130"/>
      <c r="ATT67" s="130"/>
      <c r="ATU67" s="130"/>
      <c r="ATV67" s="130"/>
      <c r="ATW67" s="130"/>
      <c r="ATX67" s="130"/>
      <c r="ATY67" s="130"/>
      <c r="ATZ67" s="130"/>
      <c r="AUA67" s="130"/>
      <c r="AUB67" s="130"/>
    </row>
    <row r="68" spans="4:945 1051:1224" ht="48" customHeight="1" thickBot="1">
      <c r="D68" s="122"/>
      <c r="E68" s="794"/>
      <c r="F68" s="795"/>
      <c r="G68" s="795"/>
      <c r="H68" s="795"/>
      <c r="I68" s="795"/>
      <c r="J68" s="795"/>
      <c r="K68" s="795"/>
      <c r="L68" s="795"/>
      <c r="M68" s="1450"/>
      <c r="N68" s="1451"/>
      <c r="O68" s="143"/>
      <c r="P68" s="1458" t="s">
        <v>885</v>
      </c>
      <c r="Q68" s="1280"/>
      <c r="R68" s="1280"/>
      <c r="S68" s="1281"/>
      <c r="T68" s="1706" t="str">
        <f>$M$67</f>
        <v>IP44</v>
      </c>
      <c r="U68" s="1707"/>
      <c r="BX68" s="788"/>
      <c r="BY68" s="789"/>
      <c r="BZ68" s="790"/>
      <c r="CA68" s="851"/>
      <c r="CB68" s="811"/>
      <c r="CC68" s="772"/>
      <c r="CD68" s="772"/>
      <c r="CE68" s="772"/>
      <c r="CF68" s="772"/>
      <c r="CG68" s="772"/>
      <c r="CH68" s="1755"/>
      <c r="CI68" s="1756"/>
      <c r="CJ68" s="1185"/>
      <c r="CK68" s="1186"/>
      <c r="CL68" s="842"/>
      <c r="CM68" s="918"/>
      <c r="CN68" s="919"/>
      <c r="CO68" s="848"/>
      <c r="DJ68" s="130"/>
      <c r="DK68" s="130"/>
      <c r="DL68" s="130"/>
      <c r="DM68" s="653"/>
      <c r="DN68" s="653"/>
      <c r="DO68" s="653"/>
      <c r="DT68" s="653"/>
      <c r="DY68" s="653"/>
      <c r="DZ68" s="851"/>
      <c r="EA68" s="802" t="s">
        <v>1107</v>
      </c>
      <c r="EB68" s="803"/>
      <c r="EC68" s="804">
        <f>$EN$28</f>
        <v>5.4298617077080698</v>
      </c>
      <c r="ED68" s="804"/>
      <c r="EE68" s="777"/>
      <c r="EF68" s="778"/>
      <c r="EG68" s="778"/>
      <c r="EH68" s="778"/>
      <c r="EI68" s="778"/>
      <c r="EJ68" s="778"/>
      <c r="EK68" s="778"/>
      <c r="EL68" s="778"/>
      <c r="EM68" s="799"/>
      <c r="EN68" s="1384"/>
      <c r="EO68" s="1385"/>
      <c r="EP68" s="1077"/>
      <c r="EQ68" s="1078"/>
      <c r="ER68" s="1501"/>
      <c r="ES68" s="1306"/>
      <c r="ET68" s="1306"/>
      <c r="EU68" s="1306"/>
      <c r="EV68" s="1290"/>
      <c r="EW68" s="81"/>
      <c r="EX68" s="79"/>
      <c r="EY68" s="79"/>
      <c r="EZ68" s="79"/>
      <c r="FA68" s="79"/>
      <c r="FB68" s="79"/>
      <c r="FC68" s="80"/>
      <c r="FD68" s="653"/>
      <c r="GF68" s="76" t="s">
        <v>793</v>
      </c>
      <c r="GG68" s="852" t="s">
        <v>416</v>
      </c>
      <c r="GH68" s="923"/>
      <c r="GI68" s="233"/>
      <c r="GJ68" s="240" t="s">
        <v>1018</v>
      </c>
      <c r="GK68" s="761">
        <f>$AW$95</f>
        <v>0.19391178434038603</v>
      </c>
      <c r="GL68" s="761"/>
      <c r="GM68" s="136"/>
      <c r="GN68" s="78"/>
      <c r="GO68" s="78"/>
      <c r="GP68" s="136"/>
      <c r="GQ68" s="76" t="s">
        <v>441</v>
      </c>
      <c r="GR68" s="854" t="s">
        <v>435</v>
      </c>
      <c r="GS68" s="855"/>
      <c r="GT68" s="924" t="s">
        <v>111</v>
      </c>
      <c r="GU68" s="925"/>
      <c r="GV68" s="916" t="s">
        <v>704</v>
      </c>
      <c r="GW68" s="917"/>
      <c r="GX68" s="906" t="s">
        <v>447</v>
      </c>
      <c r="GY68" s="907"/>
      <c r="GZ68" s="907"/>
      <c r="HA68" s="908"/>
      <c r="HB68" s="1051" t="s">
        <v>436</v>
      </c>
      <c r="HC68" s="1051"/>
      <c r="HD68" s="1051"/>
      <c r="HE68" s="1051"/>
      <c r="HF68" s="1051"/>
      <c r="HG68" s="1051"/>
      <c r="HR68" s="130"/>
      <c r="HS68" s="130"/>
      <c r="HT68" s="130"/>
      <c r="HU68" s="130"/>
      <c r="HV68" s="130"/>
      <c r="HW68" s="130"/>
      <c r="HX68" s="130"/>
      <c r="HY68" s="130"/>
      <c r="HZ68" s="130"/>
      <c r="IA68" s="130"/>
      <c r="IB68" s="130"/>
      <c r="IC68" s="130"/>
      <c r="ID68" s="130"/>
      <c r="IE68" s="130"/>
      <c r="IF68" s="130"/>
      <c r="IG68" s="130"/>
      <c r="IH68" s="130"/>
      <c r="II68" s="130"/>
      <c r="IJ68" s="130"/>
      <c r="IM68" s="377"/>
      <c r="IN68" s="373"/>
      <c r="IO68" s="373"/>
      <c r="IP68" s="381"/>
      <c r="IQ68" s="373"/>
      <c r="IR68" s="1052"/>
      <c r="IS68" s="710" t="s">
        <v>1108</v>
      </c>
      <c r="IT68" s="926">
        <f>$JC$99</f>
        <v>39.391140541516137</v>
      </c>
      <c r="IU68" s="926"/>
      <c r="IV68" s="823"/>
      <c r="IW68" s="824"/>
      <c r="IX68" s="824"/>
      <c r="IY68" s="824"/>
      <c r="IZ68" s="824"/>
      <c r="JA68" s="824"/>
      <c r="JB68" s="824"/>
      <c r="JC68" s="887"/>
      <c r="JD68" s="888"/>
      <c r="JE68" s="1077"/>
      <c r="JF68" s="1078"/>
      <c r="JG68" s="842"/>
      <c r="JH68" s="918"/>
      <c r="JI68" s="919"/>
      <c r="JJ68" s="848"/>
      <c r="JK68" s="1052"/>
      <c r="JL68" s="1052"/>
      <c r="JM68" s="1052"/>
      <c r="JN68" s="1052"/>
      <c r="JO68" s="1052"/>
      <c r="JP68" s="373"/>
      <c r="JQ68" s="373"/>
      <c r="JR68" s="373"/>
      <c r="JS68" s="373"/>
      <c r="JT68" s="382" t="s">
        <v>1583</v>
      </c>
      <c r="JU68" s="653"/>
      <c r="JV68" s="653"/>
      <c r="JW68" s="653"/>
      <c r="JX68" s="1299"/>
      <c r="JY68" s="850"/>
      <c r="JZ68" s="1197" t="s">
        <v>1066</v>
      </c>
      <c r="KA68" s="1198"/>
      <c r="KB68" s="1198"/>
      <c r="KC68" s="1198"/>
      <c r="KD68" s="1198"/>
      <c r="KE68" s="1198"/>
      <c r="KF68" s="1198"/>
      <c r="KG68" s="1198"/>
      <c r="KH68" s="1198"/>
      <c r="KI68" s="1198"/>
      <c r="KJ68" s="1198"/>
      <c r="KK68" s="1198"/>
      <c r="KL68" s="1211"/>
      <c r="KM68" s="1347">
        <f>4*3.14*10^-7</f>
        <v>1.2559999999999999E-6</v>
      </c>
      <c r="KN68" s="1348"/>
      <c r="KO68" s="1349"/>
      <c r="KP68" s="1207" t="s">
        <v>1064</v>
      </c>
      <c r="KQ68" s="1208"/>
      <c r="KR68" s="1066"/>
      <c r="KS68" s="893" t="s">
        <v>1067</v>
      </c>
      <c r="KT68" s="894"/>
      <c r="KU68" s="847"/>
      <c r="LD68" s="130"/>
      <c r="LE68" s="130"/>
      <c r="LF68" s="130"/>
      <c r="LG68" s="130"/>
      <c r="LH68" s="130"/>
      <c r="LI68" s="130"/>
      <c r="LJ68" s="130"/>
      <c r="LK68" s="130"/>
      <c r="LL68" s="130"/>
      <c r="LM68" s="130"/>
      <c r="LN68" s="130"/>
      <c r="LO68" s="130"/>
      <c r="LP68" s="130"/>
      <c r="LQ68" s="130"/>
      <c r="LR68" s="130"/>
      <c r="LS68" s="130"/>
      <c r="LT68" s="130"/>
      <c r="LU68" s="130"/>
      <c r="LV68" s="130"/>
      <c r="LW68" s="130"/>
      <c r="MB68" s="849"/>
      <c r="MC68" s="852" t="s">
        <v>416</v>
      </c>
      <c r="MD68" s="853"/>
      <c r="ME68" s="344"/>
      <c r="MF68" s="348" t="s">
        <v>423</v>
      </c>
      <c r="MG68" s="911">
        <f>MQ65</f>
        <v>4.8780487804878047E-8</v>
      </c>
      <c r="MH68" s="912"/>
      <c r="MI68" s="913"/>
      <c r="MJ68" s="78"/>
      <c r="MK68" s="78"/>
      <c r="ML68" s="344"/>
      <c r="MM68" s="76" t="s">
        <v>441</v>
      </c>
      <c r="MN68" s="854" t="s">
        <v>435</v>
      </c>
      <c r="MO68" s="855"/>
      <c r="MP68" s="1072" t="s">
        <v>111</v>
      </c>
      <c r="MQ68" s="1073"/>
      <c r="MR68" s="1074"/>
      <c r="MS68" s="916" t="s">
        <v>704</v>
      </c>
      <c r="MT68" s="917"/>
      <c r="MU68" s="906" t="s">
        <v>447</v>
      </c>
      <c r="MV68" s="907"/>
      <c r="MW68" s="907"/>
      <c r="MX68" s="908"/>
      <c r="MY68" s="906" t="s">
        <v>436</v>
      </c>
      <c r="MZ68" s="907"/>
      <c r="NA68" s="908"/>
      <c r="NK68" s="1216"/>
      <c r="NL68" s="1217"/>
      <c r="NM68" s="1217"/>
      <c r="NN68" s="1217"/>
      <c r="NO68" s="1217"/>
      <c r="NP68" s="1217"/>
      <c r="NQ68" s="1217"/>
      <c r="NR68" s="1217"/>
      <c r="NS68" s="1217"/>
      <c r="NT68" s="1217"/>
      <c r="NU68" s="1217"/>
      <c r="NV68" s="1217"/>
      <c r="NW68" s="1217"/>
      <c r="NX68" s="1217"/>
      <c r="NY68" s="1217"/>
      <c r="NZ68" s="1217"/>
      <c r="OA68" s="1217"/>
      <c r="OB68" s="1217"/>
      <c r="OC68" s="1217"/>
      <c r="OD68" s="1217"/>
      <c r="OE68" s="1217"/>
      <c r="OF68" s="1218"/>
      <c r="OS68" s="130"/>
      <c r="OT68" s="130"/>
      <c r="OU68" s="130"/>
      <c r="OV68" s="130"/>
      <c r="OW68" s="130"/>
      <c r="OX68" s="130"/>
      <c r="OY68" s="130"/>
      <c r="OZ68" s="130"/>
      <c r="PA68" s="130"/>
      <c r="PB68" s="130"/>
      <c r="PC68" s="130"/>
      <c r="PD68" s="130"/>
      <c r="PE68" s="130"/>
      <c r="PF68" s="130"/>
      <c r="PG68" s="130"/>
      <c r="PH68" s="130"/>
      <c r="PI68" s="130"/>
      <c r="QR68" s="130"/>
      <c r="QS68" s="130"/>
      <c r="QT68" s="130"/>
      <c r="QU68" s="130"/>
      <c r="QV68" s="130"/>
      <c r="QW68" s="130"/>
      <c r="RE68" s="653"/>
      <c r="RF68" s="653"/>
      <c r="RG68" s="653"/>
      <c r="RH68" s="653"/>
      <c r="RI68" s="653"/>
      <c r="RJ68" s="653"/>
      <c r="RK68" s="653"/>
      <c r="RL68" s="653"/>
      <c r="RM68" s="653"/>
      <c r="RN68" s="653"/>
      <c r="RO68" s="653"/>
      <c r="RP68" s="653"/>
      <c r="RQ68" s="653"/>
      <c r="RR68" s="653"/>
      <c r="RS68" s="653"/>
      <c r="RT68" s="653"/>
      <c r="RU68" s="653"/>
      <c r="RV68" s="653"/>
      <c r="RW68" s="653"/>
      <c r="RX68" s="653"/>
      <c r="RY68" s="653"/>
      <c r="RZ68" s="653"/>
      <c r="SA68" s="653"/>
      <c r="SB68" s="653"/>
      <c r="SC68" s="653"/>
      <c r="SD68" s="653"/>
      <c r="SE68" s="653"/>
      <c r="SF68" s="653"/>
      <c r="SG68" s="653"/>
      <c r="SH68" s="653"/>
      <c r="SI68" s="653"/>
      <c r="SJ68" s="653"/>
      <c r="SK68" s="653"/>
      <c r="SL68" s="653"/>
      <c r="SM68" s="653"/>
      <c r="SN68" s="653"/>
      <c r="SO68" s="653"/>
      <c r="SP68" s="653"/>
      <c r="SQ68" s="653"/>
      <c r="SR68" s="653"/>
      <c r="SS68" s="653"/>
      <c r="ST68" s="653"/>
      <c r="SU68" s="653"/>
      <c r="SV68" s="653"/>
      <c r="SW68" s="653"/>
      <c r="SX68" s="653"/>
      <c r="SY68" s="653"/>
      <c r="SZ68" s="653"/>
      <c r="TA68" s="653"/>
      <c r="TB68" s="653"/>
      <c r="TC68" s="653"/>
      <c r="TD68" s="653"/>
      <c r="TE68" s="653"/>
      <c r="TF68" s="653"/>
      <c r="TG68" s="653"/>
      <c r="TH68" s="653"/>
      <c r="TI68" s="653"/>
      <c r="TJ68" s="653"/>
      <c r="TK68" s="653"/>
      <c r="TL68" s="653"/>
      <c r="TM68" s="653"/>
      <c r="TN68" s="653"/>
      <c r="TO68" s="653"/>
      <c r="TP68" s="653"/>
      <c r="TQ68" s="653"/>
      <c r="TR68" s="653"/>
      <c r="TS68" s="653"/>
      <c r="TT68" s="653"/>
      <c r="TU68" s="653"/>
      <c r="TV68" s="653"/>
      <c r="TW68" s="653"/>
      <c r="TX68" s="653"/>
      <c r="TY68" s="653"/>
      <c r="TZ68" s="653"/>
      <c r="UA68" s="653"/>
      <c r="UB68" s="653"/>
      <c r="UC68" s="653"/>
      <c r="UD68" s="653"/>
      <c r="UE68" s="653"/>
      <c r="UF68" s="653"/>
      <c r="UG68" s="653"/>
      <c r="UH68" s="653"/>
      <c r="UI68" s="653"/>
      <c r="UJ68" s="653"/>
      <c r="UK68" s="653"/>
      <c r="UL68" s="653"/>
      <c r="UM68" s="653"/>
      <c r="UN68" s="653"/>
      <c r="UO68" s="653"/>
      <c r="UP68" s="653"/>
      <c r="UQ68" s="653"/>
      <c r="UR68" s="653"/>
      <c r="US68" s="653"/>
      <c r="UT68" s="653"/>
      <c r="UU68" s="653"/>
      <c r="UV68" s="653"/>
      <c r="UW68" s="653"/>
      <c r="UX68" s="653"/>
      <c r="UY68" s="653"/>
      <c r="UZ68" s="653"/>
      <c r="VC68" s="162"/>
      <c r="VD68" s="158"/>
      <c r="VE68" s="158"/>
      <c r="VF68" s="158"/>
      <c r="VG68" s="158"/>
      <c r="VH68" s="158"/>
      <c r="VI68" s="158"/>
      <c r="VJ68" s="158"/>
      <c r="VK68" s="158"/>
      <c r="VL68" s="158"/>
      <c r="VM68" s="158"/>
      <c r="VN68" s="158"/>
      <c r="VO68" s="158"/>
      <c r="VP68" s="158"/>
      <c r="VQ68" s="163"/>
      <c r="WC68" s="653"/>
      <c r="WD68" s="653"/>
      <c r="XB68" s="653"/>
      <c r="XC68" s="653"/>
      <c r="XD68" s="653"/>
      <c r="XE68" s="653"/>
      <c r="XF68" s="971"/>
      <c r="XG68" s="158"/>
      <c r="XH68" s="158"/>
      <c r="XI68" s="158"/>
      <c r="XJ68" s="158"/>
      <c r="XK68" s="158"/>
      <c r="XL68" s="158"/>
      <c r="XM68" s="158"/>
      <c r="XN68" s="158"/>
      <c r="XO68" s="158"/>
      <c r="XP68" s="158"/>
      <c r="XQ68" s="158"/>
      <c r="XR68" s="158"/>
      <c r="XS68" s="158"/>
      <c r="XT68" s="158"/>
      <c r="XU68" s="158"/>
      <c r="XV68" s="158"/>
      <c r="XW68" s="158"/>
      <c r="XX68" s="158"/>
      <c r="XY68" s="158"/>
      <c r="XZ68" s="158"/>
      <c r="YA68" s="158"/>
      <c r="YB68" s="158"/>
      <c r="YC68" s="158"/>
      <c r="YD68" s="158"/>
      <c r="YE68" s="158"/>
      <c r="YF68" s="158"/>
      <c r="YG68" s="158"/>
      <c r="YH68" s="158"/>
      <c r="YI68" s="158"/>
      <c r="YJ68" s="158"/>
      <c r="YK68" s="158"/>
      <c r="YL68" s="158"/>
      <c r="YM68" s="158"/>
      <c r="YN68" s="158"/>
      <c r="YO68" s="158"/>
      <c r="YP68" s="158"/>
      <c r="YQ68" s="158"/>
      <c r="YR68" s="158"/>
      <c r="YS68" s="158"/>
      <c r="YT68" s="158"/>
      <c r="YU68" s="158"/>
      <c r="YV68" s="158"/>
      <c r="YW68" s="158"/>
      <c r="YX68" s="158"/>
      <c r="YY68" s="158"/>
      <c r="YZ68" s="158"/>
      <c r="ZA68" s="158"/>
      <c r="ZB68" s="158"/>
      <c r="ZC68" s="158"/>
      <c r="ZD68" s="158"/>
      <c r="ZE68" s="158"/>
      <c r="ZF68" s="158"/>
      <c r="ZG68" s="158"/>
      <c r="ZH68" s="158"/>
      <c r="ZI68" s="158"/>
      <c r="ZJ68" s="158"/>
      <c r="ZK68" s="158"/>
      <c r="ZL68" s="158"/>
      <c r="ZM68" s="158"/>
      <c r="ZN68" s="158"/>
      <c r="ZO68" s="158"/>
      <c r="ZP68" s="158"/>
      <c r="ZQ68" s="158"/>
      <c r="ZR68" s="158"/>
      <c r="ZS68" s="158"/>
      <c r="ZT68" s="158"/>
      <c r="ZU68" s="158"/>
      <c r="ZV68" s="158"/>
      <c r="ZW68" s="158"/>
      <c r="ZX68" s="158"/>
      <c r="ZY68" s="158"/>
      <c r="ZZ68" s="158"/>
      <c r="AAA68" s="158"/>
      <c r="AAB68" s="158"/>
      <c r="AAC68" s="158"/>
      <c r="AAD68" s="158"/>
      <c r="AAE68" s="158"/>
      <c r="AAF68" s="158"/>
      <c r="AAG68" s="158"/>
      <c r="AAH68" s="158"/>
      <c r="AAI68" s="158"/>
      <c r="AAJ68" s="158"/>
      <c r="AAK68" s="158"/>
      <c r="AAL68" s="158"/>
      <c r="AAM68" s="158"/>
      <c r="AAN68" s="158"/>
      <c r="AAO68" s="158"/>
      <c r="AAP68" s="158"/>
      <c r="AAQ68" s="158"/>
      <c r="AAR68" s="158"/>
      <c r="AAS68" s="158"/>
      <c r="AAT68" s="100"/>
      <c r="AAW68" s="653"/>
      <c r="AAX68" s="653"/>
      <c r="AAY68" s="653"/>
      <c r="AAZ68" s="653"/>
      <c r="ABA68" s="653"/>
      <c r="ABB68" s="653"/>
      <c r="ABC68" s="653"/>
      <c r="ABD68" s="653"/>
      <c r="ABE68" s="653"/>
      <c r="ABF68" s="653"/>
      <c r="ABG68" s="653"/>
      <c r="ABH68" s="653"/>
      <c r="ABQ68" s="653"/>
      <c r="ABR68" s="653"/>
      <c r="ABW68" s="653"/>
      <c r="ABX68" s="653"/>
      <c r="ACI68" s="653"/>
      <c r="ACJ68" s="653"/>
      <c r="ACK68" s="653"/>
      <c r="ACL68" s="653"/>
      <c r="ACM68" s="653"/>
      <c r="ACN68" s="653"/>
      <c r="ACO68" s="653"/>
      <c r="ACP68" s="653"/>
      <c r="ACQ68" s="653"/>
      <c r="ACR68" s="653"/>
      <c r="ACS68" s="653"/>
      <c r="ACT68" s="653"/>
      <c r="ACU68" s="653"/>
      <c r="ACV68" s="653"/>
      <c r="ACW68" s="653"/>
      <c r="ACX68" s="653"/>
      <c r="ACY68" s="653"/>
      <c r="ACZ68" s="653"/>
      <c r="ADA68" s="653"/>
      <c r="AEQ68" s="653"/>
      <c r="AER68" s="653"/>
      <c r="AES68" s="653"/>
      <c r="AET68" s="653"/>
      <c r="AEU68" s="653"/>
      <c r="AEV68" s="653"/>
      <c r="AEW68" s="653"/>
      <c r="AEX68" s="653"/>
      <c r="AEY68" s="653"/>
      <c r="AEZ68" s="653"/>
      <c r="AFA68" s="653"/>
      <c r="AFB68" s="653"/>
      <c r="AFC68" s="653"/>
      <c r="AFD68" s="653"/>
      <c r="AFE68" s="653"/>
      <c r="AGJ68" s="377"/>
      <c r="AGK68" s="373"/>
      <c r="AGL68" s="54"/>
      <c r="AGM68" s="373"/>
      <c r="AGN68" s="850"/>
      <c r="AGO68" s="861" t="s">
        <v>1443</v>
      </c>
      <c r="AGP68" s="861"/>
      <c r="AGQ68" s="890">
        <f>$AHA$45</f>
        <v>0.69272727272728307</v>
      </c>
      <c r="AGR68" s="890"/>
      <c r="AGS68" s="823"/>
      <c r="AGT68" s="824"/>
      <c r="AGU68" s="824"/>
      <c r="AGV68" s="824"/>
      <c r="AGW68" s="824"/>
      <c r="AGX68" s="824"/>
      <c r="AGY68" s="837"/>
      <c r="AGZ68" s="838"/>
      <c r="AHA68" s="929"/>
      <c r="AHB68" s="930"/>
      <c r="AHC68" s="842"/>
      <c r="AHD68" s="1173"/>
      <c r="AHE68" s="1175"/>
      <c r="AHF68" s="848"/>
      <c r="AHG68" s="1338"/>
      <c r="AHH68" s="1339"/>
      <c r="AHI68" s="1340"/>
      <c r="AHJ68" s="1052"/>
      <c r="AHK68" s="1052"/>
      <c r="AHL68" s="1052"/>
      <c r="AHM68" s="1052"/>
      <c r="AHN68" s="1052"/>
      <c r="AHO68" s="373"/>
      <c r="AHP68" s="373"/>
      <c r="AHQ68" s="373"/>
      <c r="AHR68" s="373"/>
      <c r="AHS68" s="373"/>
      <c r="AHT68" s="373"/>
      <c r="AHU68" s="373"/>
      <c r="AHV68" s="373"/>
      <c r="AHW68" s="373"/>
      <c r="AHX68" s="373"/>
      <c r="AHY68" s="374"/>
      <c r="APU68" s="653"/>
      <c r="APV68" s="653"/>
      <c r="APW68" s="653"/>
      <c r="APX68" s="653"/>
      <c r="APY68" s="653"/>
      <c r="ARU68" s="377"/>
      <c r="ARV68" s="373"/>
      <c r="ARW68" s="54"/>
      <c r="ARX68" s="373"/>
      <c r="ARY68" s="373"/>
      <c r="ARZ68" s="373"/>
      <c r="ASA68" s="373"/>
      <c r="ASB68" s="373"/>
      <c r="ASC68" s="373"/>
      <c r="ASD68" s="373"/>
      <c r="ASE68" s="373"/>
      <c r="ASF68" s="373"/>
      <c r="ASG68" s="373"/>
      <c r="ASH68" s="373"/>
      <c r="ASI68" s="373"/>
      <c r="ASJ68" s="373"/>
      <c r="ASK68" s="373"/>
      <c r="ASL68" s="373"/>
      <c r="ASM68" s="373"/>
      <c r="ASN68" s="373"/>
      <c r="ASO68" s="373"/>
      <c r="ASP68" s="373"/>
      <c r="ASQ68" s="373"/>
      <c r="ASR68" s="373"/>
      <c r="ASS68" s="373"/>
      <c r="AST68" s="373"/>
      <c r="ASU68" s="373"/>
      <c r="ASV68" s="373"/>
      <c r="ASW68" s="373"/>
      <c r="ASX68" s="373"/>
      <c r="ASY68" s="373"/>
      <c r="ASZ68" s="373"/>
      <c r="ATA68" s="373"/>
      <c r="ATB68" s="373"/>
      <c r="ATC68" s="373"/>
      <c r="ATD68" s="373"/>
      <c r="ATE68" s="373"/>
      <c r="ATF68" s="373"/>
      <c r="ATG68" s="373"/>
      <c r="ATH68" s="374"/>
      <c r="ATI68" s="130"/>
      <c r="ATJ68" s="130"/>
      <c r="ATK68" s="130"/>
      <c r="ATL68" s="130"/>
      <c r="ATM68" s="130"/>
      <c r="ATN68" s="130"/>
      <c r="ATO68" s="130"/>
      <c r="ATP68" s="130"/>
      <c r="ATQ68" s="130"/>
      <c r="ATR68" s="130"/>
      <c r="ATS68" s="130"/>
      <c r="ATT68" s="130"/>
      <c r="ATU68" s="130"/>
      <c r="ATV68" s="130"/>
      <c r="ATW68" s="130"/>
      <c r="ATX68" s="130"/>
      <c r="ATY68" s="130"/>
      <c r="ATZ68" s="130"/>
      <c r="AUA68" s="130"/>
      <c r="AUB68" s="130"/>
    </row>
    <row r="69" spans="4:945 1051:1224" ht="48" customHeight="1" thickBot="1">
      <c r="H69" s="1"/>
      <c r="I69" s="130"/>
      <c r="J69" s="130"/>
      <c r="K69" s="1"/>
      <c r="L69" s="1"/>
      <c r="M69" s="1"/>
      <c r="O69" s="653"/>
      <c r="P69" s="653"/>
      <c r="AI69" s="897" t="s">
        <v>974</v>
      </c>
      <c r="AJ69" s="898"/>
      <c r="AK69" s="899"/>
      <c r="AL69" s="849"/>
      <c r="AM69" s="1257" t="s">
        <v>1781</v>
      </c>
      <c r="AN69" s="1257"/>
      <c r="AO69" s="117"/>
      <c r="AP69" s="779" t="s">
        <v>1814</v>
      </c>
      <c r="AQ69" s="780"/>
      <c r="AR69" s="781"/>
      <c r="AS69" s="75" t="s">
        <v>702</v>
      </c>
      <c r="AT69" s="117"/>
      <c r="AU69" s="76" t="s">
        <v>441</v>
      </c>
      <c r="AV69" s="1676" t="s">
        <v>435</v>
      </c>
      <c r="AW69" s="1683"/>
      <c r="AX69" s="924" t="s">
        <v>111</v>
      </c>
      <c r="AY69" s="925"/>
      <c r="AZ69" s="916" t="s">
        <v>704</v>
      </c>
      <c r="BA69" s="917"/>
      <c r="BB69" s="906" t="s">
        <v>447</v>
      </c>
      <c r="BC69" s="907"/>
      <c r="BD69" s="907"/>
      <c r="BE69" s="908"/>
      <c r="BQ69" s="130"/>
      <c r="BT69" s="130"/>
      <c r="DJ69" s="130"/>
      <c r="DK69" s="130"/>
      <c r="DL69" s="130"/>
      <c r="DM69" s="130"/>
      <c r="DN69" s="130"/>
      <c r="DO69" s="130"/>
      <c r="DP69" s="130"/>
      <c r="DQ69" s="130"/>
      <c r="DR69" s="130"/>
      <c r="DS69" s="130"/>
      <c r="DT69" s="130"/>
      <c r="DU69" s="130"/>
      <c r="DV69" s="130"/>
      <c r="GF69" s="849"/>
      <c r="GG69" s="238" t="s">
        <v>1059</v>
      </c>
      <c r="GH69" s="761">
        <f>$CL$95</f>
        <v>0.71874103885740337</v>
      </c>
      <c r="GI69" s="761"/>
      <c r="GJ69" s="247" t="s">
        <v>1079</v>
      </c>
      <c r="GK69" s="1120">
        <f>$EO$16</f>
        <v>1.85</v>
      </c>
      <c r="GL69" s="1120"/>
      <c r="GM69" s="809" t="s">
        <v>1098</v>
      </c>
      <c r="GN69" s="797"/>
      <c r="GO69" s="797"/>
      <c r="GP69" s="797"/>
      <c r="GQ69" s="797"/>
      <c r="GR69" s="797"/>
      <c r="GS69" s="797"/>
      <c r="GT69" s="1167">
        <f>(GH69*GH70*1000*GK68)/(GK69*GK68*GK70)</f>
        <v>5.7753320063898999</v>
      </c>
      <c r="GU69" s="840"/>
      <c r="GV69" s="931" t="s">
        <v>45</v>
      </c>
      <c r="GW69" s="932"/>
      <c r="GX69" s="1066"/>
      <c r="GY69" s="1176" t="s">
        <v>1097</v>
      </c>
      <c r="GZ69" s="1535"/>
      <c r="HA69" s="847"/>
      <c r="HB69" s="1052"/>
      <c r="HC69" s="1052"/>
      <c r="HD69" s="1052"/>
      <c r="HE69" s="1052"/>
      <c r="HF69" s="1052"/>
      <c r="HG69" s="1052"/>
      <c r="HR69" s="130"/>
      <c r="HS69" s="130"/>
      <c r="HT69" s="130"/>
      <c r="HU69" s="130"/>
      <c r="HV69" s="130"/>
      <c r="HW69" s="130"/>
      <c r="HX69" s="130"/>
      <c r="HY69" s="130"/>
      <c r="HZ69" s="130"/>
      <c r="IA69" s="130"/>
      <c r="IB69" s="130"/>
      <c r="IC69" s="130"/>
      <c r="ID69" s="130"/>
      <c r="IE69" s="130"/>
      <c r="IF69" s="130"/>
      <c r="IG69" s="130"/>
      <c r="IH69" s="130"/>
      <c r="II69" s="130"/>
      <c r="IJ69" s="130"/>
      <c r="IM69" s="377"/>
      <c r="IN69" s="373"/>
      <c r="IO69" s="373"/>
      <c r="IP69" s="381"/>
      <c r="IQ69" s="373"/>
      <c r="IR69" s="1053"/>
      <c r="IS69" s="711" t="s">
        <v>402</v>
      </c>
      <c r="IT69" s="805">
        <f>$AP$20</f>
        <v>4</v>
      </c>
      <c r="IU69" s="805"/>
      <c r="IV69" s="794"/>
      <c r="IW69" s="795"/>
      <c r="IX69" s="795"/>
      <c r="IY69" s="795"/>
      <c r="IZ69" s="795"/>
      <c r="JA69" s="795"/>
      <c r="JB69" s="795"/>
      <c r="JC69" s="812"/>
      <c r="JD69" s="813"/>
      <c r="JE69" s="813"/>
      <c r="JF69" s="813"/>
      <c r="JG69" s="813"/>
      <c r="JH69" s="813"/>
      <c r="JI69" s="813"/>
      <c r="JJ69" s="814"/>
      <c r="JK69" s="1053"/>
      <c r="JL69" s="1053"/>
      <c r="JM69" s="1053"/>
      <c r="JN69" s="1053"/>
      <c r="JO69" s="1053"/>
      <c r="JP69" s="373"/>
      <c r="JQ69" s="373"/>
      <c r="JR69" s="373"/>
      <c r="JS69" s="373"/>
      <c r="JT69" s="374"/>
      <c r="JU69" s="653"/>
      <c r="JV69" s="653"/>
      <c r="JW69" s="653"/>
      <c r="JX69" s="1300"/>
      <c r="JY69" s="851"/>
      <c r="JZ69" s="1200"/>
      <c r="KA69" s="1201"/>
      <c r="KB69" s="1201"/>
      <c r="KC69" s="1201"/>
      <c r="KD69" s="1201"/>
      <c r="KE69" s="1201"/>
      <c r="KF69" s="1201"/>
      <c r="KG69" s="1201"/>
      <c r="KH69" s="1201"/>
      <c r="KI69" s="1201"/>
      <c r="KJ69" s="1201"/>
      <c r="KK69" s="1201"/>
      <c r="KL69" s="1212"/>
      <c r="KM69" s="1461"/>
      <c r="KN69" s="1462"/>
      <c r="KO69" s="1463"/>
      <c r="KP69" s="1209"/>
      <c r="KQ69" s="1210"/>
      <c r="KR69" s="1067"/>
      <c r="KS69" s="918"/>
      <c r="KT69" s="919"/>
      <c r="KU69" s="848"/>
      <c r="LD69" s="130"/>
      <c r="LE69" s="130"/>
      <c r="LF69" s="130"/>
      <c r="LG69" s="130"/>
      <c r="LH69" s="130"/>
      <c r="LI69" s="130"/>
      <c r="LJ69" s="130"/>
      <c r="LK69" s="130"/>
      <c r="LL69" s="130"/>
      <c r="LM69" s="130"/>
      <c r="LN69" s="130"/>
      <c r="LO69" s="130"/>
      <c r="LP69" s="130"/>
      <c r="LQ69" s="130"/>
      <c r="LR69" s="130"/>
      <c r="LS69" s="130"/>
      <c r="LT69" s="130"/>
      <c r="LU69" s="130"/>
      <c r="LV69" s="130"/>
      <c r="LW69" s="130"/>
      <c r="MB69" s="850"/>
      <c r="MC69" s="349" t="s">
        <v>1018</v>
      </c>
      <c r="MD69" s="890">
        <f>$AW$95</f>
        <v>0.19391178434038603</v>
      </c>
      <c r="ME69" s="890"/>
      <c r="MF69" s="954" t="s">
        <v>1423</v>
      </c>
      <c r="MG69" s="1198"/>
      <c r="MH69" s="1198"/>
      <c r="MI69" s="1198"/>
      <c r="MJ69" s="1198"/>
      <c r="MK69" s="1198"/>
      <c r="ML69" s="1198"/>
      <c r="MM69" s="1198"/>
      <c r="MN69" s="1198"/>
      <c r="MO69" s="1199"/>
      <c r="MP69" s="1597">
        <f>(MG68*MD69)/(MD70*10^(-6))</f>
        <v>5.2449590821531827E-5</v>
      </c>
      <c r="MQ69" s="1598"/>
      <c r="MR69" s="1599"/>
      <c r="MS69" s="1188" t="s">
        <v>392</v>
      </c>
      <c r="MT69" s="1189"/>
      <c r="MU69" s="841"/>
      <c r="MV69" s="1170" t="s">
        <v>855</v>
      </c>
      <c r="MW69" s="1172"/>
      <c r="MX69" s="847"/>
      <c r="MY69" s="826"/>
      <c r="MZ69" s="945"/>
      <c r="NA69" s="946"/>
      <c r="NK69" s="1216"/>
      <c r="NL69" s="1217"/>
      <c r="NM69" s="1217"/>
      <c r="NN69" s="1217"/>
      <c r="NO69" s="1217"/>
      <c r="NP69" s="1217"/>
      <c r="NQ69" s="1217"/>
      <c r="NR69" s="1217"/>
      <c r="NS69" s="1217"/>
      <c r="NT69" s="1217"/>
      <c r="NU69" s="1217"/>
      <c r="NV69" s="1217"/>
      <c r="NW69" s="1217"/>
      <c r="NX69" s="1217"/>
      <c r="NY69" s="1217"/>
      <c r="NZ69" s="1217"/>
      <c r="OA69" s="1217"/>
      <c r="OB69" s="1217"/>
      <c r="OC69" s="1217"/>
      <c r="OD69" s="1217"/>
      <c r="OE69" s="1217"/>
      <c r="OF69" s="1218"/>
      <c r="OS69" s="130"/>
      <c r="OT69" s="130"/>
      <c r="OU69" s="130"/>
      <c r="OV69" s="130"/>
      <c r="OW69" s="130"/>
      <c r="OX69" s="130"/>
      <c r="OY69" s="130"/>
      <c r="OZ69" s="130"/>
      <c r="PA69" s="130"/>
      <c r="PB69" s="130"/>
      <c r="PC69" s="130"/>
      <c r="PD69" s="130"/>
      <c r="PE69" s="130"/>
      <c r="PF69" s="130"/>
      <c r="PG69" s="130"/>
      <c r="PH69" s="130"/>
      <c r="PI69" s="130"/>
      <c r="PN69" s="466"/>
      <c r="PO69" s="852" t="s">
        <v>1515</v>
      </c>
      <c r="PP69" s="923"/>
      <c r="PQ69" s="466"/>
      <c r="PR69" s="1069" t="s">
        <v>1523</v>
      </c>
      <c r="PS69" s="1070"/>
      <c r="PT69" s="1070"/>
      <c r="PU69" s="1070"/>
      <c r="PV69" s="1070"/>
      <c r="PW69" s="1070"/>
      <c r="PX69" s="1070"/>
      <c r="PY69" s="1070"/>
      <c r="PZ69" s="1070"/>
      <c r="QA69" s="1070"/>
      <c r="QB69" s="1071"/>
      <c r="QC69" s="466"/>
      <c r="QR69" s="130"/>
      <c r="QS69" s="130"/>
      <c r="QT69" s="130"/>
      <c r="QU69" s="130"/>
      <c r="QV69" s="130"/>
      <c r="QW69" s="130"/>
      <c r="RE69" s="653"/>
      <c r="RF69" s="653"/>
      <c r="RG69" s="653"/>
      <c r="RH69" s="653"/>
      <c r="RI69" s="653"/>
      <c r="RJ69" s="653"/>
      <c r="RK69" s="653"/>
      <c r="RL69" s="653"/>
      <c r="RM69" s="653"/>
      <c r="RN69" s="653"/>
      <c r="RO69" s="653"/>
      <c r="RP69" s="653"/>
      <c r="RQ69" s="653"/>
      <c r="RR69" s="653"/>
      <c r="RS69" s="653"/>
      <c r="RT69" s="653"/>
      <c r="RU69" s="653"/>
      <c r="RV69" s="653"/>
      <c r="RW69" s="653"/>
      <c r="RX69" s="653"/>
      <c r="RY69" s="653"/>
      <c r="RZ69" s="653"/>
      <c r="SA69" s="653"/>
      <c r="SB69" s="653"/>
      <c r="SC69" s="653"/>
      <c r="SD69" s="653"/>
      <c r="SE69" s="653"/>
      <c r="SF69" s="653"/>
      <c r="SG69" s="653"/>
      <c r="SH69" s="653"/>
      <c r="SI69" s="653"/>
      <c r="SJ69" s="653"/>
      <c r="SK69" s="653"/>
      <c r="SL69" s="653"/>
      <c r="SM69" s="653"/>
      <c r="SN69" s="653"/>
      <c r="SO69" s="653"/>
      <c r="SP69" s="653"/>
      <c r="SQ69" s="653"/>
      <c r="SR69" s="653"/>
      <c r="SS69" s="653"/>
      <c r="ST69" s="653"/>
      <c r="SU69" s="653"/>
      <c r="SV69" s="653"/>
      <c r="SW69" s="653"/>
      <c r="SX69" s="653"/>
      <c r="SY69" s="653"/>
      <c r="SZ69" s="653"/>
      <c r="TA69" s="653"/>
      <c r="TB69" s="653"/>
      <c r="TC69" s="653"/>
      <c r="TD69" s="653"/>
      <c r="TE69" s="653"/>
      <c r="TF69" s="653"/>
      <c r="TG69" s="653"/>
      <c r="TH69" s="653"/>
      <c r="TI69" s="653"/>
      <c r="TJ69" s="653"/>
      <c r="TK69" s="653"/>
      <c r="TL69" s="653"/>
      <c r="TM69" s="653"/>
      <c r="TN69" s="653"/>
      <c r="TO69" s="653"/>
      <c r="TP69" s="653"/>
      <c r="TQ69" s="653"/>
      <c r="TR69" s="653"/>
      <c r="TS69" s="653"/>
      <c r="TT69" s="653"/>
      <c r="TU69" s="653"/>
      <c r="TV69" s="653"/>
      <c r="TW69" s="653"/>
      <c r="TX69" s="653"/>
      <c r="TY69" s="653"/>
      <c r="TZ69" s="653"/>
      <c r="UA69" s="653"/>
      <c r="UB69" s="653"/>
      <c r="UC69" s="653"/>
      <c r="UD69" s="653"/>
      <c r="UE69" s="653"/>
      <c r="UF69" s="653"/>
      <c r="UG69" s="653"/>
      <c r="UH69" s="653"/>
      <c r="UI69" s="653"/>
      <c r="UJ69" s="653"/>
      <c r="UK69" s="653"/>
      <c r="UL69" s="653"/>
      <c r="UM69" s="653"/>
      <c r="UN69" s="653"/>
      <c r="UO69" s="653"/>
      <c r="UP69" s="653"/>
      <c r="UQ69" s="653"/>
      <c r="UR69" s="653"/>
      <c r="US69" s="653"/>
      <c r="UT69" s="653"/>
      <c r="UU69" s="653"/>
      <c r="UV69" s="653"/>
      <c r="UW69" s="653"/>
      <c r="UX69" s="653"/>
      <c r="UY69" s="653"/>
      <c r="UZ69" s="653"/>
      <c r="VC69" s="162"/>
      <c r="VD69" s="158"/>
      <c r="VE69" s="158"/>
      <c r="VF69" s="158"/>
      <c r="VG69" s="158"/>
      <c r="VH69" s="158"/>
      <c r="VI69" s="158"/>
      <c r="VJ69" s="158"/>
      <c r="VK69" s="158"/>
      <c r="VL69" s="158"/>
      <c r="VM69" s="158"/>
      <c r="VN69" s="158"/>
      <c r="VO69" s="158"/>
      <c r="VP69" s="158"/>
      <c r="VQ69" s="163"/>
      <c r="VW69" s="653"/>
      <c r="VX69" s="653"/>
      <c r="VY69" s="653"/>
      <c r="VZ69" s="653"/>
      <c r="WA69" s="653"/>
      <c r="XB69" s="653"/>
      <c r="XC69" s="653"/>
      <c r="XD69" s="653"/>
      <c r="XE69" s="653"/>
      <c r="XF69" s="971"/>
      <c r="XG69" s="158"/>
      <c r="XH69" s="158"/>
      <c r="XI69" s="158"/>
      <c r="XJ69" s="158"/>
      <c r="XK69" s="158"/>
      <c r="XL69" s="158"/>
      <c r="XM69" s="158"/>
      <c r="XN69" s="158"/>
      <c r="XO69" s="158"/>
      <c r="XP69" s="158"/>
      <c r="XQ69" s="158"/>
      <c r="XR69" s="158"/>
      <c r="XS69" s="158"/>
      <c r="XT69" s="158"/>
      <c r="XU69" s="158"/>
      <c r="XV69" s="158"/>
      <c r="XW69" s="158"/>
      <c r="XX69" s="158"/>
      <c r="XY69" s="158"/>
      <c r="XZ69" s="158"/>
      <c r="YA69" s="158"/>
      <c r="YB69" s="158"/>
      <c r="YC69" s="158"/>
      <c r="YD69" s="158"/>
      <c r="YE69" s="158"/>
      <c r="YF69" s="158"/>
      <c r="YG69" s="158"/>
      <c r="YH69" s="158"/>
      <c r="YI69" s="158"/>
      <c r="YJ69" s="158"/>
      <c r="YK69" s="158"/>
      <c r="YL69" s="158"/>
      <c r="YM69" s="158"/>
      <c r="YN69" s="158"/>
      <c r="YO69" s="158"/>
      <c r="YP69" s="158"/>
      <c r="YQ69" s="158"/>
      <c r="YR69" s="158"/>
      <c r="YS69" s="158"/>
      <c r="YT69" s="158"/>
      <c r="YU69" s="158"/>
      <c r="YV69" s="158"/>
      <c r="YW69" s="158"/>
      <c r="YX69" s="158"/>
      <c r="YY69" s="158"/>
      <c r="YZ69" s="158"/>
      <c r="ZA69" s="158"/>
      <c r="ZB69" s="158"/>
      <c r="ZC69" s="158"/>
      <c r="ZD69" s="158"/>
      <c r="ZE69" s="158"/>
      <c r="ZF69" s="158"/>
      <c r="ZG69" s="158"/>
      <c r="ZH69" s="158"/>
      <c r="ZI69" s="158"/>
      <c r="ZJ69" s="158"/>
      <c r="ZK69" s="158"/>
      <c r="ZL69" s="158"/>
      <c r="ZM69" s="158"/>
      <c r="ZN69" s="158"/>
      <c r="ZO69" s="158"/>
      <c r="ZP69" s="158"/>
      <c r="ZQ69" s="158"/>
      <c r="ZR69" s="158"/>
      <c r="ZS69" s="158"/>
      <c r="ZT69" s="158"/>
      <c r="ZU69" s="158"/>
      <c r="ZV69" s="158"/>
      <c r="ZW69" s="158"/>
      <c r="ZX69" s="158"/>
      <c r="ZY69" s="158"/>
      <c r="ZZ69" s="158"/>
      <c r="AAA69" s="158"/>
      <c r="AAB69" s="158"/>
      <c r="AAC69" s="158"/>
      <c r="AAD69" s="158"/>
      <c r="AAE69" s="158"/>
      <c r="AAF69" s="158"/>
      <c r="AAG69" s="158"/>
      <c r="AAH69" s="158"/>
      <c r="AAI69" s="158"/>
      <c r="AAJ69" s="158"/>
      <c r="AAK69" s="158"/>
      <c r="AAL69" s="158"/>
      <c r="AAM69" s="158"/>
      <c r="AAN69" s="158"/>
      <c r="AAO69" s="158"/>
      <c r="AAP69" s="158"/>
      <c r="AAQ69" s="158"/>
      <c r="AAR69" s="158"/>
      <c r="AAS69" s="158"/>
      <c r="AAT69" s="100"/>
      <c r="AAW69" s="653"/>
      <c r="AAX69" s="653"/>
      <c r="AAY69" s="653"/>
      <c r="AAZ69" s="653"/>
      <c r="ABA69" s="653"/>
      <c r="ABB69" s="653"/>
      <c r="ABC69" s="653"/>
      <c r="ABD69" s="653"/>
      <c r="ABE69" s="653"/>
      <c r="ABF69" s="653"/>
      <c r="ABG69" s="653"/>
      <c r="ABH69" s="653"/>
      <c r="ABQ69" s="653"/>
      <c r="ABR69" s="653"/>
      <c r="ABW69" s="653"/>
      <c r="ABX69" s="653"/>
      <c r="ACI69" s="653"/>
      <c r="ACJ69" s="653"/>
      <c r="ACK69" s="653"/>
      <c r="ACL69" s="653"/>
      <c r="ACM69" s="653"/>
      <c r="ACN69" s="653"/>
      <c r="ACO69" s="653"/>
      <c r="ACP69" s="653"/>
      <c r="ACQ69" s="653"/>
      <c r="ACR69" s="653"/>
      <c r="ACS69" s="653"/>
      <c r="ACT69" s="653"/>
      <c r="ACU69" s="653"/>
      <c r="ACV69" s="653"/>
      <c r="ACW69" s="653"/>
      <c r="ACX69" s="653"/>
      <c r="ACY69" s="653"/>
      <c r="ACZ69" s="653"/>
      <c r="ADA69" s="653"/>
      <c r="AEQ69" s="653"/>
      <c r="AER69" s="653"/>
      <c r="AES69" s="653"/>
      <c r="AET69" s="653"/>
      <c r="AEU69" s="653"/>
      <c r="AEV69" s="653"/>
      <c r="AEW69" s="653"/>
      <c r="AEX69" s="653"/>
      <c r="AEY69" s="653"/>
      <c r="AEZ69" s="653"/>
      <c r="AFA69" s="653"/>
      <c r="AFB69" s="653"/>
      <c r="AFC69" s="653"/>
      <c r="AFD69" s="653"/>
      <c r="AFE69" s="653"/>
      <c r="AGJ69" s="377"/>
      <c r="AGK69" s="373"/>
      <c r="AGL69" s="54"/>
      <c r="AGM69" s="373"/>
      <c r="AGN69" s="851"/>
      <c r="AGO69" s="1037"/>
      <c r="AGP69" s="1038"/>
      <c r="AGQ69" s="1038"/>
      <c r="AGR69" s="1039"/>
      <c r="AGS69" s="794"/>
      <c r="AGT69" s="795"/>
      <c r="AGU69" s="795"/>
      <c r="AGV69" s="795"/>
      <c r="AGW69" s="795"/>
      <c r="AGX69" s="795"/>
      <c r="AGY69" s="942"/>
      <c r="AGZ69" s="943"/>
      <c r="AHA69" s="943"/>
      <c r="AHB69" s="943"/>
      <c r="AHC69" s="943"/>
      <c r="AHD69" s="943"/>
      <c r="AHE69" s="943"/>
      <c r="AHF69" s="943"/>
      <c r="AHG69" s="943"/>
      <c r="AHH69" s="943"/>
      <c r="AHI69" s="943"/>
      <c r="AHJ69" s="1053"/>
      <c r="AHK69" s="1053"/>
      <c r="AHL69" s="1053"/>
      <c r="AHM69" s="1053"/>
      <c r="AHN69" s="1053"/>
      <c r="AHO69" s="373"/>
      <c r="AHP69" s="373"/>
      <c r="AHQ69" s="373"/>
      <c r="AHR69" s="373"/>
      <c r="AHS69" s="373"/>
      <c r="AHT69" s="373"/>
      <c r="AHU69" s="373"/>
      <c r="AHV69" s="373"/>
      <c r="AHW69" s="373"/>
      <c r="AHX69" s="373"/>
      <c r="AHY69" s="374"/>
      <c r="APU69" s="653"/>
      <c r="APV69" s="653"/>
      <c r="APW69" s="653"/>
      <c r="APX69" s="653"/>
      <c r="APY69" s="653"/>
      <c r="ARU69" s="377"/>
      <c r="ARV69" s="373"/>
      <c r="ARW69" s="54"/>
      <c r="ARX69" s="382" t="s">
        <v>1298</v>
      </c>
      <c r="ARY69" s="849"/>
      <c r="ARZ69" s="852" t="s">
        <v>416</v>
      </c>
      <c r="ASA69" s="853"/>
      <c r="ASB69" s="687"/>
      <c r="ASC69" s="78"/>
      <c r="ASD69" s="78"/>
      <c r="ASE69" s="78"/>
      <c r="ASF69" s="78"/>
      <c r="ASG69" s="78"/>
      <c r="ASH69" s="78"/>
      <c r="ASI69" s="687"/>
      <c r="ASJ69" s="76" t="s">
        <v>441</v>
      </c>
      <c r="ASK69" s="854" t="s">
        <v>435</v>
      </c>
      <c r="ASL69" s="1111"/>
      <c r="ASM69" s="920" t="s">
        <v>111</v>
      </c>
      <c r="ASN69" s="921"/>
      <c r="ASO69" s="916" t="s">
        <v>704</v>
      </c>
      <c r="ASP69" s="917"/>
      <c r="ASQ69" s="906" t="s">
        <v>447</v>
      </c>
      <c r="ASR69" s="907"/>
      <c r="ASS69" s="907"/>
      <c r="AST69" s="908"/>
      <c r="ASU69" s="906" t="s">
        <v>863</v>
      </c>
      <c r="ASV69" s="907"/>
      <c r="ASW69" s="908"/>
      <c r="ASX69" s="373"/>
      <c r="ASY69" s="373"/>
      <c r="ASZ69" s="373"/>
      <c r="ATA69" s="373"/>
      <c r="ATB69" s="373"/>
      <c r="ATC69" s="373"/>
      <c r="ATD69" s="373"/>
      <c r="ATE69" s="373"/>
      <c r="ATF69" s="373"/>
      <c r="ATG69" s="373"/>
      <c r="ATH69" s="374"/>
      <c r="ATI69" s="130"/>
      <c r="ATJ69" s="130"/>
      <c r="ATK69" s="130"/>
      <c r="ATL69" s="130"/>
      <c r="ATM69" s="130"/>
      <c r="ATN69" s="130"/>
      <c r="ATO69" s="130"/>
      <c r="ATP69" s="130"/>
      <c r="ATQ69" s="130"/>
      <c r="ATR69" s="130"/>
      <c r="ATS69" s="130"/>
      <c r="ATT69" s="130"/>
      <c r="ATU69" s="130"/>
      <c r="ATV69" s="130"/>
      <c r="ATW69" s="130"/>
      <c r="ATX69" s="130"/>
      <c r="ATY69" s="130"/>
      <c r="ATZ69" s="130"/>
      <c r="AUA69" s="130"/>
      <c r="AUB69" s="130"/>
    </row>
    <row r="70" spans="4:945 1051:1224" ht="48" customHeight="1" thickBot="1">
      <c r="D70" s="159"/>
      <c r="E70" s="1458" t="s">
        <v>965</v>
      </c>
      <c r="F70" s="1280"/>
      <c r="G70" s="1280"/>
      <c r="H70" s="1280"/>
      <c r="I70" s="1280"/>
      <c r="J70" s="1280"/>
      <c r="K70" s="1280"/>
      <c r="L70" s="1280"/>
      <c r="M70" s="1280"/>
      <c r="N70" s="1281"/>
      <c r="O70" s="653"/>
      <c r="P70" s="653"/>
      <c r="AI70" s="900"/>
      <c r="AJ70" s="901"/>
      <c r="AK70" s="902"/>
      <c r="AL70" s="850"/>
      <c r="AM70" s="768" t="s">
        <v>759</v>
      </c>
      <c r="AN70" s="762"/>
      <c r="AO70" s="762"/>
      <c r="AP70" s="762"/>
      <c r="AQ70" s="762"/>
      <c r="AR70" s="762"/>
      <c r="AS70" s="762"/>
      <c r="AT70" s="762"/>
      <c r="AU70" s="762"/>
      <c r="AV70" s="762"/>
      <c r="AW70" s="762"/>
      <c r="AX70" s="1678">
        <v>0.97499999999999998</v>
      </c>
      <c r="AY70" s="1679"/>
      <c r="AZ70" s="1075" t="s">
        <v>705</v>
      </c>
      <c r="BA70" s="1076"/>
      <c r="BB70" s="847"/>
      <c r="BC70" s="893" t="s">
        <v>701</v>
      </c>
      <c r="BD70" s="894"/>
      <c r="BE70" s="847"/>
      <c r="BX70" s="849"/>
      <c r="BY70" s="1257" t="s">
        <v>416</v>
      </c>
      <c r="BZ70" s="1257"/>
      <c r="CA70" s="132"/>
      <c r="CB70" s="439" t="s">
        <v>1487</v>
      </c>
      <c r="CC70" s="766">
        <f>$CH$67</f>
        <v>17</v>
      </c>
      <c r="CD70" s="766"/>
      <c r="CE70" s="439" t="s">
        <v>739</v>
      </c>
      <c r="CF70" s="766">
        <f>$CM$59</f>
        <v>2</v>
      </c>
      <c r="CG70" s="766"/>
      <c r="CH70" s="132"/>
      <c r="CI70" s="76" t="s">
        <v>441</v>
      </c>
      <c r="CJ70" s="854" t="s">
        <v>435</v>
      </c>
      <c r="CK70" s="855"/>
      <c r="CL70" s="920" t="s">
        <v>111</v>
      </c>
      <c r="CM70" s="921"/>
      <c r="CN70" s="916" t="s">
        <v>704</v>
      </c>
      <c r="CO70" s="917"/>
      <c r="CP70" s="906" t="s">
        <v>447</v>
      </c>
      <c r="CQ70" s="907"/>
      <c r="CR70" s="907"/>
      <c r="CS70" s="908"/>
      <c r="CT70" s="906" t="s">
        <v>436</v>
      </c>
      <c r="CU70" s="907"/>
      <c r="CV70" s="908"/>
      <c r="DN70" s="130"/>
      <c r="DO70" s="130"/>
      <c r="DP70" s="130"/>
      <c r="DQ70" s="130"/>
      <c r="DR70" s="130"/>
      <c r="DS70" s="130"/>
      <c r="DT70" s="130"/>
      <c r="DU70" s="130"/>
      <c r="DV70" s="130"/>
      <c r="DZ70" s="76" t="s">
        <v>793</v>
      </c>
      <c r="EA70" s="852" t="s">
        <v>416</v>
      </c>
      <c r="EB70" s="853"/>
      <c r="EC70" s="213"/>
      <c r="ED70" s="800" t="s">
        <v>1061</v>
      </c>
      <c r="EE70" s="801"/>
      <c r="EF70" s="761">
        <f>$EQ$45</f>
        <v>4</v>
      </c>
      <c r="EG70" s="761"/>
      <c r="EH70" s="213"/>
      <c r="EI70" s="76" t="s">
        <v>441</v>
      </c>
      <c r="EJ70" s="854" t="s">
        <v>435</v>
      </c>
      <c r="EK70" s="855"/>
      <c r="EL70" s="920" t="s">
        <v>111</v>
      </c>
      <c r="EM70" s="921"/>
      <c r="EN70" s="916" t="s">
        <v>704</v>
      </c>
      <c r="EO70" s="917"/>
      <c r="EP70" s="1051" t="s">
        <v>447</v>
      </c>
      <c r="EQ70" s="1051"/>
      <c r="ER70" s="1051"/>
      <c r="ES70" s="1051"/>
      <c r="ET70" s="1051"/>
      <c r="EU70" s="1051" t="s">
        <v>436</v>
      </c>
      <c r="EV70" s="1051"/>
      <c r="EW70" s="1051"/>
      <c r="EX70" s="1051"/>
      <c r="EY70" s="1051"/>
      <c r="EZ70" s="1051"/>
      <c r="FA70" s="1051"/>
      <c r="FB70" s="1051"/>
      <c r="FC70" s="1051"/>
      <c r="FD70" s="1051"/>
      <c r="FE70" s="1051"/>
      <c r="FF70" s="1051"/>
      <c r="FG70" s="1051"/>
      <c r="GE70" s="3"/>
      <c r="GF70" s="851"/>
      <c r="GG70" s="241" t="s">
        <v>1019</v>
      </c>
      <c r="GH70" s="1187">
        <f>$GM$24</f>
        <v>1.4419426086956524E-2</v>
      </c>
      <c r="GI70" s="1187"/>
      <c r="GJ70" s="241" t="s">
        <v>1014</v>
      </c>
      <c r="GK70" s="804">
        <f>$EJ$37</f>
        <v>0.97</v>
      </c>
      <c r="GL70" s="804"/>
      <c r="GM70" s="777"/>
      <c r="GN70" s="778"/>
      <c r="GO70" s="778"/>
      <c r="GP70" s="778"/>
      <c r="GQ70" s="778"/>
      <c r="GR70" s="778"/>
      <c r="GS70" s="778"/>
      <c r="GT70" s="1169"/>
      <c r="GU70" s="799"/>
      <c r="GV70" s="933"/>
      <c r="GW70" s="934"/>
      <c r="GX70" s="1067"/>
      <c r="GY70" s="1476"/>
      <c r="GZ70" s="1536"/>
      <c r="HA70" s="848"/>
      <c r="HB70" s="1053"/>
      <c r="HC70" s="1053"/>
      <c r="HD70" s="1053"/>
      <c r="HE70" s="1053"/>
      <c r="HF70" s="1053"/>
      <c r="HG70" s="1053"/>
      <c r="HR70" s="130"/>
      <c r="HS70" s="130"/>
      <c r="HT70" s="130"/>
      <c r="HU70" s="130"/>
      <c r="HV70" s="130"/>
      <c r="HW70" s="130"/>
      <c r="HX70" s="130"/>
      <c r="HY70" s="130"/>
      <c r="HZ70" s="130"/>
      <c r="IA70" s="130"/>
      <c r="IB70" s="130"/>
      <c r="IC70" s="130"/>
      <c r="ID70" s="130"/>
      <c r="IE70" s="130"/>
      <c r="IF70" s="130"/>
      <c r="IG70" s="130"/>
      <c r="IH70" s="130"/>
      <c r="II70" s="130"/>
      <c r="IJ70" s="130"/>
      <c r="IK70" s="130"/>
      <c r="IM70" s="377"/>
      <c r="IN70" s="373"/>
      <c r="IO70" s="373"/>
      <c r="IP70" s="381"/>
      <c r="IQ70" s="373"/>
      <c r="IR70" s="373"/>
      <c r="IS70" s="373"/>
      <c r="IT70" s="373"/>
      <c r="IU70" s="373"/>
      <c r="IV70" s="373"/>
      <c r="IW70" s="373"/>
      <c r="IX70" s="373"/>
      <c r="IY70" s="373"/>
      <c r="IZ70" s="373"/>
      <c r="JA70" s="373"/>
      <c r="JB70" s="373"/>
      <c r="JC70" s="373"/>
      <c r="JD70" s="373"/>
      <c r="JE70" s="373"/>
      <c r="JF70" s="373"/>
      <c r="JG70" s="373"/>
      <c r="JH70" s="373"/>
      <c r="JI70" s="373"/>
      <c r="JJ70" s="373"/>
      <c r="JK70" s="373"/>
      <c r="JL70" s="373"/>
      <c r="JM70" s="373"/>
      <c r="JN70" s="373"/>
      <c r="JO70" s="373"/>
      <c r="JP70" s="373"/>
      <c r="JQ70" s="373"/>
      <c r="JR70" s="373"/>
      <c r="JS70" s="373"/>
      <c r="JT70" s="374"/>
      <c r="JU70" s="653"/>
      <c r="JV70" s="653"/>
      <c r="JW70" s="653"/>
      <c r="LD70" s="130"/>
      <c r="LE70" s="130"/>
      <c r="LF70" s="130"/>
      <c r="LG70" s="130"/>
      <c r="LH70" s="130"/>
      <c r="LI70" s="130"/>
      <c r="LJ70" s="130"/>
      <c r="LK70" s="130"/>
      <c r="LL70" s="130"/>
      <c r="LM70" s="130"/>
      <c r="LN70" s="130"/>
      <c r="LO70" s="130"/>
      <c r="LP70" s="130"/>
      <c r="LQ70" s="130"/>
      <c r="LR70" s="130"/>
      <c r="LS70" s="130"/>
      <c r="LT70" s="130"/>
      <c r="LU70" s="130"/>
      <c r="LV70" s="130"/>
      <c r="MB70" s="851"/>
      <c r="MC70" s="350" t="s">
        <v>1223</v>
      </c>
      <c r="MD70" s="1187">
        <f>$GM$48</f>
        <v>180.34671544768563</v>
      </c>
      <c r="ME70" s="1187"/>
      <c r="MF70" s="1201"/>
      <c r="MG70" s="1201"/>
      <c r="MH70" s="1201"/>
      <c r="MI70" s="1201"/>
      <c r="MJ70" s="1201"/>
      <c r="MK70" s="1201"/>
      <c r="ML70" s="1201"/>
      <c r="MM70" s="1201"/>
      <c r="MN70" s="1201"/>
      <c r="MO70" s="1202"/>
      <c r="MP70" s="1600"/>
      <c r="MQ70" s="1601"/>
      <c r="MR70" s="1602"/>
      <c r="MS70" s="1190"/>
      <c r="MT70" s="1191"/>
      <c r="MU70" s="842"/>
      <c r="MV70" s="1173"/>
      <c r="MW70" s="1175"/>
      <c r="MX70" s="848"/>
      <c r="MY70" s="828"/>
      <c r="MZ70" s="949"/>
      <c r="NA70" s="950"/>
      <c r="NK70" s="1216"/>
      <c r="NL70" s="1217"/>
      <c r="NM70" s="1217"/>
      <c r="NN70" s="1217"/>
      <c r="NO70" s="1217"/>
      <c r="NP70" s="1217"/>
      <c r="NQ70" s="1217"/>
      <c r="NR70" s="1217"/>
      <c r="NS70" s="1217"/>
      <c r="NT70" s="1217"/>
      <c r="NU70" s="1217"/>
      <c r="NV70" s="1217"/>
      <c r="NW70" s="1217"/>
      <c r="NX70" s="1217"/>
      <c r="NY70" s="1217"/>
      <c r="NZ70" s="1217"/>
      <c r="OA70" s="1217"/>
      <c r="OB70" s="1217"/>
      <c r="OC70" s="1217"/>
      <c r="OD70" s="1217"/>
      <c r="OE70" s="1217"/>
      <c r="OF70" s="1218"/>
      <c r="OS70" s="130"/>
      <c r="OT70" s="130"/>
      <c r="OU70" s="130"/>
      <c r="OV70" s="130"/>
      <c r="OW70" s="130"/>
      <c r="OX70" s="130"/>
      <c r="OY70" s="130"/>
      <c r="OZ70" s="130"/>
      <c r="PA70" s="130"/>
      <c r="PB70" s="130"/>
      <c r="PC70" s="130"/>
      <c r="PD70" s="130"/>
      <c r="PE70" s="130"/>
      <c r="PF70" s="130"/>
      <c r="PG70" s="130"/>
      <c r="PH70" s="130"/>
      <c r="PI70" s="130"/>
      <c r="QR70" s="130"/>
      <c r="QS70" s="130"/>
      <c r="QT70" s="130"/>
      <c r="QU70" s="130"/>
      <c r="QV70" s="130"/>
      <c r="QW70" s="130"/>
      <c r="RE70" s="653"/>
      <c r="RF70" s="653"/>
      <c r="RG70" s="653"/>
      <c r="RH70" s="653"/>
      <c r="RI70" s="653"/>
      <c r="RJ70" s="653"/>
      <c r="RK70" s="653"/>
      <c r="RL70" s="653"/>
      <c r="RM70" s="653"/>
      <c r="RN70" s="653"/>
      <c r="RO70" s="653"/>
      <c r="RP70" s="653"/>
      <c r="RQ70" s="653"/>
      <c r="RR70" s="653"/>
      <c r="RS70" s="653"/>
      <c r="RT70" s="653"/>
      <c r="RU70" s="653"/>
      <c r="RV70" s="653"/>
      <c r="RW70" s="653"/>
      <c r="RX70" s="653"/>
      <c r="RY70" s="653"/>
      <c r="RZ70" s="653"/>
      <c r="SA70" s="653"/>
      <c r="SB70" s="653"/>
      <c r="SC70" s="653"/>
      <c r="SD70" s="653"/>
      <c r="SE70" s="653"/>
      <c r="SF70" s="653"/>
      <c r="SG70" s="653"/>
      <c r="SH70" s="653"/>
      <c r="SI70" s="653"/>
      <c r="SJ70" s="653"/>
      <c r="SK70" s="653"/>
      <c r="SL70" s="653"/>
      <c r="SM70" s="653"/>
      <c r="SN70" s="653"/>
      <c r="SO70" s="653"/>
      <c r="SP70" s="653"/>
      <c r="SQ70" s="653"/>
      <c r="SR70" s="653"/>
      <c r="SS70" s="653"/>
      <c r="ST70" s="653"/>
      <c r="SU70" s="653"/>
      <c r="SV70" s="653"/>
      <c r="SW70" s="653"/>
      <c r="SX70" s="653"/>
      <c r="SY70" s="653"/>
      <c r="SZ70" s="653"/>
      <c r="TA70" s="653"/>
      <c r="TB70" s="653"/>
      <c r="TC70" s="653"/>
      <c r="TD70" s="653"/>
      <c r="TE70" s="653"/>
      <c r="TF70" s="653"/>
      <c r="TG70" s="653"/>
      <c r="TH70" s="653"/>
      <c r="TI70" s="653"/>
      <c r="TJ70" s="653"/>
      <c r="TK70" s="653"/>
      <c r="TL70" s="653"/>
      <c r="TM70" s="653"/>
      <c r="TN70" s="653"/>
      <c r="TO70" s="653"/>
      <c r="TP70" s="653"/>
      <c r="TQ70" s="653"/>
      <c r="TR70" s="653"/>
      <c r="TS70" s="653"/>
      <c r="TT70" s="653"/>
      <c r="TU70" s="653"/>
      <c r="TV70" s="653"/>
      <c r="TW70" s="653"/>
      <c r="TX70" s="653"/>
      <c r="TY70" s="653"/>
      <c r="TZ70" s="653"/>
      <c r="UA70" s="653"/>
      <c r="UB70" s="653"/>
      <c r="UC70" s="653"/>
      <c r="UD70" s="653"/>
      <c r="UE70" s="653"/>
      <c r="UF70" s="653"/>
      <c r="UG70" s="653"/>
      <c r="UH70" s="653"/>
      <c r="UI70" s="653"/>
      <c r="UJ70" s="653"/>
      <c r="UK70" s="653"/>
      <c r="UL70" s="653"/>
      <c r="UM70" s="653"/>
      <c r="UN70" s="653"/>
      <c r="UO70" s="653"/>
      <c r="UP70" s="653"/>
      <c r="UQ70" s="653"/>
      <c r="UR70" s="653"/>
      <c r="US70" s="653"/>
      <c r="UT70" s="653"/>
      <c r="UU70" s="653"/>
      <c r="UV70" s="653"/>
      <c r="UW70" s="653"/>
      <c r="UX70" s="653"/>
      <c r="UY70" s="653"/>
      <c r="UZ70" s="653"/>
      <c r="VC70" s="162"/>
      <c r="VD70" s="158"/>
      <c r="VE70" s="158"/>
      <c r="VF70" s="158"/>
      <c r="VG70" s="158"/>
      <c r="VH70" s="158"/>
      <c r="VI70" s="158"/>
      <c r="VJ70" s="158"/>
      <c r="VK70" s="158"/>
      <c r="VL70" s="158"/>
      <c r="VM70" s="158"/>
      <c r="VN70" s="158"/>
      <c r="VO70" s="158"/>
      <c r="VP70" s="158"/>
      <c r="VQ70" s="163"/>
      <c r="VW70" s="653"/>
      <c r="VX70" s="653"/>
      <c r="VY70" s="653"/>
      <c r="VZ70" s="653"/>
      <c r="WA70" s="653"/>
      <c r="XB70" s="653"/>
      <c r="XC70" s="653"/>
      <c r="XD70" s="653"/>
      <c r="XE70" s="653"/>
      <c r="XF70" s="971"/>
      <c r="XG70" s="158"/>
      <c r="XH70" s="158"/>
      <c r="XI70" s="158"/>
      <c r="XJ70" s="158"/>
      <c r="XK70" s="158"/>
      <c r="XL70" s="158"/>
      <c r="XM70" s="158"/>
      <c r="XN70" s="158"/>
      <c r="XO70" s="158"/>
      <c r="XP70" s="158"/>
      <c r="XQ70" s="158"/>
      <c r="XR70" s="158"/>
      <c r="XS70" s="158"/>
      <c r="XT70" s="158"/>
      <c r="XU70" s="158"/>
      <c r="XV70" s="158"/>
      <c r="XW70" s="158"/>
      <c r="XX70" s="158"/>
      <c r="XY70" s="158"/>
      <c r="XZ70" s="158"/>
      <c r="YA70" s="158"/>
      <c r="YB70" s="158"/>
      <c r="YC70" s="158"/>
      <c r="YD70" s="158"/>
      <c r="YE70" s="158"/>
      <c r="YF70" s="158"/>
      <c r="YG70" s="158"/>
      <c r="YH70" s="158"/>
      <c r="YI70" s="158"/>
      <c r="YJ70" s="158"/>
      <c r="YK70" s="158"/>
      <c r="YL70" s="158"/>
      <c r="YM70" s="158"/>
      <c r="YN70" s="158"/>
      <c r="YO70" s="158"/>
      <c r="YP70" s="158"/>
      <c r="YQ70" s="158"/>
      <c r="YR70" s="158"/>
      <c r="YS70" s="158"/>
      <c r="YT70" s="158"/>
      <c r="YU70" s="158"/>
      <c r="YV70" s="158"/>
      <c r="YW70" s="158"/>
      <c r="YX70" s="158"/>
      <c r="YY70" s="158"/>
      <c r="YZ70" s="158"/>
      <c r="ZA70" s="158"/>
      <c r="ZB70" s="158"/>
      <c r="ZC70" s="158"/>
      <c r="ZD70" s="158"/>
      <c r="ZE70" s="158"/>
      <c r="ZF70" s="158"/>
      <c r="ZG70" s="158"/>
      <c r="ZH70" s="158"/>
      <c r="ZI70" s="158"/>
      <c r="ZJ70" s="158"/>
      <c r="ZK70" s="158"/>
      <c r="ZL70" s="158"/>
      <c r="ZM70" s="158"/>
      <c r="ZN70" s="158"/>
      <c r="ZO70" s="158"/>
      <c r="ZP70" s="158"/>
      <c r="ZQ70" s="158"/>
      <c r="ZR70" s="158"/>
      <c r="ZS70" s="158"/>
      <c r="ZT70" s="158"/>
      <c r="ZU70" s="158"/>
      <c r="ZV70" s="158"/>
      <c r="ZW70" s="158"/>
      <c r="ZX70" s="158"/>
      <c r="ZY70" s="158"/>
      <c r="ZZ70" s="158"/>
      <c r="AAA70" s="158"/>
      <c r="AAB70" s="158"/>
      <c r="AAC70" s="158"/>
      <c r="AAD70" s="158"/>
      <c r="AAE70" s="158"/>
      <c r="AAF70" s="158"/>
      <c r="AAG70" s="158"/>
      <c r="AAH70" s="158"/>
      <c r="AAI70" s="158"/>
      <c r="AAJ70" s="158"/>
      <c r="AAK70" s="158"/>
      <c r="AAL70" s="158"/>
      <c r="AAM70" s="158"/>
      <c r="AAN70" s="158"/>
      <c r="AAO70" s="158"/>
      <c r="AAP70" s="158"/>
      <c r="AAQ70" s="158"/>
      <c r="AAR70" s="158"/>
      <c r="AAS70" s="158"/>
      <c r="AAT70" s="100"/>
      <c r="AAW70" s="653"/>
      <c r="AAX70" s="653"/>
      <c r="AAY70" s="653"/>
      <c r="AAZ70" s="653"/>
      <c r="ABA70" s="653"/>
      <c r="ABB70" s="653"/>
      <c r="ABC70" s="653"/>
      <c r="ABD70" s="653"/>
      <c r="ABE70" s="653"/>
      <c r="ABF70" s="653"/>
      <c r="ABG70" s="653"/>
      <c r="ABH70" s="653"/>
      <c r="ABI70" s="653"/>
      <c r="ABJ70" s="653"/>
      <c r="ABK70" s="653"/>
      <c r="ABL70" s="653"/>
      <c r="ABM70" s="653"/>
      <c r="ABN70" s="653"/>
      <c r="ABO70" s="653"/>
      <c r="ABP70" s="653"/>
      <c r="ABQ70" s="653"/>
      <c r="ABR70" s="653"/>
      <c r="ABW70" s="653"/>
      <c r="ABX70" s="653"/>
      <c r="ACI70" s="653"/>
      <c r="ACJ70" s="653"/>
      <c r="ACK70" s="653"/>
      <c r="ACL70" s="653"/>
      <c r="ACM70" s="653"/>
      <c r="ACN70" s="653"/>
      <c r="ACO70" s="653"/>
      <c r="ACP70" s="653"/>
      <c r="ACQ70" s="653"/>
      <c r="ACR70" s="591"/>
      <c r="ACS70" s="591"/>
      <c r="ACT70" s="591"/>
      <c r="ACU70" s="591"/>
      <c r="ACV70" s="591"/>
      <c r="ACW70" s="591"/>
      <c r="ACX70" s="591"/>
      <c r="ACY70" s="591"/>
      <c r="ACZ70" s="653"/>
      <c r="ADA70" s="653"/>
      <c r="AEQ70" s="653"/>
      <c r="AER70" s="653"/>
      <c r="AES70" s="653"/>
      <c r="AET70" s="653"/>
      <c r="AEU70" s="653"/>
      <c r="AEV70" s="653"/>
      <c r="AEW70" s="653"/>
      <c r="AEX70" s="653"/>
      <c r="AEY70" s="653"/>
      <c r="AEZ70" s="653"/>
      <c r="AFA70" s="653"/>
      <c r="AFB70" s="653"/>
      <c r="AFC70" s="653"/>
      <c r="AFD70" s="653"/>
      <c r="AFE70" s="653"/>
      <c r="AGJ70" s="377"/>
      <c r="AGK70" s="373"/>
      <c r="AGL70" s="54"/>
      <c r="AGM70" s="373"/>
      <c r="AGN70" s="373"/>
      <c r="AGO70" s="373"/>
      <c r="AGP70" s="373"/>
      <c r="AGQ70" s="373"/>
      <c r="AGR70" s="373"/>
      <c r="AGS70" s="373"/>
      <c r="AGT70" s="373"/>
      <c r="AGU70" s="373"/>
      <c r="AGV70" s="373"/>
      <c r="AGW70" s="373"/>
      <c r="AGX70" s="373"/>
      <c r="AGY70" s="373"/>
      <c r="AGZ70" s="373"/>
      <c r="AHA70" s="373"/>
      <c r="AHB70" s="373"/>
      <c r="AHC70" s="373"/>
      <c r="AHD70" s="373"/>
      <c r="AHE70" s="373"/>
      <c r="AHF70" s="373"/>
      <c r="AHG70" s="373"/>
      <c r="AHH70" s="373"/>
      <c r="AHI70" s="373"/>
      <c r="AHJ70" s="373"/>
      <c r="AHK70" s="373"/>
      <c r="AHL70" s="373"/>
      <c r="AHM70" s="373"/>
      <c r="AHN70" s="373"/>
      <c r="AHO70" s="373"/>
      <c r="AHP70" s="373"/>
      <c r="AHQ70" s="373"/>
      <c r="AHR70" s="373"/>
      <c r="AHS70" s="373"/>
      <c r="AHT70" s="373"/>
      <c r="AHU70" s="373"/>
      <c r="AHV70" s="373"/>
      <c r="AHW70" s="373"/>
      <c r="AHX70" s="373"/>
      <c r="AHY70" s="374"/>
      <c r="APJ70" s="130"/>
      <c r="APK70" s="130"/>
      <c r="APL70" s="130"/>
      <c r="APM70" s="130"/>
      <c r="APN70" s="130"/>
      <c r="APO70" s="130"/>
      <c r="APP70" s="130"/>
      <c r="APQ70" s="130"/>
      <c r="APU70" s="653"/>
      <c r="APV70" s="653"/>
      <c r="APW70" s="653"/>
      <c r="APX70" s="653"/>
      <c r="APY70" s="653"/>
      <c r="ARU70" s="377"/>
      <c r="ARV70" s="373"/>
      <c r="ARW70" s="373"/>
      <c r="ARX70" s="373"/>
      <c r="ARY70" s="850"/>
      <c r="ARZ70" s="809"/>
      <c r="ASA70" s="797"/>
      <c r="ASB70" s="797"/>
      <c r="ASC70" s="797"/>
      <c r="ASD70" s="797"/>
      <c r="ASE70" s="797"/>
      <c r="ASF70" s="797"/>
      <c r="ASG70" s="797"/>
      <c r="ASH70" s="797"/>
      <c r="ASI70" s="797"/>
      <c r="ASJ70" s="797"/>
      <c r="ASK70" s="797"/>
      <c r="ASL70" s="797"/>
      <c r="ASM70" s="835"/>
      <c r="ASN70" s="836"/>
      <c r="ASO70" s="809"/>
      <c r="ASP70" s="797"/>
      <c r="ASQ70" s="1066"/>
      <c r="ASR70" s="843" t="s">
        <v>416</v>
      </c>
      <c r="ASS70" s="844"/>
      <c r="AST70" s="847"/>
      <c r="ASU70" s="1203" t="s">
        <v>862</v>
      </c>
      <c r="ASV70" s="1275"/>
      <c r="ASW70" s="1204"/>
      <c r="ASX70" s="373"/>
      <c r="ASY70" s="373"/>
      <c r="ASZ70" s="373"/>
      <c r="ATA70" s="373"/>
      <c r="ATB70" s="373"/>
      <c r="ATC70" s="373"/>
      <c r="ATD70" s="373"/>
      <c r="ATE70" s="373"/>
      <c r="ATF70" s="373"/>
      <c r="ATG70" s="373"/>
      <c r="ATH70" s="374"/>
    </row>
    <row r="71" spans="4:945 1051:1224" ht="48" customHeight="1" thickBot="1">
      <c r="D71" s="164"/>
      <c r="E71" s="1457" t="s">
        <v>851</v>
      </c>
      <c r="F71" s="1457"/>
      <c r="G71" s="1457" t="s">
        <v>822</v>
      </c>
      <c r="H71" s="1457"/>
      <c r="I71" s="1457" t="s">
        <v>966</v>
      </c>
      <c r="J71" s="1457"/>
      <c r="K71" s="1459" t="s">
        <v>967</v>
      </c>
      <c r="L71" s="1459"/>
      <c r="M71" s="1459" t="s">
        <v>968</v>
      </c>
      <c r="N71" s="1459"/>
      <c r="O71" s="653"/>
      <c r="P71" s="653"/>
      <c r="AI71" s="903"/>
      <c r="AJ71" s="904"/>
      <c r="AK71" s="905"/>
      <c r="AL71" s="851"/>
      <c r="AM71" s="769"/>
      <c r="AN71" s="764"/>
      <c r="AO71" s="764"/>
      <c r="AP71" s="764"/>
      <c r="AQ71" s="764"/>
      <c r="AR71" s="764"/>
      <c r="AS71" s="764"/>
      <c r="AT71" s="764"/>
      <c r="AU71" s="764"/>
      <c r="AV71" s="764"/>
      <c r="AW71" s="764"/>
      <c r="AX71" s="1455"/>
      <c r="AY71" s="1680"/>
      <c r="AZ71" s="1077"/>
      <c r="BA71" s="1078"/>
      <c r="BB71" s="848"/>
      <c r="BC71" s="918"/>
      <c r="BD71" s="919"/>
      <c r="BE71" s="848"/>
      <c r="BQ71" s="130"/>
      <c r="BX71" s="850"/>
      <c r="BY71" s="332" t="s">
        <v>816</v>
      </c>
      <c r="BZ71" s="766">
        <f>$AP$9</f>
        <v>3</v>
      </c>
      <c r="CA71" s="766"/>
      <c r="CB71" s="770" t="s">
        <v>31</v>
      </c>
      <c r="CC71" s="770"/>
      <c r="CD71" s="770"/>
      <c r="CE71" s="770"/>
      <c r="CF71" s="770"/>
      <c r="CG71" s="770"/>
      <c r="CH71" s="770"/>
      <c r="CI71" s="770"/>
      <c r="CJ71" s="770"/>
      <c r="CK71" s="771"/>
      <c r="CL71" s="1086">
        <f>(CC70*BZ72)/(2*CF70*BZ71)</f>
        <v>68</v>
      </c>
      <c r="CM71" s="1087"/>
      <c r="CN71" s="1183" t="s">
        <v>726</v>
      </c>
      <c r="CO71" s="1184"/>
      <c r="CP71" s="841"/>
      <c r="CQ71" s="893" t="s">
        <v>850</v>
      </c>
      <c r="CR71" s="894"/>
      <c r="CS71" s="847"/>
      <c r="CT71" s="826"/>
      <c r="CU71" s="945"/>
      <c r="CV71" s="946"/>
      <c r="DI71" s="130"/>
      <c r="DJ71" s="130"/>
      <c r="DK71" s="130"/>
      <c r="DL71" s="130"/>
      <c r="DM71" s="130"/>
      <c r="DN71" s="130"/>
      <c r="DO71" s="130"/>
      <c r="DP71" s="130"/>
      <c r="DQ71" s="130"/>
      <c r="DR71" s="130"/>
      <c r="DS71" s="130"/>
      <c r="DT71" s="130"/>
      <c r="DU71" s="130"/>
      <c r="DX71" s="130"/>
      <c r="DZ71" s="849"/>
      <c r="EA71" s="800" t="s">
        <v>1508</v>
      </c>
      <c r="EB71" s="801"/>
      <c r="EC71" s="761">
        <f>$EQ$41</f>
        <v>1</v>
      </c>
      <c r="ED71" s="883"/>
      <c r="EE71" s="809" t="s">
        <v>1092</v>
      </c>
      <c r="EF71" s="797"/>
      <c r="EG71" s="797"/>
      <c r="EH71" s="797"/>
      <c r="EI71" s="797"/>
      <c r="EJ71" s="797"/>
      <c r="EK71" s="797"/>
      <c r="EL71" s="885">
        <f>EC73-(EC71+(EC72-EF70)/2)</f>
        <v>21.978064587580175</v>
      </c>
      <c r="EM71" s="886"/>
      <c r="EN71" s="1075" t="s">
        <v>45</v>
      </c>
      <c r="EO71" s="1076"/>
      <c r="EP71" s="1500"/>
      <c r="EQ71" s="1305" t="s">
        <v>1658</v>
      </c>
      <c r="ER71" s="1305"/>
      <c r="ES71" s="1305"/>
      <c r="ET71" s="1289"/>
      <c r="EU71" s="1052"/>
      <c r="EV71" s="1052"/>
      <c r="EW71" s="1052"/>
      <c r="EX71" s="1052"/>
      <c r="EY71" s="1052"/>
      <c r="EZ71" s="1052"/>
      <c r="FA71" s="1052"/>
      <c r="FB71" s="1052"/>
      <c r="FC71" s="1052"/>
      <c r="FD71" s="1052"/>
      <c r="FE71" s="1052"/>
      <c r="FF71" s="1052"/>
      <c r="FG71" s="1052"/>
      <c r="FJ71" s="126"/>
      <c r="FK71" s="126"/>
      <c r="FL71" s="126"/>
      <c r="FM71" s="126"/>
      <c r="FN71" s="126"/>
      <c r="FO71" s="126"/>
      <c r="FP71" s="126"/>
      <c r="FQ71" s="126"/>
      <c r="FR71" s="126"/>
      <c r="FS71" s="126"/>
      <c r="FT71" s="126"/>
      <c r="FU71" s="126"/>
      <c r="FV71" s="126"/>
      <c r="FW71" s="126"/>
      <c r="FX71" s="126"/>
      <c r="FY71" s="126"/>
      <c r="FZ71" s="126"/>
      <c r="GA71" s="126"/>
      <c r="HP71" s="130"/>
      <c r="HQ71" s="130"/>
      <c r="HR71" s="130"/>
      <c r="HS71" s="130"/>
      <c r="HT71" s="130"/>
      <c r="HU71" s="130"/>
      <c r="HV71" s="130"/>
      <c r="HW71" s="130"/>
      <c r="HX71" s="130"/>
      <c r="HY71" s="130"/>
      <c r="HZ71" s="130"/>
      <c r="IA71" s="130"/>
      <c r="IB71" s="130"/>
      <c r="IC71" s="130"/>
      <c r="ID71" s="130"/>
      <c r="IE71" s="130"/>
      <c r="IF71" s="130"/>
      <c r="IG71" s="130"/>
      <c r="IH71" s="130"/>
      <c r="II71" s="130"/>
      <c r="IJ71" s="130"/>
      <c r="IK71" s="130"/>
      <c r="IM71" s="377"/>
      <c r="IN71" s="373"/>
      <c r="IO71" s="373"/>
      <c r="IP71" s="381"/>
      <c r="IQ71" s="373"/>
      <c r="IR71" s="76" t="s">
        <v>1654</v>
      </c>
      <c r="IS71" s="852" t="s">
        <v>416</v>
      </c>
      <c r="IT71" s="923"/>
      <c r="IU71" s="709"/>
      <c r="IV71" s="710" t="s">
        <v>1108</v>
      </c>
      <c r="IW71" s="926">
        <f>$JC$99</f>
        <v>39.391140541516137</v>
      </c>
      <c r="IX71" s="926"/>
      <c r="IY71" s="709"/>
      <c r="IZ71" s="76" t="s">
        <v>441</v>
      </c>
      <c r="JA71" s="854" t="s">
        <v>435</v>
      </c>
      <c r="JB71" s="855"/>
      <c r="JC71" s="920" t="s">
        <v>111</v>
      </c>
      <c r="JD71" s="921"/>
      <c r="JE71" s="916" t="s">
        <v>704</v>
      </c>
      <c r="JF71" s="917"/>
      <c r="JG71" s="906" t="s">
        <v>447</v>
      </c>
      <c r="JH71" s="907"/>
      <c r="JI71" s="907"/>
      <c r="JJ71" s="908"/>
      <c r="JK71" s="906" t="s">
        <v>436</v>
      </c>
      <c r="JL71" s="907"/>
      <c r="JM71" s="908"/>
      <c r="JN71" s="373"/>
      <c r="JO71" s="373"/>
      <c r="JP71" s="373"/>
      <c r="JQ71" s="373"/>
      <c r="JR71" s="373"/>
      <c r="JS71" s="373"/>
      <c r="JT71" s="374"/>
      <c r="JX71" s="1052"/>
      <c r="JY71" s="852" t="s">
        <v>416</v>
      </c>
      <c r="JZ71" s="923"/>
      <c r="KA71" s="224"/>
      <c r="KB71" s="234" t="s">
        <v>725</v>
      </c>
      <c r="KC71" s="761">
        <f>$GU$12</f>
        <v>0.8</v>
      </c>
      <c r="KD71" s="761"/>
      <c r="KE71" s="320"/>
      <c r="KF71" s="78"/>
      <c r="KG71" s="78"/>
      <c r="KH71" s="138"/>
      <c r="KI71" s="76" t="s">
        <v>441</v>
      </c>
      <c r="KJ71" s="854" t="s">
        <v>435</v>
      </c>
      <c r="KK71" s="1111"/>
      <c r="KL71" s="924" t="s">
        <v>111</v>
      </c>
      <c r="KM71" s="925"/>
      <c r="KN71" s="916" t="s">
        <v>704</v>
      </c>
      <c r="KO71" s="917"/>
      <c r="KP71" s="906" t="s">
        <v>447</v>
      </c>
      <c r="KQ71" s="907"/>
      <c r="KR71" s="907"/>
      <c r="KS71" s="908"/>
      <c r="KT71" s="906" t="s">
        <v>436</v>
      </c>
      <c r="KU71" s="907"/>
      <c r="KV71" s="907"/>
      <c r="KW71" s="908"/>
      <c r="LD71" s="130"/>
      <c r="LE71" s="130"/>
      <c r="LF71" s="130"/>
      <c r="LG71" s="130"/>
      <c r="LH71" s="130"/>
      <c r="LI71" s="130"/>
      <c r="LJ71" s="130"/>
      <c r="LK71" s="130"/>
      <c r="LL71" s="130"/>
      <c r="LM71" s="130"/>
      <c r="LN71" s="130"/>
      <c r="MZ71" s="653"/>
      <c r="NA71" s="653"/>
      <c r="NB71" s="653"/>
      <c r="NK71" s="1216"/>
      <c r="NL71" s="1217"/>
      <c r="NM71" s="1217"/>
      <c r="NN71" s="1217"/>
      <c r="NO71" s="1217"/>
      <c r="NP71" s="1217"/>
      <c r="NQ71" s="1217"/>
      <c r="NR71" s="1217"/>
      <c r="NS71" s="1217"/>
      <c r="NT71" s="1217"/>
      <c r="NU71" s="1217"/>
      <c r="NV71" s="1217"/>
      <c r="NW71" s="1217"/>
      <c r="NX71" s="1217"/>
      <c r="NY71" s="1217"/>
      <c r="NZ71" s="1217"/>
      <c r="OA71" s="1217"/>
      <c r="OB71" s="1217"/>
      <c r="OC71" s="1217"/>
      <c r="OD71" s="1217"/>
      <c r="OE71" s="1217"/>
      <c r="OF71" s="1218"/>
      <c r="OS71" s="130"/>
      <c r="OT71" s="130"/>
      <c r="OU71" s="130"/>
      <c r="OV71" s="130"/>
      <c r="OW71" s="130"/>
      <c r="OX71" s="130"/>
      <c r="OY71" s="130"/>
      <c r="OZ71" s="130"/>
      <c r="PA71" s="130"/>
      <c r="PB71" s="130"/>
      <c r="PC71" s="130"/>
      <c r="PD71" s="130"/>
      <c r="PE71" s="130"/>
      <c r="PF71" s="130"/>
      <c r="PG71" s="130"/>
      <c r="PH71" s="130"/>
      <c r="PI71" s="130"/>
      <c r="PL71" s="849"/>
      <c r="PM71" s="1257" t="s">
        <v>416</v>
      </c>
      <c r="PN71" s="1257"/>
      <c r="PO71" s="466"/>
      <c r="PP71" s="496" t="s">
        <v>1019</v>
      </c>
      <c r="PQ71" s="890">
        <f>$GM$24</f>
        <v>1.4419426086956524E-2</v>
      </c>
      <c r="PR71" s="890"/>
      <c r="PS71" s="495" t="s">
        <v>1070</v>
      </c>
      <c r="PT71" s="766">
        <f>$GU$16</f>
        <v>46</v>
      </c>
      <c r="PU71" s="766"/>
      <c r="PV71" s="466"/>
      <c r="PW71" s="76" t="s">
        <v>441</v>
      </c>
      <c r="PX71" s="854" t="s">
        <v>435</v>
      </c>
      <c r="PY71" s="1111"/>
      <c r="PZ71" s="920" t="s">
        <v>111</v>
      </c>
      <c r="QA71" s="921"/>
      <c r="QB71" s="916" t="s">
        <v>704</v>
      </c>
      <c r="QC71" s="917"/>
      <c r="QD71" s="906" t="s">
        <v>447</v>
      </c>
      <c r="QE71" s="907"/>
      <c r="QF71" s="907"/>
      <c r="QG71" s="907"/>
      <c r="QH71" s="908"/>
      <c r="QI71" s="1051" t="s">
        <v>436</v>
      </c>
      <c r="QJ71" s="1051"/>
      <c r="QK71" s="1051"/>
      <c r="QL71" s="1051"/>
      <c r="QM71" s="1051"/>
      <c r="QN71" s="1051"/>
      <c r="QO71" s="1051"/>
      <c r="QP71" s="1051"/>
      <c r="QQ71" s="1051"/>
      <c r="QR71" s="1051"/>
      <c r="QS71" s="1051"/>
      <c r="QT71" s="1051"/>
      <c r="QW71" s="130"/>
      <c r="QX71" s="130"/>
      <c r="RE71" s="653"/>
      <c r="RF71" s="653"/>
      <c r="RG71" s="653"/>
      <c r="RH71" s="653"/>
      <c r="RI71" s="653"/>
      <c r="RJ71" s="653"/>
      <c r="RK71" s="653"/>
      <c r="RL71" s="653"/>
      <c r="RM71" s="653"/>
      <c r="RN71" s="653"/>
      <c r="RO71" s="653"/>
      <c r="RP71" s="653"/>
      <c r="RQ71" s="653"/>
      <c r="RR71" s="653"/>
      <c r="RS71" s="653"/>
      <c r="RT71" s="653"/>
      <c r="RU71" s="653"/>
      <c r="RV71" s="653"/>
      <c r="RW71" s="653"/>
      <c r="RX71" s="653"/>
      <c r="RY71" s="653"/>
      <c r="RZ71" s="653"/>
      <c r="SA71" s="653"/>
      <c r="SB71" s="653"/>
      <c r="SC71" s="653"/>
      <c r="SD71" s="653"/>
      <c r="SE71" s="653"/>
      <c r="SF71" s="653"/>
      <c r="SG71" s="653"/>
      <c r="SH71" s="653"/>
      <c r="SI71" s="653"/>
      <c r="SJ71" s="653"/>
      <c r="SK71" s="653"/>
      <c r="SL71" s="653"/>
      <c r="SM71" s="653"/>
      <c r="SN71" s="653"/>
      <c r="SO71" s="653"/>
      <c r="SP71" s="653"/>
      <c r="SQ71" s="653"/>
      <c r="SR71" s="653"/>
      <c r="SS71" s="653"/>
      <c r="ST71" s="653"/>
      <c r="SU71" s="653"/>
      <c r="SV71" s="653"/>
      <c r="SW71" s="653"/>
      <c r="SX71" s="653"/>
      <c r="SY71" s="653"/>
      <c r="SZ71" s="653"/>
      <c r="TA71" s="653"/>
      <c r="TB71" s="653"/>
      <c r="TC71" s="653"/>
      <c r="TD71" s="653"/>
      <c r="TE71" s="653"/>
      <c r="TF71" s="653"/>
      <c r="TG71" s="653"/>
      <c r="TH71" s="653"/>
      <c r="TI71" s="653"/>
      <c r="TJ71" s="653"/>
      <c r="TK71" s="653"/>
      <c r="TL71" s="653"/>
      <c r="TM71" s="653"/>
      <c r="TN71" s="653"/>
      <c r="TO71" s="653"/>
      <c r="TP71" s="653"/>
      <c r="TQ71" s="653"/>
      <c r="TR71" s="653"/>
      <c r="TS71" s="653"/>
      <c r="TT71" s="653"/>
      <c r="TU71" s="653"/>
      <c r="TV71" s="653"/>
      <c r="TW71" s="653"/>
      <c r="TX71" s="653"/>
      <c r="TY71" s="653"/>
      <c r="TZ71" s="653"/>
      <c r="UA71" s="653"/>
      <c r="UB71" s="653"/>
      <c r="UC71" s="653"/>
      <c r="UD71" s="653"/>
      <c r="UE71" s="653"/>
      <c r="UF71" s="653"/>
      <c r="UG71" s="653"/>
      <c r="UH71" s="653"/>
      <c r="UI71" s="653"/>
      <c r="UJ71" s="653"/>
      <c r="UK71" s="653"/>
      <c r="UL71" s="653"/>
      <c r="UM71" s="653"/>
      <c r="UN71" s="653"/>
      <c r="UO71" s="653"/>
      <c r="UP71" s="653"/>
      <c r="UQ71" s="653"/>
      <c r="UR71" s="653"/>
      <c r="US71" s="653"/>
      <c r="UT71" s="653"/>
      <c r="UU71" s="653"/>
      <c r="UV71" s="653"/>
      <c r="UW71" s="653"/>
      <c r="UX71" s="653"/>
      <c r="UY71" s="653"/>
      <c r="UZ71" s="653"/>
      <c r="VC71" s="162"/>
      <c r="VD71" s="158"/>
      <c r="VE71" s="158"/>
      <c r="VF71" s="158"/>
      <c r="VG71" s="158"/>
      <c r="VH71" s="158"/>
      <c r="VI71" s="158"/>
      <c r="VJ71" s="158"/>
      <c r="VK71" s="158"/>
      <c r="VL71" s="158"/>
      <c r="VM71" s="158"/>
      <c r="VN71" s="158"/>
      <c r="VO71" s="158"/>
      <c r="VP71" s="158"/>
      <c r="VQ71" s="163"/>
      <c r="VW71" s="653"/>
      <c r="VX71" s="653"/>
      <c r="VY71" s="653"/>
      <c r="VZ71" s="653"/>
      <c r="WA71" s="653"/>
      <c r="XB71" s="653"/>
      <c r="XC71" s="653"/>
      <c r="XD71" s="653"/>
      <c r="XE71" s="653"/>
      <c r="XF71" s="971"/>
      <c r="XG71" s="158"/>
      <c r="XH71" s="158"/>
      <c r="XI71" s="158"/>
      <c r="XJ71" s="158"/>
      <c r="XK71" s="158"/>
      <c r="XL71" s="158"/>
      <c r="XM71" s="158"/>
      <c r="XN71" s="158"/>
      <c r="XO71" s="158"/>
      <c r="XP71" s="158"/>
      <c r="XQ71" s="158"/>
      <c r="XR71" s="158"/>
      <c r="XS71" s="158"/>
      <c r="XT71" s="158"/>
      <c r="XU71" s="158"/>
      <c r="XV71" s="158"/>
      <c r="XW71" s="158"/>
      <c r="XX71" s="158"/>
      <c r="XY71" s="158"/>
      <c r="XZ71" s="158"/>
      <c r="YA71" s="158"/>
      <c r="YB71" s="158"/>
      <c r="YC71" s="158"/>
      <c r="YD71" s="158"/>
      <c r="YE71" s="158"/>
      <c r="YF71" s="158"/>
      <c r="YG71" s="158"/>
      <c r="YH71" s="158"/>
      <c r="YI71" s="158"/>
      <c r="YJ71" s="158"/>
      <c r="YK71" s="158"/>
      <c r="YL71" s="158"/>
      <c r="YM71" s="158"/>
      <c r="YN71" s="158"/>
      <c r="YO71" s="158"/>
      <c r="YP71" s="158"/>
      <c r="YQ71" s="158"/>
      <c r="YR71" s="158"/>
      <c r="YS71" s="158"/>
      <c r="YT71" s="158"/>
      <c r="YU71" s="158"/>
      <c r="YV71" s="158"/>
      <c r="YW71" s="158"/>
      <c r="YX71" s="158"/>
      <c r="YY71" s="158"/>
      <c r="YZ71" s="158"/>
      <c r="ZA71" s="158"/>
      <c r="ZB71" s="158"/>
      <c r="ZC71" s="158"/>
      <c r="ZD71" s="158"/>
      <c r="ZE71" s="158"/>
      <c r="ZF71" s="158"/>
      <c r="ZG71" s="158"/>
      <c r="ZH71" s="158"/>
      <c r="ZI71" s="158"/>
      <c r="ZJ71" s="158"/>
      <c r="ZK71" s="158"/>
      <c r="ZL71" s="158"/>
      <c r="ZM71" s="158"/>
      <c r="ZN71" s="158"/>
      <c r="ZO71" s="158"/>
      <c r="ZP71" s="158"/>
      <c r="ZQ71" s="158"/>
      <c r="ZR71" s="158"/>
      <c r="ZS71" s="158"/>
      <c r="ZT71" s="158"/>
      <c r="ZU71" s="158"/>
      <c r="ZV71" s="158"/>
      <c r="ZW71" s="158"/>
      <c r="ZX71" s="158"/>
      <c r="ZY71" s="158"/>
      <c r="ZZ71" s="158"/>
      <c r="AAA71" s="158"/>
      <c r="AAB71" s="158"/>
      <c r="AAC71" s="158"/>
      <c r="AAD71" s="158"/>
      <c r="AAE71" s="158"/>
      <c r="AAF71" s="158"/>
      <c r="AAG71" s="158"/>
      <c r="AAH71" s="158"/>
      <c r="AAI71" s="158"/>
      <c r="AAJ71" s="158"/>
      <c r="AAK71" s="158"/>
      <c r="AAL71" s="158"/>
      <c r="AAM71" s="158"/>
      <c r="AAN71" s="158"/>
      <c r="AAO71" s="158"/>
      <c r="AAP71" s="158"/>
      <c r="AAQ71" s="158"/>
      <c r="AAR71" s="158"/>
      <c r="AAS71" s="158"/>
      <c r="AAT71" s="100"/>
      <c r="AAW71" s="653"/>
      <c r="AAX71" s="653"/>
      <c r="AAY71" s="653"/>
      <c r="AAZ71" s="653"/>
      <c r="ABA71" s="653"/>
      <c r="ABB71" s="653"/>
      <c r="ABC71" s="653"/>
      <c r="ABD71" s="653"/>
      <c r="ABE71" s="653"/>
      <c r="ABF71" s="653"/>
      <c r="ABG71" s="653"/>
      <c r="ABH71" s="653"/>
      <c r="ABI71" s="653"/>
      <c r="ABJ71" s="653"/>
      <c r="ABK71" s="653"/>
      <c r="ABL71" s="653"/>
      <c r="ABM71" s="653"/>
      <c r="ABN71" s="653"/>
      <c r="ABO71" s="653"/>
      <c r="ABP71" s="653"/>
      <c r="ABQ71" s="653"/>
      <c r="ABR71" s="653"/>
      <c r="ABW71" s="653"/>
      <c r="ABX71" s="653"/>
      <c r="ACI71" s="653"/>
      <c r="ACJ71" s="653"/>
      <c r="ACK71" s="653"/>
      <c r="ACL71" s="653"/>
      <c r="ACM71" s="653"/>
      <c r="ACN71" s="653"/>
      <c r="ACO71" s="653"/>
      <c r="ACP71" s="653"/>
      <c r="ACQ71" s="653"/>
      <c r="ACR71" s="987" t="s">
        <v>1696</v>
      </c>
      <c r="ACS71" s="988"/>
      <c r="ACT71" s="988"/>
      <c r="ACU71" s="988"/>
      <c r="ACV71" s="988"/>
      <c r="ACW71" s="988"/>
      <c r="ACX71" s="989"/>
      <c r="ACY71" s="981"/>
      <c r="ACZ71" s="653"/>
      <c r="ADA71" s="653"/>
      <c r="AEQ71" s="653"/>
      <c r="AER71" s="653"/>
      <c r="AES71" s="653"/>
      <c r="AET71" s="653"/>
      <c r="AEU71" s="653"/>
      <c r="AEV71" s="653"/>
      <c r="AEW71" s="653"/>
      <c r="AEX71" s="653"/>
      <c r="AEY71" s="653"/>
      <c r="AEZ71" s="653"/>
      <c r="AFA71" s="653"/>
      <c r="AFB71" s="653"/>
      <c r="AFC71" s="653"/>
      <c r="AFD71" s="653"/>
      <c r="AFE71" s="653"/>
      <c r="AGJ71" s="377"/>
      <c r="AGK71" s="373"/>
      <c r="AGL71" s="54"/>
      <c r="AGM71" s="373"/>
      <c r="AGN71" s="849"/>
      <c r="AGO71" s="852" t="s">
        <v>416</v>
      </c>
      <c r="AGP71" s="853"/>
      <c r="AGQ71" s="687"/>
      <c r="AGR71" s="78"/>
      <c r="AGS71" s="78"/>
      <c r="AGT71" s="78"/>
      <c r="AGU71" s="78"/>
      <c r="AGV71" s="78"/>
      <c r="AGW71" s="78"/>
      <c r="AGX71" s="687"/>
      <c r="AGY71" s="76" t="s">
        <v>441</v>
      </c>
      <c r="AGZ71" s="854" t="s">
        <v>435</v>
      </c>
      <c r="AHA71" s="1111"/>
      <c r="AHB71" s="1072" t="s">
        <v>111</v>
      </c>
      <c r="AHC71" s="1074"/>
      <c r="AHD71" s="916" t="s">
        <v>704</v>
      </c>
      <c r="AHE71" s="917"/>
      <c r="AHF71" s="906" t="s">
        <v>447</v>
      </c>
      <c r="AHG71" s="907"/>
      <c r="AHH71" s="907"/>
      <c r="AHI71" s="908"/>
      <c r="AHJ71" s="906" t="s">
        <v>863</v>
      </c>
      <c r="AHK71" s="907"/>
      <c r="AHL71" s="908"/>
      <c r="AHM71" s="373"/>
      <c r="AHN71" s="373"/>
      <c r="AHO71" s="373"/>
      <c r="AHP71" s="373"/>
      <c r="AHQ71" s="373"/>
      <c r="AHR71" s="373"/>
      <c r="AHS71" s="373"/>
      <c r="AHT71" s="373"/>
      <c r="AHU71" s="373"/>
      <c r="AHV71" s="373"/>
      <c r="AHW71" s="373"/>
      <c r="AHX71" s="373"/>
      <c r="AHY71" s="374"/>
      <c r="AJH71" s="674"/>
      <c r="AJI71" s="674"/>
      <c r="APJ71" s="130"/>
      <c r="APK71" s="130"/>
      <c r="APL71" s="130"/>
      <c r="APM71" s="130"/>
      <c r="APN71" s="130"/>
      <c r="APO71" s="130"/>
      <c r="APP71" s="130"/>
      <c r="APQ71" s="130"/>
      <c r="APU71" s="653"/>
      <c r="APV71" s="653"/>
      <c r="APW71" s="653"/>
      <c r="APX71" s="653"/>
      <c r="APY71" s="653"/>
      <c r="ARU71" s="377"/>
      <c r="ARV71" s="373"/>
      <c r="ARW71" s="373"/>
      <c r="ARX71" s="373"/>
      <c r="ARY71" s="851"/>
      <c r="ARZ71" s="777"/>
      <c r="ASA71" s="778"/>
      <c r="ASB71" s="778"/>
      <c r="ASC71" s="778"/>
      <c r="ASD71" s="778"/>
      <c r="ASE71" s="778"/>
      <c r="ASF71" s="778"/>
      <c r="ASG71" s="778"/>
      <c r="ASH71" s="778"/>
      <c r="ASI71" s="778"/>
      <c r="ASJ71" s="778"/>
      <c r="ASK71" s="778"/>
      <c r="ASL71" s="778"/>
      <c r="ASM71" s="837"/>
      <c r="ASN71" s="838"/>
      <c r="ASO71" s="777"/>
      <c r="ASP71" s="778"/>
      <c r="ASQ71" s="1067"/>
      <c r="ASR71" s="845"/>
      <c r="ASS71" s="846"/>
      <c r="AST71" s="848"/>
      <c r="ASU71" s="1276"/>
      <c r="ASV71" s="1277"/>
      <c r="ASW71" s="1278"/>
      <c r="ASX71" s="373"/>
      <c r="ASY71" s="373"/>
      <c r="ASZ71" s="373"/>
      <c r="ATA71" s="373"/>
      <c r="ATB71" s="373"/>
      <c r="ATC71" s="373"/>
      <c r="ATD71" s="373"/>
      <c r="ATE71" s="373"/>
      <c r="ATF71" s="373"/>
      <c r="ATG71" s="373"/>
      <c r="ATH71" s="374"/>
    </row>
    <row r="72" spans="4:945 1051:1224" ht="48" customHeight="1" thickBot="1">
      <c r="D72" s="849"/>
      <c r="E72" s="852" t="s">
        <v>416</v>
      </c>
      <c r="F72" s="853"/>
      <c r="G72" s="212"/>
      <c r="H72" s="75" t="s">
        <v>702</v>
      </c>
      <c r="I72" s="212"/>
      <c r="J72" s="76" t="s">
        <v>441</v>
      </c>
      <c r="K72" s="854" t="s">
        <v>435</v>
      </c>
      <c r="L72" s="1111"/>
      <c r="M72" s="924" t="s">
        <v>111</v>
      </c>
      <c r="N72" s="925"/>
      <c r="BS72" s="130"/>
      <c r="BT72" s="130"/>
      <c r="BU72" s="130"/>
      <c r="BV72" s="130"/>
      <c r="BX72" s="851"/>
      <c r="BY72" s="458" t="s">
        <v>1106</v>
      </c>
      <c r="BZ72" s="1050">
        <f>$CO$28</f>
        <v>48</v>
      </c>
      <c r="CA72" s="1050"/>
      <c r="CB72" s="772"/>
      <c r="CC72" s="772"/>
      <c r="CD72" s="772"/>
      <c r="CE72" s="772"/>
      <c r="CF72" s="772"/>
      <c r="CG72" s="772"/>
      <c r="CH72" s="772"/>
      <c r="CI72" s="772"/>
      <c r="CJ72" s="772"/>
      <c r="CK72" s="773"/>
      <c r="CL72" s="1088"/>
      <c r="CM72" s="1089"/>
      <c r="CN72" s="1185"/>
      <c r="CO72" s="1186"/>
      <c r="CP72" s="842"/>
      <c r="CQ72" s="918"/>
      <c r="CR72" s="919"/>
      <c r="CS72" s="848"/>
      <c r="CT72" s="828"/>
      <c r="CU72" s="949"/>
      <c r="CV72" s="950"/>
      <c r="DI72" s="130"/>
      <c r="DJ72" s="130"/>
      <c r="DK72" s="130"/>
      <c r="DP72" s="130"/>
      <c r="DQ72" s="130"/>
      <c r="DR72" s="130"/>
      <c r="DS72" s="130"/>
      <c r="DX72" s="653"/>
      <c r="DY72" s="653"/>
      <c r="DZ72" s="850"/>
      <c r="EA72" s="800" t="s">
        <v>1054</v>
      </c>
      <c r="EB72" s="801"/>
      <c r="EC72" s="883">
        <f>$EN$62</f>
        <v>8.9200941784447281</v>
      </c>
      <c r="ED72" s="1252"/>
      <c r="EE72" s="775"/>
      <c r="EF72" s="776"/>
      <c r="EG72" s="776"/>
      <c r="EH72" s="776"/>
      <c r="EI72" s="776"/>
      <c r="EJ72" s="776"/>
      <c r="EK72" s="776"/>
      <c r="EL72" s="887"/>
      <c r="EM72" s="888"/>
      <c r="EN72" s="1077"/>
      <c r="EO72" s="1078"/>
      <c r="EP72" s="1501"/>
      <c r="EQ72" s="1306"/>
      <c r="ER72" s="1306"/>
      <c r="ES72" s="1306"/>
      <c r="ET72" s="1290"/>
      <c r="EU72" s="1052"/>
      <c r="EV72" s="1052"/>
      <c r="EW72" s="1052"/>
      <c r="EX72" s="1052"/>
      <c r="EY72" s="1052"/>
      <c r="EZ72" s="1052"/>
      <c r="FA72" s="1052"/>
      <c r="FB72" s="1052"/>
      <c r="FC72" s="1052"/>
      <c r="FD72" s="1052"/>
      <c r="FE72" s="1052"/>
      <c r="FF72" s="1052"/>
      <c r="FG72" s="1052"/>
      <c r="GF72" s="76" t="s">
        <v>793</v>
      </c>
      <c r="GG72" s="852" t="s">
        <v>416</v>
      </c>
      <c r="GH72" s="923"/>
      <c r="GI72" s="359"/>
      <c r="GJ72" s="437" t="s">
        <v>1070</v>
      </c>
      <c r="GK72" s="937">
        <f>$GU$16</f>
        <v>46</v>
      </c>
      <c r="GL72" s="937"/>
      <c r="GM72" s="437" t="s">
        <v>1076</v>
      </c>
      <c r="GN72" s="761">
        <f>$GM$20</f>
        <v>0.21124000000000004</v>
      </c>
      <c r="GO72" s="761"/>
      <c r="GP72" s="136"/>
      <c r="GQ72" s="76" t="s">
        <v>441</v>
      </c>
      <c r="GR72" s="1464" t="s">
        <v>435</v>
      </c>
      <c r="GS72" s="1464"/>
      <c r="GT72" s="1229" t="s">
        <v>111</v>
      </c>
      <c r="GU72" s="925"/>
      <c r="GV72" s="916" t="s">
        <v>704</v>
      </c>
      <c r="GW72" s="917"/>
      <c r="GX72" s="906" t="s">
        <v>447</v>
      </c>
      <c r="GY72" s="907"/>
      <c r="GZ72" s="907"/>
      <c r="HA72" s="907"/>
      <c r="HB72" s="908"/>
      <c r="HC72" s="1051" t="s">
        <v>436</v>
      </c>
      <c r="HD72" s="1051"/>
      <c r="HE72" s="1051"/>
      <c r="HF72" s="1051"/>
      <c r="HG72" s="1051"/>
      <c r="HH72" s="1051"/>
      <c r="HI72" s="1051"/>
      <c r="HJ72" s="1051"/>
      <c r="HK72" s="1051"/>
      <c r="HL72" s="1051"/>
      <c r="HM72" s="1051"/>
      <c r="HN72" s="1051"/>
      <c r="HO72" s="1051"/>
      <c r="HP72" s="130"/>
      <c r="HQ72" s="130"/>
      <c r="HR72" s="130"/>
      <c r="HS72" s="130"/>
      <c r="HT72" s="130"/>
      <c r="HU72" s="130"/>
      <c r="HV72" s="130"/>
      <c r="HW72" s="130"/>
      <c r="HX72" s="130"/>
      <c r="HY72" s="130"/>
      <c r="HZ72" s="130"/>
      <c r="IA72" s="130"/>
      <c r="IB72" s="130"/>
      <c r="IC72" s="130"/>
      <c r="ID72" s="130"/>
      <c r="IE72" s="130"/>
      <c r="IF72" s="130"/>
      <c r="IG72" s="130"/>
      <c r="IH72" s="130"/>
      <c r="II72" s="130"/>
      <c r="IJ72" s="130"/>
      <c r="IK72" s="130"/>
      <c r="IM72" s="377"/>
      <c r="IN72" s="373"/>
      <c r="IO72" s="373"/>
      <c r="IP72" s="381"/>
      <c r="IQ72" s="381" t="s">
        <v>1297</v>
      </c>
      <c r="IR72" s="129"/>
      <c r="IS72" s="791" t="s">
        <v>1807</v>
      </c>
      <c r="IT72" s="797"/>
      <c r="IU72" s="797"/>
      <c r="IV72" s="797"/>
      <c r="IW72" s="797"/>
      <c r="IX72" s="797"/>
      <c r="IY72" s="797"/>
      <c r="IZ72" s="797"/>
      <c r="JA72" s="797"/>
      <c r="JB72" s="798"/>
      <c r="JC72" s="885">
        <f>2*IW71</f>
        <v>78.782281083032274</v>
      </c>
      <c r="JD72" s="886"/>
      <c r="JE72" s="1075" t="s">
        <v>45</v>
      </c>
      <c r="JF72" s="1076"/>
      <c r="JG72" s="841"/>
      <c r="JH72" s="893" t="s">
        <v>845</v>
      </c>
      <c r="JI72" s="894"/>
      <c r="JJ72" s="847"/>
      <c r="JK72" s="826"/>
      <c r="JL72" s="945"/>
      <c r="JM72" s="946"/>
      <c r="JN72" s="373"/>
      <c r="JO72" s="373"/>
      <c r="JP72" s="373"/>
      <c r="JQ72" s="373"/>
      <c r="JR72" s="373"/>
      <c r="JS72" s="373"/>
      <c r="JT72" s="374"/>
      <c r="JX72" s="1052"/>
      <c r="JY72" s="225" t="s">
        <v>1015</v>
      </c>
      <c r="JZ72" s="890">
        <f>$CL$40</f>
        <v>1.3923283333333335E-2</v>
      </c>
      <c r="KA72" s="890"/>
      <c r="KB72" s="1528" t="s">
        <v>886</v>
      </c>
      <c r="KC72" s="1529"/>
      <c r="KD72" s="1529"/>
      <c r="KE72" s="1529"/>
      <c r="KF72" s="1529"/>
      <c r="KG72" s="1529"/>
      <c r="KH72" s="1529"/>
      <c r="KI72" s="1529"/>
      <c r="KJ72" s="1529"/>
      <c r="KK72" s="1530"/>
      <c r="KL72" s="835">
        <f>(CO45)/(CO45-(KL76*GU12))</f>
        <v>1.1666666666666667</v>
      </c>
      <c r="KM72" s="836"/>
      <c r="KN72" s="1183" t="s">
        <v>729</v>
      </c>
      <c r="KO72" s="1184"/>
      <c r="KP72" s="1066"/>
      <c r="KQ72" s="893" t="s">
        <v>861</v>
      </c>
      <c r="KR72" s="894"/>
      <c r="KS72" s="847"/>
      <c r="KT72" s="826"/>
      <c r="KU72" s="945"/>
      <c r="KV72" s="945"/>
      <c r="KW72" s="946"/>
      <c r="LD72" s="130"/>
      <c r="LE72" s="130"/>
      <c r="LF72" s="130"/>
      <c r="LG72" s="130"/>
      <c r="LH72" s="130"/>
      <c r="LI72" s="130"/>
      <c r="LM72" s="130"/>
      <c r="LN72" s="130"/>
      <c r="LO72" s="130"/>
      <c r="LP72" s="130"/>
      <c r="LQ72" s="130"/>
      <c r="LR72" s="130"/>
      <c r="LS72" s="130"/>
      <c r="LT72" s="130"/>
      <c r="LU72" s="130"/>
      <c r="MA72" s="130"/>
      <c r="MB72" s="1023"/>
      <c r="MC72" s="1024"/>
      <c r="MD72" s="1025"/>
      <c r="ME72" s="791" t="s">
        <v>1229</v>
      </c>
      <c r="MF72" s="792"/>
      <c r="MG72" s="792"/>
      <c r="MH72" s="792"/>
      <c r="MI72" s="792"/>
      <c r="MJ72" s="792"/>
      <c r="MK72" s="1063" t="s">
        <v>1224</v>
      </c>
      <c r="ML72" s="1064"/>
      <c r="MM72" s="1065"/>
      <c r="MN72" s="1063" t="s">
        <v>1225</v>
      </c>
      <c r="MO72" s="1064"/>
      <c r="MP72" s="1065"/>
      <c r="MQ72" s="1063" t="s">
        <v>1226</v>
      </c>
      <c r="MR72" s="1064"/>
      <c r="MS72" s="1065"/>
      <c r="MT72" s="1258" t="s">
        <v>1235</v>
      </c>
      <c r="MU72" s="1259"/>
      <c r="MV72" s="1259"/>
      <c r="MW72" s="1260"/>
      <c r="MX72" s="159"/>
      <c r="MY72" s="161"/>
      <c r="MZ72" s="653"/>
      <c r="NA72" s="653"/>
      <c r="NB72" s="653"/>
      <c r="NK72" s="1216"/>
      <c r="NL72" s="1217"/>
      <c r="NM72" s="1217"/>
      <c r="NN72" s="1217"/>
      <c r="NO72" s="1217"/>
      <c r="NP72" s="1217"/>
      <c r="NQ72" s="1217"/>
      <c r="NR72" s="1217"/>
      <c r="NS72" s="1217"/>
      <c r="NT72" s="1217"/>
      <c r="NU72" s="1217"/>
      <c r="NV72" s="1217"/>
      <c r="NW72" s="1217"/>
      <c r="NX72" s="1217"/>
      <c r="NY72" s="1217"/>
      <c r="NZ72" s="1217"/>
      <c r="OA72" s="1217"/>
      <c r="OB72" s="1217"/>
      <c r="OC72" s="1217"/>
      <c r="OD72" s="1217"/>
      <c r="OE72" s="1217"/>
      <c r="OF72" s="1218"/>
      <c r="OS72" s="130"/>
      <c r="OT72" s="130"/>
      <c r="OU72" s="130"/>
      <c r="OV72" s="130"/>
      <c r="OW72" s="130"/>
      <c r="OX72" s="130"/>
      <c r="OY72" s="130"/>
      <c r="OZ72" s="130"/>
      <c r="PA72" s="130"/>
      <c r="PB72" s="130"/>
      <c r="PC72" s="130"/>
      <c r="PD72" s="130"/>
      <c r="PE72" s="130"/>
      <c r="PF72" s="130"/>
      <c r="PG72" s="130"/>
      <c r="PH72" s="130"/>
      <c r="PI72" s="130"/>
      <c r="PL72" s="850"/>
      <c r="PM72" s="861" t="s">
        <v>1590</v>
      </c>
      <c r="PN72" s="861"/>
      <c r="PO72" s="861"/>
      <c r="PP72" s="761">
        <f>$PZ$76</f>
        <v>296.26002441980381</v>
      </c>
      <c r="PQ72" s="761"/>
      <c r="PR72" s="497" t="s">
        <v>1598</v>
      </c>
      <c r="PS72" s="761">
        <f>$AW$95</f>
        <v>0.19391178434038603</v>
      </c>
      <c r="PT72" s="883"/>
      <c r="PU72" s="791" t="s">
        <v>162</v>
      </c>
      <c r="PV72" s="792"/>
      <c r="PW72" s="792"/>
      <c r="PX72" s="792"/>
      <c r="PY72" s="793"/>
      <c r="PZ72" s="1378">
        <f>PP72*(PQ71-PP73/1000)*PT71*PS72</f>
        <v>34.141162942403902</v>
      </c>
      <c r="QA72" s="1379"/>
      <c r="QB72" s="1075" t="s">
        <v>3</v>
      </c>
      <c r="QC72" s="1076"/>
      <c r="QD72" s="841"/>
      <c r="QE72" s="1170" t="s">
        <v>1591</v>
      </c>
      <c r="QF72" s="1171"/>
      <c r="QG72" s="1172"/>
      <c r="QH72" s="847"/>
      <c r="QI72" s="1052"/>
      <c r="QJ72" s="1052"/>
      <c r="QK72" s="1052"/>
      <c r="QL72" s="1052"/>
      <c r="QM72" s="1052"/>
      <c r="QN72" s="1052"/>
      <c r="QO72" s="1052"/>
      <c r="QP72" s="1052"/>
      <c r="QQ72" s="1052"/>
      <c r="QR72" s="1052"/>
      <c r="QS72" s="1052"/>
      <c r="QT72" s="1052"/>
      <c r="QW72" s="130"/>
      <c r="QX72" s="130"/>
      <c r="RE72" s="653"/>
      <c r="RF72" s="653"/>
      <c r="RG72" s="653"/>
      <c r="RH72" s="653"/>
      <c r="RI72" s="653"/>
      <c r="RJ72" s="653"/>
      <c r="RK72" s="653"/>
      <c r="RL72" s="653"/>
      <c r="RM72" s="653"/>
      <c r="RN72" s="653"/>
      <c r="RO72" s="653"/>
      <c r="RP72" s="653"/>
      <c r="RQ72" s="653"/>
      <c r="RR72" s="653"/>
      <c r="RS72" s="653"/>
      <c r="RT72" s="653"/>
      <c r="RU72" s="653"/>
      <c r="RV72" s="653"/>
      <c r="RW72" s="653"/>
      <c r="RX72" s="653"/>
      <c r="RY72" s="653"/>
      <c r="RZ72" s="653"/>
      <c r="SA72" s="653"/>
      <c r="SB72" s="653"/>
      <c r="SC72" s="653"/>
      <c r="SD72" s="653"/>
      <c r="SE72" s="653"/>
      <c r="SF72" s="653"/>
      <c r="SG72" s="653"/>
      <c r="SH72" s="653"/>
      <c r="SI72" s="653"/>
      <c r="SJ72" s="653"/>
      <c r="SK72" s="653"/>
      <c r="SL72" s="653"/>
      <c r="SM72" s="653"/>
      <c r="SN72" s="653"/>
      <c r="SO72" s="653"/>
      <c r="SP72" s="653"/>
      <c r="SQ72" s="653"/>
      <c r="SR72" s="653"/>
      <c r="SS72" s="653"/>
      <c r="ST72" s="653"/>
      <c r="SU72" s="653"/>
      <c r="SV72" s="653"/>
      <c r="SW72" s="653"/>
      <c r="SX72" s="653"/>
      <c r="SY72" s="653"/>
      <c r="SZ72" s="653"/>
      <c r="TA72" s="653"/>
      <c r="TB72" s="653"/>
      <c r="TC72" s="653"/>
      <c r="TD72" s="653"/>
      <c r="TE72" s="653"/>
      <c r="TF72" s="653"/>
      <c r="TG72" s="653"/>
      <c r="TH72" s="653"/>
      <c r="TI72" s="653"/>
      <c r="TJ72" s="653"/>
      <c r="TK72" s="653"/>
      <c r="TL72" s="653"/>
      <c r="TM72" s="653"/>
      <c r="TN72" s="653"/>
      <c r="TO72" s="653"/>
      <c r="TP72" s="653"/>
      <c r="TQ72" s="653"/>
      <c r="TR72" s="653"/>
      <c r="TS72" s="653"/>
      <c r="TT72" s="653"/>
      <c r="TU72" s="653"/>
      <c r="TV72" s="653"/>
      <c r="TW72" s="653"/>
      <c r="TX72" s="653"/>
      <c r="TY72" s="653"/>
      <c r="TZ72" s="653"/>
      <c r="UA72" s="653"/>
      <c r="UB72" s="653"/>
      <c r="UC72" s="653"/>
      <c r="UD72" s="653"/>
      <c r="UE72" s="653"/>
      <c r="UF72" s="653"/>
      <c r="UG72" s="653"/>
      <c r="UH72" s="653"/>
      <c r="UI72" s="653"/>
      <c r="UJ72" s="653"/>
      <c r="UK72" s="653"/>
      <c r="UL72" s="653"/>
      <c r="UM72" s="653"/>
      <c r="UN72" s="653"/>
      <c r="UO72" s="653"/>
      <c r="UP72" s="653"/>
      <c r="UQ72" s="653"/>
      <c r="UR72" s="653"/>
      <c r="US72" s="653"/>
      <c r="UT72" s="653"/>
      <c r="UU72" s="653"/>
      <c r="UV72" s="653"/>
      <c r="UW72" s="653"/>
      <c r="UX72" s="653"/>
      <c r="UY72" s="653"/>
      <c r="UZ72" s="653"/>
      <c r="VC72" s="162"/>
      <c r="VD72" s="158"/>
      <c r="VE72" s="158"/>
      <c r="VF72" s="158"/>
      <c r="VG72" s="158"/>
      <c r="VH72" s="158"/>
      <c r="VI72" s="158"/>
      <c r="VJ72" s="158"/>
      <c r="VK72" s="158"/>
      <c r="VL72" s="158"/>
      <c r="VM72" s="158"/>
      <c r="VN72" s="158"/>
      <c r="VO72" s="158"/>
      <c r="VP72" s="158"/>
      <c r="VQ72" s="163"/>
      <c r="VW72" s="653"/>
      <c r="VX72" s="653"/>
      <c r="VY72" s="653"/>
      <c r="VZ72" s="653"/>
      <c r="WA72" s="653"/>
      <c r="XB72" s="653"/>
      <c r="XC72" s="653"/>
      <c r="XD72" s="653"/>
      <c r="XE72" s="653"/>
      <c r="XF72" s="971"/>
      <c r="XG72" s="158"/>
      <c r="XH72" s="158"/>
      <c r="XI72" s="158"/>
      <c r="XJ72" s="158"/>
      <c r="XK72" s="158"/>
      <c r="XL72" s="158"/>
      <c r="XM72" s="158"/>
      <c r="XN72" s="158"/>
      <c r="XO72" s="158"/>
      <c r="XP72" s="158"/>
      <c r="XQ72" s="158"/>
      <c r="XR72" s="158"/>
      <c r="XS72" s="158"/>
      <c r="XT72" s="158"/>
      <c r="XU72" s="158"/>
      <c r="XV72" s="158"/>
      <c r="XW72" s="158"/>
      <c r="XX72" s="158"/>
      <c r="XY72" s="158"/>
      <c r="XZ72" s="158"/>
      <c r="YA72" s="158"/>
      <c r="YB72" s="158"/>
      <c r="YC72" s="158"/>
      <c r="YD72" s="158"/>
      <c r="YE72" s="158"/>
      <c r="YF72" s="158"/>
      <c r="YG72" s="158"/>
      <c r="YH72" s="158"/>
      <c r="YI72" s="158"/>
      <c r="YJ72" s="158"/>
      <c r="YK72" s="158"/>
      <c r="YL72" s="158"/>
      <c r="YM72" s="158"/>
      <c r="YN72" s="158"/>
      <c r="YO72" s="158"/>
      <c r="YP72" s="158"/>
      <c r="YQ72" s="158"/>
      <c r="YR72" s="158"/>
      <c r="YS72" s="158"/>
      <c r="YT72" s="158"/>
      <c r="YU72" s="158"/>
      <c r="YV72" s="158"/>
      <c r="YW72" s="158"/>
      <c r="YX72" s="158"/>
      <c r="YY72" s="158"/>
      <c r="YZ72" s="158"/>
      <c r="ZA72" s="158"/>
      <c r="ZB72" s="158"/>
      <c r="ZC72" s="158"/>
      <c r="ZD72" s="158"/>
      <c r="ZE72" s="158"/>
      <c r="ZF72" s="158"/>
      <c r="ZG72" s="158"/>
      <c r="ZH72" s="158"/>
      <c r="ZI72" s="158"/>
      <c r="ZJ72" s="158"/>
      <c r="ZK72" s="158"/>
      <c r="ZL72" s="158"/>
      <c r="ZM72" s="158"/>
      <c r="ZN72" s="158"/>
      <c r="ZO72" s="158"/>
      <c r="ZP72" s="158"/>
      <c r="ZQ72" s="158"/>
      <c r="ZR72" s="158"/>
      <c r="ZS72" s="158"/>
      <c r="ZT72" s="158"/>
      <c r="ZU72" s="158"/>
      <c r="ZV72" s="158"/>
      <c r="ZW72" s="158"/>
      <c r="ZX72" s="158"/>
      <c r="ZY72" s="158"/>
      <c r="ZZ72" s="158"/>
      <c r="AAA72" s="158"/>
      <c r="AAB72" s="158"/>
      <c r="AAC72" s="158"/>
      <c r="AAD72" s="158"/>
      <c r="AAE72" s="158"/>
      <c r="AAF72" s="158"/>
      <c r="AAG72" s="158"/>
      <c r="AAH72" s="158"/>
      <c r="AAI72" s="158"/>
      <c r="AAJ72" s="158"/>
      <c r="AAK72" s="158"/>
      <c r="AAL72" s="158"/>
      <c r="AAM72" s="158"/>
      <c r="AAN72" s="158"/>
      <c r="AAO72" s="158"/>
      <c r="AAP72" s="158"/>
      <c r="AAQ72" s="158"/>
      <c r="AAR72" s="158"/>
      <c r="AAS72" s="158"/>
      <c r="AAT72" s="100"/>
      <c r="AAW72" s="653"/>
      <c r="AAX72" s="653"/>
      <c r="AAY72" s="653"/>
      <c r="AAZ72" s="653"/>
      <c r="ABA72" s="653"/>
      <c r="ABB72" s="653"/>
      <c r="ABC72" s="653"/>
      <c r="ABD72" s="653"/>
      <c r="ABE72" s="653"/>
      <c r="ABF72" s="653"/>
      <c r="ABG72" s="653"/>
      <c r="ABH72" s="653"/>
      <c r="ABI72" s="653"/>
      <c r="ABJ72" s="653"/>
      <c r="ABK72" s="653"/>
      <c r="ABL72" s="653"/>
      <c r="ABM72" s="653"/>
      <c r="ABN72" s="653"/>
      <c r="ABO72" s="653"/>
      <c r="ABP72" s="653"/>
      <c r="ABQ72" s="653"/>
      <c r="ABR72" s="653"/>
      <c r="ABW72" s="653"/>
      <c r="ABX72" s="653"/>
      <c r="ACI72" s="653"/>
      <c r="ACJ72" s="653"/>
      <c r="ACK72" s="653"/>
      <c r="ACL72" s="653"/>
      <c r="ACM72" s="653"/>
      <c r="ACN72" s="653"/>
      <c r="ACO72" s="653"/>
      <c r="ACP72" s="653"/>
      <c r="ACQ72" s="653"/>
      <c r="ACR72" s="990"/>
      <c r="ACS72" s="991"/>
      <c r="ACT72" s="991"/>
      <c r="ACU72" s="991"/>
      <c r="ACV72" s="991"/>
      <c r="ACW72" s="991"/>
      <c r="ACX72" s="992"/>
      <c r="ACY72" s="981"/>
      <c r="ACZ72" s="653"/>
      <c r="ADA72" s="653"/>
      <c r="AEQ72" s="653"/>
      <c r="AER72" s="653"/>
      <c r="AES72" s="653"/>
      <c r="AET72" s="653"/>
      <c r="AEU72" s="653"/>
      <c r="AEV72" s="653"/>
      <c r="AEW72" s="653"/>
      <c r="AEX72" s="653"/>
      <c r="AEY72" s="653"/>
      <c r="AEZ72" s="653"/>
      <c r="AFA72" s="653"/>
      <c r="AFB72" s="653"/>
      <c r="AFC72" s="653"/>
      <c r="AFD72" s="653"/>
      <c r="AFE72" s="653"/>
      <c r="AGJ72" s="377"/>
      <c r="AGK72" s="373"/>
      <c r="AGL72" s="54"/>
      <c r="AGM72" s="382" t="s">
        <v>1298</v>
      </c>
      <c r="AGN72" s="850"/>
      <c r="AGO72" s="809" t="s">
        <v>161</v>
      </c>
      <c r="AGP72" s="797"/>
      <c r="AGQ72" s="797"/>
      <c r="AGR72" s="797"/>
      <c r="AGS72" s="797"/>
      <c r="AGT72" s="797"/>
      <c r="AGU72" s="797"/>
      <c r="AGV72" s="797"/>
      <c r="AGW72" s="797"/>
      <c r="AGX72" s="797"/>
      <c r="AGY72" s="797"/>
      <c r="AGZ72" s="797"/>
      <c r="AHA72" s="798"/>
      <c r="AHB72" s="1167">
        <f>AHB62</f>
        <v>119.3042984415008</v>
      </c>
      <c r="AHC72" s="840"/>
      <c r="AHD72" s="927" t="s">
        <v>757</v>
      </c>
      <c r="AHE72" s="928"/>
      <c r="AHF72" s="841"/>
      <c r="AHG72" s="1170" t="s">
        <v>1374</v>
      </c>
      <c r="AHH72" s="1172"/>
      <c r="AHI72" s="847"/>
      <c r="AHJ72" s="1203" t="s">
        <v>862</v>
      </c>
      <c r="AHK72" s="1275"/>
      <c r="AHL72" s="1204"/>
      <c r="AHM72" s="373"/>
      <c r="AHN72" s="373"/>
      <c r="AHO72" s="373"/>
      <c r="AHP72" s="373"/>
      <c r="AHQ72" s="373"/>
      <c r="AHR72" s="373"/>
      <c r="AHS72" s="373"/>
      <c r="AHT72" s="373"/>
      <c r="AHU72" s="373"/>
      <c r="AHV72" s="373"/>
      <c r="AHW72" s="373"/>
      <c r="AHX72" s="373"/>
      <c r="AHY72" s="374"/>
      <c r="APJ72" s="130"/>
      <c r="APK72" s="130"/>
      <c r="APL72" s="130"/>
      <c r="APM72" s="130"/>
      <c r="APN72" s="130"/>
      <c r="APO72" s="130"/>
      <c r="APP72" s="130"/>
      <c r="APQ72" s="130"/>
      <c r="APU72" s="653"/>
      <c r="APV72" s="653"/>
      <c r="APW72" s="653"/>
      <c r="APX72" s="653"/>
      <c r="APY72" s="653"/>
      <c r="ARO72" s="653"/>
      <c r="ARU72" s="377"/>
      <c r="ARV72" s="373"/>
      <c r="ARW72" s="373"/>
      <c r="ARX72" s="373"/>
      <c r="ARY72" s="373"/>
      <c r="ARZ72" s="373"/>
      <c r="ASA72" s="373"/>
      <c r="ASB72" s="373"/>
      <c r="ASC72" s="373"/>
      <c r="ASD72" s="373"/>
      <c r="ASE72" s="373"/>
      <c r="ASF72" s="373"/>
      <c r="ASG72" s="373"/>
      <c r="ASH72" s="373"/>
      <c r="ASI72" s="373"/>
      <c r="ASJ72" s="373"/>
      <c r="ASK72" s="373"/>
      <c r="ASL72" s="373"/>
      <c r="ASM72" s="373"/>
      <c r="ASN72" s="373"/>
      <c r="ASO72" s="373"/>
      <c r="ASP72" s="373"/>
      <c r="ASQ72" s="373"/>
      <c r="ASR72" s="373"/>
      <c r="ASS72" s="373"/>
      <c r="AST72" s="373"/>
      <c r="ASU72" s="373"/>
      <c r="ASV72" s="373"/>
      <c r="ASW72" s="373"/>
      <c r="ASX72" s="373"/>
      <c r="ASY72" s="373"/>
      <c r="ASZ72" s="373"/>
      <c r="ATA72" s="373"/>
      <c r="ATB72" s="373"/>
      <c r="ATC72" s="373"/>
      <c r="ATD72" s="373"/>
      <c r="ATE72" s="373"/>
      <c r="ATF72" s="373"/>
      <c r="ATG72" s="373"/>
      <c r="ATH72" s="374"/>
    </row>
    <row r="73" spans="4:945 1051:1224" ht="48" customHeight="1" thickBot="1">
      <c r="D73" s="850"/>
      <c r="E73" s="791" t="s">
        <v>1810</v>
      </c>
      <c r="F73" s="797"/>
      <c r="G73" s="797"/>
      <c r="H73" s="797"/>
      <c r="I73" s="797"/>
      <c r="J73" s="797"/>
      <c r="K73" s="797"/>
      <c r="L73" s="797"/>
      <c r="M73" s="1448" t="str">
        <f>K71</f>
        <v>F</v>
      </c>
      <c r="N73" s="1449"/>
      <c r="AI73" s="897" t="s">
        <v>974</v>
      </c>
      <c r="AJ73" s="898"/>
      <c r="AK73" s="899"/>
      <c r="AL73" s="849"/>
      <c r="AM73" s="1257" t="s">
        <v>1782</v>
      </c>
      <c r="AN73" s="1257"/>
      <c r="AO73" s="117"/>
      <c r="AP73" s="779" t="s">
        <v>1818</v>
      </c>
      <c r="AQ73" s="780"/>
      <c r="AR73" s="781"/>
      <c r="AS73" s="132"/>
      <c r="AT73" s="75" t="s">
        <v>702</v>
      </c>
      <c r="AU73" s="117"/>
      <c r="AV73" s="76" t="s">
        <v>441</v>
      </c>
      <c r="AW73" s="854" t="s">
        <v>435</v>
      </c>
      <c r="AX73" s="855"/>
      <c r="AY73" s="920" t="s">
        <v>111</v>
      </c>
      <c r="AZ73" s="921"/>
      <c r="BA73" s="916" t="s">
        <v>704</v>
      </c>
      <c r="BB73" s="917"/>
      <c r="BC73" s="906" t="s">
        <v>447</v>
      </c>
      <c r="BD73" s="907"/>
      <c r="BE73" s="907"/>
      <c r="BF73" s="908"/>
      <c r="BR73" s="130"/>
      <c r="BS73" s="130"/>
      <c r="BT73" s="130"/>
      <c r="BU73" s="130"/>
      <c r="BV73" s="130"/>
      <c r="DI73" s="130"/>
      <c r="DJ73" s="130"/>
      <c r="DK73" s="130"/>
      <c r="DL73" s="130"/>
      <c r="DM73" s="130"/>
      <c r="DN73" s="130"/>
      <c r="DO73" s="130"/>
      <c r="DP73" s="130"/>
      <c r="DQ73" s="130"/>
      <c r="DR73" s="130"/>
      <c r="DS73" s="130"/>
      <c r="DT73" s="653"/>
      <c r="DU73" s="653"/>
      <c r="DV73" s="653"/>
      <c r="DW73" s="653"/>
      <c r="DX73" s="653"/>
      <c r="DY73" s="653"/>
      <c r="DZ73" s="851"/>
      <c r="EA73" s="1163" t="s">
        <v>1564</v>
      </c>
      <c r="EB73" s="1163"/>
      <c r="EC73" s="804">
        <f>$EK$49</f>
        <v>25.438111676802539</v>
      </c>
      <c r="ED73" s="804"/>
      <c r="EE73" s="777"/>
      <c r="EF73" s="778"/>
      <c r="EG73" s="778"/>
      <c r="EH73" s="778"/>
      <c r="EI73" s="778"/>
      <c r="EJ73" s="778"/>
      <c r="EK73" s="778"/>
      <c r="EL73" s="812"/>
      <c r="EM73" s="813"/>
      <c r="EN73" s="813"/>
      <c r="EO73" s="813"/>
      <c r="EP73" s="813"/>
      <c r="EQ73" s="813"/>
      <c r="ER73" s="813"/>
      <c r="ES73" s="813"/>
      <c r="ET73" s="814"/>
      <c r="EU73" s="1053"/>
      <c r="EV73" s="1053"/>
      <c r="EW73" s="1053"/>
      <c r="EX73" s="1053"/>
      <c r="EY73" s="1053"/>
      <c r="EZ73" s="1053"/>
      <c r="FA73" s="1053"/>
      <c r="FB73" s="1053"/>
      <c r="FC73" s="1053"/>
      <c r="FD73" s="1053"/>
      <c r="FE73" s="1053"/>
      <c r="FF73" s="1053"/>
      <c r="FG73" s="1053"/>
      <c r="GF73" s="1052"/>
      <c r="GG73" s="800" t="s">
        <v>1101</v>
      </c>
      <c r="GH73" s="982"/>
      <c r="GI73" s="801"/>
      <c r="GJ73" s="761">
        <f>$GT$69</f>
        <v>5.7753320063898999</v>
      </c>
      <c r="GK73" s="761"/>
      <c r="GL73" s="856" t="s">
        <v>961</v>
      </c>
      <c r="GM73" s="856"/>
      <c r="GN73" s="856"/>
      <c r="GO73" s="856"/>
      <c r="GP73" s="856"/>
      <c r="GQ73" s="856"/>
      <c r="GR73" s="856"/>
      <c r="GS73" s="1069"/>
      <c r="GT73" s="885">
        <f>(3.14*(GM20*1000-2*GW61-2*GW65)-GU16*GT69)/(3.14+GU16)</f>
        <v>7.9639464327648497</v>
      </c>
      <c r="GU73" s="886"/>
      <c r="GV73" s="931" t="s">
        <v>45</v>
      </c>
      <c r="GW73" s="932"/>
      <c r="GX73" s="1066"/>
      <c r="GY73" s="893" t="s">
        <v>986</v>
      </c>
      <c r="GZ73" s="1081"/>
      <c r="HA73" s="894"/>
      <c r="HB73" s="847"/>
      <c r="HC73" s="1052"/>
      <c r="HD73" s="1052"/>
      <c r="HE73" s="1052"/>
      <c r="HF73" s="1052"/>
      <c r="HG73" s="1052"/>
      <c r="HH73" s="1052"/>
      <c r="HI73" s="1052"/>
      <c r="HJ73" s="1052"/>
      <c r="HK73" s="1052"/>
      <c r="HL73" s="1052"/>
      <c r="HM73" s="1052"/>
      <c r="HN73" s="1052"/>
      <c r="HO73" s="1052"/>
      <c r="HP73" s="130"/>
      <c r="HQ73" s="130"/>
      <c r="HR73" s="130"/>
      <c r="HS73" s="130"/>
      <c r="HT73" s="130"/>
      <c r="HU73" s="130"/>
      <c r="HV73" s="130"/>
      <c r="HW73" s="130"/>
      <c r="HX73" s="130"/>
      <c r="HY73" s="130"/>
      <c r="HZ73" s="130"/>
      <c r="IA73" s="130"/>
      <c r="IB73" s="130"/>
      <c r="IC73" s="130"/>
      <c r="ID73" s="130"/>
      <c r="IE73" s="130"/>
      <c r="IF73" s="130"/>
      <c r="IG73" s="130"/>
      <c r="IH73" s="130"/>
      <c r="IM73" s="377"/>
      <c r="IN73" s="373"/>
      <c r="IO73" s="373"/>
      <c r="IP73" s="381"/>
      <c r="IQ73" s="373"/>
      <c r="IR73" s="122"/>
      <c r="IS73" s="777"/>
      <c r="IT73" s="778"/>
      <c r="IU73" s="778"/>
      <c r="IV73" s="778"/>
      <c r="IW73" s="778"/>
      <c r="IX73" s="778"/>
      <c r="IY73" s="778"/>
      <c r="IZ73" s="778"/>
      <c r="JA73" s="778"/>
      <c r="JB73" s="799"/>
      <c r="JC73" s="887"/>
      <c r="JD73" s="888"/>
      <c r="JE73" s="1077"/>
      <c r="JF73" s="1078"/>
      <c r="JG73" s="842"/>
      <c r="JH73" s="918"/>
      <c r="JI73" s="919"/>
      <c r="JJ73" s="848"/>
      <c r="JK73" s="828"/>
      <c r="JL73" s="949"/>
      <c r="JM73" s="950"/>
      <c r="JN73" s="373"/>
      <c r="JO73" s="373"/>
      <c r="JP73" s="373"/>
      <c r="JQ73" s="373"/>
      <c r="JR73" s="373"/>
      <c r="JS73" s="373"/>
      <c r="JT73" s="374"/>
      <c r="JX73" s="1053"/>
      <c r="JY73" s="226" t="s">
        <v>1063</v>
      </c>
      <c r="JZ73" s="1187">
        <f>$KL$76</f>
        <v>2.5</v>
      </c>
      <c r="KA73" s="1187"/>
      <c r="KB73" s="1531"/>
      <c r="KC73" s="1532"/>
      <c r="KD73" s="1532"/>
      <c r="KE73" s="1532"/>
      <c r="KF73" s="1532"/>
      <c r="KG73" s="1532"/>
      <c r="KH73" s="1532"/>
      <c r="KI73" s="1532"/>
      <c r="KJ73" s="1532"/>
      <c r="KK73" s="1533"/>
      <c r="KL73" s="837"/>
      <c r="KM73" s="838"/>
      <c r="KN73" s="1185"/>
      <c r="KO73" s="1186"/>
      <c r="KP73" s="1067"/>
      <c r="KQ73" s="918"/>
      <c r="KR73" s="919"/>
      <c r="KS73" s="848"/>
      <c r="KT73" s="828"/>
      <c r="KU73" s="949"/>
      <c r="KV73" s="949"/>
      <c r="KW73" s="950"/>
      <c r="MA73" s="130"/>
      <c r="MB73" s="1029"/>
      <c r="MC73" s="1030"/>
      <c r="MD73" s="1031"/>
      <c r="ME73" s="909"/>
      <c r="MF73" s="910"/>
      <c r="MG73" s="910"/>
      <c r="MH73" s="910"/>
      <c r="MI73" s="910"/>
      <c r="MJ73" s="1239"/>
      <c r="MK73" s="1228">
        <f>'Программные таблицы'!F432</f>
        <v>2.8571428571428569E-8</v>
      </c>
      <c r="ML73" s="1228"/>
      <c r="MM73" s="1228"/>
      <c r="MN73" s="1228">
        <f>'Программные таблицы'!H432</f>
        <v>4.6511627906976744E-8</v>
      </c>
      <c r="MO73" s="1228"/>
      <c r="MP73" s="1228"/>
      <c r="MQ73" s="1228">
        <f>'Программные таблицы'!J432</f>
        <v>4.8780487804878047E-8</v>
      </c>
      <c r="MR73" s="1228"/>
      <c r="MS73" s="1228"/>
      <c r="MT73" s="1083"/>
      <c r="MU73" s="1084"/>
      <c r="MV73" s="357">
        <f xml:space="preserve">
IF(MQ75=MK73,20,
IF(MQ75=MN73,75,
IF(MQ75=MQ73,115,0
)))</f>
        <v>115</v>
      </c>
      <c r="MW73" s="352" t="s">
        <v>1234</v>
      </c>
      <c r="MX73" s="164"/>
      <c r="MY73" s="166"/>
      <c r="MZ73" s="653"/>
      <c r="NA73" s="653"/>
      <c r="NB73" s="653"/>
      <c r="NC73" s="130"/>
      <c r="ND73" s="130"/>
      <c r="NE73" s="130"/>
      <c r="NF73" s="130"/>
      <c r="NG73" s="130"/>
      <c r="NH73" s="130"/>
      <c r="NK73" s="1216"/>
      <c r="NL73" s="1217"/>
      <c r="NM73" s="1217"/>
      <c r="NN73" s="1217"/>
      <c r="NO73" s="1217"/>
      <c r="NP73" s="1217"/>
      <c r="NQ73" s="1217"/>
      <c r="NR73" s="1217"/>
      <c r="NS73" s="1217"/>
      <c r="NT73" s="1217"/>
      <c r="NU73" s="1217"/>
      <c r="NV73" s="1217"/>
      <c r="NW73" s="1217"/>
      <c r="NX73" s="1217"/>
      <c r="NY73" s="1217"/>
      <c r="NZ73" s="1217"/>
      <c r="OA73" s="1217"/>
      <c r="OB73" s="1217"/>
      <c r="OC73" s="1217"/>
      <c r="OD73" s="1217"/>
      <c r="OE73" s="1217"/>
      <c r="OF73" s="1218"/>
      <c r="OS73" s="130"/>
      <c r="OT73" s="130"/>
      <c r="OU73" s="130"/>
      <c r="OV73" s="130"/>
      <c r="OW73" s="130"/>
      <c r="OX73" s="130"/>
      <c r="OY73" s="130"/>
      <c r="OZ73" s="130"/>
      <c r="PA73" s="130"/>
      <c r="PB73" s="130"/>
      <c r="PC73" s="130"/>
      <c r="PD73" s="130"/>
      <c r="PE73" s="130"/>
      <c r="PF73" s="130"/>
      <c r="PG73" s="130"/>
      <c r="PH73" s="130"/>
      <c r="PI73" s="130"/>
      <c r="PL73" s="851"/>
      <c r="PM73" s="1163" t="s">
        <v>1345</v>
      </c>
      <c r="PN73" s="1163"/>
      <c r="PO73" s="1163"/>
      <c r="PP73" s="804">
        <f>$GP$57</f>
        <v>1.5</v>
      </c>
      <c r="PQ73" s="804"/>
      <c r="PR73" s="1060"/>
      <c r="PS73" s="1061"/>
      <c r="PT73" s="1062"/>
      <c r="PU73" s="794"/>
      <c r="PV73" s="795"/>
      <c r="PW73" s="795"/>
      <c r="PX73" s="795"/>
      <c r="PY73" s="796"/>
      <c r="PZ73" s="1380"/>
      <c r="QA73" s="1381"/>
      <c r="QB73" s="1077"/>
      <c r="QC73" s="1078"/>
      <c r="QD73" s="842"/>
      <c r="QE73" s="1173"/>
      <c r="QF73" s="1174"/>
      <c r="QG73" s="1175"/>
      <c r="QH73" s="848"/>
      <c r="QI73" s="1053"/>
      <c r="QJ73" s="1053"/>
      <c r="QK73" s="1053"/>
      <c r="QL73" s="1053"/>
      <c r="QM73" s="1053"/>
      <c r="QN73" s="1053"/>
      <c r="QO73" s="1053"/>
      <c r="QP73" s="1053"/>
      <c r="QQ73" s="1053"/>
      <c r="QR73" s="1053"/>
      <c r="QS73" s="1053"/>
      <c r="QT73" s="1053"/>
      <c r="QX73" s="130"/>
      <c r="RE73" s="653"/>
      <c r="RF73" s="653"/>
      <c r="RG73" s="653"/>
      <c r="RH73" s="653"/>
      <c r="RI73" s="653"/>
      <c r="RJ73" s="653"/>
      <c r="RK73" s="653"/>
      <c r="RL73" s="653"/>
      <c r="RM73" s="653"/>
      <c r="RN73" s="653"/>
      <c r="RO73" s="653"/>
      <c r="RP73" s="653"/>
      <c r="RQ73" s="653"/>
      <c r="RR73" s="653"/>
      <c r="RS73" s="653"/>
      <c r="RT73" s="653"/>
      <c r="RU73" s="653"/>
      <c r="RV73" s="653"/>
      <c r="RW73" s="653"/>
      <c r="RX73" s="653"/>
      <c r="RY73" s="653"/>
      <c r="RZ73" s="653"/>
      <c r="SA73" s="653"/>
      <c r="SB73" s="653"/>
      <c r="SC73" s="653"/>
      <c r="SD73" s="653"/>
      <c r="SE73" s="653"/>
      <c r="SF73" s="653"/>
      <c r="SG73" s="653"/>
      <c r="SH73" s="653"/>
      <c r="SI73" s="653"/>
      <c r="SJ73" s="653"/>
      <c r="SK73" s="653"/>
      <c r="SL73" s="653"/>
      <c r="SM73" s="653"/>
      <c r="SN73" s="653"/>
      <c r="SO73" s="653"/>
      <c r="SP73" s="653"/>
      <c r="SQ73" s="653"/>
      <c r="SR73" s="653"/>
      <c r="SS73" s="653"/>
      <c r="ST73" s="653"/>
      <c r="SU73" s="653"/>
      <c r="SV73" s="653"/>
      <c r="SW73" s="653"/>
      <c r="SX73" s="653"/>
      <c r="SY73" s="653"/>
      <c r="SZ73" s="653"/>
      <c r="TA73" s="653"/>
      <c r="TB73" s="653"/>
      <c r="TC73" s="653"/>
      <c r="TD73" s="653"/>
      <c r="TE73" s="653"/>
      <c r="TF73" s="653"/>
      <c r="TG73" s="653"/>
      <c r="TH73" s="653"/>
      <c r="TI73" s="653"/>
      <c r="TJ73" s="653"/>
      <c r="TK73" s="653"/>
      <c r="TL73" s="653"/>
      <c r="TM73" s="653"/>
      <c r="TN73" s="653"/>
      <c r="TO73" s="653"/>
      <c r="TP73" s="653"/>
      <c r="TQ73" s="653"/>
      <c r="TR73" s="653"/>
      <c r="TS73" s="653"/>
      <c r="TT73" s="653"/>
      <c r="TU73" s="653"/>
      <c r="TV73" s="653"/>
      <c r="TW73" s="653"/>
      <c r="TX73" s="653"/>
      <c r="TY73" s="653"/>
      <c r="TZ73" s="653"/>
      <c r="UA73" s="653"/>
      <c r="UB73" s="653"/>
      <c r="UC73" s="653"/>
      <c r="UD73" s="653"/>
      <c r="UE73" s="653"/>
      <c r="UF73" s="653"/>
      <c r="UG73" s="653"/>
      <c r="UH73" s="653"/>
      <c r="UI73" s="653"/>
      <c r="UJ73" s="653"/>
      <c r="UK73" s="653"/>
      <c r="UL73" s="653"/>
      <c r="UM73" s="653"/>
      <c r="UN73" s="653"/>
      <c r="UO73" s="653"/>
      <c r="UP73" s="653"/>
      <c r="UQ73" s="653"/>
      <c r="UR73" s="653"/>
      <c r="US73" s="653"/>
      <c r="UT73" s="653"/>
      <c r="UU73" s="653"/>
      <c r="UV73" s="653"/>
      <c r="UW73" s="653"/>
      <c r="UX73" s="653"/>
      <c r="UY73" s="653"/>
      <c r="UZ73" s="653"/>
      <c r="VC73" s="164"/>
      <c r="VD73" s="165"/>
      <c r="VE73" s="165"/>
      <c r="VF73" s="165"/>
      <c r="VG73" s="165"/>
      <c r="VH73" s="165"/>
      <c r="VI73" s="165"/>
      <c r="VJ73" s="165"/>
      <c r="VK73" s="165"/>
      <c r="VL73" s="165"/>
      <c r="VM73" s="165"/>
      <c r="VN73" s="165"/>
      <c r="VO73" s="165"/>
      <c r="VP73" s="165"/>
      <c r="VQ73" s="166"/>
      <c r="VW73" s="653"/>
      <c r="VX73" s="653"/>
      <c r="VY73" s="653"/>
      <c r="VZ73" s="653"/>
      <c r="WA73" s="653"/>
      <c r="XB73" s="653"/>
      <c r="XC73" s="653"/>
      <c r="XD73" s="653"/>
      <c r="XE73" s="653"/>
      <c r="XF73" s="971"/>
      <c r="XG73" s="158"/>
      <c r="XH73" s="158"/>
      <c r="XI73" s="158"/>
      <c r="XJ73" s="158"/>
      <c r="XK73" s="158"/>
      <c r="XL73" s="158"/>
      <c r="XM73" s="158"/>
      <c r="XN73" s="158"/>
      <c r="XO73" s="158"/>
      <c r="XP73" s="158"/>
      <c r="XQ73" s="158"/>
      <c r="XR73" s="158"/>
      <c r="XS73" s="158"/>
      <c r="XT73" s="158"/>
      <c r="XU73" s="158"/>
      <c r="XV73" s="158"/>
      <c r="XW73" s="158"/>
      <c r="XX73" s="158"/>
      <c r="XY73" s="158"/>
      <c r="XZ73" s="158"/>
      <c r="YA73" s="158"/>
      <c r="YB73" s="158"/>
      <c r="YC73" s="158"/>
      <c r="YD73" s="158"/>
      <c r="YE73" s="158"/>
      <c r="YF73" s="158"/>
      <c r="YG73" s="158"/>
      <c r="YH73" s="158"/>
      <c r="YI73" s="158"/>
      <c r="YJ73" s="158"/>
      <c r="YK73" s="158"/>
      <c r="YL73" s="158"/>
      <c r="YM73" s="158"/>
      <c r="YN73" s="158"/>
      <c r="YO73" s="158"/>
      <c r="YP73" s="158"/>
      <c r="YQ73" s="158"/>
      <c r="YR73" s="158"/>
      <c r="YS73" s="158"/>
      <c r="YT73" s="158"/>
      <c r="YU73" s="158"/>
      <c r="YV73" s="158"/>
      <c r="YW73" s="158"/>
      <c r="YX73" s="158"/>
      <c r="YY73" s="158"/>
      <c r="YZ73" s="158"/>
      <c r="ZA73" s="158"/>
      <c r="ZB73" s="158"/>
      <c r="ZC73" s="158"/>
      <c r="ZD73" s="158"/>
      <c r="ZE73" s="158"/>
      <c r="ZF73" s="158"/>
      <c r="ZG73" s="158"/>
      <c r="ZH73" s="158"/>
      <c r="ZI73" s="158"/>
      <c r="ZJ73" s="158"/>
      <c r="ZK73" s="158"/>
      <c r="ZL73" s="158"/>
      <c r="ZM73" s="158"/>
      <c r="ZN73" s="158"/>
      <c r="ZO73" s="158"/>
      <c r="ZP73" s="158"/>
      <c r="ZQ73" s="158"/>
      <c r="ZR73" s="158"/>
      <c r="ZS73" s="158"/>
      <c r="ZT73" s="158"/>
      <c r="ZU73" s="158"/>
      <c r="ZV73" s="158"/>
      <c r="ZW73" s="158"/>
      <c r="ZX73" s="158"/>
      <c r="ZY73" s="158"/>
      <c r="ZZ73" s="158"/>
      <c r="AAA73" s="158"/>
      <c r="AAB73" s="158"/>
      <c r="AAC73" s="158"/>
      <c r="AAD73" s="158"/>
      <c r="AAE73" s="158"/>
      <c r="AAF73" s="158"/>
      <c r="AAG73" s="158"/>
      <c r="AAH73" s="158"/>
      <c r="AAI73" s="158"/>
      <c r="AAJ73" s="158"/>
      <c r="AAK73" s="158"/>
      <c r="AAL73" s="158"/>
      <c r="AAM73" s="158"/>
      <c r="AAN73" s="158"/>
      <c r="AAO73" s="158"/>
      <c r="AAP73" s="158"/>
      <c r="AAQ73" s="158"/>
      <c r="AAR73" s="158"/>
      <c r="AAS73" s="158"/>
      <c r="AAT73" s="100"/>
      <c r="AAW73" s="653"/>
      <c r="AAX73" s="653"/>
      <c r="AAY73" s="653"/>
      <c r="AAZ73" s="653"/>
      <c r="ABA73" s="653"/>
      <c r="ABB73" s="653"/>
      <c r="ABC73" s="653"/>
      <c r="ABD73" s="653"/>
      <c r="ABE73" s="653"/>
      <c r="ABF73" s="653"/>
      <c r="ABG73" s="653"/>
      <c r="ABH73" s="653"/>
      <c r="ABI73" s="653"/>
      <c r="ABJ73" s="653"/>
      <c r="ABK73" s="653"/>
      <c r="ABL73" s="653"/>
      <c r="ABM73" s="653"/>
      <c r="ABN73" s="653"/>
      <c r="ABO73" s="653"/>
      <c r="ABP73" s="653"/>
      <c r="ABQ73" s="653"/>
      <c r="ABR73" s="653"/>
      <c r="ABW73" s="653"/>
      <c r="ABX73" s="653"/>
      <c r="ACI73" s="653"/>
      <c r="ACJ73" s="653"/>
      <c r="ACK73" s="653"/>
      <c r="ACL73" s="653"/>
      <c r="ACM73" s="653"/>
      <c r="ACN73" s="653"/>
      <c r="ACO73" s="653"/>
      <c r="ACP73" s="653"/>
      <c r="ACQ73" s="653"/>
      <c r="ACR73" s="990"/>
      <c r="ACS73" s="991"/>
      <c r="ACT73" s="991"/>
      <c r="ACU73" s="991"/>
      <c r="ACV73" s="991"/>
      <c r="ACW73" s="991"/>
      <c r="ACX73" s="992"/>
      <c r="ACY73" s="981"/>
      <c r="ACZ73" s="653"/>
      <c r="ADA73" s="653"/>
      <c r="AGJ73" s="377"/>
      <c r="AGK73" s="373"/>
      <c r="AGL73" s="373"/>
      <c r="AGM73" s="373"/>
      <c r="AGN73" s="851"/>
      <c r="AGO73" s="777"/>
      <c r="AGP73" s="778"/>
      <c r="AGQ73" s="778"/>
      <c r="AGR73" s="778"/>
      <c r="AGS73" s="778"/>
      <c r="AGT73" s="778"/>
      <c r="AGU73" s="778"/>
      <c r="AGV73" s="778"/>
      <c r="AGW73" s="778"/>
      <c r="AGX73" s="778"/>
      <c r="AGY73" s="778"/>
      <c r="AGZ73" s="778"/>
      <c r="AHA73" s="799"/>
      <c r="AHB73" s="1169"/>
      <c r="AHC73" s="799"/>
      <c r="AHD73" s="929"/>
      <c r="AHE73" s="930"/>
      <c r="AHF73" s="842"/>
      <c r="AHG73" s="1173"/>
      <c r="AHH73" s="1175"/>
      <c r="AHI73" s="848"/>
      <c r="AHJ73" s="1276"/>
      <c r="AHK73" s="1277"/>
      <c r="AHL73" s="1278"/>
      <c r="AHM73" s="373"/>
      <c r="AHN73" s="373"/>
      <c r="AHO73" s="373"/>
      <c r="AHP73" s="373"/>
      <c r="AHQ73" s="373"/>
      <c r="AHR73" s="373"/>
      <c r="AHS73" s="373"/>
      <c r="AHT73" s="373"/>
      <c r="AHU73" s="373"/>
      <c r="AHV73" s="373"/>
      <c r="AHW73" s="373"/>
      <c r="AHX73" s="373"/>
      <c r="AHY73" s="374"/>
      <c r="APJ73" s="130"/>
      <c r="APK73" s="130"/>
      <c r="APL73" s="130"/>
      <c r="APM73" s="130"/>
      <c r="APN73" s="130"/>
      <c r="APO73" s="130"/>
      <c r="APP73" s="130"/>
      <c r="APQ73" s="130"/>
      <c r="APU73" s="653"/>
      <c r="APV73" s="653"/>
      <c r="APW73" s="653"/>
      <c r="APX73" s="653"/>
      <c r="APY73" s="653"/>
      <c r="ARO73" s="653"/>
      <c r="ARU73" s="136"/>
      <c r="ARV73" s="891"/>
      <c r="ARW73" s="891"/>
      <c r="ARX73" s="891"/>
      <c r="ARY73" s="891"/>
      <c r="ARZ73" s="891"/>
      <c r="ASA73" s="891"/>
      <c r="ASB73" s="891"/>
      <c r="ASC73" s="891"/>
      <c r="ASD73" s="891"/>
      <c r="ASE73" s="891"/>
      <c r="ASF73" s="891"/>
      <c r="ASG73" s="891"/>
      <c r="ASH73" s="891"/>
      <c r="ASI73" s="891"/>
      <c r="ASJ73" s="891"/>
      <c r="ASK73" s="891"/>
      <c r="ASL73" s="891"/>
      <c r="ASM73" s="891"/>
      <c r="ASN73" s="891"/>
      <c r="ASO73" s="891"/>
      <c r="ASP73" s="891"/>
      <c r="ASQ73" s="891"/>
      <c r="ASR73" s="891"/>
      <c r="ASS73" s="891"/>
      <c r="AST73" s="891"/>
      <c r="ASU73" s="891"/>
      <c r="ASV73" s="891"/>
      <c r="ASW73" s="891"/>
      <c r="ASX73" s="891"/>
      <c r="ASY73" s="891"/>
      <c r="ASZ73" s="891"/>
      <c r="ATA73" s="891"/>
      <c r="ATB73" s="891"/>
      <c r="ATC73" s="891"/>
      <c r="ATD73" s="891"/>
      <c r="ATE73" s="891"/>
      <c r="ATF73" s="891"/>
      <c r="ATG73" s="891"/>
      <c r="ATH73" s="136"/>
    </row>
    <row r="74" spans="4:945 1051:1224" ht="48" customHeight="1" thickBot="1">
      <c r="D74" s="851"/>
      <c r="E74" s="777"/>
      <c r="F74" s="778"/>
      <c r="G74" s="778"/>
      <c r="H74" s="778"/>
      <c r="I74" s="778"/>
      <c r="J74" s="778"/>
      <c r="K74" s="778"/>
      <c r="L74" s="778"/>
      <c r="M74" s="1450"/>
      <c r="N74" s="1451"/>
      <c r="AI74" s="900"/>
      <c r="AJ74" s="901"/>
      <c r="AK74" s="902"/>
      <c r="AL74" s="850"/>
      <c r="AM74" s="768" t="s">
        <v>1819</v>
      </c>
      <c r="AN74" s="762"/>
      <c r="AO74" s="762"/>
      <c r="AP74" s="762"/>
      <c r="AQ74" s="762"/>
      <c r="AR74" s="762"/>
      <c r="AS74" s="762"/>
      <c r="AT74" s="762"/>
      <c r="AU74" s="762"/>
      <c r="AV74" s="762"/>
      <c r="AW74" s="762"/>
      <c r="AX74" s="762"/>
      <c r="AY74" s="1453">
        <v>0.76</v>
      </c>
      <c r="AZ74" s="1454"/>
      <c r="BA74" s="1075" t="s">
        <v>17</v>
      </c>
      <c r="BB74" s="1076"/>
      <c r="BC74" s="841"/>
      <c r="BD74" s="893" t="s">
        <v>747</v>
      </c>
      <c r="BE74" s="894"/>
      <c r="BF74" s="847"/>
      <c r="BR74" s="130"/>
      <c r="BS74" s="130"/>
      <c r="BT74" s="130"/>
      <c r="BU74" s="130"/>
      <c r="BV74" s="130"/>
      <c r="BX74" s="849"/>
      <c r="BY74" s="1257" t="s">
        <v>416</v>
      </c>
      <c r="BZ74" s="1257"/>
      <c r="CA74" s="132"/>
      <c r="CB74" s="76" t="s">
        <v>441</v>
      </c>
      <c r="CC74" s="854" t="s">
        <v>435</v>
      </c>
      <c r="CD74" s="855"/>
      <c r="CE74" s="920" t="s">
        <v>111</v>
      </c>
      <c r="CF74" s="921"/>
      <c r="CG74" s="916" t="s">
        <v>704</v>
      </c>
      <c r="CH74" s="917"/>
      <c r="CI74" s="906" t="s">
        <v>447</v>
      </c>
      <c r="CJ74" s="907"/>
      <c r="CK74" s="907"/>
      <c r="CL74" s="908"/>
      <c r="CM74" s="1051" t="s">
        <v>436</v>
      </c>
      <c r="CN74" s="1051"/>
      <c r="CO74" s="1051"/>
      <c r="CP74" s="1051"/>
      <c r="DI74" s="130"/>
      <c r="DJ74" s="130"/>
      <c r="DK74" s="130"/>
      <c r="DL74" s="130"/>
      <c r="DM74" s="130"/>
      <c r="DN74" s="130"/>
      <c r="DO74" s="130"/>
      <c r="DT74" s="653"/>
      <c r="DU74" s="653"/>
      <c r="DV74" s="653"/>
      <c r="DW74" s="653"/>
      <c r="DX74" s="653"/>
      <c r="DY74" s="653"/>
      <c r="DZ74" s="653"/>
      <c r="EA74" s="653"/>
      <c r="EB74" s="653"/>
      <c r="EC74" s="653"/>
      <c r="ED74" s="653"/>
      <c r="EE74" s="653"/>
      <c r="EF74" s="653"/>
      <c r="EG74" s="653"/>
      <c r="EH74" s="653"/>
      <c r="EI74" s="653"/>
      <c r="EJ74" s="653"/>
      <c r="EK74" s="653"/>
      <c r="EL74" s="653"/>
      <c r="EM74" s="653"/>
      <c r="EN74" s="653"/>
      <c r="EO74" s="653"/>
      <c r="EP74" s="653"/>
      <c r="EQ74" s="653"/>
      <c r="ER74" s="653"/>
      <c r="ES74" s="653"/>
      <c r="ET74" s="653"/>
      <c r="EU74" s="653"/>
      <c r="EV74" s="653"/>
      <c r="EW74" s="653"/>
      <c r="EX74" s="653"/>
      <c r="EY74" s="653"/>
      <c r="EZ74" s="653"/>
      <c r="FA74" s="653"/>
      <c r="FB74" s="653"/>
      <c r="GE74" s="3"/>
      <c r="GF74" s="1052"/>
      <c r="GG74" s="861" t="s">
        <v>1080</v>
      </c>
      <c r="GH74" s="861"/>
      <c r="GI74" s="861"/>
      <c r="GJ74" s="761">
        <f>$GW$61</f>
        <v>0.7</v>
      </c>
      <c r="GK74" s="761"/>
      <c r="GL74" s="856"/>
      <c r="GM74" s="856"/>
      <c r="GN74" s="856"/>
      <c r="GO74" s="856"/>
      <c r="GP74" s="856"/>
      <c r="GQ74" s="856"/>
      <c r="GR74" s="856"/>
      <c r="GS74" s="1069"/>
      <c r="GT74" s="887"/>
      <c r="GU74" s="888"/>
      <c r="GV74" s="933"/>
      <c r="GW74" s="934"/>
      <c r="GX74" s="1067"/>
      <c r="GY74" s="918"/>
      <c r="GZ74" s="1082"/>
      <c r="HA74" s="919"/>
      <c r="HB74" s="848"/>
      <c r="HC74" s="1052"/>
      <c r="HD74" s="1052"/>
      <c r="HE74" s="1052"/>
      <c r="HF74" s="1052"/>
      <c r="HG74" s="1052"/>
      <c r="HH74" s="1052"/>
      <c r="HI74" s="1052"/>
      <c r="HJ74" s="1052"/>
      <c r="HK74" s="1052"/>
      <c r="HL74" s="1052"/>
      <c r="HM74" s="1052"/>
      <c r="HN74" s="1052"/>
      <c r="HO74" s="1052"/>
      <c r="HP74" s="130"/>
      <c r="HQ74" s="130"/>
      <c r="HR74" s="130"/>
      <c r="HS74" s="130"/>
      <c r="HT74" s="130"/>
      <c r="HU74" s="130"/>
      <c r="HV74" s="130"/>
      <c r="HW74" s="130"/>
      <c r="HX74" s="130"/>
      <c r="HY74" s="130"/>
      <c r="HZ74" s="130"/>
      <c r="IA74" s="130"/>
      <c r="IB74" s="130"/>
      <c r="IC74" s="130"/>
      <c r="ID74" s="130"/>
      <c r="IE74" s="130"/>
      <c r="IF74" s="130"/>
      <c r="IG74" s="130"/>
      <c r="IH74" s="130"/>
      <c r="IM74" s="377"/>
      <c r="IN74" s="373"/>
      <c r="IO74" s="373"/>
      <c r="IP74" s="381"/>
      <c r="IQ74" s="373"/>
      <c r="IR74" s="373"/>
      <c r="IS74" s="373"/>
      <c r="IT74" s="373"/>
      <c r="IU74" s="373"/>
      <c r="IV74" s="373"/>
      <c r="IW74" s="373"/>
      <c r="IX74" s="373"/>
      <c r="IY74" s="373"/>
      <c r="IZ74" s="373"/>
      <c r="JA74" s="373"/>
      <c r="JB74" s="373"/>
      <c r="JC74" s="373"/>
      <c r="JD74" s="373"/>
      <c r="JE74" s="373"/>
      <c r="JF74" s="373"/>
      <c r="JG74" s="373"/>
      <c r="JH74" s="373"/>
      <c r="JI74" s="373"/>
      <c r="JJ74" s="373"/>
      <c r="JK74" s="373"/>
      <c r="JL74" s="373"/>
      <c r="JM74" s="373"/>
      <c r="JN74" s="373"/>
      <c r="JO74" s="373"/>
      <c r="JP74" s="373"/>
      <c r="JQ74" s="373"/>
      <c r="JR74" s="373"/>
      <c r="JS74" s="373"/>
      <c r="JT74" s="374"/>
      <c r="MA74" s="130"/>
      <c r="MB74" s="897" t="s">
        <v>973</v>
      </c>
      <c r="MC74" s="898"/>
      <c r="MD74" s="899"/>
      <c r="ME74" s="849"/>
      <c r="MF74" s="852" t="s">
        <v>416</v>
      </c>
      <c r="MG74" s="853"/>
      <c r="MH74" s="347"/>
      <c r="MI74" s="806" t="s">
        <v>1801</v>
      </c>
      <c r="MJ74" s="807"/>
      <c r="MK74" s="808"/>
      <c r="ML74" s="75" t="s">
        <v>451</v>
      </c>
      <c r="MM74" s="347"/>
      <c r="MN74" s="76" t="s">
        <v>441</v>
      </c>
      <c r="MO74" s="854" t="s">
        <v>435</v>
      </c>
      <c r="MP74" s="855"/>
      <c r="MQ74" s="1072" t="s">
        <v>111</v>
      </c>
      <c r="MR74" s="1469"/>
      <c r="MS74" s="1470"/>
      <c r="MT74" s="1376" t="s">
        <v>704</v>
      </c>
      <c r="MU74" s="1377"/>
      <c r="MV74" s="1460" t="s">
        <v>447</v>
      </c>
      <c r="MW74" s="907"/>
      <c r="MX74" s="907"/>
      <c r="MY74" s="908"/>
      <c r="MZ74" s="653"/>
      <c r="NA74" s="653"/>
      <c r="NB74" s="653"/>
      <c r="NC74" s="130"/>
      <c r="ND74" s="130"/>
      <c r="NK74" s="1216"/>
      <c r="NL74" s="1217"/>
      <c r="NM74" s="1217"/>
      <c r="NN74" s="1217"/>
      <c r="NO74" s="1217"/>
      <c r="NP74" s="1217"/>
      <c r="NQ74" s="1217"/>
      <c r="NR74" s="1217"/>
      <c r="NS74" s="1217"/>
      <c r="NT74" s="1217"/>
      <c r="NU74" s="1217"/>
      <c r="NV74" s="1217"/>
      <c r="NW74" s="1217"/>
      <c r="NX74" s="1217"/>
      <c r="NY74" s="1217"/>
      <c r="NZ74" s="1217"/>
      <c r="OA74" s="1217"/>
      <c r="OB74" s="1217"/>
      <c r="OC74" s="1217"/>
      <c r="OD74" s="1217"/>
      <c r="OE74" s="1217"/>
      <c r="OF74" s="1218"/>
      <c r="OS74" s="130"/>
      <c r="OT74" s="130"/>
      <c r="OU74" s="130"/>
      <c r="OV74" s="130"/>
      <c r="OW74" s="130"/>
      <c r="OX74" s="130"/>
      <c r="OY74" s="130"/>
      <c r="OZ74" s="130"/>
      <c r="PA74" s="130"/>
      <c r="PB74" s="130"/>
      <c r="PC74" s="130"/>
      <c r="PD74" s="130"/>
      <c r="PE74" s="130"/>
      <c r="PF74" s="130"/>
      <c r="PG74" s="130"/>
      <c r="PH74" s="130"/>
      <c r="PI74" s="130"/>
      <c r="QW74" s="130"/>
      <c r="QX74" s="130"/>
      <c r="RE74" s="653"/>
      <c r="RF74" s="653"/>
      <c r="RG74" s="653"/>
      <c r="RH74" s="653"/>
      <c r="RI74" s="653"/>
      <c r="RJ74" s="653"/>
      <c r="RK74" s="653"/>
      <c r="RL74" s="653"/>
      <c r="RM74" s="653"/>
      <c r="RN74" s="653"/>
      <c r="RO74" s="653"/>
      <c r="RP74" s="653"/>
      <c r="RQ74" s="653"/>
      <c r="RR74" s="653"/>
      <c r="RS74" s="653"/>
      <c r="RT74" s="653"/>
      <c r="RU74" s="653"/>
      <c r="RV74" s="653"/>
      <c r="RW74" s="653"/>
      <c r="RX74" s="653"/>
      <c r="RY74" s="653"/>
      <c r="RZ74" s="653"/>
      <c r="SA74" s="653"/>
      <c r="SB74" s="653"/>
      <c r="SC74" s="653"/>
      <c r="SD74" s="653"/>
      <c r="SE74" s="653"/>
      <c r="SF74" s="653"/>
      <c r="SG74" s="653"/>
      <c r="SH74" s="653"/>
      <c r="SI74" s="653"/>
      <c r="SJ74" s="653"/>
      <c r="SK74" s="653"/>
      <c r="SL74" s="653"/>
      <c r="SM74" s="653"/>
      <c r="SN74" s="653"/>
      <c r="SO74" s="653"/>
      <c r="SP74" s="653"/>
      <c r="SQ74" s="653"/>
      <c r="SR74" s="653"/>
      <c r="SS74" s="653"/>
      <c r="ST74" s="653"/>
      <c r="SU74" s="653"/>
      <c r="SV74" s="653"/>
      <c r="SW74" s="653"/>
      <c r="SX74" s="653"/>
      <c r="SY74" s="653"/>
      <c r="SZ74" s="653"/>
      <c r="TA74" s="653"/>
      <c r="TB74" s="653"/>
      <c r="TC74" s="653"/>
      <c r="TD74" s="653"/>
      <c r="TE74" s="653"/>
      <c r="TF74" s="653"/>
      <c r="TG74" s="653"/>
      <c r="TH74" s="653"/>
      <c r="TI74" s="653"/>
      <c r="TJ74" s="653"/>
      <c r="TK74" s="653"/>
      <c r="TL74" s="653"/>
      <c r="TM74" s="653"/>
      <c r="TN74" s="653"/>
      <c r="TO74" s="653"/>
      <c r="TP74" s="653"/>
      <c r="TQ74" s="653"/>
      <c r="TR74" s="653"/>
      <c r="TS74" s="653"/>
      <c r="TT74" s="653"/>
      <c r="TU74" s="653"/>
      <c r="TV74" s="653"/>
      <c r="TW74" s="653"/>
      <c r="TX74" s="653"/>
      <c r="TY74" s="653"/>
      <c r="TZ74" s="653"/>
      <c r="UA74" s="653"/>
      <c r="UB74" s="653"/>
      <c r="UC74" s="653"/>
      <c r="UD74" s="653"/>
      <c r="UE74" s="653"/>
      <c r="UF74" s="653"/>
      <c r="UG74" s="653"/>
      <c r="UH74" s="653"/>
      <c r="UI74" s="653"/>
      <c r="UJ74" s="653"/>
      <c r="UK74" s="653"/>
      <c r="UL74" s="653"/>
      <c r="UM74" s="653"/>
      <c r="UN74" s="653"/>
      <c r="UO74" s="653"/>
      <c r="UP74" s="653"/>
      <c r="UQ74" s="653"/>
      <c r="UR74" s="653"/>
      <c r="US74" s="653"/>
      <c r="UT74" s="653"/>
      <c r="UU74" s="653"/>
      <c r="UV74" s="653"/>
      <c r="UW74" s="653"/>
      <c r="UX74" s="653"/>
      <c r="UY74" s="653"/>
      <c r="UZ74" s="653"/>
      <c r="VW74" s="653"/>
      <c r="VX74" s="653"/>
      <c r="VY74" s="653"/>
      <c r="VZ74" s="653"/>
      <c r="WA74" s="653"/>
      <c r="XB74" s="653"/>
      <c r="XC74" s="653"/>
      <c r="XD74" s="653"/>
      <c r="XE74" s="653"/>
      <c r="XF74" s="971"/>
      <c r="XG74" s="158"/>
      <c r="XH74" s="158"/>
      <c r="XI74" s="158"/>
      <c r="XJ74" s="158"/>
      <c r="XK74" s="158"/>
      <c r="XL74" s="158"/>
      <c r="XM74" s="158"/>
      <c r="XN74" s="158"/>
      <c r="XO74" s="158"/>
      <c r="XP74" s="158"/>
      <c r="XQ74" s="158"/>
      <c r="XR74" s="158"/>
      <c r="XS74" s="158"/>
      <c r="XT74" s="158"/>
      <c r="XU74" s="158"/>
      <c r="XV74" s="158"/>
      <c r="XW74" s="158"/>
      <c r="XX74" s="158"/>
      <c r="XY74" s="158"/>
      <c r="XZ74" s="158"/>
      <c r="YA74" s="158"/>
      <c r="YB74" s="158"/>
      <c r="YC74" s="158"/>
      <c r="YD74" s="158"/>
      <c r="YE74" s="158"/>
      <c r="YF74" s="158"/>
      <c r="YG74" s="158"/>
      <c r="YH74" s="158"/>
      <c r="YI74" s="158"/>
      <c r="YJ74" s="158"/>
      <c r="YK74" s="158"/>
      <c r="YL74" s="158"/>
      <c r="YM74" s="158"/>
      <c r="YN74" s="158"/>
      <c r="YO74" s="158"/>
      <c r="YP74" s="158"/>
      <c r="YQ74" s="158"/>
      <c r="YR74" s="158"/>
      <c r="YS74" s="158"/>
      <c r="YT74" s="158"/>
      <c r="YU74" s="158"/>
      <c r="YV74" s="158"/>
      <c r="YW74" s="158"/>
      <c r="YX74" s="158"/>
      <c r="YY74" s="158"/>
      <c r="YZ74" s="158"/>
      <c r="ZA74" s="158"/>
      <c r="ZB74" s="158"/>
      <c r="ZC74" s="158"/>
      <c r="ZD74" s="158"/>
      <c r="ZE74" s="158"/>
      <c r="ZF74" s="158"/>
      <c r="ZG74" s="158"/>
      <c r="ZH74" s="158"/>
      <c r="ZI74" s="158"/>
      <c r="ZJ74" s="158"/>
      <c r="ZK74" s="158"/>
      <c r="ZL74" s="158"/>
      <c r="ZM74" s="158"/>
      <c r="ZN74" s="158"/>
      <c r="ZO74" s="158"/>
      <c r="ZP74" s="158"/>
      <c r="ZQ74" s="158"/>
      <c r="ZR74" s="158"/>
      <c r="ZS74" s="158"/>
      <c r="ZT74" s="158"/>
      <c r="ZU74" s="158"/>
      <c r="ZV74" s="158"/>
      <c r="ZW74" s="158"/>
      <c r="ZX74" s="158"/>
      <c r="ZY74" s="158"/>
      <c r="ZZ74" s="158"/>
      <c r="AAA74" s="158"/>
      <c r="AAB74" s="158"/>
      <c r="AAC74" s="158"/>
      <c r="AAD74" s="158"/>
      <c r="AAE74" s="158"/>
      <c r="AAF74" s="158"/>
      <c r="AAG74" s="158"/>
      <c r="AAH74" s="158"/>
      <c r="AAI74" s="158"/>
      <c r="AAJ74" s="158"/>
      <c r="AAK74" s="158"/>
      <c r="AAL74" s="158"/>
      <c r="AAM74" s="158"/>
      <c r="AAN74" s="158"/>
      <c r="AAO74" s="158"/>
      <c r="AAP74" s="158"/>
      <c r="AAQ74" s="158"/>
      <c r="AAR74" s="158"/>
      <c r="AAS74" s="158"/>
      <c r="AAT74" s="100"/>
      <c r="AAW74" s="653"/>
      <c r="AAX74" s="653"/>
      <c r="AAY74" s="653"/>
      <c r="AAZ74" s="653"/>
      <c r="ABA74" s="653"/>
      <c r="ABB74" s="653"/>
      <c r="ABC74" s="653"/>
      <c r="ABD74" s="653"/>
      <c r="ABE74" s="653"/>
      <c r="ABF74" s="653"/>
      <c r="ABG74" s="653"/>
      <c r="ABH74" s="653"/>
      <c r="ABI74" s="653"/>
      <c r="ABJ74" s="653"/>
      <c r="ABK74" s="653"/>
      <c r="ABL74" s="653"/>
      <c r="ABM74" s="653"/>
      <c r="ABN74" s="653"/>
      <c r="ABO74" s="653"/>
      <c r="ABP74" s="653"/>
      <c r="ABQ74" s="653"/>
      <c r="ABR74" s="653"/>
      <c r="ABW74" s="653"/>
      <c r="ABX74" s="653"/>
      <c r="ACI74" s="653"/>
      <c r="ACJ74" s="653"/>
      <c r="ACK74" s="653"/>
      <c r="ACL74" s="653"/>
      <c r="ACM74" s="653"/>
      <c r="ACN74" s="653"/>
      <c r="ACO74" s="653"/>
      <c r="ACP74" s="653"/>
      <c r="ACQ74" s="653"/>
      <c r="ACR74" s="993"/>
      <c r="ACS74" s="994"/>
      <c r="ACT74" s="994"/>
      <c r="ACU74" s="994"/>
      <c r="ACV74" s="994"/>
      <c r="ACW74" s="994"/>
      <c r="ACX74" s="995"/>
      <c r="ACY74" s="981"/>
      <c r="ACZ74" s="653"/>
      <c r="ADA74" s="653"/>
      <c r="AGJ74" s="377"/>
      <c r="AGK74" s="373"/>
      <c r="AGL74" s="373"/>
      <c r="AGM74" s="373"/>
      <c r="AGN74" s="373"/>
      <c r="AGO74" s="373"/>
      <c r="AGP74" s="373"/>
      <c r="AGQ74" s="373"/>
      <c r="AGR74" s="373"/>
      <c r="AGS74" s="373"/>
      <c r="AGT74" s="373"/>
      <c r="AGU74" s="373"/>
      <c r="AGV74" s="373"/>
      <c r="AGW74" s="373"/>
      <c r="AGX74" s="373"/>
      <c r="AGY74" s="373"/>
      <c r="AGZ74" s="373"/>
      <c r="AHA74" s="373"/>
      <c r="AHB74" s="373"/>
      <c r="AHC74" s="373"/>
      <c r="AHD74" s="373"/>
      <c r="AHE74" s="373"/>
      <c r="AHF74" s="373"/>
      <c r="AHG74" s="373"/>
      <c r="AHH74" s="373"/>
      <c r="AHI74" s="373"/>
      <c r="AHJ74" s="373"/>
      <c r="AHK74" s="373"/>
      <c r="AHL74" s="373"/>
      <c r="AHM74" s="373"/>
      <c r="AHN74" s="373"/>
      <c r="AHO74" s="373"/>
      <c r="AHP74" s="373"/>
      <c r="AHQ74" s="373"/>
      <c r="AHR74" s="373"/>
      <c r="AHS74" s="373"/>
      <c r="AHT74" s="373"/>
      <c r="AHU74" s="373"/>
      <c r="AHV74" s="373"/>
      <c r="AHW74" s="373"/>
      <c r="AHX74" s="373"/>
      <c r="AHY74" s="374"/>
      <c r="APJ74" s="130"/>
      <c r="APK74" s="130"/>
      <c r="APL74" s="130"/>
      <c r="APM74" s="130"/>
      <c r="APN74" s="130"/>
      <c r="APO74" s="130"/>
      <c r="APP74" s="130"/>
      <c r="APQ74" s="130"/>
      <c r="ARO74" s="653"/>
    </row>
    <row r="75" spans="4:945 1051:1224" ht="48" customHeight="1" thickBot="1">
      <c r="AI75" s="903"/>
      <c r="AJ75" s="904"/>
      <c r="AK75" s="905"/>
      <c r="AL75" s="851"/>
      <c r="AM75" s="769"/>
      <c r="AN75" s="764"/>
      <c r="AO75" s="764"/>
      <c r="AP75" s="764"/>
      <c r="AQ75" s="764"/>
      <c r="AR75" s="764"/>
      <c r="AS75" s="764"/>
      <c r="AT75" s="764"/>
      <c r="AU75" s="764"/>
      <c r="AV75" s="764"/>
      <c r="AW75" s="764"/>
      <c r="AX75" s="764"/>
      <c r="AY75" s="1455"/>
      <c r="AZ75" s="1456"/>
      <c r="BA75" s="1077"/>
      <c r="BB75" s="1078"/>
      <c r="BC75" s="842"/>
      <c r="BD75" s="918"/>
      <c r="BE75" s="919"/>
      <c r="BF75" s="848"/>
      <c r="BV75" s="130"/>
      <c r="BX75" s="850"/>
      <c r="BY75" s="768" t="s">
        <v>1816</v>
      </c>
      <c r="BZ75" s="762"/>
      <c r="CA75" s="762"/>
      <c r="CB75" s="762"/>
      <c r="CC75" s="762"/>
      <c r="CD75" s="762"/>
      <c r="CE75" s="1442">
        <f>(2*CN54*CL71*AP9)/(3.14*AP49)</f>
        <v>35833.500836634834</v>
      </c>
      <c r="CF75" s="1443"/>
      <c r="CG75" s="1075" t="s">
        <v>16</v>
      </c>
      <c r="CH75" s="1076"/>
      <c r="CI75" s="841"/>
      <c r="CJ75" s="893" t="s">
        <v>851</v>
      </c>
      <c r="CK75" s="894"/>
      <c r="CL75" s="847"/>
      <c r="CM75" s="1052"/>
      <c r="CN75" s="1052"/>
      <c r="CO75" s="1052"/>
      <c r="CP75" s="1052"/>
      <c r="DC75" s="130"/>
      <c r="DD75" s="130"/>
      <c r="DE75" s="130"/>
      <c r="DF75" s="130"/>
      <c r="DG75" s="130"/>
      <c r="DH75" s="130"/>
      <c r="DT75" s="653"/>
      <c r="DU75" s="653"/>
      <c r="DV75" s="653"/>
      <c r="DW75" s="653"/>
      <c r="DX75" s="653"/>
      <c r="DY75" s="653"/>
      <c r="DZ75" s="76" t="s">
        <v>793</v>
      </c>
      <c r="EA75" s="852" t="s">
        <v>416</v>
      </c>
      <c r="EB75" s="853"/>
      <c r="EC75" s="138"/>
      <c r="ED75" s="78"/>
      <c r="EE75" s="78"/>
      <c r="EF75" s="78"/>
      <c r="EG75" s="138"/>
      <c r="EH75" s="76" t="s">
        <v>441</v>
      </c>
      <c r="EI75" s="854" t="s">
        <v>435</v>
      </c>
      <c r="EJ75" s="855"/>
      <c r="EK75" s="920" t="s">
        <v>111</v>
      </c>
      <c r="EL75" s="921"/>
      <c r="EM75" s="916" t="s">
        <v>704</v>
      </c>
      <c r="EN75" s="917"/>
      <c r="EO75" s="1051" t="s">
        <v>447</v>
      </c>
      <c r="EP75" s="1051"/>
      <c r="EQ75" s="1051"/>
      <c r="ER75" s="1051"/>
      <c r="ES75" s="1051"/>
      <c r="ET75" s="1051" t="s">
        <v>436</v>
      </c>
      <c r="EU75" s="1051"/>
      <c r="EV75" s="1051"/>
      <c r="EW75" s="1051"/>
      <c r="EX75" s="1051"/>
      <c r="FB75" s="653"/>
      <c r="FY75" s="653"/>
      <c r="GF75" s="1053"/>
      <c r="GG75" s="1164" t="s">
        <v>1081</v>
      </c>
      <c r="GH75" s="1164"/>
      <c r="GI75" s="1164"/>
      <c r="GJ75" s="804">
        <f>$GW$65</f>
        <v>0.3</v>
      </c>
      <c r="GK75" s="804"/>
      <c r="GL75" s="857"/>
      <c r="GM75" s="857"/>
      <c r="GN75" s="857"/>
      <c r="GO75" s="857"/>
      <c r="GP75" s="857"/>
      <c r="GQ75" s="857"/>
      <c r="GR75" s="857"/>
      <c r="GS75" s="857"/>
      <c r="GT75" s="813"/>
      <c r="GU75" s="813"/>
      <c r="GV75" s="813"/>
      <c r="GW75" s="813"/>
      <c r="GX75" s="813"/>
      <c r="GY75" s="813"/>
      <c r="GZ75" s="813"/>
      <c r="HA75" s="813"/>
      <c r="HB75" s="814"/>
      <c r="HC75" s="1053"/>
      <c r="HD75" s="1053"/>
      <c r="HE75" s="1053"/>
      <c r="HF75" s="1053"/>
      <c r="HG75" s="1053"/>
      <c r="HH75" s="1053"/>
      <c r="HI75" s="1053"/>
      <c r="HJ75" s="1053"/>
      <c r="HK75" s="1053"/>
      <c r="HL75" s="1053"/>
      <c r="HM75" s="1053"/>
      <c r="HN75" s="1053"/>
      <c r="HO75" s="1053"/>
      <c r="IM75" s="377"/>
      <c r="IN75" s="373"/>
      <c r="IO75" s="373"/>
      <c r="IP75" s="381"/>
      <c r="IQ75" s="373"/>
      <c r="IR75" s="849"/>
      <c r="IS75" s="852" t="s">
        <v>416</v>
      </c>
      <c r="IT75" s="923"/>
      <c r="IU75" s="709"/>
      <c r="IV75" s="76" t="s">
        <v>441</v>
      </c>
      <c r="IW75" s="854" t="s">
        <v>435</v>
      </c>
      <c r="IX75" s="1111"/>
      <c r="IY75" s="924" t="s">
        <v>111</v>
      </c>
      <c r="IZ75" s="925"/>
      <c r="JA75" s="916" t="s">
        <v>704</v>
      </c>
      <c r="JB75" s="917"/>
      <c r="JC75" s="906" t="s">
        <v>447</v>
      </c>
      <c r="JD75" s="907"/>
      <c r="JE75" s="907"/>
      <c r="JF75" s="908"/>
      <c r="JG75" s="906" t="s">
        <v>863</v>
      </c>
      <c r="JH75" s="907"/>
      <c r="JI75" s="908"/>
      <c r="JJ75" s="373"/>
      <c r="JK75" s="373"/>
      <c r="JL75" s="373"/>
      <c r="JM75" s="373"/>
      <c r="JN75" s="373"/>
      <c r="JO75" s="373"/>
      <c r="JP75" s="373"/>
      <c r="JQ75" s="373"/>
      <c r="JR75" s="373"/>
      <c r="JS75" s="373"/>
      <c r="JT75" s="374"/>
      <c r="JX75" s="1052"/>
      <c r="JY75" s="853" t="s">
        <v>416</v>
      </c>
      <c r="JZ75" s="1257"/>
      <c r="KA75" s="229"/>
      <c r="KB75" s="78"/>
      <c r="KC75" s="78"/>
      <c r="KD75" s="78"/>
      <c r="KE75" s="78"/>
      <c r="KF75" s="78"/>
      <c r="KG75" s="78"/>
      <c r="KH75" s="136"/>
      <c r="KI75" s="76" t="s">
        <v>441</v>
      </c>
      <c r="KJ75" s="854" t="s">
        <v>435</v>
      </c>
      <c r="KK75" s="855"/>
      <c r="KL75" s="920" t="s">
        <v>111</v>
      </c>
      <c r="KM75" s="921"/>
      <c r="KN75" s="916" t="s">
        <v>704</v>
      </c>
      <c r="KO75" s="917"/>
      <c r="KP75" s="906" t="s">
        <v>447</v>
      </c>
      <c r="KQ75" s="907"/>
      <c r="KR75" s="907"/>
      <c r="KS75" s="907"/>
      <c r="KT75" s="1051" t="s">
        <v>436</v>
      </c>
      <c r="KU75" s="1051"/>
      <c r="KV75" s="1051"/>
      <c r="KW75" s="1051"/>
      <c r="KX75" s="1051"/>
      <c r="KY75" s="1051"/>
      <c r="MA75" s="130"/>
      <c r="MB75" s="900"/>
      <c r="MC75" s="901"/>
      <c r="MD75" s="902"/>
      <c r="ME75" s="850"/>
      <c r="MF75" s="791" t="s">
        <v>1230</v>
      </c>
      <c r="MG75" s="792"/>
      <c r="MH75" s="792"/>
      <c r="MI75" s="792"/>
      <c r="MJ75" s="792"/>
      <c r="MK75" s="792"/>
      <c r="ML75" s="792"/>
      <c r="MM75" s="792"/>
      <c r="MN75" s="792"/>
      <c r="MO75" s="792"/>
      <c r="MP75" s="792"/>
      <c r="MQ75" s="1222">
        <f>MQ73</f>
        <v>4.8780487804878047E-8</v>
      </c>
      <c r="MR75" s="1223"/>
      <c r="MS75" s="1224"/>
      <c r="MT75" s="1188" t="s">
        <v>1219</v>
      </c>
      <c r="MU75" s="1189"/>
      <c r="MV75" s="841"/>
      <c r="MW75" s="1170" t="s">
        <v>1232</v>
      </c>
      <c r="MX75" s="1172"/>
      <c r="MY75" s="847"/>
      <c r="NK75" s="1216"/>
      <c r="NL75" s="1217"/>
      <c r="NM75" s="1217"/>
      <c r="NN75" s="1217"/>
      <c r="NO75" s="1217"/>
      <c r="NP75" s="1217"/>
      <c r="NQ75" s="1217"/>
      <c r="NR75" s="1217"/>
      <c r="NS75" s="1217"/>
      <c r="NT75" s="1217"/>
      <c r="NU75" s="1217"/>
      <c r="NV75" s="1217"/>
      <c r="NW75" s="1217"/>
      <c r="NX75" s="1217"/>
      <c r="NY75" s="1217"/>
      <c r="NZ75" s="1217"/>
      <c r="OA75" s="1217"/>
      <c r="OB75" s="1217"/>
      <c r="OC75" s="1217"/>
      <c r="OD75" s="1217"/>
      <c r="OE75" s="1217"/>
      <c r="OF75" s="1218"/>
      <c r="OS75" s="130"/>
      <c r="OT75" s="130"/>
      <c r="OU75" s="130"/>
      <c r="OV75" s="130"/>
      <c r="OW75" s="130"/>
      <c r="OX75" s="130"/>
      <c r="OY75" s="130"/>
      <c r="OZ75" s="130"/>
      <c r="PA75" s="130"/>
      <c r="PB75" s="130"/>
      <c r="PC75" s="130"/>
      <c r="PD75" s="130"/>
      <c r="PE75" s="130"/>
      <c r="PF75" s="130"/>
      <c r="PG75" s="130"/>
      <c r="PH75" s="130"/>
      <c r="PI75" s="130"/>
      <c r="PL75" s="849"/>
      <c r="PM75" s="1257" t="s">
        <v>416</v>
      </c>
      <c r="PN75" s="1257"/>
      <c r="PO75" s="479"/>
      <c r="PP75" s="480" t="s">
        <v>1570</v>
      </c>
      <c r="PQ75" s="766">
        <f>$AP$6</f>
        <v>1500</v>
      </c>
      <c r="PR75" s="766"/>
      <c r="PS75" s="483" t="s">
        <v>1106</v>
      </c>
      <c r="PT75" s="926">
        <f>$CO$28</f>
        <v>48</v>
      </c>
      <c r="PU75" s="926"/>
      <c r="PV75" s="479"/>
      <c r="PW75" s="76" t="s">
        <v>441</v>
      </c>
      <c r="PX75" s="854" t="s">
        <v>435</v>
      </c>
      <c r="PY75" s="855"/>
      <c r="PZ75" s="920" t="s">
        <v>111</v>
      </c>
      <c r="QA75" s="921"/>
      <c r="QB75" s="916" t="s">
        <v>704</v>
      </c>
      <c r="QC75" s="922"/>
      <c r="QD75" s="1051" t="s">
        <v>447</v>
      </c>
      <c r="QE75" s="1051"/>
      <c r="QF75" s="1051"/>
      <c r="QG75" s="1051"/>
      <c r="QH75" s="1051"/>
      <c r="QI75" s="1051"/>
      <c r="QJ75" s="1051" t="s">
        <v>436</v>
      </c>
      <c r="QK75" s="1051"/>
      <c r="QL75" s="1051"/>
      <c r="QM75" s="1051"/>
      <c r="QN75" s="1051"/>
      <c r="QO75" s="1051"/>
      <c r="QP75" s="1051"/>
      <c r="QQ75" s="1051"/>
      <c r="QR75" s="1051"/>
      <c r="QS75" s="1051"/>
      <c r="QT75" s="1051"/>
      <c r="QU75" s="1051"/>
      <c r="QV75" s="1051"/>
      <c r="QW75" s="1051"/>
      <c r="QX75" s="130"/>
      <c r="RE75" s="653"/>
      <c r="RF75" s="653"/>
      <c r="RG75" s="653"/>
      <c r="RH75" s="653"/>
      <c r="RI75" s="653"/>
      <c r="RJ75" s="653"/>
      <c r="RK75" s="653"/>
      <c r="RL75" s="653"/>
      <c r="RM75" s="653"/>
      <c r="RN75" s="653"/>
      <c r="RO75" s="653"/>
      <c r="RP75" s="653"/>
      <c r="RQ75" s="653"/>
      <c r="RR75" s="653"/>
      <c r="RS75" s="653"/>
      <c r="RT75" s="653"/>
      <c r="RU75" s="653"/>
      <c r="RV75" s="653"/>
      <c r="RW75" s="653"/>
      <c r="RX75" s="653"/>
      <c r="RY75" s="653"/>
      <c r="RZ75" s="653"/>
      <c r="SA75" s="653"/>
      <c r="SB75" s="653"/>
      <c r="SC75" s="653"/>
      <c r="SD75" s="653"/>
      <c r="SE75" s="653"/>
      <c r="SF75" s="653"/>
      <c r="SG75" s="653"/>
      <c r="SH75" s="653"/>
      <c r="SI75" s="653"/>
      <c r="SJ75" s="653"/>
      <c r="SK75" s="653"/>
      <c r="SL75" s="653"/>
      <c r="SM75" s="653"/>
      <c r="SN75" s="653"/>
      <c r="SO75" s="653"/>
      <c r="SP75" s="653"/>
      <c r="SQ75" s="653"/>
      <c r="SR75" s="653"/>
      <c r="SS75" s="653"/>
      <c r="ST75" s="653"/>
      <c r="SU75" s="653"/>
      <c r="SV75" s="653"/>
      <c r="SW75" s="653"/>
      <c r="SX75" s="653"/>
      <c r="SY75" s="653"/>
      <c r="SZ75" s="653"/>
      <c r="TA75" s="653"/>
      <c r="TB75" s="653"/>
      <c r="TC75" s="653"/>
      <c r="TD75" s="653"/>
      <c r="TE75" s="653"/>
      <c r="TF75" s="653"/>
      <c r="TG75" s="653"/>
      <c r="TH75" s="653"/>
      <c r="TI75" s="653"/>
      <c r="TJ75" s="653"/>
      <c r="TK75" s="653"/>
      <c r="TL75" s="653"/>
      <c r="TM75" s="653"/>
      <c r="TN75" s="653"/>
      <c r="TO75" s="653"/>
      <c r="TP75" s="653"/>
      <c r="TQ75" s="653"/>
      <c r="TR75" s="653"/>
      <c r="TS75" s="653"/>
      <c r="TT75" s="653"/>
      <c r="TU75" s="653"/>
      <c r="TV75" s="653"/>
      <c r="TW75" s="653"/>
      <c r="TX75" s="653"/>
      <c r="TY75" s="653"/>
      <c r="TZ75" s="653"/>
      <c r="UA75" s="653"/>
      <c r="UB75" s="653"/>
      <c r="UC75" s="653"/>
      <c r="UD75" s="653"/>
      <c r="UE75" s="653"/>
      <c r="UF75" s="653"/>
      <c r="UG75" s="653"/>
      <c r="UH75" s="653"/>
      <c r="UI75" s="653"/>
      <c r="UJ75" s="653"/>
      <c r="UK75" s="653"/>
      <c r="UL75" s="653"/>
      <c r="UM75" s="653"/>
      <c r="UN75" s="653"/>
      <c r="UO75" s="653"/>
      <c r="UP75" s="653"/>
      <c r="UQ75" s="653"/>
      <c r="UR75" s="653"/>
      <c r="US75" s="653"/>
      <c r="UT75" s="653"/>
      <c r="UU75" s="653"/>
      <c r="UV75" s="653"/>
      <c r="UW75" s="653"/>
      <c r="UX75" s="653"/>
      <c r="UY75" s="653"/>
      <c r="UZ75" s="653"/>
      <c r="VW75" s="653"/>
      <c r="VX75" s="653"/>
      <c r="VY75" s="653"/>
      <c r="VZ75" s="653"/>
      <c r="WA75" s="653"/>
      <c r="XB75" s="653"/>
      <c r="XC75" s="653"/>
      <c r="XD75" s="653"/>
      <c r="XE75" s="653"/>
      <c r="XF75" s="971"/>
      <c r="XG75" s="158"/>
      <c r="XH75" s="158"/>
      <c r="XI75" s="158"/>
      <c r="XJ75" s="158"/>
      <c r="XK75" s="158"/>
      <c r="XL75" s="158"/>
      <c r="XM75" s="158"/>
      <c r="XN75" s="158"/>
      <c r="XO75" s="158"/>
      <c r="XP75" s="158"/>
      <c r="XQ75" s="158"/>
      <c r="XR75" s="158"/>
      <c r="XS75" s="158"/>
      <c r="XT75" s="158"/>
      <c r="XU75" s="158"/>
      <c r="XV75" s="158"/>
      <c r="XW75" s="158"/>
      <c r="XX75" s="158"/>
      <c r="XY75" s="158"/>
      <c r="XZ75" s="158"/>
      <c r="YA75" s="158"/>
      <c r="YB75" s="158"/>
      <c r="YC75" s="158"/>
      <c r="YD75" s="158"/>
      <c r="YE75" s="158"/>
      <c r="YF75" s="158"/>
      <c r="YG75" s="158"/>
      <c r="YH75" s="158"/>
      <c r="YI75" s="158"/>
      <c r="YJ75" s="158"/>
      <c r="YK75" s="158"/>
      <c r="YL75" s="158"/>
      <c r="YM75" s="158"/>
      <c r="YN75" s="158"/>
      <c r="YO75" s="158"/>
      <c r="YP75" s="158"/>
      <c r="YQ75" s="158"/>
      <c r="YR75" s="158"/>
      <c r="YS75" s="158"/>
      <c r="YT75" s="158"/>
      <c r="YU75" s="158"/>
      <c r="YV75" s="158"/>
      <c r="YW75" s="158"/>
      <c r="YX75" s="158"/>
      <c r="YY75" s="158"/>
      <c r="YZ75" s="158"/>
      <c r="ZA75" s="158"/>
      <c r="ZB75" s="158"/>
      <c r="ZC75" s="158"/>
      <c r="ZD75" s="158"/>
      <c r="ZE75" s="158"/>
      <c r="ZF75" s="158"/>
      <c r="ZG75" s="158"/>
      <c r="ZH75" s="158"/>
      <c r="ZI75" s="158"/>
      <c r="ZJ75" s="158"/>
      <c r="ZK75" s="158"/>
      <c r="ZL75" s="158"/>
      <c r="ZM75" s="158"/>
      <c r="ZN75" s="158"/>
      <c r="ZO75" s="158"/>
      <c r="ZP75" s="158"/>
      <c r="ZQ75" s="158"/>
      <c r="ZR75" s="158"/>
      <c r="ZS75" s="158"/>
      <c r="ZT75" s="158"/>
      <c r="ZU75" s="158"/>
      <c r="ZV75" s="158"/>
      <c r="ZW75" s="158"/>
      <c r="ZX75" s="158"/>
      <c r="ZY75" s="158"/>
      <c r="ZZ75" s="158"/>
      <c r="AAA75" s="158"/>
      <c r="AAB75" s="158"/>
      <c r="AAC75" s="158"/>
      <c r="AAD75" s="158"/>
      <c r="AAE75" s="158"/>
      <c r="AAF75" s="158"/>
      <c r="AAG75" s="158"/>
      <c r="AAH75" s="158"/>
      <c r="AAI75" s="158"/>
      <c r="AAJ75" s="158"/>
      <c r="AAK75" s="158"/>
      <c r="AAL75" s="158"/>
      <c r="AAM75" s="158"/>
      <c r="AAN75" s="158"/>
      <c r="AAO75" s="158"/>
      <c r="AAP75" s="158"/>
      <c r="AAQ75" s="158"/>
      <c r="AAR75" s="158"/>
      <c r="AAS75" s="158"/>
      <c r="AAT75" s="100"/>
      <c r="AAW75" s="653"/>
      <c r="AAX75" s="653"/>
      <c r="AAY75" s="653"/>
      <c r="AAZ75" s="653"/>
      <c r="ABA75" s="653"/>
      <c r="ABB75" s="653"/>
      <c r="ABC75" s="653"/>
      <c r="ABD75" s="653"/>
      <c r="ABE75" s="653"/>
      <c r="ABF75" s="653"/>
      <c r="ABG75" s="653"/>
      <c r="ABH75" s="653"/>
      <c r="ABI75" s="653"/>
      <c r="ABJ75" s="653"/>
      <c r="ABK75" s="653"/>
      <c r="ABL75" s="653"/>
      <c r="ABM75" s="653"/>
      <c r="ABN75" s="653"/>
      <c r="ABO75" s="653"/>
      <c r="ABP75" s="653"/>
      <c r="ABQ75" s="653"/>
      <c r="ABR75" s="653"/>
      <c r="ABS75" s="653"/>
      <c r="ABT75" s="653"/>
      <c r="ABU75" s="653"/>
      <c r="ABV75" s="653"/>
      <c r="ABW75" s="653"/>
      <c r="ABX75" s="653"/>
      <c r="ACI75" s="653"/>
      <c r="ACJ75" s="653"/>
      <c r="ACK75" s="653"/>
      <c r="ACL75" s="653"/>
      <c r="ACM75" s="653"/>
      <c r="ACN75" s="653"/>
      <c r="ACO75" s="653"/>
      <c r="ACP75" s="653"/>
      <c r="ACQ75" s="653"/>
      <c r="ACR75" s="591"/>
      <c r="ACS75" s="591"/>
      <c r="ACT75" s="591"/>
      <c r="ACU75" s="591"/>
      <c r="ACV75" s="591"/>
      <c r="ACW75" s="591"/>
      <c r="ACX75" s="591"/>
      <c r="ACY75" s="591"/>
      <c r="ACZ75" s="653"/>
      <c r="ADA75" s="653"/>
      <c r="AGJ75" s="136"/>
      <c r="AGK75" s="891"/>
      <c r="AGL75" s="891"/>
      <c r="AGM75" s="891"/>
      <c r="AGN75" s="891"/>
      <c r="AGO75" s="891"/>
      <c r="AGP75" s="891"/>
      <c r="AGQ75" s="891"/>
      <c r="AGR75" s="891"/>
      <c r="AGS75" s="891"/>
      <c r="AGT75" s="891"/>
      <c r="AGU75" s="891"/>
      <c r="AGV75" s="891"/>
      <c r="AGW75" s="891"/>
      <c r="AGX75" s="891"/>
      <c r="AGY75" s="891"/>
      <c r="AGZ75" s="891"/>
      <c r="AHA75" s="891"/>
      <c r="AHB75" s="891"/>
      <c r="AHC75" s="891"/>
      <c r="AHD75" s="891"/>
      <c r="AHE75" s="891"/>
      <c r="AHF75" s="891"/>
      <c r="AHG75" s="891"/>
      <c r="AHH75" s="891"/>
      <c r="AHI75" s="891"/>
      <c r="AHJ75" s="891"/>
      <c r="AHK75" s="891"/>
      <c r="AHL75" s="891"/>
      <c r="AHM75" s="891"/>
      <c r="AHN75" s="891"/>
      <c r="AHO75" s="891"/>
      <c r="AHP75" s="891"/>
      <c r="AHQ75" s="891"/>
      <c r="AHR75" s="891"/>
      <c r="AHS75" s="891"/>
      <c r="AHT75" s="891"/>
      <c r="AHU75" s="891"/>
      <c r="AHV75" s="891"/>
      <c r="AHW75" s="891"/>
      <c r="AHX75" s="891"/>
      <c r="AHY75" s="136"/>
      <c r="ARO75" s="653"/>
    </row>
    <row r="76" spans="4:945 1051:1224" ht="48" customHeight="1" thickBot="1">
      <c r="BV76" s="130"/>
      <c r="BX76" s="851"/>
      <c r="BY76" s="769"/>
      <c r="BZ76" s="764"/>
      <c r="CA76" s="764"/>
      <c r="CB76" s="764"/>
      <c r="CC76" s="764"/>
      <c r="CD76" s="764"/>
      <c r="CE76" s="1444"/>
      <c r="CF76" s="773"/>
      <c r="CG76" s="1077"/>
      <c r="CH76" s="1078"/>
      <c r="CI76" s="842"/>
      <c r="CJ76" s="918"/>
      <c r="CK76" s="919"/>
      <c r="CL76" s="848"/>
      <c r="CM76" s="1053"/>
      <c r="CN76" s="1053"/>
      <c r="CO76" s="1053"/>
      <c r="CP76" s="1053"/>
      <c r="DC76" s="1285">
        <v>0.96599999999999997</v>
      </c>
      <c r="DD76" s="1761"/>
      <c r="DE76" s="130"/>
      <c r="DF76" s="130"/>
      <c r="DG76" s="130"/>
      <c r="DH76" s="130"/>
      <c r="DT76" s="653"/>
      <c r="DU76" s="653"/>
      <c r="DV76" s="653"/>
      <c r="DW76" s="653"/>
      <c r="DX76" s="653"/>
      <c r="DY76" s="653"/>
      <c r="DZ76" s="849"/>
      <c r="EA76" s="800" t="s">
        <v>1054</v>
      </c>
      <c r="EB76" s="801"/>
      <c r="EC76" s="883">
        <f>$EN$62</f>
        <v>8.9200941784447281</v>
      </c>
      <c r="ED76" s="884"/>
      <c r="EE76" s="953" t="s">
        <v>1868</v>
      </c>
      <c r="EF76" s="954"/>
      <c r="EG76" s="954"/>
      <c r="EH76" s="954"/>
      <c r="EI76" s="954"/>
      <c r="EJ76" s="954"/>
      <c r="EK76" s="1167">
        <f>EC76-EC77</f>
        <v>8.6700941784447281</v>
      </c>
      <c r="EL76" s="840"/>
      <c r="EM76" s="1075" t="s">
        <v>45</v>
      </c>
      <c r="EN76" s="1076"/>
      <c r="EO76" s="841"/>
      <c r="EP76" s="893" t="s">
        <v>976</v>
      </c>
      <c r="EQ76" s="1081"/>
      <c r="ER76" s="894"/>
      <c r="ES76" s="847"/>
      <c r="ET76" s="1052"/>
      <c r="EU76" s="1052"/>
      <c r="EV76" s="1052"/>
      <c r="EW76" s="1052"/>
      <c r="EX76" s="1052"/>
      <c r="FB76" s="653"/>
      <c r="FY76" s="653"/>
      <c r="IM76" s="377"/>
      <c r="IN76" s="373"/>
      <c r="IO76" s="373"/>
      <c r="IP76" s="381"/>
      <c r="IQ76" s="382" t="s">
        <v>1298</v>
      </c>
      <c r="IR76" s="850"/>
      <c r="IS76" s="791" t="s">
        <v>1808</v>
      </c>
      <c r="IT76" s="797"/>
      <c r="IU76" s="797"/>
      <c r="IV76" s="797"/>
      <c r="IW76" s="797"/>
      <c r="IX76" s="797"/>
      <c r="IY76" s="885">
        <f>JC67</f>
        <v>25.590104674909831</v>
      </c>
      <c r="IZ76" s="886"/>
      <c r="JA76" s="1075" t="s">
        <v>45</v>
      </c>
      <c r="JB76" s="1076"/>
      <c r="JC76" s="1066"/>
      <c r="JD76" s="893" t="s">
        <v>845</v>
      </c>
      <c r="JE76" s="894"/>
      <c r="JF76" s="847"/>
      <c r="JG76" s="1203" t="s">
        <v>862</v>
      </c>
      <c r="JH76" s="1275"/>
      <c r="JI76" s="1204"/>
      <c r="JJ76" s="373"/>
      <c r="JK76" s="373"/>
      <c r="JL76" s="373"/>
      <c r="JM76" s="373"/>
      <c r="JN76" s="373"/>
      <c r="JO76" s="373"/>
      <c r="JP76" s="373"/>
      <c r="JQ76" s="373"/>
      <c r="JR76" s="373"/>
      <c r="JS76" s="373"/>
      <c r="JT76" s="374"/>
      <c r="JX76" s="1052"/>
      <c r="JY76" s="801" t="s">
        <v>1061</v>
      </c>
      <c r="JZ76" s="861"/>
      <c r="KA76" s="926">
        <f>EQ45</f>
        <v>4</v>
      </c>
      <c r="KB76" s="1182"/>
      <c r="KC76" s="791" t="s">
        <v>996</v>
      </c>
      <c r="KD76" s="792"/>
      <c r="KE76" s="792"/>
      <c r="KF76" s="792"/>
      <c r="KG76" s="792"/>
      <c r="KH76" s="792"/>
      <c r="KI76" s="792"/>
      <c r="KJ76" s="792"/>
      <c r="KK76" s="793"/>
      <c r="KL76" s="835">
        <f>((KA76/KA77)^2)/(5+KA76/KA77)</f>
        <v>2.5</v>
      </c>
      <c r="KM76" s="836"/>
      <c r="KN76" s="1183" t="s">
        <v>729</v>
      </c>
      <c r="KO76" s="1184"/>
      <c r="KP76" s="1066"/>
      <c r="KQ76" s="1148" t="s">
        <v>991</v>
      </c>
      <c r="KR76" s="1149"/>
      <c r="KS76" s="847"/>
      <c r="KT76" s="1052"/>
      <c r="KU76" s="1052"/>
      <c r="KV76" s="1052"/>
      <c r="KW76" s="1052"/>
      <c r="KX76" s="1052"/>
      <c r="KY76" s="1052"/>
      <c r="MA76" s="130"/>
      <c r="MB76" s="903"/>
      <c r="MC76" s="904"/>
      <c r="MD76" s="905"/>
      <c r="ME76" s="851"/>
      <c r="MF76" s="794"/>
      <c r="MG76" s="795"/>
      <c r="MH76" s="795"/>
      <c r="MI76" s="795"/>
      <c r="MJ76" s="795"/>
      <c r="MK76" s="795"/>
      <c r="ML76" s="795"/>
      <c r="MM76" s="795"/>
      <c r="MN76" s="795"/>
      <c r="MO76" s="795"/>
      <c r="MP76" s="795"/>
      <c r="MQ76" s="1225"/>
      <c r="MR76" s="1226"/>
      <c r="MS76" s="1227"/>
      <c r="MT76" s="1190"/>
      <c r="MU76" s="1191"/>
      <c r="MV76" s="842"/>
      <c r="MW76" s="1173"/>
      <c r="MX76" s="1175"/>
      <c r="MY76" s="848"/>
      <c r="NK76" s="1216"/>
      <c r="NL76" s="1217"/>
      <c r="NM76" s="1217"/>
      <c r="NN76" s="1217"/>
      <c r="NO76" s="1217"/>
      <c r="NP76" s="1217"/>
      <c r="NQ76" s="1217"/>
      <c r="NR76" s="1217"/>
      <c r="NS76" s="1217"/>
      <c r="NT76" s="1217"/>
      <c r="NU76" s="1217"/>
      <c r="NV76" s="1217"/>
      <c r="NW76" s="1217"/>
      <c r="NX76" s="1217"/>
      <c r="NY76" s="1217"/>
      <c r="NZ76" s="1217"/>
      <c r="OA76" s="1217"/>
      <c r="OB76" s="1217"/>
      <c r="OC76" s="1217"/>
      <c r="OD76" s="1217"/>
      <c r="OE76" s="1217"/>
      <c r="OF76" s="1218"/>
      <c r="OS76" s="130"/>
      <c r="OT76" s="130"/>
      <c r="OU76" s="130"/>
      <c r="OV76" s="130"/>
      <c r="OW76" s="130"/>
      <c r="OX76" s="130"/>
      <c r="OY76" s="130"/>
      <c r="OZ76" s="130"/>
      <c r="PA76" s="130"/>
      <c r="PB76" s="130"/>
      <c r="PC76" s="130"/>
      <c r="PD76" s="130"/>
      <c r="PE76" s="130"/>
      <c r="PF76" s="130"/>
      <c r="PG76" s="130"/>
      <c r="PH76" s="130"/>
      <c r="PI76" s="130"/>
      <c r="PL76" s="850"/>
      <c r="PM76" s="800" t="s">
        <v>1569</v>
      </c>
      <c r="PN76" s="801"/>
      <c r="PO76" s="761">
        <f>$PV$85</f>
        <v>2.5</v>
      </c>
      <c r="PP76" s="761"/>
      <c r="PQ76" s="797" t="s">
        <v>163</v>
      </c>
      <c r="PR76" s="797"/>
      <c r="PS76" s="776"/>
      <c r="PT76" s="776"/>
      <c r="PU76" s="776"/>
      <c r="PV76" s="797"/>
      <c r="PW76" s="797"/>
      <c r="PX76" s="797"/>
      <c r="PY76" s="798"/>
      <c r="PZ76" s="835">
        <f>0.5*PO76*((PT75*PQ75)/10000)^1.5*(PO77*PO78*1000)^2</f>
        <v>296.26002441980381</v>
      </c>
      <c r="QA76" s="836"/>
      <c r="QB76" s="1075" t="s">
        <v>3</v>
      </c>
      <c r="QC76" s="1076"/>
      <c r="QD76" s="1248"/>
      <c r="QE76" s="1283" t="s">
        <v>1572</v>
      </c>
      <c r="QF76" s="1283"/>
      <c r="QG76" s="1283"/>
      <c r="QH76" s="1283"/>
      <c r="QI76" s="1289"/>
      <c r="QJ76" s="1052"/>
      <c r="QK76" s="1052"/>
      <c r="QL76" s="1052"/>
      <c r="QM76" s="1052"/>
      <c r="QN76" s="1052"/>
      <c r="QO76" s="1052"/>
      <c r="QP76" s="1052"/>
      <c r="QQ76" s="1052"/>
      <c r="QR76" s="1052"/>
      <c r="QS76" s="1052"/>
      <c r="QT76" s="1052"/>
      <c r="QU76" s="1052"/>
      <c r="QV76" s="1052"/>
      <c r="QW76" s="1052"/>
      <c r="QX76" s="130"/>
      <c r="RE76" s="653"/>
      <c r="RF76" s="653"/>
      <c r="RG76" s="653"/>
      <c r="RH76" s="653"/>
      <c r="RI76" s="653"/>
      <c r="RJ76" s="653"/>
      <c r="RK76" s="653"/>
      <c r="RL76" s="653"/>
      <c r="RM76" s="653"/>
      <c r="RN76" s="653"/>
      <c r="RO76" s="653"/>
      <c r="RP76" s="653"/>
      <c r="RQ76" s="653"/>
      <c r="RR76" s="653"/>
      <c r="RS76" s="653"/>
      <c r="RT76" s="653"/>
      <c r="RU76" s="653"/>
      <c r="RV76" s="653"/>
      <c r="RW76" s="653"/>
      <c r="RX76" s="653"/>
      <c r="RY76" s="653"/>
      <c r="RZ76" s="653"/>
      <c r="SA76" s="653"/>
      <c r="SB76" s="653"/>
      <c r="SC76" s="653"/>
      <c r="SD76" s="653"/>
      <c r="SE76" s="653"/>
      <c r="SF76" s="653"/>
      <c r="SG76" s="653"/>
      <c r="SH76" s="653"/>
      <c r="SI76" s="653"/>
      <c r="SJ76" s="653"/>
      <c r="SK76" s="653"/>
      <c r="SL76" s="653"/>
      <c r="SM76" s="653"/>
      <c r="SN76" s="653"/>
      <c r="SO76" s="653"/>
      <c r="SP76" s="653"/>
      <c r="SQ76" s="653"/>
      <c r="SR76" s="653"/>
      <c r="SS76" s="653"/>
      <c r="ST76" s="653"/>
      <c r="SU76" s="653"/>
      <c r="SV76" s="653"/>
      <c r="SW76" s="653"/>
      <c r="SX76" s="653"/>
      <c r="SY76" s="653"/>
      <c r="SZ76" s="653"/>
      <c r="TA76" s="653"/>
      <c r="TB76" s="653"/>
      <c r="TC76" s="653"/>
      <c r="TD76" s="653"/>
      <c r="TE76" s="653"/>
      <c r="TF76" s="653"/>
      <c r="TG76" s="653"/>
      <c r="TH76" s="653"/>
      <c r="TI76" s="653"/>
      <c r="TJ76" s="653"/>
      <c r="TK76" s="653"/>
      <c r="TL76" s="653"/>
      <c r="TM76" s="653"/>
      <c r="TN76" s="653"/>
      <c r="TO76" s="653"/>
      <c r="TP76" s="653"/>
      <c r="TQ76" s="653"/>
      <c r="TR76" s="653"/>
      <c r="TS76" s="653"/>
      <c r="TT76" s="653"/>
      <c r="TU76" s="653"/>
      <c r="TV76" s="653"/>
      <c r="TW76" s="653"/>
      <c r="TX76" s="653"/>
      <c r="TY76" s="653"/>
      <c r="TZ76" s="653"/>
      <c r="UA76" s="653"/>
      <c r="UB76" s="653"/>
      <c r="UC76" s="653"/>
      <c r="UD76" s="653"/>
      <c r="UE76" s="653"/>
      <c r="UF76" s="653"/>
      <c r="UG76" s="653"/>
      <c r="UH76" s="653"/>
      <c r="UI76" s="653"/>
      <c r="UJ76" s="653"/>
      <c r="UK76" s="653"/>
      <c r="UL76" s="653"/>
      <c r="UM76" s="653"/>
      <c r="UN76" s="653"/>
      <c r="UO76" s="653"/>
      <c r="UP76" s="653"/>
      <c r="UQ76" s="653"/>
      <c r="UR76" s="653"/>
      <c r="US76" s="653"/>
      <c r="UT76" s="653"/>
      <c r="UU76" s="653"/>
      <c r="UV76" s="653"/>
      <c r="UW76" s="653"/>
      <c r="UX76" s="653"/>
      <c r="UY76" s="653"/>
      <c r="UZ76" s="653"/>
      <c r="VW76" s="653"/>
      <c r="VX76" s="653"/>
      <c r="VY76" s="653"/>
      <c r="VZ76" s="653"/>
      <c r="WA76" s="653"/>
      <c r="XB76" s="653"/>
      <c r="XC76" s="653"/>
      <c r="XD76" s="653"/>
      <c r="XE76" s="653"/>
      <c r="XF76" s="971"/>
      <c r="XG76" s="158"/>
      <c r="XH76" s="158"/>
      <c r="XI76" s="158"/>
      <c r="XJ76" s="158"/>
      <c r="XK76" s="158"/>
      <c r="XL76" s="158"/>
      <c r="XM76" s="158"/>
      <c r="XN76" s="158"/>
      <c r="XO76" s="158"/>
      <c r="XP76" s="158"/>
      <c r="XQ76" s="158"/>
      <c r="XR76" s="158"/>
      <c r="XS76" s="158"/>
      <c r="XT76" s="158"/>
      <c r="XU76" s="158"/>
      <c r="XV76" s="158"/>
      <c r="XW76" s="158"/>
      <c r="XX76" s="158"/>
      <c r="XY76" s="158"/>
      <c r="XZ76" s="158"/>
      <c r="YA76" s="158"/>
      <c r="YB76" s="158"/>
      <c r="YC76" s="158"/>
      <c r="YD76" s="158"/>
      <c r="YE76" s="158"/>
      <c r="YF76" s="158"/>
      <c r="YG76" s="158"/>
      <c r="YH76" s="158"/>
      <c r="YI76" s="158"/>
      <c r="YJ76" s="158"/>
      <c r="YK76" s="158"/>
      <c r="YL76" s="158"/>
      <c r="YM76" s="158"/>
      <c r="YN76" s="158"/>
      <c r="YO76" s="158"/>
      <c r="YP76" s="158"/>
      <c r="YQ76" s="158"/>
      <c r="YR76" s="158"/>
      <c r="YS76" s="158"/>
      <c r="YT76" s="158"/>
      <c r="YU76" s="158"/>
      <c r="YV76" s="158"/>
      <c r="YW76" s="158"/>
      <c r="YX76" s="158"/>
      <c r="YY76" s="158"/>
      <c r="YZ76" s="158"/>
      <c r="ZA76" s="158"/>
      <c r="ZB76" s="158"/>
      <c r="ZC76" s="158"/>
      <c r="ZD76" s="158"/>
      <c r="ZE76" s="158"/>
      <c r="ZF76" s="158"/>
      <c r="ZG76" s="158"/>
      <c r="ZH76" s="158"/>
      <c r="ZI76" s="158"/>
      <c r="ZJ76" s="158"/>
      <c r="ZK76" s="158"/>
      <c r="ZL76" s="158"/>
      <c r="ZM76" s="158"/>
      <c r="ZN76" s="158"/>
      <c r="ZO76" s="158"/>
      <c r="ZP76" s="158"/>
      <c r="ZQ76" s="158"/>
      <c r="ZR76" s="158"/>
      <c r="ZS76" s="158"/>
      <c r="ZT76" s="158"/>
      <c r="ZU76" s="158"/>
      <c r="ZV76" s="158"/>
      <c r="ZW76" s="158"/>
      <c r="ZX76" s="158"/>
      <c r="ZY76" s="158"/>
      <c r="ZZ76" s="158"/>
      <c r="AAA76" s="158"/>
      <c r="AAB76" s="158"/>
      <c r="AAC76" s="158"/>
      <c r="AAD76" s="158"/>
      <c r="AAE76" s="158"/>
      <c r="AAF76" s="158"/>
      <c r="AAG76" s="158"/>
      <c r="AAH76" s="158"/>
      <c r="AAI76" s="158"/>
      <c r="AAJ76" s="158"/>
      <c r="AAK76" s="158"/>
      <c r="AAL76" s="158"/>
      <c r="AAM76" s="158"/>
      <c r="AAN76" s="158"/>
      <c r="AAO76" s="158"/>
      <c r="AAP76" s="158"/>
      <c r="AAQ76" s="158"/>
      <c r="AAR76" s="158"/>
      <c r="AAS76" s="158"/>
      <c r="AAT76" s="100"/>
      <c r="AAW76" s="653"/>
      <c r="AAX76" s="653"/>
      <c r="AAY76" s="653"/>
      <c r="AAZ76" s="653"/>
      <c r="ABA76" s="653"/>
      <c r="ABB76" s="653"/>
      <c r="ABC76" s="653"/>
      <c r="ABD76" s="653"/>
      <c r="ABE76" s="653"/>
      <c r="ABF76" s="653"/>
      <c r="ABG76" s="653"/>
      <c r="ABH76" s="653"/>
      <c r="ABI76" s="653"/>
      <c r="ABJ76" s="653"/>
      <c r="ABK76" s="653"/>
      <c r="ABL76" s="653"/>
      <c r="ABM76" s="653"/>
      <c r="ABN76" s="653"/>
      <c r="ABO76" s="653"/>
      <c r="ABP76" s="653"/>
      <c r="ABQ76" s="653"/>
      <c r="ABR76" s="653"/>
      <c r="ABS76" s="653"/>
      <c r="ABT76" s="653"/>
      <c r="ABU76" s="653"/>
      <c r="ABV76" s="653"/>
      <c r="ABW76" s="653"/>
      <c r="ABX76" s="653"/>
      <c r="ACI76" s="653"/>
      <c r="ACJ76" s="653"/>
      <c r="ACK76" s="653"/>
      <c r="ACL76" s="653"/>
      <c r="ACM76" s="653"/>
      <c r="ACN76" s="653"/>
      <c r="ACO76" s="653"/>
      <c r="ACP76" s="653"/>
      <c r="ACQ76" s="653"/>
      <c r="ACR76" s="856">
        <v>1</v>
      </c>
      <c r="ACS76" s="856"/>
      <c r="ACT76" s="856">
        <v>0.05</v>
      </c>
      <c r="ACU76" s="856"/>
      <c r="ACV76" s="856">
        <f>(ACT77-ACT76)/(ACR77-ACR76)</f>
        <v>0.25000000000000006</v>
      </c>
      <c r="ACW76" s="856"/>
      <c r="ACX76" s="856">
        <f>ACT76-ACV76*ACR76</f>
        <v>-0.20000000000000007</v>
      </c>
      <c r="ACY76" s="856"/>
      <c r="ACZ76" s="653"/>
      <c r="ADA76" s="653"/>
      <c r="ADY76" s="130"/>
      <c r="AES76" s="800" t="s">
        <v>1344</v>
      </c>
      <c r="AET76" s="982"/>
      <c r="AEU76" s="801"/>
      <c r="AEV76" s="951">
        <f>'Вывод расчетов'!$GT$98</f>
        <v>180.34671544768563</v>
      </c>
      <c r="AEW76" s="952"/>
      <c r="AEX76" s="681" t="s">
        <v>1608</v>
      </c>
      <c r="AEY76" s="951">
        <f>'Вывод расчетов'!$MM$221</f>
        <v>24.767145947405268</v>
      </c>
      <c r="AEZ76" s="952"/>
      <c r="ARO76" s="653"/>
    </row>
    <row r="77" spans="4:945 1051:1224" ht="48" customHeight="1" thickBot="1">
      <c r="N77" s="3"/>
      <c r="O77" s="3"/>
      <c r="P77" s="3"/>
      <c r="Q77" s="3"/>
      <c r="AI77" s="897" t="s">
        <v>974</v>
      </c>
      <c r="AJ77" s="898"/>
      <c r="AK77" s="899"/>
      <c r="AL77" s="849"/>
      <c r="AM77" s="1257" t="s">
        <v>1783</v>
      </c>
      <c r="AN77" s="1257"/>
      <c r="AO77" s="117"/>
      <c r="AP77" s="779" t="s">
        <v>1818</v>
      </c>
      <c r="AQ77" s="780"/>
      <c r="AR77" s="781"/>
      <c r="AS77" s="75" t="s">
        <v>702</v>
      </c>
      <c r="AT77" s="117"/>
      <c r="AU77" s="76" t="s">
        <v>441</v>
      </c>
      <c r="AV77" s="854" t="s">
        <v>435</v>
      </c>
      <c r="AW77" s="855"/>
      <c r="AX77" s="920" t="s">
        <v>111</v>
      </c>
      <c r="AY77" s="921"/>
      <c r="AZ77" s="916" t="s">
        <v>704</v>
      </c>
      <c r="BA77" s="917"/>
      <c r="BB77" s="906" t="s">
        <v>447</v>
      </c>
      <c r="BC77" s="907"/>
      <c r="BD77" s="907"/>
      <c r="BE77" s="908"/>
      <c r="BV77" s="130"/>
      <c r="DC77" s="1285">
        <v>0.70699999999999996</v>
      </c>
      <c r="DD77" s="1761"/>
      <c r="DE77" s="130"/>
      <c r="DF77" s="130"/>
      <c r="DG77" s="130"/>
      <c r="DH77" s="130"/>
      <c r="DT77" s="653"/>
      <c r="DU77" s="653"/>
      <c r="DV77" s="653"/>
      <c r="DW77" s="653"/>
      <c r="DX77" s="653"/>
      <c r="DY77" s="653"/>
      <c r="DZ77" s="851"/>
      <c r="EA77" s="802" t="s">
        <v>1756</v>
      </c>
      <c r="EB77" s="803"/>
      <c r="EC77" s="1333">
        <f>$EJ$54</f>
        <v>0.25</v>
      </c>
      <c r="ED77" s="1334"/>
      <c r="EE77" s="955"/>
      <c r="EF77" s="956"/>
      <c r="EG77" s="956"/>
      <c r="EH77" s="956"/>
      <c r="EI77" s="956"/>
      <c r="EJ77" s="956"/>
      <c r="EK77" s="1169"/>
      <c r="EL77" s="799"/>
      <c r="EM77" s="1077"/>
      <c r="EN77" s="1078"/>
      <c r="EO77" s="842"/>
      <c r="EP77" s="918"/>
      <c r="EQ77" s="1082"/>
      <c r="ER77" s="919"/>
      <c r="ES77" s="848"/>
      <c r="ET77" s="1053"/>
      <c r="EU77" s="1053"/>
      <c r="EV77" s="1053"/>
      <c r="EW77" s="1053"/>
      <c r="EX77" s="1053"/>
      <c r="FB77" s="653"/>
      <c r="FY77" s="653"/>
      <c r="GF77" s="76" t="s">
        <v>793</v>
      </c>
      <c r="GG77" s="852" t="s">
        <v>416</v>
      </c>
      <c r="GH77" s="923"/>
      <c r="GI77" s="233"/>
      <c r="GJ77" s="78"/>
      <c r="GK77" s="78"/>
      <c r="GL77" s="78"/>
      <c r="GM77" s="136"/>
      <c r="GN77" s="76" t="s">
        <v>441</v>
      </c>
      <c r="GO77" s="854" t="s">
        <v>435</v>
      </c>
      <c r="GP77" s="855"/>
      <c r="GQ77" s="920" t="s">
        <v>111</v>
      </c>
      <c r="GR77" s="921"/>
      <c r="GS77" s="916" t="s">
        <v>704</v>
      </c>
      <c r="GT77" s="917"/>
      <c r="GU77" s="906" t="s">
        <v>447</v>
      </c>
      <c r="GV77" s="907"/>
      <c r="GW77" s="907"/>
      <c r="GX77" s="907"/>
      <c r="GY77" s="908"/>
      <c r="GZ77" s="1051" t="s">
        <v>436</v>
      </c>
      <c r="HA77" s="1051"/>
      <c r="HB77" s="1051"/>
      <c r="HC77" s="1051"/>
      <c r="HD77" s="1051"/>
      <c r="HE77" s="1051"/>
      <c r="HF77" s="1051"/>
      <c r="HG77" s="1051"/>
      <c r="IM77" s="377"/>
      <c r="IN77" s="373"/>
      <c r="IO77" s="373"/>
      <c r="IP77" s="373"/>
      <c r="IQ77" s="373"/>
      <c r="IR77" s="851"/>
      <c r="IS77" s="777"/>
      <c r="IT77" s="778"/>
      <c r="IU77" s="778"/>
      <c r="IV77" s="778"/>
      <c r="IW77" s="778"/>
      <c r="IX77" s="778"/>
      <c r="IY77" s="887"/>
      <c r="IZ77" s="888"/>
      <c r="JA77" s="1077"/>
      <c r="JB77" s="1078"/>
      <c r="JC77" s="1067"/>
      <c r="JD77" s="918"/>
      <c r="JE77" s="919"/>
      <c r="JF77" s="848"/>
      <c r="JG77" s="1276"/>
      <c r="JH77" s="1277"/>
      <c r="JI77" s="1278"/>
      <c r="JJ77" s="373"/>
      <c r="JK77" s="373"/>
      <c r="JL77" s="373"/>
      <c r="JM77" s="373"/>
      <c r="JN77" s="373"/>
      <c r="JO77" s="373"/>
      <c r="JP77" s="373"/>
      <c r="JQ77" s="373"/>
      <c r="JR77" s="373"/>
      <c r="JS77" s="373"/>
      <c r="JT77" s="374"/>
      <c r="JX77" s="1052"/>
      <c r="JY77" s="801" t="s">
        <v>725</v>
      </c>
      <c r="JZ77" s="861"/>
      <c r="KA77" s="926">
        <f>$GU$12</f>
        <v>0.8</v>
      </c>
      <c r="KB77" s="1182"/>
      <c r="KC77" s="823"/>
      <c r="KD77" s="824"/>
      <c r="KE77" s="824"/>
      <c r="KF77" s="824"/>
      <c r="KG77" s="824"/>
      <c r="KH77" s="824"/>
      <c r="KI77" s="824"/>
      <c r="KJ77" s="824"/>
      <c r="KK77" s="1049"/>
      <c r="KL77" s="837"/>
      <c r="KM77" s="838"/>
      <c r="KN77" s="1185"/>
      <c r="KO77" s="1186"/>
      <c r="KP77" s="1067"/>
      <c r="KQ77" s="1150"/>
      <c r="KR77" s="1151"/>
      <c r="KS77" s="848"/>
      <c r="KT77" s="1052"/>
      <c r="KU77" s="1052"/>
      <c r="KV77" s="1052"/>
      <c r="KW77" s="1052"/>
      <c r="KX77" s="1052"/>
      <c r="KY77" s="1052"/>
      <c r="MB77" s="130"/>
      <c r="MC77" s="130"/>
      <c r="MD77" s="130"/>
      <c r="ME77" s="130"/>
      <c r="MF77" s="130"/>
      <c r="MG77" s="130"/>
      <c r="MH77" s="130"/>
      <c r="MI77" s="130"/>
      <c r="MJ77" s="130"/>
      <c r="MK77" s="130"/>
      <c r="ML77" s="130"/>
      <c r="MM77" s="130"/>
      <c r="MN77" s="130"/>
      <c r="MO77" s="130"/>
      <c r="MP77" s="130"/>
      <c r="MQ77" s="130"/>
      <c r="MR77" s="130"/>
      <c r="MS77" s="130"/>
      <c r="MT77" s="130"/>
      <c r="MU77" s="130"/>
      <c r="MV77" s="130"/>
      <c r="MW77" s="130"/>
      <c r="MX77" s="130"/>
      <c r="MY77" s="130"/>
      <c r="MZ77" s="130"/>
      <c r="NA77" s="130"/>
      <c r="NB77" s="130"/>
      <c r="NC77" s="130"/>
      <c r="ND77" s="130"/>
      <c r="NK77" s="1216"/>
      <c r="NL77" s="1217"/>
      <c r="NM77" s="1217"/>
      <c r="NN77" s="1217"/>
      <c r="NO77" s="1217"/>
      <c r="NP77" s="1217"/>
      <c r="NQ77" s="1217"/>
      <c r="NR77" s="1217"/>
      <c r="NS77" s="1217"/>
      <c r="NT77" s="1217"/>
      <c r="NU77" s="1217"/>
      <c r="NV77" s="1217"/>
      <c r="NW77" s="1217"/>
      <c r="NX77" s="1217"/>
      <c r="NY77" s="1217"/>
      <c r="NZ77" s="1217"/>
      <c r="OA77" s="1217"/>
      <c r="OB77" s="1217"/>
      <c r="OC77" s="1217"/>
      <c r="OD77" s="1217"/>
      <c r="OE77" s="1217"/>
      <c r="OF77" s="1218"/>
      <c r="PL77" s="850"/>
      <c r="PM77" s="861" t="s">
        <v>1592</v>
      </c>
      <c r="PN77" s="861"/>
      <c r="PO77" s="890">
        <f>$PZ$81</f>
        <v>0.25155936360009118</v>
      </c>
      <c r="PP77" s="890"/>
      <c r="PQ77" s="776"/>
      <c r="PR77" s="776"/>
      <c r="PS77" s="776"/>
      <c r="PT77" s="776"/>
      <c r="PU77" s="776"/>
      <c r="PV77" s="776"/>
      <c r="PW77" s="776"/>
      <c r="PX77" s="776"/>
      <c r="PY77" s="815"/>
      <c r="PZ77" s="837"/>
      <c r="QA77" s="838"/>
      <c r="QB77" s="1077"/>
      <c r="QC77" s="1078"/>
      <c r="QD77" s="1249"/>
      <c r="QE77" s="1284"/>
      <c r="QF77" s="1284"/>
      <c r="QG77" s="1284"/>
      <c r="QH77" s="1284"/>
      <c r="QI77" s="1290"/>
      <c r="QJ77" s="1052"/>
      <c r="QK77" s="1052"/>
      <c r="QL77" s="1052"/>
      <c r="QM77" s="1052"/>
      <c r="QN77" s="1052"/>
      <c r="QO77" s="1052"/>
      <c r="QP77" s="1052"/>
      <c r="QQ77" s="1052"/>
      <c r="QR77" s="1052"/>
      <c r="QS77" s="1052"/>
      <c r="QT77" s="1052"/>
      <c r="QU77" s="1052"/>
      <c r="QV77" s="1052"/>
      <c r="QW77" s="1052"/>
      <c r="QX77" s="130"/>
      <c r="RE77" s="653"/>
      <c r="RF77" s="653"/>
      <c r="RG77" s="653"/>
      <c r="RH77" s="653"/>
      <c r="RI77" s="653"/>
      <c r="RJ77" s="653"/>
      <c r="RK77" s="653"/>
      <c r="RL77" s="653"/>
      <c r="RM77" s="653"/>
      <c r="RN77" s="653"/>
      <c r="RO77" s="653"/>
      <c r="RP77" s="653"/>
      <c r="RQ77" s="653"/>
      <c r="RR77" s="653"/>
      <c r="RS77" s="653"/>
      <c r="RT77" s="653"/>
      <c r="RU77" s="653"/>
      <c r="RV77" s="653"/>
      <c r="RW77" s="653"/>
      <c r="RX77" s="653"/>
      <c r="RY77" s="653"/>
      <c r="RZ77" s="653"/>
      <c r="SA77" s="653"/>
      <c r="SB77" s="653"/>
      <c r="SC77" s="653"/>
      <c r="SD77" s="653"/>
      <c r="SE77" s="653"/>
      <c r="SF77" s="653"/>
      <c r="SG77" s="653"/>
      <c r="SH77" s="653"/>
      <c r="SI77" s="653"/>
      <c r="SJ77" s="653"/>
      <c r="SK77" s="653"/>
      <c r="SL77" s="653"/>
      <c r="SM77" s="653"/>
      <c r="SN77" s="653"/>
      <c r="SO77" s="653"/>
      <c r="SP77" s="653"/>
      <c r="SQ77" s="653"/>
      <c r="SR77" s="653"/>
      <c r="SS77" s="653"/>
      <c r="ST77" s="653"/>
      <c r="SU77" s="653"/>
      <c r="SV77" s="653"/>
      <c r="SW77" s="653"/>
      <c r="SX77" s="653"/>
      <c r="SY77" s="653"/>
      <c r="SZ77" s="653"/>
      <c r="TA77" s="653"/>
      <c r="TB77" s="653"/>
      <c r="TC77" s="653"/>
      <c r="TD77" s="653"/>
      <c r="TE77" s="653"/>
      <c r="TF77" s="653"/>
      <c r="TG77" s="653"/>
      <c r="TH77" s="653"/>
      <c r="TI77" s="653"/>
      <c r="TJ77" s="653"/>
      <c r="TK77" s="653"/>
      <c r="TL77" s="653"/>
      <c r="TM77" s="653"/>
      <c r="TN77" s="653"/>
      <c r="TO77" s="653"/>
      <c r="TP77" s="653"/>
      <c r="TQ77" s="653"/>
      <c r="TR77" s="653"/>
      <c r="TS77" s="653"/>
      <c r="TT77" s="653"/>
      <c r="TU77" s="653"/>
      <c r="TV77" s="653"/>
      <c r="TW77" s="653"/>
      <c r="TX77" s="653"/>
      <c r="TY77" s="653"/>
      <c r="TZ77" s="653"/>
      <c r="UA77" s="653"/>
      <c r="UB77" s="653"/>
      <c r="UC77" s="653"/>
      <c r="UD77" s="653"/>
      <c r="UE77" s="653"/>
      <c r="UF77" s="653"/>
      <c r="UG77" s="653"/>
      <c r="UH77" s="653"/>
      <c r="UI77" s="653"/>
      <c r="UJ77" s="653"/>
      <c r="UK77" s="653"/>
      <c r="UL77" s="653"/>
      <c r="UM77" s="653"/>
      <c r="UN77" s="653"/>
      <c r="UO77" s="653"/>
      <c r="UP77" s="653"/>
      <c r="UQ77" s="653"/>
      <c r="UR77" s="653"/>
      <c r="US77" s="653"/>
      <c r="UT77" s="653"/>
      <c r="UU77" s="653"/>
      <c r="UV77" s="653"/>
      <c r="UW77" s="653"/>
      <c r="UX77" s="653"/>
      <c r="UY77" s="653"/>
      <c r="UZ77" s="653"/>
      <c r="VW77" s="653"/>
      <c r="VX77" s="653"/>
      <c r="VY77" s="653"/>
      <c r="VZ77" s="653"/>
      <c r="WA77" s="653"/>
      <c r="XB77" s="653"/>
      <c r="XC77" s="653"/>
      <c r="XD77" s="653"/>
      <c r="XE77" s="653"/>
      <c r="XF77" s="971"/>
      <c r="XG77" s="158"/>
      <c r="XH77" s="158"/>
      <c r="XI77" s="158"/>
      <c r="XJ77" s="158"/>
      <c r="XK77" s="158"/>
      <c r="XL77" s="158"/>
      <c r="XM77" s="158"/>
      <c r="XN77" s="158"/>
      <c r="XO77" s="158"/>
      <c r="XP77" s="158"/>
      <c r="XQ77" s="158"/>
      <c r="XR77" s="158"/>
      <c r="XS77" s="158"/>
      <c r="XT77" s="158"/>
      <c r="XU77" s="158"/>
      <c r="XV77" s="158"/>
      <c r="XW77" s="158"/>
      <c r="XX77" s="158"/>
      <c r="XY77" s="158"/>
      <c r="XZ77" s="158"/>
      <c r="YA77" s="158"/>
      <c r="YB77" s="158"/>
      <c r="YC77" s="158"/>
      <c r="YD77" s="158"/>
      <c r="YE77" s="158"/>
      <c r="YF77" s="158"/>
      <c r="YG77" s="158"/>
      <c r="YH77" s="158"/>
      <c r="YI77" s="158"/>
      <c r="YJ77" s="158"/>
      <c r="YK77" s="158"/>
      <c r="YL77" s="158"/>
      <c r="YM77" s="158"/>
      <c r="YN77" s="158"/>
      <c r="YO77" s="158"/>
      <c r="YP77" s="158"/>
      <c r="YQ77" s="158"/>
      <c r="YR77" s="158"/>
      <c r="YS77" s="158"/>
      <c r="YT77" s="158"/>
      <c r="YU77" s="158"/>
      <c r="YV77" s="158"/>
      <c r="YW77" s="158"/>
      <c r="YX77" s="158"/>
      <c r="YY77" s="158"/>
      <c r="YZ77" s="158"/>
      <c r="ZA77" s="158"/>
      <c r="ZB77" s="158"/>
      <c r="ZC77" s="158"/>
      <c r="ZD77" s="158"/>
      <c r="ZE77" s="158"/>
      <c r="ZF77" s="158"/>
      <c r="ZG77" s="158"/>
      <c r="ZH77" s="158"/>
      <c r="ZI77" s="158"/>
      <c r="ZJ77" s="158"/>
      <c r="ZK77" s="158"/>
      <c r="ZL77" s="158"/>
      <c r="ZM77" s="158"/>
      <c r="ZN77" s="158"/>
      <c r="ZO77" s="158"/>
      <c r="ZP77" s="158"/>
      <c r="ZQ77" s="158"/>
      <c r="ZR77" s="158"/>
      <c r="ZS77" s="158"/>
      <c r="ZT77" s="158"/>
      <c r="ZU77" s="158"/>
      <c r="ZV77" s="158"/>
      <c r="ZW77" s="158"/>
      <c r="ZX77" s="158"/>
      <c r="ZY77" s="158"/>
      <c r="ZZ77" s="158"/>
      <c r="AAA77" s="158"/>
      <c r="AAB77" s="158"/>
      <c r="AAC77" s="158"/>
      <c r="AAD77" s="158"/>
      <c r="AAE77" s="158"/>
      <c r="AAF77" s="158"/>
      <c r="AAG77" s="158"/>
      <c r="AAH77" s="158"/>
      <c r="AAI77" s="158"/>
      <c r="AAJ77" s="158"/>
      <c r="AAK77" s="158"/>
      <c r="AAL77" s="158"/>
      <c r="AAM77" s="158"/>
      <c r="AAN77" s="158"/>
      <c r="AAO77" s="158"/>
      <c r="AAP77" s="158"/>
      <c r="AAQ77" s="158"/>
      <c r="AAR77" s="158"/>
      <c r="AAS77" s="158"/>
      <c r="AAT77" s="100"/>
      <c r="AAW77" s="653"/>
      <c r="AAX77" s="653"/>
      <c r="AAY77" s="653"/>
      <c r="AAZ77" s="653"/>
      <c r="ABA77" s="653"/>
      <c r="ABB77" s="653"/>
      <c r="ABC77" s="653"/>
      <c r="ABD77" s="653"/>
      <c r="ABE77" s="653"/>
      <c r="ABF77" s="653"/>
      <c r="ABG77" s="653"/>
      <c r="ABH77" s="653"/>
      <c r="ABI77" s="653"/>
      <c r="ABJ77" s="653"/>
      <c r="ABK77" s="653"/>
      <c r="ABL77" s="653"/>
      <c r="ABM77" s="653"/>
      <c r="ABN77" s="653"/>
      <c r="ABO77" s="653"/>
      <c r="ABP77" s="653"/>
      <c r="ABQ77" s="653"/>
      <c r="ABR77" s="653"/>
      <c r="ABS77" s="653"/>
      <c r="ABT77" s="653"/>
      <c r="ABU77" s="653"/>
      <c r="ABV77" s="653"/>
      <c r="ABW77" s="653"/>
      <c r="ABX77" s="653"/>
      <c r="ACI77" s="653"/>
      <c r="ACJ77" s="653"/>
      <c r="ACK77" s="935" t="s">
        <v>1713</v>
      </c>
      <c r="ACL77" s="1104"/>
      <c r="ACM77" s="936"/>
      <c r="ACN77" s="976">
        <v>300</v>
      </c>
      <c r="ACO77" s="977"/>
      <c r="ACP77" s="653"/>
      <c r="ACQ77" s="653"/>
      <c r="ACR77" s="856">
        <v>1.2</v>
      </c>
      <c r="ACS77" s="856"/>
      <c r="ACT77" s="856">
        <v>0.1</v>
      </c>
      <c r="ACU77" s="856"/>
      <c r="ACV77" s="856">
        <f>(ACT78-ACT77)/(ACR78-ACR77)</f>
        <v>0.50000000000000011</v>
      </c>
      <c r="ACW77" s="856"/>
      <c r="ACX77" s="856">
        <f>ACT77-ACV77*ACR77</f>
        <v>-0.50000000000000011</v>
      </c>
      <c r="ACY77" s="856"/>
      <c r="ACZ77" s="653"/>
      <c r="ADA77" s="653"/>
      <c r="ADY77" s="130"/>
      <c r="AES77" s="800" t="s">
        <v>1343</v>
      </c>
      <c r="AET77" s="982"/>
      <c r="AEU77" s="801"/>
      <c r="AEV77" s="951">
        <f>'Вывод расчетов'!$GM$48</f>
        <v>180.34671544768563</v>
      </c>
      <c r="AEW77" s="952"/>
      <c r="AEX77" s="683" t="s">
        <v>1347</v>
      </c>
      <c r="AEY77" s="951">
        <v>1</v>
      </c>
      <c r="AEZ77" s="952"/>
      <c r="AGL77" s="849"/>
      <c r="AGM77" s="852" t="s">
        <v>416</v>
      </c>
      <c r="AGN77" s="853"/>
      <c r="AGO77" s="142"/>
      <c r="AGP77" s="439" t="s">
        <v>1462</v>
      </c>
      <c r="AGQ77" s="951">
        <f>$AHB$72</f>
        <v>119.3042984415008</v>
      </c>
      <c r="AGR77" s="952"/>
      <c r="AGS77" s="78"/>
      <c r="AGT77" s="78"/>
      <c r="AGU77" s="78"/>
      <c r="AGV77" s="142"/>
      <c r="AGW77" s="76" t="s">
        <v>441</v>
      </c>
      <c r="AGX77" s="854" t="s">
        <v>435</v>
      </c>
      <c r="AGY77" s="855"/>
      <c r="AGZ77" s="920" t="s">
        <v>111</v>
      </c>
      <c r="AHA77" s="921"/>
      <c r="AHB77" s="916" t="s">
        <v>704</v>
      </c>
      <c r="AHC77" s="917"/>
      <c r="AHD77" s="906" t="s">
        <v>447</v>
      </c>
      <c r="AHE77" s="907"/>
      <c r="AHF77" s="907"/>
      <c r="AHG77" s="908"/>
      <c r="AHH77" s="906" t="s">
        <v>436</v>
      </c>
      <c r="AHI77" s="907"/>
      <c r="AHJ77" s="908"/>
      <c r="ARO77" s="653"/>
    </row>
    <row r="78" spans="4:945 1051:1224" ht="48" customHeight="1" thickBot="1">
      <c r="D78" s="208" t="s">
        <v>918</v>
      </c>
      <c r="E78" s="209"/>
      <c r="F78" s="209"/>
      <c r="G78" s="209"/>
      <c r="H78" s="209"/>
      <c r="I78" s="209"/>
      <c r="J78" s="209"/>
      <c r="K78" s="209"/>
      <c r="L78" s="209"/>
      <c r="M78" s="209"/>
      <c r="N78" s="209"/>
      <c r="O78" s="209"/>
      <c r="P78" s="209"/>
      <c r="Q78" s="209"/>
      <c r="R78" s="209"/>
      <c r="S78" s="587"/>
      <c r="AI78" s="900"/>
      <c r="AJ78" s="901"/>
      <c r="AK78" s="902"/>
      <c r="AL78" s="850"/>
      <c r="AM78" s="768" t="s">
        <v>760</v>
      </c>
      <c r="AN78" s="762"/>
      <c r="AO78" s="762"/>
      <c r="AP78" s="762"/>
      <c r="AQ78" s="762"/>
      <c r="AR78" s="762"/>
      <c r="AS78" s="762"/>
      <c r="AT78" s="762"/>
      <c r="AU78" s="762"/>
      <c r="AV78" s="762"/>
      <c r="AW78" s="762"/>
      <c r="AX78" s="1734">
        <v>36000</v>
      </c>
      <c r="AY78" s="1735"/>
      <c r="AZ78" s="1075" t="s">
        <v>16</v>
      </c>
      <c r="BA78" s="1076"/>
      <c r="BB78" s="847"/>
      <c r="BC78" s="893" t="s">
        <v>32</v>
      </c>
      <c r="BD78" s="894"/>
      <c r="BE78" s="847"/>
      <c r="BS78" s="130"/>
      <c r="BT78" s="130"/>
      <c r="BU78" s="130"/>
      <c r="BV78" s="130"/>
      <c r="BX78" s="849"/>
      <c r="BY78" s="1257" t="s">
        <v>416</v>
      </c>
      <c r="BZ78" s="1257"/>
      <c r="CA78" s="132"/>
      <c r="CB78" s="78"/>
      <c r="CC78" s="78"/>
      <c r="CD78" s="78"/>
      <c r="CE78" s="132"/>
      <c r="CF78" s="76" t="s">
        <v>441</v>
      </c>
      <c r="CG78" s="854" t="s">
        <v>435</v>
      </c>
      <c r="CH78" s="891"/>
      <c r="CI78" s="1765" t="s">
        <v>111</v>
      </c>
      <c r="CJ78" s="1765"/>
      <c r="CK78" s="922" t="s">
        <v>704</v>
      </c>
      <c r="CL78" s="917"/>
      <c r="CM78" s="906" t="s">
        <v>447</v>
      </c>
      <c r="CN78" s="907"/>
      <c r="CO78" s="907"/>
      <c r="CP78" s="908"/>
      <c r="CQ78" s="906" t="s">
        <v>436</v>
      </c>
      <c r="CR78" s="907"/>
      <c r="CS78" s="907"/>
      <c r="CT78" s="908"/>
      <c r="DC78" s="1285">
        <v>0.25900000000000001</v>
      </c>
      <c r="DD78" s="1761"/>
      <c r="DE78" s="130"/>
      <c r="DF78" s="130"/>
      <c r="DG78" s="130"/>
      <c r="DH78" s="130"/>
      <c r="DJ78" s="130"/>
      <c r="DK78" s="130"/>
      <c r="DL78" s="130"/>
      <c r="DM78" s="130"/>
      <c r="DN78" s="130"/>
      <c r="DO78" s="130"/>
      <c r="DP78" s="130"/>
      <c r="DQ78" s="130"/>
      <c r="DR78" s="130"/>
      <c r="DS78" s="130"/>
      <c r="DT78" s="653"/>
      <c r="DU78" s="653"/>
      <c r="DV78" s="653"/>
      <c r="DW78" s="653"/>
      <c r="DX78" s="653"/>
      <c r="DY78" s="653"/>
      <c r="DZ78" s="653"/>
      <c r="EA78" s="653"/>
      <c r="EB78" s="653"/>
      <c r="EC78" s="653"/>
      <c r="ED78" s="653"/>
      <c r="EE78" s="653"/>
      <c r="EF78" s="653"/>
      <c r="EG78" s="653"/>
      <c r="EH78" s="653"/>
      <c r="EI78" s="653"/>
      <c r="EJ78" s="653"/>
      <c r="EK78" s="653"/>
      <c r="EL78" s="653"/>
      <c r="EM78" s="653"/>
      <c r="EN78" s="653"/>
      <c r="EO78" s="653"/>
      <c r="EP78" s="653"/>
      <c r="EQ78" s="653"/>
      <c r="ER78" s="653"/>
      <c r="ES78" s="653"/>
      <c r="ET78" s="653"/>
      <c r="EU78" s="653"/>
      <c r="EV78" s="653"/>
      <c r="EW78" s="653"/>
      <c r="EX78" s="653"/>
      <c r="EY78" s="653"/>
      <c r="EZ78" s="653"/>
      <c r="FA78" s="653"/>
      <c r="FB78" s="653"/>
      <c r="FC78" s="653"/>
      <c r="FO78" s="653"/>
      <c r="FP78" s="653"/>
      <c r="FQ78" s="653"/>
      <c r="FR78" s="653"/>
      <c r="FS78" s="653"/>
      <c r="FT78" s="653"/>
      <c r="FU78" s="653"/>
      <c r="FV78" s="653"/>
      <c r="FW78" s="653"/>
      <c r="FX78" s="653"/>
      <c r="FY78" s="653"/>
      <c r="FZ78" s="143"/>
      <c r="GA78" s="143"/>
      <c r="GB78" s="143"/>
      <c r="GC78" s="143"/>
      <c r="GE78" s="3"/>
      <c r="GF78" s="849"/>
      <c r="GG78" s="935" t="s">
        <v>1074</v>
      </c>
      <c r="GH78" s="936"/>
      <c r="GI78" s="926">
        <f>$GT$73</f>
        <v>7.9639464327648497</v>
      </c>
      <c r="GJ78" s="926"/>
      <c r="GK78" s="809" t="s">
        <v>1049</v>
      </c>
      <c r="GL78" s="797"/>
      <c r="GM78" s="797"/>
      <c r="GN78" s="797"/>
      <c r="GO78" s="797"/>
      <c r="GP78" s="797"/>
      <c r="GQ78" s="885">
        <f>((GI78^2*((GI79/3.14)+3.14/2)-4*GI80)/((GU16/3.14)-3.14/2))^0.5</f>
        <v>4.847402946961874</v>
      </c>
      <c r="GR78" s="886"/>
      <c r="GS78" s="931" t="s">
        <v>45</v>
      </c>
      <c r="GT78" s="932"/>
      <c r="GU78" s="1066"/>
      <c r="GV78" s="893" t="s">
        <v>1447</v>
      </c>
      <c r="GW78" s="1081"/>
      <c r="GX78" s="894"/>
      <c r="GY78" s="847"/>
      <c r="GZ78" s="826"/>
      <c r="HA78" s="945"/>
      <c r="HB78" s="945"/>
      <c r="HC78" s="945"/>
      <c r="HD78" s="945"/>
      <c r="HE78" s="945"/>
      <c r="HF78" s="945"/>
      <c r="HG78" s="946"/>
      <c r="IM78" s="377"/>
      <c r="IN78" s="373"/>
      <c r="IO78" s="373"/>
      <c r="IP78" s="373"/>
      <c r="IQ78" s="373"/>
      <c r="IR78" s="373"/>
      <c r="IS78" s="373"/>
      <c r="IT78" s="373"/>
      <c r="IU78" s="373"/>
      <c r="IV78" s="373"/>
      <c r="IW78" s="373"/>
      <c r="IX78" s="373"/>
      <c r="IY78" s="373"/>
      <c r="IZ78" s="373"/>
      <c r="JA78" s="373"/>
      <c r="JB78" s="373"/>
      <c r="JC78" s="373"/>
      <c r="JD78" s="373"/>
      <c r="JE78" s="373"/>
      <c r="JF78" s="373"/>
      <c r="JG78" s="373"/>
      <c r="JH78" s="373"/>
      <c r="JI78" s="373"/>
      <c r="JJ78" s="373"/>
      <c r="JK78" s="373"/>
      <c r="JL78" s="373"/>
      <c r="JM78" s="373"/>
      <c r="JN78" s="373"/>
      <c r="JO78" s="373"/>
      <c r="JP78" s="373"/>
      <c r="JQ78" s="373"/>
      <c r="JR78" s="373"/>
      <c r="JS78" s="373"/>
      <c r="JT78" s="374"/>
      <c r="JX78" s="1053"/>
      <c r="JY78" s="1060"/>
      <c r="JZ78" s="1061"/>
      <c r="KA78" s="1061"/>
      <c r="KB78" s="1062"/>
      <c r="KC78" s="794"/>
      <c r="KD78" s="795"/>
      <c r="KE78" s="795"/>
      <c r="KF78" s="795"/>
      <c r="KG78" s="795"/>
      <c r="KH78" s="795"/>
      <c r="KI78" s="795"/>
      <c r="KJ78" s="795"/>
      <c r="KK78" s="796"/>
      <c r="KL78" s="812"/>
      <c r="KM78" s="813"/>
      <c r="KN78" s="813"/>
      <c r="KO78" s="813"/>
      <c r="KP78" s="813"/>
      <c r="KQ78" s="813"/>
      <c r="KR78" s="813"/>
      <c r="KS78" s="814"/>
      <c r="KT78" s="1053"/>
      <c r="KU78" s="1053"/>
      <c r="KV78" s="1053"/>
      <c r="KW78" s="1053"/>
      <c r="KX78" s="1053"/>
      <c r="KY78" s="1053"/>
      <c r="MB78" s="849"/>
      <c r="MC78" s="852" t="s">
        <v>416</v>
      </c>
      <c r="MD78" s="853"/>
      <c r="ME78" s="344"/>
      <c r="MF78" s="348" t="s">
        <v>1222</v>
      </c>
      <c r="MG78" s="914">
        <f>MQ65</f>
        <v>4.8780487804878047E-8</v>
      </c>
      <c r="MH78" s="915"/>
      <c r="MI78" s="915"/>
      <c r="MJ78" s="1399" t="s">
        <v>392</v>
      </c>
      <c r="MK78" s="1400"/>
      <c r="ML78" s="344"/>
      <c r="MM78" s="76" t="s">
        <v>441</v>
      </c>
      <c r="MN78" s="854" t="s">
        <v>435</v>
      </c>
      <c r="MO78" s="855"/>
      <c r="MP78" s="1072" t="s">
        <v>111</v>
      </c>
      <c r="MQ78" s="1073"/>
      <c r="MR78" s="1074"/>
      <c r="MS78" s="916" t="s">
        <v>704</v>
      </c>
      <c r="MT78" s="917"/>
      <c r="MU78" s="906" t="s">
        <v>447</v>
      </c>
      <c r="MV78" s="907"/>
      <c r="MW78" s="907"/>
      <c r="MX78" s="908"/>
      <c r="MY78" s="906" t="s">
        <v>436</v>
      </c>
      <c r="MZ78" s="907"/>
      <c r="NA78" s="907"/>
      <c r="NB78" s="907"/>
      <c r="NC78" s="908"/>
      <c r="ND78" s="130"/>
      <c r="NK78" s="1216"/>
      <c r="NL78" s="1217"/>
      <c r="NM78" s="1217"/>
      <c r="NN78" s="1217"/>
      <c r="NO78" s="1217"/>
      <c r="NP78" s="1217"/>
      <c r="NQ78" s="1217"/>
      <c r="NR78" s="1217"/>
      <c r="NS78" s="1217"/>
      <c r="NT78" s="1217"/>
      <c r="NU78" s="1217"/>
      <c r="NV78" s="1217"/>
      <c r="NW78" s="1217"/>
      <c r="NX78" s="1217"/>
      <c r="NY78" s="1217"/>
      <c r="NZ78" s="1217"/>
      <c r="OA78" s="1217"/>
      <c r="OB78" s="1217"/>
      <c r="OC78" s="1217"/>
      <c r="OD78" s="1217"/>
      <c r="OE78" s="1217"/>
      <c r="OF78" s="1218"/>
      <c r="PL78" s="851"/>
      <c r="PM78" s="802" t="s">
        <v>1015</v>
      </c>
      <c r="PN78" s="803"/>
      <c r="PO78" s="1187">
        <f>$CL$40</f>
        <v>1.3923283333333335E-2</v>
      </c>
      <c r="PP78" s="1187"/>
      <c r="PQ78" s="778"/>
      <c r="PR78" s="778"/>
      <c r="PS78" s="778"/>
      <c r="PT78" s="778"/>
      <c r="PU78" s="778"/>
      <c r="PV78" s="778"/>
      <c r="PW78" s="778"/>
      <c r="PX78" s="778"/>
      <c r="PY78" s="799"/>
      <c r="PZ78" s="942"/>
      <c r="QA78" s="943"/>
      <c r="QB78" s="943"/>
      <c r="QC78" s="943"/>
      <c r="QD78" s="943"/>
      <c r="QE78" s="943"/>
      <c r="QF78" s="943"/>
      <c r="QG78" s="943"/>
      <c r="QH78" s="943"/>
      <c r="QI78" s="944"/>
      <c r="QJ78" s="1499"/>
      <c r="QK78" s="1053"/>
      <c r="QL78" s="1053"/>
      <c r="QM78" s="1053"/>
      <c r="QN78" s="1053"/>
      <c r="QO78" s="1053"/>
      <c r="QP78" s="1053"/>
      <c r="QQ78" s="1053"/>
      <c r="QR78" s="1053"/>
      <c r="QS78" s="1053"/>
      <c r="QT78" s="1053"/>
      <c r="QU78" s="1053"/>
      <c r="QV78" s="1053"/>
      <c r="QW78" s="1053"/>
      <c r="RE78" s="653"/>
      <c r="RF78" s="653"/>
      <c r="RG78" s="653"/>
      <c r="RH78" s="653"/>
      <c r="RI78" s="653"/>
      <c r="RJ78" s="653"/>
      <c r="RK78" s="653"/>
      <c r="RL78" s="653"/>
      <c r="RM78" s="653"/>
      <c r="RN78" s="653"/>
      <c r="RO78" s="653"/>
      <c r="RP78" s="653"/>
      <c r="RQ78" s="653"/>
      <c r="RR78" s="653"/>
      <c r="RS78" s="653"/>
      <c r="RT78" s="653"/>
      <c r="RU78" s="653"/>
      <c r="RV78" s="653"/>
      <c r="RW78" s="653"/>
      <c r="RX78" s="653"/>
      <c r="RY78" s="653"/>
      <c r="RZ78" s="653"/>
      <c r="SA78" s="653"/>
      <c r="SB78" s="653"/>
      <c r="SC78" s="653"/>
      <c r="SD78" s="653"/>
      <c r="SE78" s="653"/>
      <c r="SF78" s="653"/>
      <c r="SG78" s="653"/>
      <c r="SH78" s="653"/>
      <c r="SI78" s="653"/>
      <c r="SJ78" s="653"/>
      <c r="SK78" s="653"/>
      <c r="SL78" s="653"/>
      <c r="SM78" s="653"/>
      <c r="SN78" s="653"/>
      <c r="SO78" s="653"/>
      <c r="SP78" s="653"/>
      <c r="SQ78" s="653"/>
      <c r="SR78" s="653"/>
      <c r="SS78" s="653"/>
      <c r="ST78" s="653"/>
      <c r="SU78" s="653"/>
      <c r="SV78" s="653"/>
      <c r="SW78" s="653"/>
      <c r="SX78" s="653"/>
      <c r="SY78" s="653"/>
      <c r="SZ78" s="653"/>
      <c r="TA78" s="653"/>
      <c r="TB78" s="653"/>
      <c r="TC78" s="653"/>
      <c r="TD78" s="653"/>
      <c r="TE78" s="653"/>
      <c r="TF78" s="653"/>
      <c r="TG78" s="653"/>
      <c r="TH78" s="653"/>
      <c r="TI78" s="653"/>
      <c r="TJ78" s="653"/>
      <c r="TK78" s="653"/>
      <c r="TL78" s="653"/>
      <c r="TM78" s="653"/>
      <c r="TN78" s="653"/>
      <c r="TO78" s="653"/>
      <c r="TP78" s="653"/>
      <c r="TQ78" s="653"/>
      <c r="TR78" s="653"/>
      <c r="TS78" s="653"/>
      <c r="TT78" s="653"/>
      <c r="TU78" s="653"/>
      <c r="TV78" s="653"/>
      <c r="TW78" s="653"/>
      <c r="TX78" s="653"/>
      <c r="TY78" s="653"/>
      <c r="TZ78" s="653"/>
      <c r="UA78" s="653"/>
      <c r="UB78" s="653"/>
      <c r="UC78" s="653"/>
      <c r="UD78" s="653"/>
      <c r="UE78" s="653"/>
      <c r="UF78" s="653"/>
      <c r="UG78" s="653"/>
      <c r="UH78" s="653"/>
      <c r="UI78" s="653"/>
      <c r="UJ78" s="653"/>
      <c r="UK78" s="653"/>
      <c r="UL78" s="653"/>
      <c r="UM78" s="653"/>
      <c r="UN78" s="653"/>
      <c r="UO78" s="653"/>
      <c r="UP78" s="653"/>
      <c r="UQ78" s="653"/>
      <c r="UR78" s="653"/>
      <c r="US78" s="653"/>
      <c r="UT78" s="653"/>
      <c r="UU78" s="653"/>
      <c r="UV78" s="653"/>
      <c r="UW78" s="653"/>
      <c r="UX78" s="653"/>
      <c r="UY78" s="653"/>
      <c r="UZ78" s="653"/>
      <c r="VW78" s="653"/>
      <c r="VX78" s="653"/>
      <c r="VY78" s="653"/>
      <c r="VZ78" s="653"/>
      <c r="WA78" s="653"/>
      <c r="WE78" s="127"/>
      <c r="WF78" s="856" t="s">
        <v>906</v>
      </c>
      <c r="WG78" s="856"/>
      <c r="WH78" s="856"/>
      <c r="WI78" s="127"/>
      <c r="WJ78" s="856" t="s">
        <v>905</v>
      </c>
      <c r="WK78" s="856"/>
      <c r="WL78" s="856"/>
      <c r="WM78" s="856"/>
      <c r="WN78" s="856"/>
      <c r="WO78" s="856"/>
      <c r="WP78" s="856"/>
      <c r="WQ78" s="856"/>
      <c r="WR78" s="856"/>
      <c r="WS78" s="856"/>
      <c r="WT78" s="856"/>
      <c r="WU78" s="856"/>
      <c r="WV78" s="856"/>
      <c r="WW78" s="856"/>
      <c r="WX78" s="856"/>
      <c r="WY78" s="856"/>
      <c r="WZ78" s="981"/>
      <c r="XA78" s="981"/>
      <c r="XB78" s="469"/>
      <c r="XC78" s="469"/>
      <c r="XD78" s="469"/>
      <c r="XE78" s="469"/>
      <c r="XF78" s="972"/>
      <c r="XG78" s="165"/>
      <c r="XH78" s="165"/>
      <c r="XI78" s="165"/>
      <c r="XJ78" s="165"/>
      <c r="XK78" s="165"/>
      <c r="XL78" s="165"/>
      <c r="XM78" s="165"/>
      <c r="XN78" s="165"/>
      <c r="XO78" s="165"/>
      <c r="XP78" s="165"/>
      <c r="XQ78" s="165"/>
      <c r="XR78" s="165"/>
      <c r="XS78" s="165"/>
      <c r="XT78" s="165"/>
      <c r="XU78" s="165"/>
      <c r="XV78" s="165"/>
      <c r="XW78" s="165"/>
      <c r="XX78" s="165"/>
      <c r="XY78" s="165"/>
      <c r="XZ78" s="165"/>
      <c r="YA78" s="165"/>
      <c r="YB78" s="165"/>
      <c r="YC78" s="165"/>
      <c r="YD78" s="165"/>
      <c r="YE78" s="165"/>
      <c r="YF78" s="165"/>
      <c r="YG78" s="165"/>
      <c r="YH78" s="165"/>
      <c r="YI78" s="165"/>
      <c r="YJ78" s="165"/>
      <c r="YK78" s="165"/>
      <c r="YL78" s="165"/>
      <c r="YM78" s="165"/>
      <c r="YN78" s="165"/>
      <c r="YO78" s="165"/>
      <c r="YP78" s="165"/>
      <c r="YQ78" s="165"/>
      <c r="YR78" s="165"/>
      <c r="YS78" s="165"/>
      <c r="YT78" s="165"/>
      <c r="YU78" s="165"/>
      <c r="YV78" s="165"/>
      <c r="YW78" s="165"/>
      <c r="YX78" s="165"/>
      <c r="YY78" s="165"/>
      <c r="YZ78" s="165"/>
      <c r="ZA78" s="165"/>
      <c r="ZB78" s="165"/>
      <c r="ZC78" s="165"/>
      <c r="ZD78" s="165"/>
      <c r="ZE78" s="165"/>
      <c r="ZF78" s="165"/>
      <c r="ZG78" s="165"/>
      <c r="ZH78" s="165"/>
      <c r="ZI78" s="165"/>
      <c r="ZJ78" s="165"/>
      <c r="ZK78" s="165"/>
      <c r="ZL78" s="165"/>
      <c r="ZM78" s="165"/>
      <c r="ZN78" s="165"/>
      <c r="ZO78" s="165"/>
      <c r="ZP78" s="165"/>
      <c r="ZQ78" s="165"/>
      <c r="ZR78" s="165"/>
      <c r="ZS78" s="165"/>
      <c r="ZT78" s="165"/>
      <c r="ZU78" s="165"/>
      <c r="ZV78" s="165"/>
      <c r="ZW78" s="165"/>
      <c r="ZX78" s="165"/>
      <c r="ZY78" s="165"/>
      <c r="ZZ78" s="165"/>
      <c r="AAA78" s="165"/>
      <c r="AAB78" s="165"/>
      <c r="AAC78" s="165"/>
      <c r="AAD78" s="165"/>
      <c r="AAE78" s="165"/>
      <c r="AAF78" s="165"/>
      <c r="AAG78" s="165"/>
      <c r="AAH78" s="165"/>
      <c r="AAI78" s="165"/>
      <c r="AAJ78" s="165"/>
      <c r="AAK78" s="165"/>
      <c r="AAL78" s="165"/>
      <c r="AAM78" s="165"/>
      <c r="AAN78" s="165"/>
      <c r="AAO78" s="158"/>
      <c r="AAP78" s="158"/>
      <c r="AAQ78" s="158"/>
      <c r="AAR78" s="158"/>
      <c r="AAS78" s="158"/>
      <c r="AAT78" s="104"/>
      <c r="AAW78" s="653"/>
      <c r="AAX78" s="653"/>
      <c r="AAY78" s="653"/>
      <c r="AAZ78" s="653"/>
      <c r="ABA78" s="653"/>
      <c r="ABB78" s="653"/>
      <c r="ABC78" s="653"/>
      <c r="ABD78" s="653"/>
      <c r="ABE78" s="653"/>
      <c r="ABF78" s="653"/>
      <c r="ABG78" s="653"/>
      <c r="ABH78" s="653"/>
      <c r="ABI78" s="653"/>
      <c r="ABJ78" s="653"/>
      <c r="ABK78" s="653"/>
      <c r="ABL78" s="653"/>
      <c r="ABM78" s="653"/>
      <c r="ABN78" s="653"/>
      <c r="ABO78" s="653"/>
      <c r="ABP78" s="653"/>
      <c r="ABQ78" s="653"/>
      <c r="ABR78" s="653"/>
      <c r="ABS78" s="653"/>
      <c r="ABT78" s="653"/>
      <c r="ABU78" s="653"/>
      <c r="ABV78" s="653"/>
      <c r="ABW78" s="653"/>
      <c r="ABX78" s="653"/>
      <c r="ACI78" s="653"/>
      <c r="ACJ78" s="653"/>
      <c r="ACK78" s="1105"/>
      <c r="ACL78" s="1106"/>
      <c r="ACM78" s="1107"/>
      <c r="ACN78" s="978"/>
      <c r="ACO78" s="979"/>
      <c r="ACP78" s="653"/>
      <c r="ACQ78" s="653"/>
      <c r="ACR78" s="856">
        <v>1.4</v>
      </c>
      <c r="ACS78" s="856"/>
      <c r="ACT78" s="856">
        <v>0.2</v>
      </c>
      <c r="ACU78" s="856"/>
      <c r="ACV78" s="856">
        <f>(ACT79-ACT78)/(ACR79-ACR78)</f>
        <v>0.99999999999999956</v>
      </c>
      <c r="ACW78" s="856"/>
      <c r="ACX78" s="856">
        <f>ACT78-ACV78*ACR78</f>
        <v>-1.1999999999999993</v>
      </c>
      <c r="ACY78" s="856"/>
      <c r="ACZ78" s="653"/>
      <c r="ADA78" s="653"/>
      <c r="ADX78" s="653"/>
      <c r="ADY78" s="653"/>
      <c r="ADZ78" s="653"/>
      <c r="AEA78" s="653"/>
      <c r="AEB78" s="653"/>
      <c r="AEC78" s="653"/>
      <c r="AED78" s="653"/>
      <c r="AEE78" s="653"/>
      <c r="AEF78" s="653"/>
      <c r="AES78" s="800" t="s">
        <v>1081</v>
      </c>
      <c r="AET78" s="982"/>
      <c r="AEU78" s="801"/>
      <c r="AEV78" s="951">
        <f>'Вывод расчетов'!$GW$65</f>
        <v>0.3</v>
      </c>
      <c r="AEW78" s="952"/>
      <c r="AEX78" s="680" t="s">
        <v>1239</v>
      </c>
      <c r="AEY78" s="951">
        <f>'Вывод расчетов'!$GQ$36</f>
        <v>450.86678861921405</v>
      </c>
      <c r="AEZ78" s="952"/>
      <c r="AGL78" s="850"/>
      <c r="AGM78" s="861" t="s">
        <v>1344</v>
      </c>
      <c r="AGN78" s="861"/>
      <c r="AGO78" s="890">
        <f>$GT$98</f>
        <v>180.34671544768563</v>
      </c>
      <c r="AGP78" s="890"/>
      <c r="AGQ78" s="792" t="s">
        <v>127</v>
      </c>
      <c r="AGR78" s="792"/>
      <c r="AGS78" s="792"/>
      <c r="AGT78" s="792"/>
      <c r="AGU78" s="792"/>
      <c r="AGV78" s="792"/>
      <c r="AGW78" s="792"/>
      <c r="AGX78" s="792"/>
      <c r="AGY78" s="793"/>
      <c r="AGZ78" s="835">
        <f>AGO79/AGQ77</f>
        <v>1.5116531240164504</v>
      </c>
      <c r="AHA78" s="836"/>
      <c r="AHB78" s="1341" t="s">
        <v>729</v>
      </c>
      <c r="AHC78" s="1342"/>
      <c r="AHD78" s="841"/>
      <c r="AHE78" s="843" t="s">
        <v>1372</v>
      </c>
      <c r="AHF78" s="844"/>
      <c r="AHG78" s="847"/>
      <c r="AHH78" s="826"/>
      <c r="AHI78" s="945"/>
      <c r="AHJ78" s="946"/>
      <c r="AQV78" s="653"/>
      <c r="AQW78" s="653"/>
      <c r="AQX78" s="653"/>
      <c r="AQY78" s="653"/>
      <c r="AQZ78" s="653"/>
      <c r="ARA78" s="653"/>
      <c r="ARB78" s="653"/>
      <c r="ARC78" s="653"/>
      <c r="ARD78" s="653"/>
      <c r="ARE78" s="653"/>
      <c r="ARF78" s="653"/>
      <c r="ARG78" s="653"/>
      <c r="ARH78" s="653"/>
      <c r="ARI78" s="653"/>
      <c r="ARJ78" s="653"/>
      <c r="ARK78" s="653"/>
      <c r="ARL78" s="653"/>
      <c r="ARM78" s="653"/>
      <c r="ARN78" s="653"/>
      <c r="ARO78" s="653"/>
    </row>
    <row r="79" spans="4:945 1051:1224" ht="48" customHeight="1" thickBot="1">
      <c r="D79" s="586"/>
      <c r="E79" s="976" t="s">
        <v>915</v>
      </c>
      <c r="F79" s="1696"/>
      <c r="G79" s="1696"/>
      <c r="H79" s="1696"/>
      <c r="I79" s="1696"/>
      <c r="J79" s="1696"/>
      <c r="K79" s="1696"/>
      <c r="L79" s="1696"/>
      <c r="M79" s="1696"/>
      <c r="N79" s="1696"/>
      <c r="O79" s="1696"/>
      <c r="P79" s="1696"/>
      <c r="Q79" s="1696"/>
      <c r="R79" s="977"/>
      <c r="S79" s="203"/>
      <c r="AI79" s="903"/>
      <c r="AJ79" s="904"/>
      <c r="AK79" s="905"/>
      <c r="AL79" s="851"/>
      <c r="AM79" s="769"/>
      <c r="AN79" s="764"/>
      <c r="AO79" s="764"/>
      <c r="AP79" s="764"/>
      <c r="AQ79" s="764"/>
      <c r="AR79" s="764"/>
      <c r="AS79" s="764"/>
      <c r="AT79" s="764"/>
      <c r="AU79" s="764"/>
      <c r="AV79" s="764"/>
      <c r="AW79" s="764"/>
      <c r="AX79" s="1736"/>
      <c r="AY79" s="1737"/>
      <c r="AZ79" s="1077"/>
      <c r="BA79" s="1078"/>
      <c r="BB79" s="848"/>
      <c r="BC79" s="918"/>
      <c r="BD79" s="919"/>
      <c r="BE79" s="848"/>
      <c r="BR79" s="130"/>
      <c r="BS79" s="130"/>
      <c r="BT79" s="130"/>
      <c r="BX79" s="850"/>
      <c r="BY79" s="626" t="s">
        <v>1668</v>
      </c>
      <c r="BZ79" s="937">
        <f>$CI$79</f>
        <v>0.95799999999999996</v>
      </c>
      <c r="CA79" s="937"/>
      <c r="CB79" s="770" t="s">
        <v>15</v>
      </c>
      <c r="CC79" s="770"/>
      <c r="CD79" s="770"/>
      <c r="CE79" s="770"/>
      <c r="CF79" s="770"/>
      <c r="CG79" s="770"/>
      <c r="CH79" s="771"/>
      <c r="CI79" s="1167">
        <f>CM83</f>
        <v>0.95799999999999996</v>
      </c>
      <c r="CJ79" s="840"/>
      <c r="CK79" s="1183" t="s">
        <v>729</v>
      </c>
      <c r="CL79" s="1184"/>
      <c r="CM79" s="841"/>
      <c r="CN79" s="1170" t="s">
        <v>770</v>
      </c>
      <c r="CO79" s="1604"/>
      <c r="CP79" s="847"/>
      <c r="CQ79" s="826"/>
      <c r="CR79" s="945"/>
      <c r="CS79" s="945"/>
      <c r="CT79" s="946"/>
      <c r="DC79" s="1285">
        <v>-0.25900000000000001</v>
      </c>
      <c r="DD79" s="1761"/>
      <c r="DJ79" s="130"/>
      <c r="DK79" s="130"/>
      <c r="DL79" s="130"/>
      <c r="DM79" s="130"/>
      <c r="DN79" s="130"/>
      <c r="DO79" s="130"/>
      <c r="DT79" s="130"/>
      <c r="DU79" s="130"/>
      <c r="DV79" s="130"/>
      <c r="DW79" s="130"/>
      <c r="DX79" s="130"/>
      <c r="DZ79" s="76" t="s">
        <v>1653</v>
      </c>
      <c r="EA79" s="852" t="s">
        <v>416</v>
      </c>
      <c r="EB79" s="853"/>
      <c r="EC79" s="138"/>
      <c r="ED79" s="78"/>
      <c r="EE79" s="78"/>
      <c r="EF79" s="78"/>
      <c r="EG79" s="78"/>
      <c r="EH79" s="78"/>
      <c r="EI79" s="78"/>
      <c r="EJ79" s="138"/>
      <c r="EK79" s="76" t="s">
        <v>441</v>
      </c>
      <c r="EL79" s="854" t="s">
        <v>435</v>
      </c>
      <c r="EM79" s="855"/>
      <c r="EN79" s="920" t="s">
        <v>111</v>
      </c>
      <c r="EO79" s="921"/>
      <c r="EP79" s="916" t="s">
        <v>704</v>
      </c>
      <c r="EQ79" s="917"/>
      <c r="ER79" s="1051" t="s">
        <v>447</v>
      </c>
      <c r="ES79" s="1051"/>
      <c r="ET79" s="1051"/>
      <c r="EU79" s="1051"/>
      <c r="EV79" s="1051"/>
      <c r="EW79" s="1051" t="s">
        <v>436</v>
      </c>
      <c r="EX79" s="1051"/>
      <c r="EY79" s="1051"/>
      <c r="EZ79" s="1051"/>
      <c r="FA79" s="1051"/>
      <c r="FB79" s="1051"/>
      <c r="FT79" s="126"/>
      <c r="FU79" s="126"/>
      <c r="FV79" s="126"/>
      <c r="FW79" s="126"/>
      <c r="FX79" s="126"/>
      <c r="GC79" s="6"/>
      <c r="GD79" s="3"/>
      <c r="GE79" s="3"/>
      <c r="GF79" s="850"/>
      <c r="GG79" s="935" t="s">
        <v>1070</v>
      </c>
      <c r="GH79" s="936"/>
      <c r="GI79" s="766">
        <f>$GU$16</f>
        <v>46</v>
      </c>
      <c r="GJ79" s="766"/>
      <c r="GK79" s="775"/>
      <c r="GL79" s="776"/>
      <c r="GM79" s="776"/>
      <c r="GN79" s="776"/>
      <c r="GO79" s="776"/>
      <c r="GP79" s="776"/>
      <c r="GQ79" s="887"/>
      <c r="GR79" s="888"/>
      <c r="GS79" s="933"/>
      <c r="GT79" s="934"/>
      <c r="GU79" s="1067"/>
      <c r="GV79" s="918"/>
      <c r="GW79" s="1082"/>
      <c r="GX79" s="919"/>
      <c r="GY79" s="848"/>
      <c r="GZ79" s="827"/>
      <c r="HA79" s="947"/>
      <c r="HB79" s="947"/>
      <c r="HC79" s="947"/>
      <c r="HD79" s="947"/>
      <c r="HE79" s="947"/>
      <c r="HF79" s="947"/>
      <c r="HG79" s="948"/>
      <c r="IM79" s="136"/>
      <c r="IN79" s="891"/>
      <c r="IO79" s="891"/>
      <c r="IP79" s="891"/>
      <c r="IQ79" s="891"/>
      <c r="IR79" s="891"/>
      <c r="IS79" s="891"/>
      <c r="IT79" s="891"/>
      <c r="IU79" s="891"/>
      <c r="IV79" s="891"/>
      <c r="IW79" s="891"/>
      <c r="IX79" s="891"/>
      <c r="IY79" s="891"/>
      <c r="IZ79" s="891"/>
      <c r="JA79" s="891"/>
      <c r="JB79" s="891"/>
      <c r="JC79" s="891"/>
      <c r="JD79" s="891"/>
      <c r="JE79" s="891"/>
      <c r="JF79" s="891"/>
      <c r="JG79" s="891"/>
      <c r="JH79" s="891"/>
      <c r="JI79" s="891"/>
      <c r="JJ79" s="891"/>
      <c r="JK79" s="891"/>
      <c r="JL79" s="891"/>
      <c r="JM79" s="891"/>
      <c r="JN79" s="891"/>
      <c r="JO79" s="891"/>
      <c r="JP79" s="891"/>
      <c r="JQ79" s="891"/>
      <c r="JR79" s="891"/>
      <c r="JS79" s="891"/>
      <c r="JT79" s="136"/>
      <c r="MB79" s="850"/>
      <c r="MC79" s="861" t="s">
        <v>1221</v>
      </c>
      <c r="MD79" s="861"/>
      <c r="ME79" s="890">
        <f>$GM$131</f>
        <v>173.44767567689519</v>
      </c>
      <c r="MF79" s="890"/>
      <c r="MG79" s="1398" t="s">
        <v>45</v>
      </c>
      <c r="MH79" s="1398"/>
      <c r="MI79" s="1230" t="s">
        <v>1848</v>
      </c>
      <c r="MJ79" s="1231"/>
      <c r="MK79" s="1231"/>
      <c r="ML79" s="1231"/>
      <c r="MM79" s="1231"/>
      <c r="MN79" s="1231"/>
      <c r="MO79" s="1232"/>
      <c r="MP79" s="1543">
        <f>(MG78*3.14*ME79/1000)/(ME81*ME80*10^(-6))</f>
        <v>7.4093313985826271E-7</v>
      </c>
      <c r="MQ79" s="1544"/>
      <c r="MR79" s="1545"/>
      <c r="MS79" s="1188" t="s">
        <v>392</v>
      </c>
      <c r="MT79" s="1189"/>
      <c r="MU79" s="1066"/>
      <c r="MV79" s="893" t="s">
        <v>854</v>
      </c>
      <c r="MW79" s="894"/>
      <c r="MX79" s="847"/>
      <c r="MY79" s="826"/>
      <c r="MZ79" s="945"/>
      <c r="NA79" s="945"/>
      <c r="NB79" s="945"/>
      <c r="NC79" s="946"/>
      <c r="ND79" s="130"/>
      <c r="NK79" s="1216"/>
      <c r="NL79" s="1217"/>
      <c r="NM79" s="1217"/>
      <c r="NN79" s="1217"/>
      <c r="NO79" s="1217"/>
      <c r="NP79" s="1217"/>
      <c r="NQ79" s="1217"/>
      <c r="NR79" s="1217"/>
      <c r="NS79" s="1217"/>
      <c r="NT79" s="1217"/>
      <c r="NU79" s="1217"/>
      <c r="NV79" s="1217"/>
      <c r="NW79" s="1217"/>
      <c r="NX79" s="1217"/>
      <c r="NY79" s="1217"/>
      <c r="NZ79" s="1217"/>
      <c r="OA79" s="1217"/>
      <c r="OB79" s="1217"/>
      <c r="OC79" s="1217"/>
      <c r="OD79" s="1217"/>
      <c r="OE79" s="1217"/>
      <c r="OF79" s="1218"/>
      <c r="RE79" s="653"/>
      <c r="RF79" s="653"/>
      <c r="RG79" s="653"/>
      <c r="RH79" s="653"/>
      <c r="RI79" s="653"/>
      <c r="RJ79" s="653"/>
      <c r="RK79" s="653"/>
      <c r="RL79" s="653"/>
      <c r="RM79" s="653"/>
      <c r="RN79" s="653"/>
      <c r="RO79" s="653"/>
      <c r="RP79" s="653"/>
      <c r="RQ79" s="653"/>
      <c r="RR79" s="653"/>
      <c r="RS79" s="653"/>
      <c r="RT79" s="653"/>
      <c r="RU79" s="653"/>
      <c r="RV79" s="653"/>
      <c r="RW79" s="653"/>
      <c r="RX79" s="653"/>
      <c r="RY79" s="653"/>
      <c r="RZ79" s="653"/>
      <c r="SA79" s="653"/>
      <c r="SB79" s="653"/>
      <c r="SC79" s="653"/>
      <c r="SD79" s="653"/>
      <c r="SE79" s="653"/>
      <c r="SF79" s="653"/>
      <c r="SG79" s="653"/>
      <c r="SH79" s="653"/>
      <c r="SI79" s="653"/>
      <c r="SJ79" s="653"/>
      <c r="SK79" s="653"/>
      <c r="SL79" s="653"/>
      <c r="SM79" s="653"/>
      <c r="SN79" s="653"/>
      <c r="SO79" s="653"/>
      <c r="SP79" s="653"/>
      <c r="SQ79" s="653"/>
      <c r="SR79" s="653"/>
      <c r="SS79" s="653"/>
      <c r="ST79" s="653"/>
      <c r="SU79" s="653"/>
      <c r="SV79" s="653"/>
      <c r="SW79" s="653"/>
      <c r="SX79" s="653"/>
      <c r="SY79" s="653"/>
      <c r="SZ79" s="653"/>
      <c r="TA79" s="653"/>
      <c r="TB79" s="653"/>
      <c r="TC79" s="653"/>
      <c r="TD79" s="653"/>
      <c r="TE79" s="653"/>
      <c r="TF79" s="653"/>
      <c r="TG79" s="653"/>
      <c r="TH79" s="653"/>
      <c r="TI79" s="653"/>
      <c r="TJ79" s="653"/>
      <c r="TK79" s="653"/>
      <c r="TL79" s="653"/>
      <c r="TM79" s="653"/>
      <c r="TN79" s="653"/>
      <c r="TO79" s="653"/>
      <c r="TP79" s="653"/>
      <c r="TQ79" s="653"/>
      <c r="TR79" s="653"/>
      <c r="TS79" s="653"/>
      <c r="TT79" s="653"/>
      <c r="TU79" s="653"/>
      <c r="TV79" s="653"/>
      <c r="TW79" s="653"/>
      <c r="TX79" s="653"/>
      <c r="TY79" s="653"/>
      <c r="TZ79" s="653"/>
      <c r="UA79" s="653"/>
      <c r="UB79" s="653"/>
      <c r="UC79" s="653"/>
      <c r="UD79" s="653"/>
      <c r="UE79" s="653"/>
      <c r="UF79" s="653"/>
      <c r="UG79" s="653"/>
      <c r="UH79" s="653"/>
      <c r="UI79" s="653"/>
      <c r="UJ79" s="653"/>
      <c r="UK79" s="653"/>
      <c r="UL79" s="653"/>
      <c r="UM79" s="653"/>
      <c r="UN79" s="653"/>
      <c r="UO79" s="653"/>
      <c r="UP79" s="653"/>
      <c r="UQ79" s="653"/>
      <c r="UR79" s="653"/>
      <c r="US79" s="653"/>
      <c r="UT79" s="653"/>
      <c r="UU79" s="653"/>
      <c r="UV79" s="653"/>
      <c r="UW79" s="653"/>
      <c r="UX79" s="653"/>
      <c r="UY79" s="653"/>
      <c r="UZ79" s="653"/>
      <c r="VW79" s="653"/>
      <c r="VX79" s="653"/>
      <c r="VY79" s="653"/>
      <c r="VZ79" s="653"/>
      <c r="WA79" s="653"/>
      <c r="WE79" s="856" t="s">
        <v>410</v>
      </c>
      <c r="WF79" s="856"/>
      <c r="WG79" s="957" t="s">
        <v>1432</v>
      </c>
      <c r="WH79" s="957"/>
      <c r="WI79" s="957"/>
      <c r="WJ79" s="957"/>
      <c r="WK79" s="957"/>
      <c r="WL79" s="957"/>
      <c r="WM79" s="957"/>
      <c r="WN79" s="957"/>
      <c r="WO79" s="957"/>
      <c r="WP79" s="957"/>
      <c r="WQ79" s="957"/>
      <c r="WR79" s="957"/>
      <c r="WS79" s="957"/>
      <c r="WT79" s="957"/>
      <c r="WU79" s="957"/>
      <c r="WV79" s="957"/>
      <c r="WW79" s="957"/>
      <c r="WX79" s="957"/>
      <c r="WY79" s="957"/>
      <c r="WZ79" s="1287" t="s">
        <v>391</v>
      </c>
      <c r="XA79" s="1285"/>
      <c r="XB79" s="698"/>
      <c r="XC79" s="698"/>
      <c r="XD79" s="698"/>
      <c r="XE79" s="698"/>
      <c r="XF79" s="698"/>
      <c r="XG79" s="698">
        <v>0.01</v>
      </c>
      <c r="XH79" s="698">
        <v>0.02</v>
      </c>
      <c r="XI79" s="698">
        <v>0.03</v>
      </c>
      <c r="XJ79" s="698">
        <v>0.04</v>
      </c>
      <c r="XK79" s="698">
        <v>0.05</v>
      </c>
      <c r="XL79" s="698">
        <v>0.06</v>
      </c>
      <c r="XM79" s="698">
        <v>7.0000000000000007E-2</v>
      </c>
      <c r="XN79" s="698">
        <v>0.08</v>
      </c>
      <c r="XO79" s="698">
        <v>0.09</v>
      </c>
      <c r="XP79" s="698">
        <v>0.1</v>
      </c>
      <c r="XQ79" s="698">
        <v>0.11</v>
      </c>
      <c r="XR79" s="698">
        <v>0.12</v>
      </c>
      <c r="XS79" s="698">
        <v>0.13</v>
      </c>
      <c r="XT79" s="698">
        <v>0.14000000000000001</v>
      </c>
      <c r="XU79" s="698">
        <v>0.15</v>
      </c>
      <c r="XV79" s="698">
        <v>0.16</v>
      </c>
      <c r="XW79" s="698">
        <v>0.17</v>
      </c>
      <c r="XX79" s="698">
        <v>0.18</v>
      </c>
      <c r="XY79" s="698">
        <v>0.19</v>
      </c>
      <c r="XZ79" s="698">
        <v>0.2</v>
      </c>
      <c r="YA79" s="698">
        <v>0.21</v>
      </c>
      <c r="YB79" s="698">
        <v>0.22</v>
      </c>
      <c r="YC79" s="698">
        <v>0.23</v>
      </c>
      <c r="YD79" s="698">
        <v>0.24</v>
      </c>
      <c r="YE79" s="698">
        <v>0.25</v>
      </c>
      <c r="YF79" s="698">
        <v>0.26</v>
      </c>
      <c r="YG79" s="698">
        <v>0.27</v>
      </c>
      <c r="YH79" s="698">
        <v>0.28000000000000003</v>
      </c>
      <c r="YI79" s="698">
        <v>0.28999999999999998</v>
      </c>
      <c r="YJ79" s="698">
        <v>0.3</v>
      </c>
      <c r="YK79" s="698">
        <v>0.31</v>
      </c>
      <c r="YL79" s="698">
        <v>0.32</v>
      </c>
      <c r="YM79" s="698">
        <v>0.33</v>
      </c>
      <c r="YN79" s="698">
        <v>0.34</v>
      </c>
      <c r="YO79" s="698">
        <v>0.35</v>
      </c>
      <c r="YP79" s="698">
        <v>0.36</v>
      </c>
      <c r="YQ79" s="698">
        <v>0.37</v>
      </c>
      <c r="YR79" s="698">
        <v>0.38</v>
      </c>
      <c r="YS79" s="698">
        <v>0.39</v>
      </c>
      <c r="YT79" s="698">
        <v>0.4</v>
      </c>
      <c r="YU79" s="698">
        <v>0.41</v>
      </c>
      <c r="YV79" s="698">
        <v>0.42</v>
      </c>
      <c r="YW79" s="698">
        <v>0.43</v>
      </c>
      <c r="YX79" s="698">
        <v>0.44</v>
      </c>
      <c r="YY79" s="698">
        <v>0.45</v>
      </c>
      <c r="YZ79" s="698">
        <v>0.46</v>
      </c>
      <c r="ZA79" s="698">
        <v>0.47</v>
      </c>
      <c r="ZB79" s="698">
        <v>0.48</v>
      </c>
      <c r="ZC79" s="698">
        <v>0.49</v>
      </c>
      <c r="ZD79" s="698">
        <v>0.5</v>
      </c>
      <c r="ZE79" s="698">
        <v>0.51</v>
      </c>
      <c r="ZF79" s="698">
        <v>0.52</v>
      </c>
      <c r="ZG79" s="698">
        <v>0.53</v>
      </c>
      <c r="ZH79" s="698">
        <v>0.54</v>
      </c>
      <c r="ZI79" s="698">
        <v>0.55000000000000004</v>
      </c>
      <c r="ZJ79" s="698">
        <v>0.56000000000000005</v>
      </c>
      <c r="ZK79" s="698">
        <v>0.56999999999999995</v>
      </c>
      <c r="ZL79" s="698">
        <v>0.57999999999999996</v>
      </c>
      <c r="ZM79" s="698">
        <v>0.59</v>
      </c>
      <c r="ZN79" s="698">
        <v>0.6</v>
      </c>
      <c r="ZO79" s="698">
        <v>0.61</v>
      </c>
      <c r="ZP79" s="698">
        <v>0.62</v>
      </c>
      <c r="ZQ79" s="698">
        <v>0.63</v>
      </c>
      <c r="ZR79" s="698">
        <v>0.64</v>
      </c>
      <c r="ZS79" s="698">
        <v>0.65</v>
      </c>
      <c r="ZT79" s="698">
        <v>0.66</v>
      </c>
      <c r="ZU79" s="698">
        <v>0.67</v>
      </c>
      <c r="ZV79" s="698">
        <v>0.68</v>
      </c>
      <c r="ZW79" s="698">
        <v>0.69</v>
      </c>
      <c r="ZX79" s="698">
        <v>0.7</v>
      </c>
      <c r="ZY79" s="698">
        <v>0.71</v>
      </c>
      <c r="ZZ79" s="698">
        <v>0.72</v>
      </c>
      <c r="AAA79" s="698">
        <v>0.73</v>
      </c>
      <c r="AAB79" s="698">
        <v>0.74</v>
      </c>
      <c r="AAC79" s="698">
        <v>0.75</v>
      </c>
      <c r="AAD79" s="698">
        <v>0.76</v>
      </c>
      <c r="AAE79" s="698">
        <v>0.77</v>
      </c>
      <c r="AAF79" s="698">
        <v>0.78</v>
      </c>
      <c r="AAG79" s="698">
        <v>0.79</v>
      </c>
      <c r="AAH79" s="698">
        <v>0.8</v>
      </c>
      <c r="AAI79" s="698">
        <v>0.81</v>
      </c>
      <c r="AAJ79" s="698">
        <v>0.82</v>
      </c>
      <c r="AAK79" s="698">
        <v>0.83</v>
      </c>
      <c r="AAL79" s="698">
        <v>0.84</v>
      </c>
      <c r="AAM79" s="698">
        <v>0.85</v>
      </c>
      <c r="AAN79" s="698">
        <v>0.86</v>
      </c>
      <c r="AAO79" s="702">
        <v>0.87</v>
      </c>
      <c r="AAP79" s="702">
        <v>0.88</v>
      </c>
      <c r="AAQ79" s="702">
        <v>0.89</v>
      </c>
      <c r="AAR79" s="702">
        <v>0.9</v>
      </c>
      <c r="AAS79" s="701">
        <v>0.91</v>
      </c>
      <c r="AAT79" s="698"/>
      <c r="AAU79" s="1859" t="s">
        <v>166</v>
      </c>
      <c r="AAV79" s="1860"/>
      <c r="AAW79" s="1860"/>
      <c r="AAX79" s="1860"/>
      <c r="AAY79" s="1860"/>
      <c r="AAZ79" s="1860"/>
      <c r="ABA79" s="1860"/>
      <c r="ABB79" s="1860"/>
      <c r="ABC79" s="1860"/>
      <c r="ABD79" s="1860"/>
      <c r="ABE79" s="1860"/>
      <c r="ABF79" s="1860"/>
      <c r="ABG79" s="1860"/>
      <c r="ABH79" s="1860"/>
      <c r="ABI79" s="1860"/>
      <c r="ABJ79" s="1860"/>
      <c r="ABK79" s="1860"/>
      <c r="ABL79" s="1860"/>
      <c r="ABM79" s="1860"/>
      <c r="ABN79" s="1860"/>
      <c r="ABO79" s="1860"/>
      <c r="ABP79" s="1861"/>
      <c r="ABQ79" s="653"/>
      <c r="ABR79" s="653"/>
      <c r="ABS79" s="653"/>
      <c r="ABT79" s="653"/>
      <c r="ABU79" s="653"/>
      <c r="ABV79" s="653"/>
      <c r="ABW79" s="653"/>
      <c r="ABX79" s="653"/>
      <c r="ACI79" s="653"/>
      <c r="ACJ79" s="653"/>
      <c r="ACK79" s="653"/>
      <c r="ACL79" s="653"/>
      <c r="ACM79" s="653"/>
      <c r="ACN79" s="653"/>
      <c r="ACO79" s="653"/>
      <c r="ACP79" s="653"/>
      <c r="ACQ79" s="653"/>
      <c r="ACR79" s="856">
        <v>1.8</v>
      </c>
      <c r="ACS79" s="856"/>
      <c r="ACT79" s="856">
        <v>0.6</v>
      </c>
      <c r="ACU79" s="856"/>
      <c r="ACV79" s="856">
        <f>(ACT80-ACT79)/(ACR80-ACR79)</f>
        <v>1.5454545454545452</v>
      </c>
      <c r="ACW79" s="856"/>
      <c r="ACX79" s="856">
        <f>ACT79-ACV79*ACR79</f>
        <v>-2.1818181818181812</v>
      </c>
      <c r="ACY79" s="856"/>
      <c r="ACZ79" s="653"/>
      <c r="ADA79" s="653"/>
      <c r="ADX79" s="653"/>
      <c r="ADY79" s="653"/>
      <c r="ADZ79" s="653"/>
      <c r="AEA79" s="653"/>
      <c r="AEB79" s="653"/>
      <c r="AEC79" s="653"/>
      <c r="AED79" s="653"/>
      <c r="AEE79" s="653"/>
      <c r="AEF79" s="653"/>
      <c r="AES79" s="800" t="s">
        <v>1345</v>
      </c>
      <c r="AET79" s="982"/>
      <c r="AEU79" s="801"/>
      <c r="AEV79" s="951">
        <f>'Вывод расчетов'!$GP$57</f>
        <v>1.5</v>
      </c>
      <c r="AEW79" s="952"/>
      <c r="AEX79" s="800" t="s">
        <v>1610</v>
      </c>
      <c r="AEY79" s="982"/>
      <c r="AEZ79" s="801"/>
      <c r="AGL79" s="851"/>
      <c r="AGM79" s="1163" t="s">
        <v>1343</v>
      </c>
      <c r="AGN79" s="1163"/>
      <c r="AGO79" s="1187">
        <f>$GM$48</f>
        <v>180.34671544768563</v>
      </c>
      <c r="AGP79" s="1187"/>
      <c r="AGQ79" s="795"/>
      <c r="AGR79" s="795"/>
      <c r="AGS79" s="795"/>
      <c r="AGT79" s="795"/>
      <c r="AGU79" s="795"/>
      <c r="AGV79" s="795"/>
      <c r="AGW79" s="795"/>
      <c r="AGX79" s="795"/>
      <c r="AGY79" s="796"/>
      <c r="AGZ79" s="837"/>
      <c r="AHA79" s="838"/>
      <c r="AHB79" s="1355"/>
      <c r="AHC79" s="1356"/>
      <c r="AHD79" s="842"/>
      <c r="AHE79" s="845"/>
      <c r="AHF79" s="846"/>
      <c r="AHG79" s="848"/>
      <c r="AHH79" s="828"/>
      <c r="AHI79" s="949"/>
      <c r="AHJ79" s="950"/>
      <c r="AQE79" s="653"/>
      <c r="AQF79" s="653"/>
      <c r="AQG79" s="653"/>
      <c r="AQH79" s="653"/>
      <c r="AQI79" s="653"/>
      <c r="AQJ79" s="653"/>
      <c r="AQK79" s="653"/>
      <c r="AQL79" s="653"/>
      <c r="AQM79" s="653"/>
      <c r="AQN79" s="653"/>
      <c r="AQO79" s="653"/>
      <c r="AQP79" s="653"/>
      <c r="AQQ79" s="653"/>
      <c r="AQR79" s="653"/>
      <c r="AQS79" s="653"/>
      <c r="AQT79" s="653"/>
      <c r="AQU79" s="653"/>
      <c r="AQV79" s="653"/>
      <c r="AQW79" s="653"/>
      <c r="AQX79" s="653"/>
      <c r="AQY79" s="653"/>
      <c r="AQZ79" s="653"/>
      <c r="ARA79" s="653"/>
      <c r="ARB79" s="653"/>
      <c r="ARC79" s="653"/>
      <c r="ARD79" s="653"/>
      <c r="ARE79" s="653"/>
      <c r="ARF79" s="653"/>
      <c r="ARG79" s="653"/>
      <c r="ARH79" s="653"/>
      <c r="ARI79" s="653"/>
      <c r="ARJ79" s="653"/>
      <c r="ARK79" s="653"/>
      <c r="ARL79" s="653"/>
      <c r="ARM79" s="653"/>
      <c r="ARN79" s="653"/>
      <c r="ARO79" s="653"/>
    </row>
    <row r="80" spans="4:945 1051:1224" ht="48" customHeight="1" thickBot="1">
      <c r="D80" s="588">
        <v>1</v>
      </c>
      <c r="E80" s="976" t="s">
        <v>916</v>
      </c>
      <c r="F80" s="1696"/>
      <c r="G80" s="1696"/>
      <c r="H80" s="1696"/>
      <c r="I80" s="1696"/>
      <c r="J80" s="1696"/>
      <c r="K80" s="1696"/>
      <c r="L80" s="1696"/>
      <c r="M80" s="1696"/>
      <c r="N80" s="1696"/>
      <c r="O80" s="1696"/>
      <c r="P80" s="1696"/>
      <c r="Q80" s="1696"/>
      <c r="R80" s="1696"/>
      <c r="S80" s="977"/>
      <c r="BN80" s="130"/>
      <c r="BQ80" s="130"/>
      <c r="BR80" s="130"/>
      <c r="BS80" s="130"/>
      <c r="BT80" s="130"/>
      <c r="BX80" s="851"/>
      <c r="BY80" s="749" t="s">
        <v>1493</v>
      </c>
      <c r="BZ80" s="774">
        <f>$CL$87</f>
        <v>1</v>
      </c>
      <c r="CA80" s="774"/>
      <c r="CB80" s="772"/>
      <c r="CC80" s="772"/>
      <c r="CD80" s="772"/>
      <c r="CE80" s="772"/>
      <c r="CF80" s="772"/>
      <c r="CG80" s="772"/>
      <c r="CH80" s="773"/>
      <c r="CI80" s="1169"/>
      <c r="CJ80" s="799"/>
      <c r="CK80" s="1185"/>
      <c r="CL80" s="1186"/>
      <c r="CM80" s="842"/>
      <c r="CN80" s="1605"/>
      <c r="CO80" s="1606"/>
      <c r="CP80" s="848"/>
      <c r="CQ80" s="828"/>
      <c r="CR80" s="949"/>
      <c r="CS80" s="949"/>
      <c r="CT80" s="950"/>
      <c r="DC80" s="1285">
        <v>-0.70699999999999996</v>
      </c>
      <c r="DD80" s="1761"/>
      <c r="DJ80" s="130"/>
      <c r="DK80" s="130"/>
      <c r="DL80" s="130"/>
      <c r="DM80" s="130"/>
      <c r="DN80" s="130"/>
      <c r="DO80" s="130"/>
      <c r="DP80" s="130"/>
      <c r="DU80" s="130"/>
      <c r="DV80" s="130"/>
      <c r="DW80" s="130"/>
      <c r="DX80" s="130"/>
      <c r="DZ80" s="849"/>
      <c r="EA80" s="800" t="s">
        <v>1055</v>
      </c>
      <c r="EB80" s="801"/>
      <c r="EC80" s="883">
        <f>$EN$67</f>
        <v>11.821574570006934</v>
      </c>
      <c r="ED80" s="884"/>
      <c r="EE80" s="954" t="s">
        <v>1867</v>
      </c>
      <c r="EF80" s="954"/>
      <c r="EG80" s="954"/>
      <c r="EH80" s="954"/>
      <c r="EI80" s="954"/>
      <c r="EJ80" s="954"/>
      <c r="EK80" s="954"/>
      <c r="EL80" s="954"/>
      <c r="EM80" s="1759"/>
      <c r="EN80" s="1152">
        <f>EC80-EC81</f>
        <v>11.571574570006934</v>
      </c>
      <c r="EO80" s="1153"/>
      <c r="EP80" s="1075" t="s">
        <v>45</v>
      </c>
      <c r="EQ80" s="1076"/>
      <c r="ER80" s="841"/>
      <c r="ES80" s="893" t="s">
        <v>975</v>
      </c>
      <c r="ET80" s="1081"/>
      <c r="EU80" s="894"/>
      <c r="EV80" s="847"/>
      <c r="EW80" s="1052"/>
      <c r="EX80" s="1052"/>
      <c r="EY80" s="1052"/>
      <c r="EZ80" s="1052"/>
      <c r="FA80" s="1052"/>
      <c r="FB80" s="1052"/>
      <c r="FU80" s="126"/>
      <c r="FV80" s="126"/>
      <c r="FW80" s="126"/>
      <c r="FX80" s="126"/>
      <c r="GC80" s="6"/>
      <c r="GD80" s="3"/>
      <c r="GE80" s="3"/>
      <c r="GF80" s="850"/>
      <c r="GG80" s="935" t="s">
        <v>1075</v>
      </c>
      <c r="GH80" s="936"/>
      <c r="GI80" s="761">
        <f>$GM$48</f>
        <v>180.34671544768563</v>
      </c>
      <c r="GJ80" s="761"/>
      <c r="GK80" s="775"/>
      <c r="GL80" s="776"/>
      <c r="GM80" s="776"/>
      <c r="GN80" s="776"/>
      <c r="GO80" s="776"/>
      <c r="GP80" s="776"/>
      <c r="GQ80" s="1644"/>
      <c r="GR80" s="1027"/>
      <c r="GS80" s="1027"/>
      <c r="GT80" s="1027"/>
      <c r="GU80" s="1027"/>
      <c r="GV80" s="1027"/>
      <c r="GW80" s="1027"/>
      <c r="GX80" s="1027"/>
      <c r="GY80" s="1028"/>
      <c r="GZ80" s="827"/>
      <c r="HA80" s="947"/>
      <c r="HB80" s="947"/>
      <c r="HC80" s="947"/>
      <c r="HD80" s="947"/>
      <c r="HE80" s="947"/>
      <c r="HF80" s="947"/>
      <c r="HG80" s="948"/>
      <c r="MB80" s="850"/>
      <c r="MC80" s="861" t="s">
        <v>1220</v>
      </c>
      <c r="MD80" s="861"/>
      <c r="ME80" s="890">
        <f>GQ107</f>
        <v>779.48438515640578</v>
      </c>
      <c r="MF80" s="890"/>
      <c r="MG80" s="1398" t="s">
        <v>1214</v>
      </c>
      <c r="MH80" s="1398"/>
      <c r="MI80" s="1233"/>
      <c r="MJ80" s="1234"/>
      <c r="MK80" s="1234"/>
      <c r="ML80" s="1234"/>
      <c r="MM80" s="1234"/>
      <c r="MN80" s="1234"/>
      <c r="MO80" s="1235"/>
      <c r="MP80" s="1546"/>
      <c r="MQ80" s="1547"/>
      <c r="MR80" s="1548"/>
      <c r="MS80" s="1190"/>
      <c r="MT80" s="1191"/>
      <c r="MU80" s="1067"/>
      <c r="MV80" s="918"/>
      <c r="MW80" s="919"/>
      <c r="MX80" s="848"/>
      <c r="MY80" s="827"/>
      <c r="MZ80" s="947"/>
      <c r="NA80" s="947"/>
      <c r="NB80" s="947"/>
      <c r="NC80" s="948"/>
      <c r="ND80" s="130"/>
      <c r="NK80" s="1216"/>
      <c r="NL80" s="1217"/>
      <c r="NM80" s="1217"/>
      <c r="NN80" s="1217"/>
      <c r="NO80" s="1217"/>
      <c r="NP80" s="1217"/>
      <c r="NQ80" s="1217"/>
      <c r="NR80" s="1217"/>
      <c r="NS80" s="1217"/>
      <c r="NT80" s="1217"/>
      <c r="NU80" s="1217"/>
      <c r="NV80" s="1217"/>
      <c r="NW80" s="1217"/>
      <c r="NX80" s="1217"/>
      <c r="NY80" s="1217"/>
      <c r="NZ80" s="1217"/>
      <c r="OA80" s="1217"/>
      <c r="OB80" s="1217"/>
      <c r="OC80" s="1217"/>
      <c r="OD80" s="1217"/>
      <c r="OE80" s="1217"/>
      <c r="OF80" s="1218"/>
      <c r="PL80" s="849"/>
      <c r="PM80" s="1257" t="s">
        <v>416</v>
      </c>
      <c r="PN80" s="1257"/>
      <c r="PO80" s="466"/>
      <c r="PP80" s="861" t="s">
        <v>1561</v>
      </c>
      <c r="PQ80" s="861"/>
      <c r="PR80" s="951">
        <f>$QA$89</f>
        <v>0.3</v>
      </c>
      <c r="PS80" s="952"/>
      <c r="PT80" s="78"/>
      <c r="PU80" s="78"/>
      <c r="PV80" s="466"/>
      <c r="PW80" s="76" t="s">
        <v>441</v>
      </c>
      <c r="PX80" s="854" t="s">
        <v>435</v>
      </c>
      <c r="PY80" s="1111"/>
      <c r="PZ80" s="1072" t="s">
        <v>111</v>
      </c>
      <c r="QA80" s="1074"/>
      <c r="QB80" s="916" t="s">
        <v>704</v>
      </c>
      <c r="QC80" s="917"/>
      <c r="QD80" s="906" t="s">
        <v>447</v>
      </c>
      <c r="QE80" s="907"/>
      <c r="QF80" s="907"/>
      <c r="QG80" s="908"/>
      <c r="QH80" s="906" t="s">
        <v>436</v>
      </c>
      <c r="QI80" s="907"/>
      <c r="QJ80" s="907"/>
      <c r="QK80" s="907"/>
      <c r="QL80" s="907"/>
      <c r="QM80" s="908"/>
      <c r="RE80" s="653"/>
      <c r="RF80" s="653"/>
      <c r="RG80" s="653"/>
      <c r="RH80" s="653"/>
      <c r="RI80" s="653"/>
      <c r="RJ80" s="653"/>
      <c r="RK80" s="653"/>
      <c r="RL80" s="653"/>
      <c r="RM80" s="653"/>
      <c r="RN80" s="653"/>
      <c r="RO80" s="653"/>
      <c r="RP80" s="653"/>
      <c r="RQ80" s="653"/>
      <c r="RR80" s="653"/>
      <c r="RS80" s="653"/>
      <c r="RT80" s="653"/>
      <c r="RU80" s="653"/>
      <c r="RV80" s="653"/>
      <c r="RW80" s="653"/>
      <c r="RX80" s="653"/>
      <c r="RY80" s="653"/>
      <c r="RZ80" s="653"/>
      <c r="SA80" s="653"/>
      <c r="SB80" s="653"/>
      <c r="SC80" s="653"/>
      <c r="SD80" s="653"/>
      <c r="SE80" s="653"/>
      <c r="SF80" s="653"/>
      <c r="SG80" s="653"/>
      <c r="SH80" s="653"/>
      <c r="SI80" s="653"/>
      <c r="SJ80" s="653"/>
      <c r="SK80" s="653"/>
      <c r="SL80" s="653"/>
      <c r="SM80" s="653"/>
      <c r="SN80" s="653"/>
      <c r="SO80" s="653"/>
      <c r="SP80" s="653"/>
      <c r="SQ80" s="653"/>
      <c r="SR80" s="653"/>
      <c r="SS80" s="653"/>
      <c r="ST80" s="653"/>
      <c r="SU80" s="653"/>
      <c r="SV80" s="653"/>
      <c r="SW80" s="653"/>
      <c r="SX80" s="653"/>
      <c r="SY80" s="653"/>
      <c r="SZ80" s="653"/>
      <c r="TA80" s="653"/>
      <c r="TB80" s="653"/>
      <c r="TC80" s="653"/>
      <c r="TD80" s="653"/>
      <c r="TE80" s="653"/>
      <c r="TF80" s="653"/>
      <c r="TG80" s="653"/>
      <c r="TH80" s="653"/>
      <c r="TI80" s="653"/>
      <c r="TJ80" s="653"/>
      <c r="TK80" s="653"/>
      <c r="TL80" s="653"/>
      <c r="TM80" s="653"/>
      <c r="TN80" s="653"/>
      <c r="TO80" s="653"/>
      <c r="TP80" s="653"/>
      <c r="TQ80" s="653"/>
      <c r="TR80" s="653"/>
      <c r="TS80" s="653"/>
      <c r="TT80" s="653"/>
      <c r="TU80" s="653"/>
      <c r="TV80" s="653"/>
      <c r="TW80" s="653"/>
      <c r="TX80" s="653"/>
      <c r="TY80" s="653"/>
      <c r="TZ80" s="653"/>
      <c r="UA80" s="653"/>
      <c r="UB80" s="653"/>
      <c r="UC80" s="653"/>
      <c r="UD80" s="653"/>
      <c r="UE80" s="653"/>
      <c r="UF80" s="653"/>
      <c r="UG80" s="653"/>
      <c r="UH80" s="653"/>
      <c r="UI80" s="653"/>
      <c r="UJ80" s="653"/>
      <c r="UK80" s="653"/>
      <c r="UL80" s="653"/>
      <c r="UM80" s="653"/>
      <c r="UN80" s="653"/>
      <c r="UO80" s="653"/>
      <c r="UP80" s="653"/>
      <c r="UQ80" s="653"/>
      <c r="UR80" s="653"/>
      <c r="US80" s="653"/>
      <c r="UT80" s="653"/>
      <c r="UU80" s="653"/>
      <c r="UV80" s="653"/>
      <c r="UW80" s="653"/>
      <c r="UX80" s="653"/>
      <c r="UY80" s="653"/>
      <c r="UZ80" s="653"/>
      <c r="VW80" s="653"/>
      <c r="VX80" s="653"/>
      <c r="VY80" s="653"/>
      <c r="VZ80" s="653"/>
      <c r="WA80" s="653"/>
      <c r="WE80" s="752">
        <v>1</v>
      </c>
      <c r="WF80" s="753"/>
      <c r="WG80" s="861" t="s">
        <v>1463</v>
      </c>
      <c r="WH80" s="861"/>
      <c r="WI80" s="861"/>
      <c r="WJ80" s="861"/>
      <c r="WK80" s="951">
        <f>$AHB$21</f>
        <v>2.923385945848388E-2</v>
      </c>
      <c r="WL80" s="952"/>
      <c r="WM80" s="168"/>
      <c r="WN80" s="168"/>
      <c r="WO80" s="951">
        <f>WR81</f>
        <v>120</v>
      </c>
      <c r="WP80" s="952"/>
      <c r="WQ80" s="168"/>
      <c r="WR80" s="951">
        <f>63.65</f>
        <v>63.65</v>
      </c>
      <c r="WS80" s="952"/>
      <c r="WT80" s="168"/>
      <c r="WU80" s="168"/>
      <c r="WV80" s="168"/>
      <c r="WW80" s="168"/>
      <c r="WX80" s="168"/>
      <c r="WY80" s="171"/>
      <c r="WZ80" s="1804" t="s">
        <v>729</v>
      </c>
      <c r="XA80" s="1804"/>
      <c r="XB80" s="167"/>
      <c r="XC80" s="168"/>
      <c r="XD80" s="168"/>
      <c r="XE80" s="168"/>
      <c r="XF80" s="171"/>
      <c r="XG80" s="858">
        <f>$WO$80*$WK$80*(XG79)^0.5</f>
        <v>0.35080631350180658</v>
      </c>
      <c r="XH80" s="858">
        <f>$WO$80*$WK$80*(XH79)^0.5</f>
        <v>0.49611504632036263</v>
      </c>
      <c r="XI80" s="858">
        <f>$WO$80*$WK$80*(XI79)^0.5</f>
        <v>0.60761435860106483</v>
      </c>
      <c r="XJ80" s="858">
        <f>$WO$80*$WK$80*(XJ79)^0.5</f>
        <v>0.70161262700361315</v>
      </c>
      <c r="XK80" s="858">
        <f t="shared" ref="XK80:ZS80" si="68">$WO$80*$WK$80*(XK79)^0.5</f>
        <v>0.78442676392614175</v>
      </c>
      <c r="XL80" s="858">
        <f t="shared" si="68"/>
        <v>0.85929646662625503</v>
      </c>
      <c r="XM80" s="858">
        <f t="shared" si="68"/>
        <v>0.92814626387714061</v>
      </c>
      <c r="XN80" s="858">
        <f t="shared" si="68"/>
        <v>0.99223009264072526</v>
      </c>
      <c r="XO80" s="858">
        <f t="shared" si="68"/>
        <v>1.0524189405054196</v>
      </c>
      <c r="XP80" s="858">
        <f t="shared" si="68"/>
        <v>1.1093469682327879</v>
      </c>
      <c r="XQ80" s="858">
        <f t="shared" si="68"/>
        <v>1.1634929159732799</v>
      </c>
      <c r="XR80" s="858">
        <f t="shared" si="68"/>
        <v>1.2152287172021297</v>
      </c>
      <c r="XS80" s="858">
        <f t="shared" si="68"/>
        <v>1.2648501510872587</v>
      </c>
      <c r="XT80" s="858">
        <f t="shared" si="68"/>
        <v>1.3125970342409696</v>
      </c>
      <c r="XU80" s="858">
        <f t="shared" si="68"/>
        <v>1.3586670099369149</v>
      </c>
      <c r="XV80" s="858">
        <f t="shared" si="68"/>
        <v>1.4032252540072263</v>
      </c>
      <c r="XW80" s="858">
        <f t="shared" si="68"/>
        <v>1.4464114847014913</v>
      </c>
      <c r="XX80" s="810">
        <f t="shared" si="68"/>
        <v>1.488345138961088</v>
      </c>
      <c r="XY80" s="810">
        <f t="shared" si="68"/>
        <v>1.5291292693104228</v>
      </c>
      <c r="XZ80" s="810">
        <f t="shared" si="68"/>
        <v>1.5688535278522835</v>
      </c>
      <c r="YA80" s="810">
        <f t="shared" si="68"/>
        <v>1.6075964858904375</v>
      </c>
      <c r="YB80" s="810">
        <f t="shared" si="68"/>
        <v>1.6454274614944322</v>
      </c>
      <c r="YC80" s="810">
        <f t="shared" si="68"/>
        <v>1.6824079768690885</v>
      </c>
      <c r="YD80" s="810">
        <f t="shared" si="68"/>
        <v>1.7185929332525101</v>
      </c>
      <c r="YE80" s="810">
        <f t="shared" si="68"/>
        <v>1.7540315675090328</v>
      </c>
      <c r="YF80" s="810">
        <f t="shared" si="68"/>
        <v>1.7887682380372598</v>
      </c>
      <c r="YG80" s="810">
        <f t="shared" si="68"/>
        <v>1.8228430758031946</v>
      </c>
      <c r="YH80" s="810">
        <f t="shared" si="68"/>
        <v>1.8562925277542812</v>
      </c>
      <c r="YI80" s="810">
        <f t="shared" si="68"/>
        <v>1.8891498135905223</v>
      </c>
      <c r="YJ80" s="810">
        <f t="shared" si="68"/>
        <v>1.9214453122016857</v>
      </c>
      <c r="YK80" s="810">
        <f t="shared" si="68"/>
        <v>1.9532068905711351</v>
      </c>
      <c r="YL80" s="810">
        <f t="shared" si="68"/>
        <v>1.9844601852814505</v>
      </c>
      <c r="YM80" s="810">
        <f t="shared" si="68"/>
        <v>2.0152288447121873</v>
      </c>
      <c r="YN80" s="810">
        <f t="shared" si="68"/>
        <v>2.0455347384370537</v>
      </c>
      <c r="YO80" s="810">
        <f t="shared" si="68"/>
        <v>2.0753981390917438</v>
      </c>
      <c r="YP80" s="810">
        <f t="shared" si="68"/>
        <v>2.1048378810108392</v>
      </c>
      <c r="YQ80" s="810">
        <f t="shared" si="68"/>
        <v>2.133871499160839</v>
      </c>
      <c r="YR80" s="810">
        <f t="shared" si="68"/>
        <v>2.1625153512804611</v>
      </c>
      <c r="YS80" s="810">
        <f t="shared" si="68"/>
        <v>2.1907847256443032</v>
      </c>
      <c r="YT80" s="810">
        <f t="shared" si="68"/>
        <v>2.2186939364655758</v>
      </c>
      <c r="YU80" s="810">
        <f t="shared" si="68"/>
        <v>2.2462564086278842</v>
      </c>
      <c r="YV80" s="810">
        <f t="shared" si="68"/>
        <v>2.2734847531695843</v>
      </c>
      <c r="YW80" s="810">
        <f t="shared" si="68"/>
        <v>2.3003908347251114</v>
      </c>
      <c r="YX80" s="810">
        <f t="shared" si="68"/>
        <v>2.3269858319465597</v>
      </c>
      <c r="YY80" s="810">
        <f t="shared" si="68"/>
        <v>2.3532802917784252</v>
      </c>
      <c r="YZ80" s="810">
        <f t="shared" si="68"/>
        <v>2.379284178332945</v>
      </c>
      <c r="ZA80" s="810">
        <f t="shared" si="68"/>
        <v>2.4050069170083912</v>
      </c>
      <c r="ZB80" s="810">
        <f t="shared" si="68"/>
        <v>2.4304574344042593</v>
      </c>
      <c r="ZC80" s="810">
        <f t="shared" si="68"/>
        <v>2.4556441945126459</v>
      </c>
      <c r="ZD80" s="810">
        <f t="shared" si="68"/>
        <v>2.4805752316018133</v>
      </c>
      <c r="ZE80" s="810">
        <f t="shared" si="68"/>
        <v>2.5052581801541165</v>
      </c>
      <c r="ZF80" s="810">
        <f t="shared" si="68"/>
        <v>2.5297003021745175</v>
      </c>
      <c r="ZG80" s="810">
        <f t="shared" si="68"/>
        <v>2.5539085121465437</v>
      </c>
      <c r="ZH80" s="810">
        <f t="shared" si="68"/>
        <v>2.5778893998787655</v>
      </c>
      <c r="ZI80" s="810">
        <f t="shared" si="68"/>
        <v>2.6016492514557048</v>
      </c>
      <c r="ZJ80" s="810">
        <f t="shared" si="68"/>
        <v>2.6251940684819393</v>
      </c>
      <c r="ZK80" s="810">
        <f t="shared" si="68"/>
        <v>2.6485295857863251</v>
      </c>
      <c r="ZL80" s="810">
        <f t="shared" si="68"/>
        <v>2.6716612877343211</v>
      </c>
      <c r="ZM80" s="810">
        <f t="shared" si="68"/>
        <v>2.6945944232798635</v>
      </c>
      <c r="ZN80" s="810">
        <f t="shared" si="68"/>
        <v>2.7173340198738298</v>
      </c>
      <c r="ZO80" s="810">
        <f t="shared" si="68"/>
        <v>2.7398848963334927</v>
      </c>
      <c r="ZP80" s="810">
        <f t="shared" si="68"/>
        <v>2.7622516747662806</v>
      </c>
      <c r="ZQ80" s="810">
        <f t="shared" si="68"/>
        <v>2.7844387916314215</v>
      </c>
      <c r="ZR80" s="810">
        <f t="shared" si="68"/>
        <v>2.8064505080144526</v>
      </c>
      <c r="ZS80" s="810">
        <f t="shared" si="68"/>
        <v>2.82829091918199</v>
      </c>
      <c r="ZT80" s="810">
        <f t="shared" ref="ZT80:AAS80" si="69">$WO$80*$WK$80*(ZT79)^0.5</f>
        <v>2.849963963477439</v>
      </c>
      <c r="ZU80" s="810">
        <f t="shared" si="69"/>
        <v>2.8714734306123684</v>
      </c>
      <c r="ZV80" s="810">
        <f t="shared" si="69"/>
        <v>2.8928229694029826</v>
      </c>
      <c r="ZW80" s="810">
        <f t="shared" si="69"/>
        <v>2.9140160949964256</v>
      </c>
      <c r="ZX80" s="810">
        <f t="shared" si="69"/>
        <v>2.935056195627427</v>
      </c>
      <c r="ZY80" s="810">
        <f t="shared" si="69"/>
        <v>2.9559465389420816</v>
      </c>
      <c r="ZZ80" s="810">
        <f t="shared" si="69"/>
        <v>2.976690277922176</v>
      </c>
      <c r="AAA80" s="810">
        <f t="shared" si="69"/>
        <v>2.9972904564404712</v>
      </c>
      <c r="AAB80" s="810">
        <f t="shared" si="69"/>
        <v>3.0177500144746676</v>
      </c>
      <c r="AAC80" s="810">
        <f t="shared" si="69"/>
        <v>3.0380717930053236</v>
      </c>
      <c r="AAD80" s="810">
        <f t="shared" si="69"/>
        <v>3.0582585386208456</v>
      </c>
      <c r="AAE80" s="810">
        <f t="shared" si="69"/>
        <v>3.0783129078506688</v>
      </c>
      <c r="AAF80" s="810">
        <f t="shared" si="69"/>
        <v>3.0982374712459935</v>
      </c>
      <c r="AAG80" s="810">
        <f t="shared" si="69"/>
        <v>3.1180347172258194</v>
      </c>
      <c r="AAH80" s="810">
        <f t="shared" si="69"/>
        <v>3.137707055704567</v>
      </c>
      <c r="AAI80" s="810">
        <f t="shared" si="69"/>
        <v>3.1572568215162589</v>
      </c>
      <c r="AAJ80" s="810">
        <f t="shared" si="69"/>
        <v>3.1766862776490341</v>
      </c>
      <c r="AAK80" s="810">
        <f t="shared" si="69"/>
        <v>3.1959976183026804</v>
      </c>
      <c r="AAL80" s="810">
        <f t="shared" si="69"/>
        <v>3.2151929717808749</v>
      </c>
      <c r="AAM80" s="810">
        <f t="shared" si="69"/>
        <v>3.2342744032289317</v>
      </c>
      <c r="AAN80" s="810">
        <f t="shared" si="69"/>
        <v>3.2532439172270173</v>
      </c>
      <c r="AAO80" s="810">
        <f t="shared" si="69"/>
        <v>3.2721034602480583</v>
      </c>
      <c r="AAP80" s="810">
        <f t="shared" si="69"/>
        <v>3.2908549229888644</v>
      </c>
      <c r="AAQ80" s="810">
        <f t="shared" si="69"/>
        <v>3.3095001425823769</v>
      </c>
      <c r="AAR80" s="810">
        <f t="shared" si="69"/>
        <v>3.328040904698363</v>
      </c>
      <c r="AAS80" s="810">
        <f t="shared" si="69"/>
        <v>3.3464789455393604</v>
      </c>
      <c r="AAT80" s="1005">
        <v>1</v>
      </c>
      <c r="AAU80" s="958"/>
      <c r="AAV80" s="1058"/>
      <c r="AAW80" s="1058"/>
      <c r="AAX80" s="1058"/>
      <c r="AAY80" s="1058"/>
      <c r="AAZ80" s="1058"/>
      <c r="ABA80" s="1058"/>
      <c r="ABB80" s="159"/>
      <c r="ABC80" s="160"/>
      <c r="ABD80" s="160"/>
      <c r="ABE80" s="160"/>
      <c r="ABF80" s="160"/>
      <c r="ABG80" s="160"/>
      <c r="ABH80" s="160"/>
      <c r="ABI80" s="160"/>
      <c r="ABJ80" s="160"/>
      <c r="ABK80" s="160"/>
      <c r="ABL80" s="160"/>
      <c r="ABM80" s="160"/>
      <c r="ABN80" s="160"/>
      <c r="ABO80" s="160"/>
      <c r="ABP80" s="161"/>
      <c r="ABW80" s="653"/>
      <c r="ABX80" s="653"/>
      <c r="ABY80" s="653"/>
      <c r="ABZ80" s="653"/>
      <c r="ACA80" s="653"/>
      <c r="ACB80" s="653"/>
      <c r="ACC80" s="653"/>
      <c r="ACD80" s="653"/>
      <c r="ACE80" s="653"/>
      <c r="ACF80" s="653"/>
      <c r="ACG80" s="653"/>
      <c r="ACH80" s="653"/>
      <c r="ACI80" s="653"/>
      <c r="ACJ80" s="653"/>
      <c r="ACK80" s="653"/>
      <c r="ACL80" s="653"/>
      <c r="ACM80" s="653"/>
      <c r="ACN80" s="653"/>
      <c r="ACO80" s="653"/>
      <c r="ACP80" s="653"/>
      <c r="ACQ80" s="653"/>
      <c r="ACR80" s="856">
        <v>4</v>
      </c>
      <c r="ACS80" s="856"/>
      <c r="ACT80" s="856">
        <v>4</v>
      </c>
      <c r="ACU80" s="856"/>
      <c r="ACV80" s="1124"/>
      <c r="ACW80" s="1125"/>
      <c r="ACX80" s="1125"/>
      <c r="ACY80" s="1126"/>
      <c r="ACZ80" s="653"/>
      <c r="ADA80" s="653"/>
      <c r="ADB80" s="653"/>
      <c r="ADC80" s="653"/>
      <c r="ADD80" s="653"/>
      <c r="ADJ80" s="653"/>
      <c r="ADK80" s="653"/>
      <c r="ADX80" s="653"/>
      <c r="AES80" s="800" t="s">
        <v>1080</v>
      </c>
      <c r="AET80" s="982"/>
      <c r="AEU80" s="801"/>
      <c r="AEV80" s="951">
        <f>'Вывод расчетов'!$GW$61</f>
        <v>0.7</v>
      </c>
      <c r="AEW80" s="952"/>
      <c r="AEX80" s="82"/>
      <c r="AEY80" s="83"/>
      <c r="AEZ80" s="84"/>
      <c r="ANK80" s="130"/>
      <c r="ANL80" s="130"/>
      <c r="AQE80" s="653"/>
      <c r="AQF80" s="653"/>
      <c r="AQG80" s="653"/>
      <c r="AQH80" s="653"/>
      <c r="AQI80" s="653"/>
      <c r="AQJ80" s="653"/>
      <c r="AQK80" s="653"/>
      <c r="AQL80" s="653"/>
      <c r="AQM80" s="653"/>
      <c r="AQN80" s="653"/>
      <c r="AQO80" s="653"/>
      <c r="AQP80" s="653"/>
      <c r="AQQ80" s="653"/>
      <c r="AQR80" s="653"/>
      <c r="AQS80" s="653"/>
      <c r="AQT80" s="653"/>
      <c r="AQU80" s="653"/>
      <c r="AQV80" s="653"/>
      <c r="AQW80" s="653"/>
      <c r="AQX80" s="653"/>
      <c r="AQY80" s="653"/>
      <c r="AQZ80" s="653"/>
      <c r="ARA80" s="653"/>
      <c r="ARB80" s="653"/>
      <c r="ARC80" s="653"/>
      <c r="ARD80" s="653"/>
      <c r="ARE80" s="653"/>
      <c r="ARF80" s="653"/>
      <c r="ARG80" s="653"/>
      <c r="ARH80" s="653"/>
      <c r="ARI80" s="653"/>
      <c r="ARJ80" s="653"/>
      <c r="ARK80" s="653"/>
      <c r="ARL80" s="653"/>
      <c r="ARM80" s="653"/>
      <c r="ARN80" s="653"/>
      <c r="ARO80" s="653"/>
      <c r="ARW80" s="199"/>
      <c r="ARX80" s="852" t="s">
        <v>870</v>
      </c>
      <c r="ARY80" s="923"/>
      <c r="ARZ80" s="199"/>
      <c r="ASA80" s="1117" t="s">
        <v>143</v>
      </c>
      <c r="ASB80" s="1118"/>
      <c r="ASC80" s="1118"/>
      <c r="ASD80" s="1118"/>
      <c r="ASE80" s="1118"/>
      <c r="ASF80" s="1118"/>
      <c r="ASG80" s="1118"/>
      <c r="ASH80" s="1118"/>
      <c r="ASI80" s="1118"/>
      <c r="ASJ80" s="1118"/>
      <c r="ASK80" s="1119"/>
      <c r="ASL80" s="199"/>
    </row>
    <row r="81" spans="4:908 1049:1212" ht="48" customHeight="1" thickBot="1">
      <c r="D81" s="588">
        <v>2</v>
      </c>
      <c r="E81" s="976" t="s">
        <v>917</v>
      </c>
      <c r="F81" s="1696"/>
      <c r="G81" s="1696"/>
      <c r="H81" s="1696"/>
      <c r="I81" s="1696"/>
      <c r="J81" s="1696"/>
      <c r="K81" s="1696"/>
      <c r="L81" s="1696"/>
      <c r="M81" s="1696"/>
      <c r="N81" s="1696"/>
      <c r="O81" s="1696"/>
      <c r="P81" s="1696"/>
      <c r="Q81" s="1696"/>
      <c r="R81" s="1696"/>
      <c r="S81" s="977"/>
      <c r="AI81" s="897" t="s">
        <v>929</v>
      </c>
      <c r="AJ81" s="898"/>
      <c r="AK81" s="899"/>
      <c r="AL81" s="849"/>
      <c r="AM81" s="852" t="s">
        <v>1784</v>
      </c>
      <c r="AN81" s="853"/>
      <c r="AO81" s="123"/>
      <c r="AP81" s="78"/>
      <c r="AQ81" s="78"/>
      <c r="AR81" s="78"/>
      <c r="AS81" s="78"/>
      <c r="AT81" s="78"/>
      <c r="AU81" s="78"/>
      <c r="AV81" s="123"/>
      <c r="AW81" s="76" t="s">
        <v>441</v>
      </c>
      <c r="AX81" s="854" t="s">
        <v>435</v>
      </c>
      <c r="AY81" s="1111"/>
      <c r="AZ81" s="920" t="s">
        <v>111</v>
      </c>
      <c r="BA81" s="921"/>
      <c r="BB81" s="916" t="s">
        <v>704</v>
      </c>
      <c r="BC81" s="917"/>
      <c r="BD81" s="906" t="s">
        <v>447</v>
      </c>
      <c r="BE81" s="907"/>
      <c r="BF81" s="907"/>
      <c r="BG81" s="908"/>
      <c r="BN81" s="130"/>
      <c r="BO81" s="130"/>
      <c r="BP81" s="130"/>
      <c r="BQ81" s="130"/>
      <c r="BR81" s="130"/>
      <c r="BS81" s="130"/>
      <c r="BT81" s="130"/>
      <c r="DC81" s="1285">
        <v>-0.96599999999999997</v>
      </c>
      <c r="DD81" s="1761"/>
      <c r="DJ81" s="130"/>
      <c r="DK81" s="130"/>
      <c r="DL81" s="130"/>
      <c r="DM81" s="130"/>
      <c r="DN81" s="130"/>
      <c r="DO81" s="130"/>
      <c r="DP81" s="130"/>
      <c r="DQ81" s="130"/>
      <c r="DR81" s="130"/>
      <c r="DS81" s="130"/>
      <c r="DT81" s="130"/>
      <c r="DU81" s="130"/>
      <c r="DV81" s="130"/>
      <c r="DW81" s="130"/>
      <c r="DX81" s="130"/>
      <c r="DZ81" s="851"/>
      <c r="EA81" s="802" t="s">
        <v>1756</v>
      </c>
      <c r="EB81" s="803"/>
      <c r="EC81" s="1333">
        <f>$EJ$54</f>
        <v>0.25</v>
      </c>
      <c r="ED81" s="1334"/>
      <c r="EE81" s="956"/>
      <c r="EF81" s="956"/>
      <c r="EG81" s="956"/>
      <c r="EH81" s="956"/>
      <c r="EI81" s="956"/>
      <c r="EJ81" s="956"/>
      <c r="EK81" s="956"/>
      <c r="EL81" s="956"/>
      <c r="EM81" s="1760"/>
      <c r="EN81" s="1154"/>
      <c r="EO81" s="1155"/>
      <c r="EP81" s="1077"/>
      <c r="EQ81" s="1078"/>
      <c r="ER81" s="842"/>
      <c r="ES81" s="918"/>
      <c r="ET81" s="1082"/>
      <c r="EU81" s="919"/>
      <c r="EV81" s="848"/>
      <c r="EW81" s="1053"/>
      <c r="EX81" s="1053"/>
      <c r="EY81" s="1053"/>
      <c r="EZ81" s="1053"/>
      <c r="FA81" s="1053"/>
      <c r="FB81" s="1053"/>
      <c r="FU81" s="126"/>
      <c r="FV81" s="126"/>
      <c r="FW81" s="126"/>
      <c r="FX81" s="126"/>
      <c r="GC81" s="6"/>
      <c r="GD81" s="3"/>
      <c r="GE81" s="3"/>
      <c r="GF81" s="851"/>
      <c r="GG81" s="1060"/>
      <c r="GH81" s="1061"/>
      <c r="GI81" s="1061"/>
      <c r="GJ81" s="1062"/>
      <c r="GK81" s="777"/>
      <c r="GL81" s="778"/>
      <c r="GM81" s="778"/>
      <c r="GN81" s="778"/>
      <c r="GO81" s="778"/>
      <c r="GP81" s="778"/>
      <c r="GQ81" s="812"/>
      <c r="GR81" s="813"/>
      <c r="GS81" s="813"/>
      <c r="GT81" s="813"/>
      <c r="GU81" s="813"/>
      <c r="GV81" s="813"/>
      <c r="GW81" s="813"/>
      <c r="GX81" s="813"/>
      <c r="GY81" s="814"/>
      <c r="GZ81" s="828"/>
      <c r="HA81" s="949"/>
      <c r="HB81" s="949"/>
      <c r="HC81" s="949"/>
      <c r="HD81" s="949"/>
      <c r="HE81" s="949"/>
      <c r="HF81" s="949"/>
      <c r="HG81" s="950"/>
      <c r="IT81" s="185"/>
      <c r="IU81" s="852" t="s">
        <v>835</v>
      </c>
      <c r="IV81" s="923"/>
      <c r="IW81" s="185"/>
      <c r="IX81" s="1069" t="s">
        <v>63</v>
      </c>
      <c r="IY81" s="1070"/>
      <c r="IZ81" s="1070"/>
      <c r="JA81" s="1070"/>
      <c r="JB81" s="1070"/>
      <c r="JC81" s="1070"/>
      <c r="JD81" s="1070"/>
      <c r="JE81" s="1070"/>
      <c r="JF81" s="1070"/>
      <c r="JG81" s="1070"/>
      <c r="JH81" s="1071"/>
      <c r="JI81" s="185"/>
      <c r="MB81" s="851"/>
      <c r="MC81" s="802" t="s">
        <v>1070</v>
      </c>
      <c r="MD81" s="803"/>
      <c r="ME81" s="774">
        <f>$GU$16</f>
        <v>46</v>
      </c>
      <c r="MF81" s="774"/>
      <c r="MG81" s="1782" t="s">
        <v>726</v>
      </c>
      <c r="MH81" s="1783"/>
      <c r="MI81" s="1236"/>
      <c r="MJ81" s="1237"/>
      <c r="MK81" s="1237"/>
      <c r="ML81" s="1237"/>
      <c r="MM81" s="1237"/>
      <c r="MN81" s="1237"/>
      <c r="MO81" s="1238"/>
      <c r="MP81" s="812"/>
      <c r="MQ81" s="813"/>
      <c r="MR81" s="813"/>
      <c r="MS81" s="813"/>
      <c r="MT81" s="813"/>
      <c r="MU81" s="813"/>
      <c r="MV81" s="813"/>
      <c r="MW81" s="813"/>
      <c r="MX81" s="814"/>
      <c r="MY81" s="828"/>
      <c r="MZ81" s="949"/>
      <c r="NA81" s="949"/>
      <c r="NB81" s="949"/>
      <c r="NC81" s="950"/>
      <c r="ND81" s="130"/>
      <c r="NK81" s="1216"/>
      <c r="NL81" s="1217"/>
      <c r="NM81" s="1217"/>
      <c r="NN81" s="1217"/>
      <c r="NO81" s="1217"/>
      <c r="NP81" s="1217"/>
      <c r="NQ81" s="1217"/>
      <c r="NR81" s="1217"/>
      <c r="NS81" s="1217"/>
      <c r="NT81" s="1217"/>
      <c r="NU81" s="1217"/>
      <c r="NV81" s="1217"/>
      <c r="NW81" s="1217"/>
      <c r="NX81" s="1217"/>
      <c r="NY81" s="1217"/>
      <c r="NZ81" s="1217"/>
      <c r="OA81" s="1217"/>
      <c r="OB81" s="1217"/>
      <c r="OC81" s="1217"/>
      <c r="OD81" s="1217"/>
      <c r="OE81" s="1217"/>
      <c r="OF81" s="1218"/>
      <c r="PL81" s="850"/>
      <c r="PM81" s="473" t="s">
        <v>1060</v>
      </c>
      <c r="PN81" s="937">
        <f>$KL$72</f>
        <v>1.1666666666666667</v>
      </c>
      <c r="PO81" s="937"/>
      <c r="PP81" s="809" t="s">
        <v>149</v>
      </c>
      <c r="PQ81" s="797"/>
      <c r="PR81" s="797"/>
      <c r="PS81" s="797"/>
      <c r="PT81" s="797"/>
      <c r="PU81" s="797"/>
      <c r="PV81" s="797"/>
      <c r="PW81" s="797"/>
      <c r="PX81" s="797"/>
      <c r="PY81" s="798"/>
      <c r="PZ81" s="835">
        <f>PN81*PR80*PN82</f>
        <v>0.25155936360009118</v>
      </c>
      <c r="QA81" s="836"/>
      <c r="QB81" s="1075" t="s">
        <v>17</v>
      </c>
      <c r="QC81" s="1076"/>
      <c r="QD81" s="1066"/>
      <c r="QE81" s="1170" t="s">
        <v>1593</v>
      </c>
      <c r="QF81" s="1172"/>
      <c r="QG81" s="847"/>
      <c r="QH81" s="826"/>
      <c r="QI81" s="945"/>
      <c r="QJ81" s="945"/>
      <c r="QK81" s="945"/>
      <c r="QL81" s="945"/>
      <c r="QM81" s="946"/>
      <c r="RE81" s="653"/>
      <c r="RF81" s="653"/>
      <c r="RG81" s="653"/>
      <c r="RH81" s="653"/>
      <c r="RI81" s="653"/>
      <c r="RJ81" s="653"/>
      <c r="RK81" s="653"/>
      <c r="RL81" s="653"/>
      <c r="RM81" s="653"/>
      <c r="RN81" s="653"/>
      <c r="RO81" s="653"/>
      <c r="RP81" s="653"/>
      <c r="RQ81" s="653"/>
      <c r="RR81" s="653"/>
      <c r="RS81" s="653"/>
      <c r="RT81" s="653"/>
      <c r="RU81" s="653"/>
      <c r="RV81" s="653"/>
      <c r="RW81" s="653"/>
      <c r="RX81" s="653"/>
      <c r="RY81" s="653"/>
      <c r="RZ81" s="653"/>
      <c r="SA81" s="653"/>
      <c r="SB81" s="653"/>
      <c r="SC81" s="653"/>
      <c r="SD81" s="653"/>
      <c r="SE81" s="653"/>
      <c r="SF81" s="653"/>
      <c r="SG81" s="653"/>
      <c r="SH81" s="653"/>
      <c r="SI81" s="653"/>
      <c r="SJ81" s="653"/>
      <c r="SK81" s="653"/>
      <c r="SL81" s="653"/>
      <c r="SM81" s="653"/>
      <c r="SN81" s="653"/>
      <c r="SO81" s="653"/>
      <c r="SP81" s="653"/>
      <c r="SQ81" s="653"/>
      <c r="SR81" s="653"/>
      <c r="SS81" s="653"/>
      <c r="ST81" s="653"/>
      <c r="SU81" s="653"/>
      <c r="SV81" s="653"/>
      <c r="SW81" s="653"/>
      <c r="SX81" s="653"/>
      <c r="SY81" s="653"/>
      <c r="SZ81" s="653"/>
      <c r="TA81" s="653"/>
      <c r="TB81" s="653"/>
      <c r="TC81" s="653"/>
      <c r="TD81" s="653"/>
      <c r="TE81" s="653"/>
      <c r="TF81" s="653"/>
      <c r="TG81" s="653"/>
      <c r="TH81" s="653"/>
      <c r="TI81" s="653"/>
      <c r="TJ81" s="653"/>
      <c r="TK81" s="653"/>
      <c r="TL81" s="653"/>
      <c r="TM81" s="653"/>
      <c r="TN81" s="653"/>
      <c r="TO81" s="653"/>
      <c r="TP81" s="653"/>
      <c r="TQ81" s="653"/>
      <c r="TR81" s="653"/>
      <c r="TS81" s="653"/>
      <c r="TT81" s="653"/>
      <c r="TU81" s="653"/>
      <c r="TV81" s="653"/>
      <c r="TW81" s="653"/>
      <c r="TX81" s="653"/>
      <c r="TY81" s="653"/>
      <c r="TZ81" s="653"/>
      <c r="UA81" s="653"/>
      <c r="UB81" s="653"/>
      <c r="UC81" s="653"/>
      <c r="UD81" s="653"/>
      <c r="UE81" s="653"/>
      <c r="UF81" s="653"/>
      <c r="UG81" s="653"/>
      <c r="UH81" s="653"/>
      <c r="UI81" s="653"/>
      <c r="UJ81" s="653"/>
      <c r="UK81" s="653"/>
      <c r="UL81" s="653"/>
      <c r="UM81" s="653"/>
      <c r="UN81" s="653"/>
      <c r="UO81" s="653"/>
      <c r="UP81" s="653"/>
      <c r="UQ81" s="653"/>
      <c r="UR81" s="653"/>
      <c r="US81" s="653"/>
      <c r="UT81" s="653"/>
      <c r="UU81" s="653"/>
      <c r="UV81" s="653"/>
      <c r="UW81" s="653"/>
      <c r="UX81" s="653"/>
      <c r="UY81" s="653"/>
      <c r="UZ81" s="653"/>
      <c r="VW81" s="653"/>
      <c r="VX81" s="653"/>
      <c r="VY81" s="653"/>
      <c r="VZ81" s="653"/>
      <c r="WA81" s="653"/>
      <c r="WE81" s="754"/>
      <c r="WF81" s="755"/>
      <c r="WG81" s="169"/>
      <c r="WH81" s="170"/>
      <c r="WI81" s="170"/>
      <c r="WJ81" s="170"/>
      <c r="WK81" s="170"/>
      <c r="WL81" s="170"/>
      <c r="WM81" s="170"/>
      <c r="WN81" s="170"/>
      <c r="WO81" s="170"/>
      <c r="WP81" s="170"/>
      <c r="WQ81" s="170"/>
      <c r="WR81" s="951">
        <f>120</f>
        <v>120</v>
      </c>
      <c r="WS81" s="952"/>
      <c r="WT81" s="170"/>
      <c r="WU81" s="170"/>
      <c r="WV81" s="170"/>
      <c r="WW81" s="170"/>
      <c r="WX81" s="170"/>
      <c r="WY81" s="172"/>
      <c r="WZ81" s="1135"/>
      <c r="XA81" s="1135"/>
      <c r="XB81" s="169"/>
      <c r="XC81" s="170"/>
      <c r="XD81" s="170"/>
      <c r="XE81" s="170"/>
      <c r="XF81" s="172"/>
      <c r="XG81" s="860"/>
      <c r="XH81" s="860"/>
      <c r="XI81" s="860"/>
      <c r="XJ81" s="860"/>
      <c r="XK81" s="860"/>
      <c r="XL81" s="860"/>
      <c r="XM81" s="860"/>
      <c r="XN81" s="860"/>
      <c r="XO81" s="860"/>
      <c r="XP81" s="860"/>
      <c r="XQ81" s="860"/>
      <c r="XR81" s="860"/>
      <c r="XS81" s="860"/>
      <c r="XT81" s="860"/>
      <c r="XU81" s="860"/>
      <c r="XV81" s="860"/>
      <c r="XW81" s="860"/>
      <c r="XX81" s="1041"/>
      <c r="XY81" s="1041"/>
      <c r="XZ81" s="1041"/>
      <c r="YA81" s="1041"/>
      <c r="YB81" s="1041"/>
      <c r="YC81" s="1041"/>
      <c r="YD81" s="1041"/>
      <c r="YE81" s="1041"/>
      <c r="YF81" s="1041"/>
      <c r="YG81" s="1041"/>
      <c r="YH81" s="1041"/>
      <c r="YI81" s="1041"/>
      <c r="YJ81" s="1041"/>
      <c r="YK81" s="1041"/>
      <c r="YL81" s="1041"/>
      <c r="YM81" s="1041"/>
      <c r="YN81" s="1041"/>
      <c r="YO81" s="1041"/>
      <c r="YP81" s="1041"/>
      <c r="YQ81" s="1041"/>
      <c r="YR81" s="1041"/>
      <c r="YS81" s="1041"/>
      <c r="YT81" s="1041"/>
      <c r="YU81" s="1041"/>
      <c r="YV81" s="1041"/>
      <c r="YW81" s="1041"/>
      <c r="YX81" s="1041"/>
      <c r="YY81" s="1041"/>
      <c r="YZ81" s="1041"/>
      <c r="ZA81" s="1041"/>
      <c r="ZB81" s="1041"/>
      <c r="ZC81" s="1041"/>
      <c r="ZD81" s="1041"/>
      <c r="ZE81" s="1041"/>
      <c r="ZF81" s="1041"/>
      <c r="ZG81" s="1041"/>
      <c r="ZH81" s="1041"/>
      <c r="ZI81" s="1041"/>
      <c r="ZJ81" s="1041"/>
      <c r="ZK81" s="1041"/>
      <c r="ZL81" s="1041"/>
      <c r="ZM81" s="1041"/>
      <c r="ZN81" s="1041"/>
      <c r="ZO81" s="1041"/>
      <c r="ZP81" s="1041"/>
      <c r="ZQ81" s="1041"/>
      <c r="ZR81" s="1041"/>
      <c r="ZS81" s="1041"/>
      <c r="ZT81" s="1041"/>
      <c r="ZU81" s="1041"/>
      <c r="ZV81" s="1041"/>
      <c r="ZW81" s="1041"/>
      <c r="ZX81" s="1041"/>
      <c r="ZY81" s="1041"/>
      <c r="ZZ81" s="1041"/>
      <c r="AAA81" s="1041"/>
      <c r="AAB81" s="1041"/>
      <c r="AAC81" s="1041"/>
      <c r="AAD81" s="1041"/>
      <c r="AAE81" s="1041"/>
      <c r="AAF81" s="1041"/>
      <c r="AAG81" s="1041"/>
      <c r="AAH81" s="1041"/>
      <c r="AAI81" s="1041"/>
      <c r="AAJ81" s="1041"/>
      <c r="AAK81" s="1041"/>
      <c r="AAL81" s="1041"/>
      <c r="AAM81" s="1041"/>
      <c r="AAN81" s="1041"/>
      <c r="AAO81" s="1041"/>
      <c r="AAP81" s="1041"/>
      <c r="AAQ81" s="1041"/>
      <c r="AAR81" s="1041"/>
      <c r="AAS81" s="1041"/>
      <c r="AAT81" s="1007"/>
      <c r="AAU81" s="962"/>
      <c r="AAV81" s="1059"/>
      <c r="AAW81" s="1059"/>
      <c r="AAX81" s="1059"/>
      <c r="AAY81" s="1059"/>
      <c r="AAZ81" s="1059"/>
      <c r="ABA81" s="1059"/>
      <c r="ABB81" s="164"/>
      <c r="ABC81" s="165"/>
      <c r="ABD81" s="165"/>
      <c r="ABE81" s="165"/>
      <c r="ABF81" s="165"/>
      <c r="ABG81" s="165"/>
      <c r="ABH81" s="165"/>
      <c r="ABI81" s="165"/>
      <c r="ABJ81" s="165"/>
      <c r="ABK81" s="165"/>
      <c r="ABL81" s="165"/>
      <c r="ABM81" s="165"/>
      <c r="ABN81" s="165"/>
      <c r="ABO81" s="165"/>
      <c r="ABP81" s="166"/>
      <c r="ABW81" s="653"/>
      <c r="ABX81" s="653"/>
      <c r="ABY81" s="653"/>
      <c r="ABZ81" s="653"/>
      <c r="ACA81" s="653"/>
      <c r="ACB81" s="653"/>
      <c r="ACC81" s="653"/>
      <c r="ACD81" s="653"/>
      <c r="ACE81" s="653"/>
      <c r="ACF81" s="653"/>
      <c r="ACG81" s="653"/>
      <c r="ACH81" s="653"/>
      <c r="ACI81" s="653"/>
      <c r="ACJ81" s="653"/>
      <c r="ACK81" s="653"/>
      <c r="ACL81" s="653"/>
      <c r="ACM81" s="653"/>
      <c r="ACN81" s="653"/>
      <c r="ACO81" s="653"/>
      <c r="ACP81" s="653"/>
      <c r="ACQ81" s="653"/>
      <c r="ACR81" s="653"/>
      <c r="ACS81" s="653"/>
      <c r="ACT81" s="653"/>
      <c r="ACU81" s="653"/>
      <c r="ACV81" s="653"/>
      <c r="ACW81" s="653"/>
      <c r="ACX81" s="653"/>
      <c r="ACY81" s="653"/>
      <c r="ACZ81" s="653"/>
      <c r="ADA81" s="653"/>
      <c r="ADB81" s="653"/>
      <c r="ADC81" s="653"/>
      <c r="ADD81" s="653"/>
      <c r="ADJ81" s="653"/>
      <c r="ADK81" s="653"/>
      <c r="ADX81" s="653"/>
      <c r="AES81" s="800" t="s">
        <v>1074</v>
      </c>
      <c r="AET81" s="982"/>
      <c r="AEU81" s="801"/>
      <c r="AEV81" s="951">
        <f>'Вывод расчетов'!$GT$73</f>
        <v>7.9639464327648497</v>
      </c>
      <c r="AEW81" s="952"/>
      <c r="AEX81" s="85"/>
      <c r="AEY81" s="86"/>
      <c r="AEZ81" s="87"/>
      <c r="AGN81" s="199"/>
      <c r="AGO81" s="852" t="s">
        <v>1735</v>
      </c>
      <c r="AGP81" s="923"/>
      <c r="AGQ81" s="199"/>
      <c r="AGR81" s="1117" t="s">
        <v>1006</v>
      </c>
      <c r="AGS81" s="1118"/>
      <c r="AGT81" s="1118"/>
      <c r="AGU81" s="1118"/>
      <c r="AGV81" s="1118"/>
      <c r="AGW81" s="1118"/>
      <c r="AGX81" s="1118"/>
      <c r="AGY81" s="1118"/>
      <c r="AGZ81" s="1118"/>
      <c r="AHA81" s="1118"/>
      <c r="AHB81" s="1119"/>
      <c r="AHC81" s="199"/>
      <c r="AHV81" s="130"/>
      <c r="AHW81" s="130"/>
      <c r="AHX81" s="130"/>
      <c r="ANK81" s="130"/>
      <c r="ANL81" s="130"/>
      <c r="AQE81" s="653"/>
      <c r="AQF81" s="653"/>
      <c r="AQG81" s="653"/>
      <c r="AQH81" s="653"/>
      <c r="AQI81" s="653"/>
      <c r="AQJ81" s="653"/>
      <c r="AQK81" s="653"/>
      <c r="AQL81" s="653"/>
      <c r="AQM81" s="653"/>
      <c r="AQN81" s="653"/>
      <c r="AQO81" s="653"/>
      <c r="AQP81" s="653"/>
      <c r="AQQ81" s="653"/>
      <c r="AQR81" s="653"/>
      <c r="AQS81" s="653"/>
      <c r="AQT81" s="653"/>
      <c r="AQU81" s="653"/>
      <c r="AQV81" s="653"/>
      <c r="AQW81" s="653"/>
      <c r="AQX81" s="653"/>
      <c r="AQY81" s="653"/>
      <c r="AQZ81" s="653"/>
      <c r="ARA81" s="653"/>
      <c r="ARB81" s="653"/>
      <c r="ARC81" s="653"/>
      <c r="ARD81" s="653"/>
      <c r="ARE81" s="653"/>
      <c r="ARF81" s="653"/>
      <c r="ARG81" s="653"/>
      <c r="ARH81" s="653"/>
      <c r="ARI81" s="653"/>
      <c r="ARJ81" s="653"/>
      <c r="ARK81" s="653"/>
      <c r="ARL81" s="653"/>
      <c r="ARN81" s="906" t="s">
        <v>863</v>
      </c>
      <c r="ARO81" s="907"/>
      <c r="ARP81" s="908"/>
    </row>
    <row r="82" spans="4:908 1049:1212" ht="48" customHeight="1" thickBot="1">
      <c r="D82" s="588">
        <v>3</v>
      </c>
      <c r="E82" s="976" t="s">
        <v>939</v>
      </c>
      <c r="F82" s="1696"/>
      <c r="G82" s="1696"/>
      <c r="H82" s="1696"/>
      <c r="I82" s="1696"/>
      <c r="J82" s="1696"/>
      <c r="K82" s="1696"/>
      <c r="L82" s="1696"/>
      <c r="M82" s="1696"/>
      <c r="N82" s="1696"/>
      <c r="O82" s="1696"/>
      <c r="P82" s="1696"/>
      <c r="Q82" s="1696"/>
      <c r="R82" s="1696"/>
      <c r="S82" s="977"/>
      <c r="AI82" s="900"/>
      <c r="AJ82" s="901"/>
      <c r="AK82" s="902"/>
      <c r="AL82" s="850"/>
      <c r="AM82" s="768" t="s">
        <v>716</v>
      </c>
      <c r="AN82" s="762"/>
      <c r="AO82" s="762"/>
      <c r="AP82" s="762"/>
      <c r="AQ82" s="762"/>
      <c r="AR82" s="762"/>
      <c r="AS82" s="762"/>
      <c r="AT82" s="762"/>
      <c r="AU82" s="762"/>
      <c r="AV82" s="762"/>
      <c r="AW82" s="762"/>
      <c r="AX82" s="762"/>
      <c r="AY82" s="763"/>
      <c r="AZ82" s="1453">
        <v>0.91</v>
      </c>
      <c r="BA82" s="1454"/>
      <c r="BB82" s="1075" t="s">
        <v>705</v>
      </c>
      <c r="BC82" s="1076"/>
      <c r="BD82" s="1066"/>
      <c r="BE82" s="893" t="s">
        <v>1178</v>
      </c>
      <c r="BF82" s="894"/>
      <c r="BG82" s="847"/>
      <c r="BX82" s="897" t="s">
        <v>973</v>
      </c>
      <c r="BY82" s="898"/>
      <c r="BZ82" s="899"/>
      <c r="CA82" s="849"/>
      <c r="CB82" s="852" t="s">
        <v>24</v>
      </c>
      <c r="CC82" s="853"/>
      <c r="CD82" s="123"/>
      <c r="CE82" s="779" t="s">
        <v>1824</v>
      </c>
      <c r="CF82" s="780"/>
      <c r="CG82" s="781"/>
      <c r="CH82" s="75" t="s">
        <v>451</v>
      </c>
      <c r="CI82" s="123"/>
      <c r="CJ82" s="76" t="s">
        <v>441</v>
      </c>
      <c r="CK82" s="854" t="s">
        <v>435</v>
      </c>
      <c r="CL82" s="855"/>
      <c r="CM82" s="920" t="s">
        <v>111</v>
      </c>
      <c r="CN82" s="921"/>
      <c r="CO82" s="916" t="s">
        <v>704</v>
      </c>
      <c r="CP82" s="917"/>
      <c r="CQ82" s="906" t="s">
        <v>447</v>
      </c>
      <c r="CR82" s="907"/>
      <c r="CS82" s="907"/>
      <c r="CT82" s="908"/>
      <c r="FU82" s="126"/>
      <c r="FV82" s="126"/>
      <c r="FW82" s="126"/>
      <c r="FX82" s="126"/>
      <c r="GC82" s="6"/>
      <c r="GD82" s="3"/>
      <c r="GE82" s="3"/>
      <c r="NK82" s="1216"/>
      <c r="NL82" s="1217"/>
      <c r="NM82" s="1217"/>
      <c r="NN82" s="1217"/>
      <c r="NO82" s="1217"/>
      <c r="NP82" s="1217"/>
      <c r="NQ82" s="1217"/>
      <c r="NR82" s="1217"/>
      <c r="NS82" s="1217"/>
      <c r="NT82" s="1217"/>
      <c r="NU82" s="1217"/>
      <c r="NV82" s="1217"/>
      <c r="NW82" s="1217"/>
      <c r="NX82" s="1217"/>
      <c r="NY82" s="1217"/>
      <c r="NZ82" s="1217"/>
      <c r="OA82" s="1217"/>
      <c r="OB82" s="1217"/>
      <c r="OC82" s="1217"/>
      <c r="OD82" s="1217"/>
      <c r="OE82" s="1217"/>
      <c r="OF82" s="1218"/>
      <c r="PL82" s="851"/>
      <c r="PM82" s="474" t="s">
        <v>1059</v>
      </c>
      <c r="PN82" s="804">
        <f>$CL$95</f>
        <v>0.71874103885740337</v>
      </c>
      <c r="PO82" s="804"/>
      <c r="PP82" s="777"/>
      <c r="PQ82" s="778"/>
      <c r="PR82" s="778"/>
      <c r="PS82" s="778"/>
      <c r="PT82" s="778"/>
      <c r="PU82" s="778"/>
      <c r="PV82" s="778"/>
      <c r="PW82" s="778"/>
      <c r="PX82" s="778"/>
      <c r="PY82" s="799"/>
      <c r="PZ82" s="837"/>
      <c r="QA82" s="838"/>
      <c r="QB82" s="1077"/>
      <c r="QC82" s="1078"/>
      <c r="QD82" s="1067"/>
      <c r="QE82" s="1173"/>
      <c r="QF82" s="1175"/>
      <c r="QG82" s="848"/>
      <c r="QH82" s="828"/>
      <c r="QI82" s="949"/>
      <c r="QJ82" s="949"/>
      <c r="QK82" s="949"/>
      <c r="QL82" s="949"/>
      <c r="QM82" s="950"/>
      <c r="RE82" s="653"/>
      <c r="RF82" s="653"/>
      <c r="RG82" s="653"/>
      <c r="RH82" s="653"/>
      <c r="RI82" s="653"/>
      <c r="RJ82" s="653"/>
      <c r="RK82" s="653"/>
      <c r="RL82" s="653"/>
      <c r="RM82" s="653"/>
      <c r="RN82" s="653"/>
      <c r="RO82" s="653"/>
      <c r="RP82" s="653"/>
      <c r="RQ82" s="653"/>
      <c r="RR82" s="653"/>
      <c r="RS82" s="653"/>
      <c r="RT82" s="653"/>
      <c r="RU82" s="653"/>
      <c r="RV82" s="653"/>
      <c r="RW82" s="653"/>
      <c r="RX82" s="653"/>
      <c r="RY82" s="653"/>
      <c r="RZ82" s="653"/>
      <c r="SA82" s="653"/>
      <c r="SB82" s="653"/>
      <c r="SC82" s="653"/>
      <c r="SD82" s="653"/>
      <c r="SE82" s="653"/>
      <c r="SF82" s="653"/>
      <c r="SG82" s="653"/>
      <c r="SH82" s="653"/>
      <c r="SI82" s="653"/>
      <c r="SJ82" s="653"/>
      <c r="SK82" s="653"/>
      <c r="SL82" s="653"/>
      <c r="SM82" s="653"/>
      <c r="SN82" s="653"/>
      <c r="SO82" s="653"/>
      <c r="SP82" s="653"/>
      <c r="SQ82" s="653"/>
      <c r="SR82" s="653"/>
      <c r="SS82" s="653"/>
      <c r="ST82" s="653"/>
      <c r="SU82" s="653"/>
      <c r="SV82" s="653"/>
      <c r="SW82" s="653"/>
      <c r="SX82" s="653"/>
      <c r="SY82" s="653"/>
      <c r="SZ82" s="653"/>
      <c r="TA82" s="653"/>
      <c r="TB82" s="653"/>
      <c r="TC82" s="653"/>
      <c r="TD82" s="653"/>
      <c r="TE82" s="653"/>
      <c r="TF82" s="653"/>
      <c r="TG82" s="653"/>
      <c r="TH82" s="653"/>
      <c r="TI82" s="653"/>
      <c r="TJ82" s="653"/>
      <c r="TK82" s="653"/>
      <c r="TL82" s="653"/>
      <c r="TM82" s="653"/>
      <c r="TN82" s="653"/>
      <c r="TO82" s="653"/>
      <c r="TP82" s="653"/>
      <c r="TQ82" s="653"/>
      <c r="TR82" s="653"/>
      <c r="TS82" s="653"/>
      <c r="TT82" s="653"/>
      <c r="TU82" s="653"/>
      <c r="TV82" s="653"/>
      <c r="TW82" s="653"/>
      <c r="TX82" s="653"/>
      <c r="TY82" s="653"/>
      <c r="TZ82" s="653"/>
      <c r="UA82" s="653"/>
      <c r="UB82" s="653"/>
      <c r="UC82" s="653"/>
      <c r="UD82" s="653"/>
      <c r="UE82" s="653"/>
      <c r="UF82" s="653"/>
      <c r="UG82" s="653"/>
      <c r="UH82" s="653"/>
      <c r="UI82" s="653"/>
      <c r="UJ82" s="653"/>
      <c r="UK82" s="653"/>
      <c r="UL82" s="653"/>
      <c r="UM82" s="653"/>
      <c r="UN82" s="653"/>
      <c r="UO82" s="653"/>
      <c r="UP82" s="653"/>
      <c r="UQ82" s="653"/>
      <c r="UR82" s="653"/>
      <c r="US82" s="653"/>
      <c r="UT82" s="653"/>
      <c r="UU82" s="653"/>
      <c r="UV82" s="653"/>
      <c r="UW82" s="653"/>
      <c r="UX82" s="653"/>
      <c r="UY82" s="653"/>
      <c r="UZ82" s="653"/>
      <c r="VW82" s="653"/>
      <c r="VX82" s="653"/>
      <c r="VY82" s="653"/>
      <c r="VZ82" s="653"/>
      <c r="WA82" s="653"/>
      <c r="WE82" s="752">
        <v>2</v>
      </c>
      <c r="WF82" s="753"/>
      <c r="WG82" s="699" t="s">
        <v>1718</v>
      </c>
      <c r="WH82" s="951">
        <v>0.01</v>
      </c>
      <c r="WI82" s="952"/>
      <c r="WJ82" s="168"/>
      <c r="WK82" s="168"/>
      <c r="WL82" s="168"/>
      <c r="WM82" s="168"/>
      <c r="WN82" s="168"/>
      <c r="WO82" s="168"/>
      <c r="WP82" s="168"/>
      <c r="WQ82" s="168"/>
      <c r="WR82" s="168"/>
      <c r="WS82" s="168"/>
      <c r="WT82" s="168"/>
      <c r="WU82" s="168"/>
      <c r="WV82" s="168"/>
      <c r="WW82" s="168"/>
      <c r="WX82" s="168"/>
      <c r="WY82" s="171"/>
      <c r="WZ82" s="1085"/>
      <c r="XA82" s="1085"/>
      <c r="XB82" s="173"/>
      <c r="XC82" s="173"/>
      <c r="XD82" s="173"/>
      <c r="XE82" s="173"/>
      <c r="XF82" s="173"/>
      <c r="XG82" s="693" t="str">
        <f t="shared" ref="XG82:YL82" si="70" xml:space="preserve">
IF($ACQ$13&lt;1,"Ошибка",
IF(OR(AND($ACQ$13&gt;XG80,XG80&gt;1)*XG80=$ACQ$13),$ACO$13,
IF(OR(AND($ACQ$14&gt;XG80,XG80&gt;$ACQ$13),XG80=$ACQ$14),$ACO$14,
IF(OR(AND($ACQ$15&gt;XG80,XG80&gt;$ACQ$14),XG80=$ACQ$15),$ACO$15,
IF(OR(AND($ACQ$16&gt;XG80,XG80&gt;$ACQ$15),XG80=$ACQ$16),$ACO$16,
IF(OR(AND($ACQ$17&gt;XG80,XG80&gt;$ACQ$16),XG80=$ACQ$17),$ACO$17,
IF(OR(AND($ACQ$18&gt;XG80,XG80&gt;$ACQ$17),XG80=$ACQ$18),$ACO$18,
IF(OR(AND($ACQ$19&gt;XG80,XG80&gt;$ACQ$18),XG80=$ACQ$19),$ACO$19,
IF(OR(AND($ACQ$20&gt;XG80,XG80&gt;$ACQ$19),XG80=$ACQ$20),$ACO$20,
IF(OR(AND($ACQ$21&gt;XG80,XG80&gt;$ACQ$20),XG80=$ACQ$21),$ACO$21,
IF(OR(AND($ACQ$22&gt;XG80,XG80&gt;$ACQ$21),XG80=$ACQ$22),$ACO$22,
IF(OR(AND($ACQ$23&gt;XG80,XG80&gt;$ACQ$22),XG80=$ACQ$23),$ACO$23,
IF(OR(AND($ACQ$24&gt;XG80,XG80&gt;$ACQ$23),XG80=$ACQ$24),$ACO$24,
IF(OR(AND($ACQ$25&gt;XG80,XG80&gt;$ACQ$24),XG80=$ACQ$25),$ACO$25,
IF(OR(AND($ACQ$26&gt;XG80,XG80&gt;$ACQ$25),XG80=$ACQ$26),$ACO$26,
IF(OR(AND($ACQ$27&gt;XG80,XG80&gt;$ACQ$26),XG80=$ACQ$27),$ACO$27,
IF(OR(AND($ACQ$28&gt;XG80,XG80&gt;$ACQ$27),XG80=$ACQ$28),$ACO$28,
IF(OR(AND($ACQ$29&gt;XG80,XG80&gt;$ACQ$28),XG80=$ACQ$29),$ACO$29,
IF(OR(AND($ACQ$30&gt;XG80,XG80&gt;$ACQ$29),XG80=$ACQ$30),$ACO$30,
IF(OR(AND($ACQ$31&gt;XG80,XG80&gt;$ACQ$30),XG80=$ACQ$31),$ACO$31,
IF(OR(AND($ACQ$32&gt;XG80,XG80&gt;$ACQ$31),XG80=$ACQ$32),$ACO$32,
IF(OR(AND($ACQ$33&gt;XG80,XG80&gt;$ACQ$32),XG80=$ACQ$33),$ACO$33,
IF(OR(AND($ACQ$34&gt;XG80,XG80&gt;$ACQ$33),XG80=$ACQ$34),$ACO$34,
IF(OR(AND($ACQ$35&gt;XG80,XG80&gt;$ACQ$34),XG80=$ACQ$35),$ACO$35,
IF(OR(AND($ACQ$36&gt;XG80,XG80&gt;$ACQ$35),XG80=$ACQ$36),$ACO$36,
IF(OR(AND($ACQ$37&gt;XG80,XG80&gt;$ACQ$36),XG80=$ACQ$37),$ACO$37,
IF(OR(AND($ACQ$38&gt;XG80,XG80&gt;$ACQ$37),XG80=$ACQ$38),$ACO$38,
IF(OR(AND($ACQ$39&gt;XG80,XG80&gt;$ACQ$38),XG80=$ACQ$39),$ACO$39,
IF(OR(AND($ACQ$40&gt;XG80,XG80&gt;$ACQ$39),XG80=$ACQ$40),$ACO$40,
IF(OR(AND($ACQ$41&gt;XG80,XG80&gt;$ACQ$40),XG80=$ACQ$41),$ACO$41,
IF(OR(AND($ACQ$42&gt;XG80,XG80&gt;$ACQ$41),XG80=$ACQ$42),$ACO$42,
IF(OR(AND($ACQ$43&gt;XG80,XG80&gt;$ACQ$42),XG80=$ACQ$43),$ACO$43,
IF(OR(AND($ACQ$44&gt;XG80,XG80&gt;$ACQ$43),XG80=$ACQ$44),$ACO$44,
IF(OR(AND($ACQ$45&gt;XG80,XG80&gt;$ACQ$44),XG80=$ACQ$45),$ACO$45,
IF(OR(AND($ACQ$46&gt;XG80,XG80&gt;$ACQ$45),XG80=$ACQ$46),$ACO$46,
IF(OR(AND($ACQ$47&gt;XG80,XG80&gt;$ACQ$46),XG80=$ACQ$47),$ACO$47,
IF(OR(AND($ACQ$48&gt;XG80,XG80&gt;$ACQ$47),XG80=$ACQ$48),$ACO$48,
IF(OR(AND($ACQ$49&gt;XG80,XG80&gt;$ACQ$48),XG80=$ACQ$49),$ACO$49,
IF(OR(AND($ACQ$50&gt;XG80,XG80&gt;$ACQ$49),XG80=$ACQ$50),$ACO$50,
IF(OR(AND($ACQ$51&gt;XG80,XG80&gt;$ACQ$50),XG80=$ACQ$51),$ACO$51,
IF(OR(AND($ACQ$52&gt;XG80,XG80&gt;$ACQ$51),XG80=$ACQ$52),$ACO$52,
IF(OR(AND($ACQ$53&gt;XG80,XG80&gt;$ACQ$52),XG80=$ACQ$53),$ACO$53,
IF(OR(AND($ACQ$54&gt;XG80,XG80&gt;$ACQ$53),XG80=$ACQ$54),$ACO$54,
IF(OR(AND($ACQ$55&gt;XG80,XG80&gt;$ACQ$54),XG80=$ACQ$55),$ACO$55,
IF(OR(AND($ACQ$56&gt;XG80,XG80&gt;$ACQ$55),XG80=$ACQ$56),$ACO$56,
IF(OR(AND($ACQ$57&gt;XG80,XG80&gt;$ACQ$56),XG80=$ACQ$57),$ACO$57,
IF(OR(AND($ACQ$58&gt;XG80,XG80&gt;$ACQ$57),XG80=$ACQ$58),$ACO$58,
IF(OR(AND($ACQ$59&gt;XG80,XG80&gt;$ACQ$58),XG80=$ACQ$59),$ACO$59,
IF(OR(AND($ACQ$60&gt;XG80,XG80&gt;$ACQ$59),XG80=$ACQ$60),$ACO$60,
IF(OR(AND($ACQ$61&gt;XG80,XG80&gt;$ACQ$60),XG80=$ACQ$61),$ACO$61,
IF(OR(AND($ACQ$62&gt;XG80,XG80&gt;$ACQ$61),XG80=$ACQ$62),$ACO$62,
"Y")))))))))))))))))))))))))))))))))))))))))))))))))))</f>
        <v>Y</v>
      </c>
      <c r="XH82" s="693" t="str">
        <f t="shared" si="70"/>
        <v>Y</v>
      </c>
      <c r="XI82" s="693" t="str">
        <f t="shared" si="70"/>
        <v>Y</v>
      </c>
      <c r="XJ82" s="693" t="str">
        <f t="shared" si="70"/>
        <v>Y</v>
      </c>
      <c r="XK82" s="693" t="str">
        <f t="shared" si="70"/>
        <v>Y</v>
      </c>
      <c r="XL82" s="693" t="str">
        <f t="shared" si="70"/>
        <v>Y</v>
      </c>
      <c r="XM82" s="693" t="str">
        <f t="shared" si="70"/>
        <v>Y</v>
      </c>
      <c r="XN82" s="693" t="str">
        <f t="shared" si="70"/>
        <v>Y</v>
      </c>
      <c r="XO82" s="693">
        <f t="shared" si="70"/>
        <v>0.11999999998000002</v>
      </c>
      <c r="XP82" s="693">
        <f t="shared" si="70"/>
        <v>0.13666666663000002</v>
      </c>
      <c r="XQ82" s="693">
        <f t="shared" si="70"/>
        <v>0.15666666660999998</v>
      </c>
      <c r="XR82" s="693">
        <f t="shared" si="70"/>
        <v>0.17333333325999997</v>
      </c>
      <c r="XS82" s="693">
        <f t="shared" si="70"/>
        <v>0.18999999991000002</v>
      </c>
      <c r="XT82" s="693">
        <f t="shared" si="70"/>
        <v>0.21333333344000005</v>
      </c>
      <c r="XU82" s="693">
        <f t="shared" si="70"/>
        <v>0.24000000011999989</v>
      </c>
      <c r="XV82" s="693">
        <f t="shared" si="70"/>
        <v>0.27333333347000011</v>
      </c>
      <c r="XW82" s="693">
        <f t="shared" si="70"/>
        <v>0.30000000014999995</v>
      </c>
      <c r="XX82" s="693">
        <f t="shared" si="70"/>
        <v>0.32666666683000001</v>
      </c>
      <c r="XY82" s="693" t="str">
        <f t="shared" si="70"/>
        <v>Y</v>
      </c>
      <c r="XZ82" s="693" t="str">
        <f t="shared" si="70"/>
        <v>Y</v>
      </c>
      <c r="YA82" s="693" t="str">
        <f t="shared" si="70"/>
        <v>Y</v>
      </c>
      <c r="YB82" s="693" t="str">
        <f t="shared" si="70"/>
        <v>Y</v>
      </c>
      <c r="YC82" s="693" t="str">
        <f t="shared" si="70"/>
        <v>Y</v>
      </c>
      <c r="YD82" s="693" t="str">
        <f t="shared" si="70"/>
        <v>Y</v>
      </c>
      <c r="YE82" s="693" t="str">
        <f t="shared" si="70"/>
        <v>Y</v>
      </c>
      <c r="YF82" s="693" t="str">
        <f t="shared" si="70"/>
        <v>Y</v>
      </c>
      <c r="YG82" s="693" t="str">
        <f t="shared" si="70"/>
        <v>Y</v>
      </c>
      <c r="YH82" s="693" t="str">
        <f t="shared" si="70"/>
        <v>Y</v>
      </c>
      <c r="YI82" s="693" t="str">
        <f t="shared" si="70"/>
        <v>Y</v>
      </c>
      <c r="YJ82" s="693" t="str">
        <f t="shared" si="70"/>
        <v>Y</v>
      </c>
      <c r="YK82" s="693" t="str">
        <f t="shared" si="70"/>
        <v>Y</v>
      </c>
      <c r="YL82" s="693" t="str">
        <f t="shared" si="70"/>
        <v>Y</v>
      </c>
      <c r="YM82" s="693" t="str">
        <f t="shared" ref="YM82:ZR82" si="71" xml:space="preserve">
IF($ACQ$13&lt;1,"Ошибка",
IF(OR(AND($ACQ$13&gt;YM80,YM80&gt;1)*YM80=$ACQ$13),$ACO$13,
IF(OR(AND($ACQ$14&gt;YM80,YM80&gt;$ACQ$13),YM80=$ACQ$14),$ACO$14,
IF(OR(AND($ACQ$15&gt;YM80,YM80&gt;$ACQ$14),YM80=$ACQ$15),$ACO$15,
IF(OR(AND($ACQ$16&gt;YM80,YM80&gt;$ACQ$15),YM80=$ACQ$16),$ACO$16,
IF(OR(AND($ACQ$17&gt;YM80,YM80&gt;$ACQ$16),YM80=$ACQ$17),$ACO$17,
IF(OR(AND($ACQ$18&gt;YM80,YM80&gt;$ACQ$17),YM80=$ACQ$18),$ACO$18,
IF(OR(AND($ACQ$19&gt;YM80,YM80&gt;$ACQ$18),YM80=$ACQ$19),$ACO$19,
IF(OR(AND($ACQ$20&gt;YM80,YM80&gt;$ACQ$19),YM80=$ACQ$20),$ACO$20,
IF(OR(AND($ACQ$21&gt;YM80,YM80&gt;$ACQ$20),YM80=$ACQ$21),$ACO$21,
IF(OR(AND($ACQ$22&gt;YM80,YM80&gt;$ACQ$21),YM80=$ACQ$22),$ACO$22,
IF(OR(AND($ACQ$23&gt;YM80,YM80&gt;$ACQ$22),YM80=$ACQ$23),$ACO$23,
IF(OR(AND($ACQ$24&gt;YM80,YM80&gt;$ACQ$23),YM80=$ACQ$24),$ACO$24,
IF(OR(AND($ACQ$25&gt;YM80,YM80&gt;$ACQ$24),YM80=$ACQ$25),$ACO$25,
IF(OR(AND($ACQ$26&gt;YM80,YM80&gt;$ACQ$25),YM80=$ACQ$26),$ACO$26,
IF(OR(AND($ACQ$27&gt;YM80,YM80&gt;$ACQ$26),YM80=$ACQ$27),$ACO$27,
IF(OR(AND($ACQ$28&gt;YM80,YM80&gt;$ACQ$27),YM80=$ACQ$28),$ACO$28,
IF(OR(AND($ACQ$29&gt;YM80,YM80&gt;$ACQ$28),YM80=$ACQ$29),$ACO$29,
IF(OR(AND($ACQ$30&gt;YM80,YM80&gt;$ACQ$29),YM80=$ACQ$30),$ACO$30,
IF(OR(AND($ACQ$31&gt;YM80,YM80&gt;$ACQ$30),YM80=$ACQ$31),$ACO$31,
IF(OR(AND($ACQ$32&gt;YM80,YM80&gt;$ACQ$31),YM80=$ACQ$32),$ACO$32,
IF(OR(AND($ACQ$33&gt;YM80,YM80&gt;$ACQ$32),YM80=$ACQ$33),$ACO$33,
IF(OR(AND($ACQ$34&gt;YM80,YM80&gt;$ACQ$33),YM80=$ACQ$34),$ACO$34,
IF(OR(AND($ACQ$35&gt;YM80,YM80&gt;$ACQ$34),YM80=$ACQ$35),$ACO$35,
IF(OR(AND($ACQ$36&gt;YM80,YM80&gt;$ACQ$35),YM80=$ACQ$36),$ACO$36,
IF(OR(AND($ACQ$37&gt;YM80,YM80&gt;$ACQ$36),YM80=$ACQ$37),$ACO$37,
IF(OR(AND($ACQ$38&gt;YM80,YM80&gt;$ACQ$37),YM80=$ACQ$38),$ACO$38,
IF(OR(AND($ACQ$39&gt;YM80,YM80&gt;$ACQ$38),YM80=$ACQ$39),$ACO$39,
IF(OR(AND($ACQ$40&gt;YM80,YM80&gt;$ACQ$39),YM80=$ACQ$40),$ACO$40,
IF(OR(AND($ACQ$41&gt;YM80,YM80&gt;$ACQ$40),YM80=$ACQ$41),$ACO$41,
IF(OR(AND($ACQ$42&gt;YM80,YM80&gt;$ACQ$41),YM80=$ACQ$42),$ACO$42,
IF(OR(AND($ACQ$43&gt;YM80,YM80&gt;$ACQ$42),YM80=$ACQ$43),$ACO$43,
IF(OR(AND($ACQ$44&gt;YM80,YM80&gt;$ACQ$43),YM80=$ACQ$44),$ACO$44,
IF(OR(AND($ACQ$45&gt;YM80,YM80&gt;$ACQ$44),YM80=$ACQ$45),$ACO$45,
IF(OR(AND($ACQ$46&gt;YM80,YM80&gt;$ACQ$45),YM80=$ACQ$46),$ACO$46,
IF(OR(AND($ACQ$47&gt;YM80,YM80&gt;$ACQ$46),YM80=$ACQ$47),$ACO$47,
IF(OR(AND($ACQ$48&gt;YM80,YM80&gt;$ACQ$47),YM80=$ACQ$48),$ACO$48,
IF(OR(AND($ACQ$49&gt;YM80,YM80&gt;$ACQ$48),YM80=$ACQ$49),$ACO$49,
IF(OR(AND($ACQ$50&gt;YM80,YM80&gt;$ACQ$49),YM80=$ACQ$50),$ACO$50,
IF(OR(AND($ACQ$51&gt;YM80,YM80&gt;$ACQ$50),YM80=$ACQ$51),$ACO$51,
IF(OR(AND($ACQ$52&gt;YM80,YM80&gt;$ACQ$51),YM80=$ACQ$52),$ACO$52,
IF(OR(AND($ACQ$53&gt;YM80,YM80&gt;$ACQ$52),YM80=$ACQ$53),$ACO$53,
IF(OR(AND($ACQ$54&gt;YM80,YM80&gt;$ACQ$53),YM80=$ACQ$54),$ACO$54,
IF(OR(AND($ACQ$55&gt;YM80,YM80&gt;$ACQ$54),YM80=$ACQ$55),$ACO$55,
IF(OR(AND($ACQ$56&gt;YM80,YM80&gt;$ACQ$55),YM80=$ACQ$56),$ACO$56,
IF(OR(AND($ACQ$57&gt;YM80,YM80&gt;$ACQ$56),YM80=$ACQ$57),$ACO$57,
IF(OR(AND($ACQ$58&gt;YM80,YM80&gt;$ACQ$57),YM80=$ACQ$58),$ACO$58,
IF(OR(AND($ACQ$59&gt;YM80,YM80&gt;$ACQ$58),YM80=$ACQ$59),$ACO$59,
IF(OR(AND($ACQ$60&gt;YM80,YM80&gt;$ACQ$59),YM80=$ACQ$60),$ACO$60,
IF(OR(AND($ACQ$61&gt;YM80,YM80&gt;$ACQ$60),YM80=$ACQ$61),$ACO$61,
IF(OR(AND($ACQ$62&gt;YM80,YM80&gt;$ACQ$61),YM80=$ACQ$62),$ACO$62,
"Y")))))))))))))))))))))))))))))))))))))))))))))))))))</f>
        <v>Y</v>
      </c>
      <c r="YN82" s="693" t="str">
        <f t="shared" si="71"/>
        <v>Y</v>
      </c>
      <c r="YO82" s="693" t="str">
        <f t="shared" si="71"/>
        <v>Y</v>
      </c>
      <c r="YP82" s="693" t="str">
        <f t="shared" si="71"/>
        <v>Y</v>
      </c>
      <c r="YQ82" s="693" t="str">
        <f t="shared" si="71"/>
        <v>Y</v>
      </c>
      <c r="YR82" s="693" t="str">
        <f t="shared" si="71"/>
        <v>Y</v>
      </c>
      <c r="YS82" s="693" t="str">
        <f t="shared" si="71"/>
        <v>Y</v>
      </c>
      <c r="YT82" s="693" t="str">
        <f t="shared" si="71"/>
        <v>Y</v>
      </c>
      <c r="YU82" s="693" t="str">
        <f t="shared" si="71"/>
        <v>Y</v>
      </c>
      <c r="YV82" s="693" t="str">
        <f t="shared" si="71"/>
        <v>Y</v>
      </c>
      <c r="YW82" s="693" t="str">
        <f t="shared" si="71"/>
        <v>Y</v>
      </c>
      <c r="YX82" s="693" t="str">
        <f t="shared" si="71"/>
        <v>Y</v>
      </c>
      <c r="YY82" s="693" t="str">
        <f t="shared" si="71"/>
        <v>Y</v>
      </c>
      <c r="YZ82" s="693" t="str">
        <f t="shared" si="71"/>
        <v>Y</v>
      </c>
      <c r="ZA82" s="693" t="str">
        <f t="shared" si="71"/>
        <v>Y</v>
      </c>
      <c r="ZB82" s="693" t="str">
        <f t="shared" si="71"/>
        <v>Y</v>
      </c>
      <c r="ZC82" s="693" t="str">
        <f t="shared" si="71"/>
        <v>Y</v>
      </c>
      <c r="ZD82" s="693" t="str">
        <f t="shared" si="71"/>
        <v>Y</v>
      </c>
      <c r="ZE82" s="693" t="str">
        <f t="shared" si="71"/>
        <v>Y</v>
      </c>
      <c r="ZF82" s="693" t="str">
        <f t="shared" si="71"/>
        <v>Y</v>
      </c>
      <c r="ZG82" s="693" t="str">
        <f t="shared" si="71"/>
        <v>Y</v>
      </c>
      <c r="ZH82" s="693" t="str">
        <f t="shared" si="71"/>
        <v>Y</v>
      </c>
      <c r="ZI82" s="693" t="str">
        <f t="shared" si="71"/>
        <v>Y</v>
      </c>
      <c r="ZJ82" s="693" t="str">
        <f t="shared" si="71"/>
        <v>Y</v>
      </c>
      <c r="ZK82" s="693" t="str">
        <f t="shared" si="71"/>
        <v>Y</v>
      </c>
      <c r="ZL82" s="693" t="str">
        <f t="shared" si="71"/>
        <v>Y</v>
      </c>
      <c r="ZM82" s="693" t="str">
        <f t="shared" si="71"/>
        <v>Y</v>
      </c>
      <c r="ZN82" s="693" t="str">
        <f t="shared" si="71"/>
        <v>Y</v>
      </c>
      <c r="ZO82" s="693" t="str">
        <f t="shared" si="71"/>
        <v>Y</v>
      </c>
      <c r="ZP82" s="693" t="str">
        <f t="shared" si="71"/>
        <v>Y</v>
      </c>
      <c r="ZQ82" s="693" t="str">
        <f t="shared" si="71"/>
        <v>Y</v>
      </c>
      <c r="ZR82" s="693" t="str">
        <f t="shared" si="71"/>
        <v>Y</v>
      </c>
      <c r="ZS82" s="693" t="str">
        <f t="shared" ref="ZS82:AAS82" si="72" xml:space="preserve">
IF($ACQ$13&lt;1,"Ошибка",
IF(OR(AND($ACQ$13&gt;ZS80,ZS80&gt;1)*ZS80=$ACQ$13),$ACO$13,
IF(OR(AND($ACQ$14&gt;ZS80,ZS80&gt;$ACQ$13),ZS80=$ACQ$14),$ACO$14,
IF(OR(AND($ACQ$15&gt;ZS80,ZS80&gt;$ACQ$14),ZS80=$ACQ$15),$ACO$15,
IF(OR(AND($ACQ$16&gt;ZS80,ZS80&gt;$ACQ$15),ZS80=$ACQ$16),$ACO$16,
IF(OR(AND($ACQ$17&gt;ZS80,ZS80&gt;$ACQ$16),ZS80=$ACQ$17),$ACO$17,
IF(OR(AND($ACQ$18&gt;ZS80,ZS80&gt;$ACQ$17),ZS80=$ACQ$18),$ACO$18,
IF(OR(AND($ACQ$19&gt;ZS80,ZS80&gt;$ACQ$18),ZS80=$ACQ$19),$ACO$19,
IF(OR(AND($ACQ$20&gt;ZS80,ZS80&gt;$ACQ$19),ZS80=$ACQ$20),$ACO$20,
IF(OR(AND($ACQ$21&gt;ZS80,ZS80&gt;$ACQ$20),ZS80=$ACQ$21),$ACO$21,
IF(OR(AND($ACQ$22&gt;ZS80,ZS80&gt;$ACQ$21),ZS80=$ACQ$22),$ACO$22,
IF(OR(AND($ACQ$23&gt;ZS80,ZS80&gt;$ACQ$22),ZS80=$ACQ$23),$ACO$23,
IF(OR(AND($ACQ$24&gt;ZS80,ZS80&gt;$ACQ$23),ZS80=$ACQ$24),$ACO$24,
IF(OR(AND($ACQ$25&gt;ZS80,ZS80&gt;$ACQ$24),ZS80=$ACQ$25),$ACO$25,
IF(OR(AND($ACQ$26&gt;ZS80,ZS80&gt;$ACQ$25),ZS80=$ACQ$26),$ACO$26,
IF(OR(AND($ACQ$27&gt;ZS80,ZS80&gt;$ACQ$26),ZS80=$ACQ$27),$ACO$27,
IF(OR(AND($ACQ$28&gt;ZS80,ZS80&gt;$ACQ$27),ZS80=$ACQ$28),$ACO$28,
IF(OR(AND($ACQ$29&gt;ZS80,ZS80&gt;$ACQ$28),ZS80=$ACQ$29),$ACO$29,
IF(OR(AND($ACQ$30&gt;ZS80,ZS80&gt;$ACQ$29),ZS80=$ACQ$30),$ACO$30,
IF(OR(AND($ACQ$31&gt;ZS80,ZS80&gt;$ACQ$30),ZS80=$ACQ$31),$ACO$31,
IF(OR(AND($ACQ$32&gt;ZS80,ZS80&gt;$ACQ$31),ZS80=$ACQ$32),$ACO$32,
IF(OR(AND($ACQ$33&gt;ZS80,ZS80&gt;$ACQ$32),ZS80=$ACQ$33),$ACO$33,
IF(OR(AND($ACQ$34&gt;ZS80,ZS80&gt;$ACQ$33),ZS80=$ACQ$34),$ACO$34,
IF(OR(AND($ACQ$35&gt;ZS80,ZS80&gt;$ACQ$34),ZS80=$ACQ$35),$ACO$35,
IF(OR(AND($ACQ$36&gt;ZS80,ZS80&gt;$ACQ$35),ZS80=$ACQ$36),$ACO$36,
IF(OR(AND($ACQ$37&gt;ZS80,ZS80&gt;$ACQ$36),ZS80=$ACQ$37),$ACO$37,
IF(OR(AND($ACQ$38&gt;ZS80,ZS80&gt;$ACQ$37),ZS80=$ACQ$38),$ACO$38,
IF(OR(AND($ACQ$39&gt;ZS80,ZS80&gt;$ACQ$38),ZS80=$ACQ$39),$ACO$39,
IF(OR(AND($ACQ$40&gt;ZS80,ZS80&gt;$ACQ$39),ZS80=$ACQ$40),$ACO$40,
IF(OR(AND($ACQ$41&gt;ZS80,ZS80&gt;$ACQ$40),ZS80=$ACQ$41),$ACO$41,
IF(OR(AND($ACQ$42&gt;ZS80,ZS80&gt;$ACQ$41),ZS80=$ACQ$42),$ACO$42,
IF(OR(AND($ACQ$43&gt;ZS80,ZS80&gt;$ACQ$42),ZS80=$ACQ$43),$ACO$43,
IF(OR(AND($ACQ$44&gt;ZS80,ZS80&gt;$ACQ$43),ZS80=$ACQ$44),$ACO$44,
IF(OR(AND($ACQ$45&gt;ZS80,ZS80&gt;$ACQ$44),ZS80=$ACQ$45),$ACO$45,
IF(OR(AND($ACQ$46&gt;ZS80,ZS80&gt;$ACQ$45),ZS80=$ACQ$46),$ACO$46,
IF(OR(AND($ACQ$47&gt;ZS80,ZS80&gt;$ACQ$46),ZS80=$ACQ$47),$ACO$47,
IF(OR(AND($ACQ$48&gt;ZS80,ZS80&gt;$ACQ$47),ZS80=$ACQ$48),$ACO$48,
IF(OR(AND($ACQ$49&gt;ZS80,ZS80&gt;$ACQ$48),ZS80=$ACQ$49),$ACO$49,
IF(OR(AND($ACQ$50&gt;ZS80,ZS80&gt;$ACQ$49),ZS80=$ACQ$50),$ACO$50,
IF(OR(AND($ACQ$51&gt;ZS80,ZS80&gt;$ACQ$50),ZS80=$ACQ$51),$ACO$51,
IF(OR(AND($ACQ$52&gt;ZS80,ZS80&gt;$ACQ$51),ZS80=$ACQ$52),$ACO$52,
IF(OR(AND($ACQ$53&gt;ZS80,ZS80&gt;$ACQ$52),ZS80=$ACQ$53),$ACO$53,
IF(OR(AND($ACQ$54&gt;ZS80,ZS80&gt;$ACQ$53),ZS80=$ACQ$54),$ACO$54,
IF(OR(AND($ACQ$55&gt;ZS80,ZS80&gt;$ACQ$54),ZS80=$ACQ$55),$ACO$55,
IF(OR(AND($ACQ$56&gt;ZS80,ZS80&gt;$ACQ$55),ZS80=$ACQ$56),$ACO$56,
IF(OR(AND($ACQ$57&gt;ZS80,ZS80&gt;$ACQ$56),ZS80=$ACQ$57),$ACO$57,
IF(OR(AND($ACQ$58&gt;ZS80,ZS80&gt;$ACQ$57),ZS80=$ACQ$58),$ACO$58,
IF(OR(AND($ACQ$59&gt;ZS80,ZS80&gt;$ACQ$58),ZS80=$ACQ$59),$ACO$59,
IF(OR(AND($ACQ$60&gt;ZS80,ZS80&gt;$ACQ$59),ZS80=$ACQ$60),$ACO$60,
IF(OR(AND($ACQ$61&gt;ZS80,ZS80&gt;$ACQ$60),ZS80=$ACQ$61),$ACO$61,
IF(OR(AND($ACQ$62&gt;ZS80,ZS80&gt;$ACQ$61),ZS80=$ACQ$62),$ACO$62,
"Y")))))))))))))))))))))))))))))))))))))))))))))))))))</f>
        <v>Y</v>
      </c>
      <c r="ZT82" s="693" t="str">
        <f t="shared" si="72"/>
        <v>Y</v>
      </c>
      <c r="ZU82" s="693" t="str">
        <f t="shared" si="72"/>
        <v>Y</v>
      </c>
      <c r="ZV82" s="693" t="str">
        <f t="shared" si="72"/>
        <v>Y</v>
      </c>
      <c r="ZW82" s="693" t="str">
        <f t="shared" si="72"/>
        <v>Y</v>
      </c>
      <c r="ZX82" s="693" t="str">
        <f t="shared" si="72"/>
        <v>Y</v>
      </c>
      <c r="ZY82" s="693" t="str">
        <f t="shared" si="72"/>
        <v>Y</v>
      </c>
      <c r="ZZ82" s="693" t="str">
        <f t="shared" si="72"/>
        <v>Y</v>
      </c>
      <c r="AAA82" s="693" t="str">
        <f t="shared" si="72"/>
        <v>Y</v>
      </c>
      <c r="AAB82" s="693" t="str">
        <f t="shared" si="72"/>
        <v>Y</v>
      </c>
      <c r="AAC82" s="693" t="str">
        <f t="shared" si="72"/>
        <v>Y</v>
      </c>
      <c r="AAD82" s="693" t="str">
        <f t="shared" si="72"/>
        <v>Y</v>
      </c>
      <c r="AAE82" s="693" t="str">
        <f t="shared" si="72"/>
        <v>Y</v>
      </c>
      <c r="AAF82" s="693" t="str">
        <f t="shared" si="72"/>
        <v>Y</v>
      </c>
      <c r="AAG82" s="693" t="str">
        <f t="shared" si="72"/>
        <v>Y</v>
      </c>
      <c r="AAH82" s="693" t="str">
        <f t="shared" si="72"/>
        <v>Y</v>
      </c>
      <c r="AAI82" s="693" t="str">
        <f t="shared" si="72"/>
        <v>Y</v>
      </c>
      <c r="AAJ82" s="693" t="str">
        <f t="shared" si="72"/>
        <v>Y</v>
      </c>
      <c r="AAK82" s="693" t="str">
        <f t="shared" si="72"/>
        <v>Y</v>
      </c>
      <c r="AAL82" s="693" t="str">
        <f t="shared" si="72"/>
        <v>Y</v>
      </c>
      <c r="AAM82" s="693" t="str">
        <f t="shared" si="72"/>
        <v>Y</v>
      </c>
      <c r="AAN82" s="693" t="str">
        <f t="shared" si="72"/>
        <v>Y</v>
      </c>
      <c r="AAO82" s="693" t="str">
        <f t="shared" si="72"/>
        <v>Y</v>
      </c>
      <c r="AAP82" s="693" t="str">
        <f t="shared" si="72"/>
        <v>Y</v>
      </c>
      <c r="AAQ82" s="693" t="str">
        <f t="shared" si="72"/>
        <v>Y</v>
      </c>
      <c r="AAR82" s="693" t="str">
        <f t="shared" si="72"/>
        <v>Y</v>
      </c>
      <c r="AAS82" s="693" t="str">
        <f t="shared" si="72"/>
        <v>Y</v>
      </c>
      <c r="AAT82" s="1005">
        <v>2</v>
      </c>
      <c r="AAU82" s="960"/>
      <c r="AAV82" s="1101"/>
      <c r="AAW82" s="1101"/>
      <c r="AAX82" s="1101"/>
      <c r="AAY82" s="1101"/>
      <c r="AAZ82" s="1101"/>
      <c r="ABA82" s="1101"/>
      <c r="ABB82" s="1101"/>
      <c r="ABC82" s="1101"/>
      <c r="ABD82" s="1101"/>
      <c r="ABE82" s="1101"/>
      <c r="ABF82" s="1101"/>
      <c r="ABG82" s="1101"/>
      <c r="ABH82" s="961"/>
      <c r="ABI82" s="158"/>
      <c r="ABJ82" s="158"/>
      <c r="ABK82" s="158"/>
      <c r="ABL82" s="158"/>
      <c r="ABM82" s="158"/>
      <c r="ABN82" s="158"/>
      <c r="ABO82" s="158"/>
      <c r="ABP82" s="163"/>
      <c r="ABW82" s="653"/>
      <c r="ABX82" s="653"/>
      <c r="ABY82" s="653"/>
      <c r="ABZ82" s="653"/>
      <c r="ACA82" s="653"/>
      <c r="ACB82" s="653"/>
      <c r="ACC82" s="653"/>
      <c r="ACD82" s="653"/>
      <c r="ACE82" s="653"/>
      <c r="ACF82" s="653"/>
      <c r="ACG82" s="653"/>
      <c r="ACH82" s="653"/>
      <c r="ACI82" s="653"/>
      <c r="ACJ82" s="653"/>
      <c r="ACK82" s="653"/>
      <c r="ACL82" s="653"/>
      <c r="ACM82" s="653"/>
      <c r="ACN82" s="653"/>
      <c r="ACO82" s="653"/>
      <c r="ACP82" s="653"/>
      <c r="ACQ82" s="653"/>
      <c r="ACR82" s="653"/>
      <c r="ACS82" s="653"/>
      <c r="ACT82" s="653"/>
      <c r="ACU82" s="653"/>
      <c r="ACV82" s="653"/>
      <c r="ACW82" s="653"/>
      <c r="ACX82" s="653"/>
      <c r="ACY82" s="653"/>
      <c r="ACZ82" s="653"/>
      <c r="ADA82" s="653"/>
      <c r="ADB82" s="653"/>
      <c r="ADC82" s="653"/>
      <c r="ADD82" s="653"/>
      <c r="ADE82" s="653"/>
      <c r="ADF82" s="653"/>
      <c r="ADG82" s="653"/>
      <c r="ADH82" s="653"/>
      <c r="ADI82" s="653"/>
      <c r="ADJ82" s="653"/>
      <c r="ADK82" s="653"/>
      <c r="ADX82" s="653"/>
      <c r="AHU82" s="130"/>
      <c r="AHV82" s="130"/>
      <c r="AHW82" s="130"/>
      <c r="AHX82" s="130"/>
      <c r="ANI82" s="130"/>
      <c r="ANJ82" s="130"/>
      <c r="ANK82" s="130"/>
      <c r="ANL82" s="130"/>
      <c r="AQE82" s="653"/>
      <c r="AQF82" s="653"/>
      <c r="AQG82" s="653"/>
      <c r="AQH82" s="653"/>
      <c r="AQI82" s="653"/>
      <c r="AQJ82" s="653"/>
      <c r="AQK82" s="653"/>
      <c r="AQL82" s="653"/>
      <c r="AQM82" s="653"/>
      <c r="AQN82" s="653"/>
      <c r="AQO82" s="653"/>
      <c r="AQP82" s="653"/>
      <c r="AQQ82" s="653"/>
      <c r="AQR82" s="653"/>
      <c r="AQS82" s="653"/>
      <c r="AQT82" s="653"/>
      <c r="AQU82" s="653"/>
      <c r="AQV82" s="653"/>
      <c r="AQW82" s="653"/>
      <c r="AQX82" s="653"/>
      <c r="AQY82" s="653"/>
      <c r="AQZ82" s="653"/>
      <c r="ARA82" s="653"/>
      <c r="ARB82" s="653"/>
      <c r="ARC82" s="653"/>
      <c r="ARD82" s="653"/>
      <c r="ARE82" s="653"/>
      <c r="ARF82" s="653"/>
      <c r="ARG82" s="653"/>
      <c r="ARH82" s="653"/>
      <c r="ARI82" s="653"/>
      <c r="ARJ82" s="653"/>
      <c r="ARK82" s="653"/>
      <c r="ARL82" s="653"/>
      <c r="ARN82" s="1203" t="s">
        <v>862</v>
      </c>
      <c r="ARO82" s="1275"/>
      <c r="ARP82" s="1204"/>
      <c r="ARU82" s="849"/>
      <c r="ARV82" s="852" t="s">
        <v>416</v>
      </c>
      <c r="ARW82" s="853"/>
      <c r="ARX82" s="422"/>
      <c r="ARY82" s="78"/>
      <c r="ARZ82" s="78"/>
      <c r="ASA82" s="78"/>
      <c r="ASB82" s="78"/>
      <c r="ASC82" s="78"/>
      <c r="ASD82" s="78"/>
      <c r="ASE82" s="422"/>
      <c r="ASF82" s="76" t="s">
        <v>441</v>
      </c>
      <c r="ASG82" s="854" t="s">
        <v>435</v>
      </c>
      <c r="ASH82" s="855"/>
      <c r="ASI82" s="920" t="s">
        <v>111</v>
      </c>
      <c r="ASJ82" s="921"/>
      <c r="ASK82" s="916" t="s">
        <v>704</v>
      </c>
      <c r="ASL82" s="917"/>
      <c r="ASM82" s="906" t="s">
        <v>447</v>
      </c>
      <c r="ASN82" s="907"/>
      <c r="ASO82" s="907"/>
      <c r="ASP82" s="907"/>
      <c r="ASQ82" s="1051" t="s">
        <v>436</v>
      </c>
      <c r="ASR82" s="1051"/>
      <c r="ASS82" s="1051"/>
      <c r="AST82" s="1051"/>
      <c r="ASU82" s="1051"/>
      <c r="ASV82" s="1051"/>
      <c r="ASW82" s="1051"/>
      <c r="ASX82" s="1051"/>
      <c r="ASY82" s="1051"/>
      <c r="ASZ82" s="1051"/>
      <c r="ATA82" s="1051"/>
      <c r="ATB82" s="1051"/>
    </row>
    <row r="83" spans="4:908 1049:1212" ht="48" customHeight="1" thickBot="1">
      <c r="D83" s="588">
        <v>4</v>
      </c>
      <c r="E83" s="976" t="s">
        <v>940</v>
      </c>
      <c r="F83" s="1696"/>
      <c r="G83" s="1696"/>
      <c r="H83" s="1696"/>
      <c r="I83" s="1696"/>
      <c r="J83" s="1696"/>
      <c r="K83" s="1696"/>
      <c r="L83" s="1696"/>
      <c r="M83" s="1696"/>
      <c r="N83" s="1696"/>
      <c r="O83" s="1696"/>
      <c r="P83" s="1696"/>
      <c r="Q83" s="1696"/>
      <c r="R83" s="1696"/>
      <c r="S83" s="977"/>
      <c r="AI83" s="900"/>
      <c r="AJ83" s="901"/>
      <c r="AK83" s="902"/>
      <c r="AL83" s="850"/>
      <c r="AM83" s="880"/>
      <c r="AN83" s="881"/>
      <c r="AO83" s="881"/>
      <c r="AP83" s="881"/>
      <c r="AQ83" s="881"/>
      <c r="AR83" s="881"/>
      <c r="AS83" s="881"/>
      <c r="AT83" s="881"/>
      <c r="AU83" s="881"/>
      <c r="AV83" s="881"/>
      <c r="AW83" s="881"/>
      <c r="AX83" s="881"/>
      <c r="AY83" s="882"/>
      <c r="AZ83" s="1678"/>
      <c r="BA83" s="1874"/>
      <c r="BB83" s="1651"/>
      <c r="BC83" s="1652"/>
      <c r="BD83" s="1067"/>
      <c r="BE83" s="918"/>
      <c r="BF83" s="919"/>
      <c r="BG83" s="848"/>
      <c r="BX83" s="900"/>
      <c r="BY83" s="901"/>
      <c r="BZ83" s="902"/>
      <c r="CA83" s="850"/>
      <c r="CB83" s="810" t="s">
        <v>765</v>
      </c>
      <c r="CC83" s="770"/>
      <c r="CD83" s="770"/>
      <c r="CE83" s="770"/>
      <c r="CF83" s="770"/>
      <c r="CG83" s="770"/>
      <c r="CH83" s="770"/>
      <c r="CI83" s="770"/>
      <c r="CJ83" s="770"/>
      <c r="CK83" s="770"/>
      <c r="CL83" s="770"/>
      <c r="CM83" s="1453">
        <v>0.95799999999999996</v>
      </c>
      <c r="CN83" s="1454"/>
      <c r="CO83" s="1183" t="s">
        <v>729</v>
      </c>
      <c r="CP83" s="1184"/>
      <c r="CQ83" s="841"/>
      <c r="CR83" s="1875" t="s">
        <v>773</v>
      </c>
      <c r="CS83" s="1876"/>
      <c r="CT83" s="847"/>
      <c r="DZ83" s="76" t="s">
        <v>1653</v>
      </c>
      <c r="EA83" s="852" t="s">
        <v>416</v>
      </c>
      <c r="EB83" s="853"/>
      <c r="EC83" s="138"/>
      <c r="ED83" s="78"/>
      <c r="EE83" s="78"/>
      <c r="EF83" s="78"/>
      <c r="EG83" s="138"/>
      <c r="EH83" s="76" t="s">
        <v>441</v>
      </c>
      <c r="EI83" s="854" t="s">
        <v>435</v>
      </c>
      <c r="EJ83" s="855"/>
      <c r="EK83" s="920" t="s">
        <v>111</v>
      </c>
      <c r="EL83" s="921"/>
      <c r="EM83" s="916" t="s">
        <v>704</v>
      </c>
      <c r="EN83" s="917"/>
      <c r="EO83" s="1051" t="s">
        <v>447</v>
      </c>
      <c r="EP83" s="1051"/>
      <c r="EQ83" s="1051"/>
      <c r="ER83" s="1051"/>
      <c r="ES83" s="1051"/>
      <c r="ET83" s="1051" t="s">
        <v>436</v>
      </c>
      <c r="EU83" s="1051"/>
      <c r="EV83" s="1051"/>
      <c r="EW83" s="1051"/>
      <c r="EX83" s="1051"/>
      <c r="EY83" s="1051"/>
      <c r="EZ83" s="1051"/>
      <c r="FT83" s="126"/>
      <c r="FU83" s="126"/>
      <c r="FV83" s="126"/>
      <c r="FW83" s="126"/>
      <c r="FX83" s="126"/>
      <c r="GC83" s="6"/>
      <c r="GD83" s="3"/>
      <c r="GE83" s="3"/>
      <c r="GF83" s="76" t="s">
        <v>793</v>
      </c>
      <c r="GG83" s="852" t="s">
        <v>416</v>
      </c>
      <c r="GH83" s="923"/>
      <c r="GI83" s="239"/>
      <c r="GJ83" s="78"/>
      <c r="GK83" s="78"/>
      <c r="GL83" s="78"/>
      <c r="GM83" s="136"/>
      <c r="GN83" s="76" t="s">
        <v>441</v>
      </c>
      <c r="GO83" s="854" t="s">
        <v>435</v>
      </c>
      <c r="GP83" s="855"/>
      <c r="GQ83" s="924" t="s">
        <v>111</v>
      </c>
      <c r="GR83" s="925"/>
      <c r="GS83" s="916" t="s">
        <v>704</v>
      </c>
      <c r="GT83" s="917"/>
      <c r="GU83" s="906" t="s">
        <v>447</v>
      </c>
      <c r="GV83" s="907"/>
      <c r="GW83" s="907"/>
      <c r="GX83" s="907"/>
      <c r="GY83" s="908"/>
      <c r="GZ83" s="1051" t="s">
        <v>436</v>
      </c>
      <c r="HA83" s="1051"/>
      <c r="HB83" s="1051"/>
      <c r="HC83" s="1051"/>
      <c r="HD83" s="1051"/>
      <c r="HE83" s="1051"/>
      <c r="HF83" s="1051"/>
      <c r="HG83" s="1051"/>
      <c r="IR83" s="1052"/>
      <c r="IS83" s="852" t="s">
        <v>416</v>
      </c>
      <c r="IT83" s="923"/>
      <c r="IU83" s="517"/>
      <c r="IV83" s="78"/>
      <c r="IW83" s="78"/>
      <c r="IX83" s="78"/>
      <c r="IY83" s="78"/>
      <c r="IZ83" s="78"/>
      <c r="JA83" s="78"/>
      <c r="JB83" s="517"/>
      <c r="JC83" s="76" t="s">
        <v>441</v>
      </c>
      <c r="JD83" s="854" t="s">
        <v>435</v>
      </c>
      <c r="JE83" s="1111"/>
      <c r="JF83" s="924" t="s">
        <v>111</v>
      </c>
      <c r="JG83" s="925"/>
      <c r="JH83" s="916" t="s">
        <v>704</v>
      </c>
      <c r="JI83" s="917"/>
      <c r="JJ83" s="906" t="s">
        <v>447</v>
      </c>
      <c r="JK83" s="907"/>
      <c r="JL83" s="907"/>
      <c r="JM83" s="908"/>
      <c r="JN83" s="1051" t="s">
        <v>436</v>
      </c>
      <c r="JO83" s="1051"/>
      <c r="JP83" s="1051"/>
      <c r="JQ83" s="1051"/>
      <c r="JR83" s="1051"/>
      <c r="MD83" s="196"/>
      <c r="ME83" s="852" t="s">
        <v>833</v>
      </c>
      <c r="MF83" s="853"/>
      <c r="MG83" s="196"/>
      <c r="MH83" s="1069" t="s">
        <v>75</v>
      </c>
      <c r="MI83" s="1070"/>
      <c r="MJ83" s="1070"/>
      <c r="MK83" s="1070"/>
      <c r="ML83" s="1070"/>
      <c r="MM83" s="1070"/>
      <c r="MN83" s="1070"/>
      <c r="MO83" s="1070"/>
      <c r="MP83" s="1070"/>
      <c r="MQ83" s="1070"/>
      <c r="MR83" s="1071"/>
      <c r="MS83" s="196"/>
      <c r="NK83" s="1219"/>
      <c r="NL83" s="1220"/>
      <c r="NM83" s="1220"/>
      <c r="NN83" s="1220"/>
      <c r="NO83" s="1220"/>
      <c r="NP83" s="1220"/>
      <c r="NQ83" s="1220"/>
      <c r="NR83" s="1220"/>
      <c r="NS83" s="1220"/>
      <c r="NT83" s="1220"/>
      <c r="NU83" s="1220"/>
      <c r="NV83" s="1220"/>
      <c r="NW83" s="1220"/>
      <c r="NX83" s="1220"/>
      <c r="NY83" s="1220"/>
      <c r="NZ83" s="1220"/>
      <c r="OA83" s="1220"/>
      <c r="OB83" s="1220"/>
      <c r="OC83" s="1220"/>
      <c r="OD83" s="1220"/>
      <c r="OE83" s="1220"/>
      <c r="OF83" s="1221"/>
      <c r="QU83" s="130"/>
      <c r="QV83" s="130"/>
      <c r="QW83" s="130"/>
      <c r="RE83" s="653"/>
      <c r="RF83" s="653"/>
      <c r="RG83" s="653"/>
      <c r="RH83" s="653"/>
      <c r="RI83" s="653"/>
      <c r="RJ83" s="653"/>
      <c r="RK83" s="653"/>
      <c r="RL83" s="653"/>
      <c r="RM83" s="653"/>
      <c r="RN83" s="653"/>
      <c r="RO83" s="653"/>
      <c r="RP83" s="653"/>
      <c r="RQ83" s="653"/>
      <c r="RR83" s="653"/>
      <c r="RS83" s="653"/>
      <c r="RT83" s="653"/>
      <c r="RU83" s="653"/>
      <c r="RV83" s="653"/>
      <c r="RW83" s="653"/>
      <c r="RX83" s="653"/>
      <c r="RY83" s="653"/>
      <c r="RZ83" s="653"/>
      <c r="SA83" s="653"/>
      <c r="SB83" s="653"/>
      <c r="SC83" s="653"/>
      <c r="SD83" s="653"/>
      <c r="SE83" s="653"/>
      <c r="SF83" s="653"/>
      <c r="SG83" s="653"/>
      <c r="SH83" s="653"/>
      <c r="SI83" s="653"/>
      <c r="SJ83" s="653"/>
      <c r="SK83" s="653"/>
      <c r="SL83" s="653"/>
      <c r="SM83" s="653"/>
      <c r="SN83" s="653"/>
      <c r="SO83" s="653"/>
      <c r="SP83" s="653"/>
      <c r="SQ83" s="653"/>
      <c r="SR83" s="653"/>
      <c r="SS83" s="653"/>
      <c r="ST83" s="653"/>
      <c r="SU83" s="653"/>
      <c r="SV83" s="653"/>
      <c r="SW83" s="653"/>
      <c r="SX83" s="653"/>
      <c r="SY83" s="653"/>
      <c r="SZ83" s="653"/>
      <c r="TA83" s="653"/>
      <c r="TB83" s="653"/>
      <c r="TC83" s="653"/>
      <c r="TD83" s="653"/>
      <c r="TE83" s="653"/>
      <c r="TF83" s="653"/>
      <c r="TG83" s="653"/>
      <c r="TH83" s="653"/>
      <c r="TI83" s="653"/>
      <c r="TJ83" s="653"/>
      <c r="TK83" s="653"/>
      <c r="TL83" s="653"/>
      <c r="TM83" s="653"/>
      <c r="TN83" s="653"/>
      <c r="TO83" s="653"/>
      <c r="TP83" s="653"/>
      <c r="TQ83" s="653"/>
      <c r="TR83" s="653"/>
      <c r="TS83" s="653"/>
      <c r="TT83" s="653"/>
      <c r="TU83" s="653"/>
      <c r="TV83" s="653"/>
      <c r="TW83" s="653"/>
      <c r="TX83" s="653"/>
      <c r="TY83" s="653"/>
      <c r="TZ83" s="653"/>
      <c r="UA83" s="653"/>
      <c r="UB83" s="653"/>
      <c r="UC83" s="653"/>
      <c r="UD83" s="653"/>
      <c r="UE83" s="653"/>
      <c r="UF83" s="653"/>
      <c r="UG83" s="653"/>
      <c r="UH83" s="653"/>
      <c r="UI83" s="653"/>
      <c r="UJ83" s="653"/>
      <c r="UK83" s="653"/>
      <c r="UL83" s="653"/>
      <c r="UM83" s="653"/>
      <c r="UN83" s="653"/>
      <c r="UO83" s="653"/>
      <c r="UP83" s="653"/>
      <c r="UQ83" s="653"/>
      <c r="UR83" s="653"/>
      <c r="US83" s="653"/>
      <c r="UT83" s="653"/>
      <c r="UU83" s="653"/>
      <c r="UV83" s="653"/>
      <c r="UW83" s="653"/>
      <c r="UX83" s="653"/>
      <c r="UY83" s="653"/>
      <c r="UZ83" s="653"/>
      <c r="WE83" s="996"/>
      <c r="WF83" s="997"/>
      <c r="WG83" s="175"/>
      <c r="WH83" s="173"/>
      <c r="WI83" s="173"/>
      <c r="WJ83" s="173"/>
      <c r="WK83" s="173"/>
      <c r="WL83" s="173"/>
      <c r="WM83" s="173"/>
      <c r="WN83" s="173"/>
      <c r="WO83" s="173"/>
      <c r="WP83" s="173"/>
      <c r="WQ83" s="173"/>
      <c r="WR83" s="173"/>
      <c r="WS83" s="173"/>
      <c r="WT83" s="173"/>
      <c r="WU83" s="173"/>
      <c r="WV83" s="173"/>
      <c r="WW83" s="173"/>
      <c r="WX83" s="173"/>
      <c r="WY83" s="174"/>
      <c r="WZ83" s="1085"/>
      <c r="XA83" s="1085"/>
      <c r="XB83" s="173"/>
      <c r="XC83" s="173"/>
      <c r="XD83" s="173"/>
      <c r="XE83" s="173"/>
      <c r="XF83" s="173"/>
      <c r="XG83" s="693" t="str">
        <f t="shared" ref="XG83:YL83" si="73" xml:space="preserve">
IF($ADA$13&lt;1,"Ошибка",
IF(OR(AND($ADA$13&gt;XG80,XG80&gt;$ACQ$62),XG80 = $ADA$13),$ACY$13,
IF(OR(AND($ADA$14&gt;XG80,XG80&gt;$ADA$13),XG80 = $ADA$14),$ACY$14,
IF(OR(AND($ADA$15&gt;XG80,XG80&gt;$ADA$14),XG80 = $ADA$15),$ACY$15,
IF(OR(AND($ADA$16&gt;XG80,XG80&gt;$ADA$15),XG80 = $ADA$16),$ACY$16,
IF(OR(AND($ADA$17&gt;XG80,XG80&gt;$ADA$16),XG80 = $ADA$17),$ACY$17,
IF(OR(AND($ADA$18&gt;XG80,XG80&gt;$ADA$17),XG80 = $ADA$18),$ACY$18,
IF(OR(AND($ADA$19&gt;XG80,XG80&gt;$ADA$18),XG80 = $ADA$19),$ACY$19,
IF(OR(AND($ADA$20&gt;XG80,XG80&gt;$ADA$19),XG80 = $ADA$20),$ACY$20,
IF(OR(AND($ADA$21&gt;XG80,XG80&gt;$ADA$20),XG80 = $ADA$21),$ACY$21,
IF(OR(AND($ADA$22&gt;XG80,XG80&gt;$ADA$21),XG80 = $ADA$22),$ACY$22,
IF(OR(AND($ADA$23&gt;XG80,XG80&gt;$ADA$22),XG80 = $ADA$23),$ACY$23,
IF(OR(AND($ADA$24&gt;XG80,XG80&gt;$ADA$23),XG80 = $ADA$24),$ACY$24,
IF(OR(AND($ADA$25&gt;XG80,XG80&gt;$ADA$24),XG80 = $ADA$25),$ACY$25,
IF(OR(AND($ADA$26&gt;XG80,XG80&gt;$ADA$25),XG80 = $ADA$26),$ACY$26,
IF(OR(AND($ADA$27&gt;XG80,XG80&gt;$ADA$26),XG80 = $ADA$27),$ACY$27,
IF(OR(AND($ADA$28&gt;XG80,XG80&gt;$ADA$27),XG80 = $ADA$28),$ACY$28,
IF(OR(AND($ADA$29&gt;XG80,XG80&gt;$ADA$28),XG80 = $ADA$29),$ACY$29,
IF(OR(AND($ADA$30&gt;XG80,XG80&gt;$ADA$29),XG80 = $ADA$30),$ACY$30,
IF(OR(AND($ADA$31&gt;XG80,XG80&gt;$ADA$30),XG80 = $ADA$31),$ACY$31,
IF(OR(AND($ADA$32&gt;XG80,XG80&gt;$ADA$31),XG80 = $ADA$32),$ACY$32,
IF(OR(AND($ADA$33&gt;XG80,XG80&gt;$ADA$32),XG80 = $ADA$33),$ACY$33,
IF(OR(AND($ADA$34&gt;XG80,XG80&gt;$ADA$33),XG80 = $ADA$34),$ACY$34,
IF(OR(AND($ADA$35&gt;XG80,XG80&gt;$ADA$34),XG80 = $ADA$35),$ACY$35,
IF(OR(AND($ADA$36&gt;XG80,XG80&gt;$ADA$35),XG80 = $ADA$36),$ACY$36,
IF(OR(AND($ADA$37&gt;XG80,XG80&gt;$ADA$36),XG80 = $ADA$37),$ACY$37,
IF(OR(AND($ADA$38&gt;XG80,XG80&gt;$ADA$37),XG80 = $ADA$38),$ACY$38,
IF(OR(AND($ADA$39&gt;XG80,XG80&gt;$ADA$38),XG80 = $ADA$39),$ACY$39,
IF(OR(AND($ADA$40&gt;XG80,XG80&gt;$ADA$39),XG80 = $ADA$40),$ACY$40,
IF(OR(AND($ADA$41&gt;XG80,XG80&gt;$ADA$40),XG80 = $ADA$41),$ACY$41,
IF(OR(AND($ADA$42&gt;XG80,XG80&gt;$ADA$41),XG80 = $ADA$42),$ACY$42,
IF(OR(AND($ADA$43&gt;XG80,XG80&gt;$ADA$42),XG80 = $ADA$43),$ACY$43,
IF(OR(AND($ADA$44&gt;XG80,XG80&gt;$ADA$43),XG80 = $ADA$44),$ACY$44,
IF(OR(AND($ADA$45&gt;XG80,XG80&gt;$ADA$44),XG80 = $ADA$45),$ACY$45,
IF(OR(AND($ADA$46&gt;XG80,XG80&gt;$ADA$45),XG80 = $ADA$46),$ACY$46,
IF(OR(AND($ADA$47&gt;XG80,XG80&gt;$ADA$46),XG80 = $ADA$47),$ACY$47,
IF(OR(AND($ADA$48&gt;XG80,XG80&gt;$ADA$47),XG80 = $ADA$48),$ACY$48,
IF(OR(AND($ADA$49&gt;XG80,XG80&gt;$ADA$48),XG80 = $ADA$49),$ACY$49,
IF(OR(AND($ADA$50&gt;XG80,XG80&gt;$ADA$49),XG80 = $ADA$50),$ACY$50,
IF(OR(AND($ADA$51&gt;XG80,XG80&gt;$ADA$50),XG80 = $ADA$51),$ACY$51,
IF(OR(AND($ADA$52&gt;XG80,XG80&gt;$ADA$51),XG80 = $ADA$52),$ACY$52,
IF(OR(AND($ADA$53&gt;XG80,XG80&gt;$ADA$52),XG80 = $ADA$53),$ACY$53,
IF(OR(AND($ADA$54&gt;XG80,XG80&gt;$ADA$53),XG80 = $ADA$54),$ACY$54,
IF(OR(AND($ADA$55&gt;XG80,XG80&gt;$ADA$54),XG80 = $ADA$55),$ACY$55,
IF(OR(AND($ADA$56&gt;XG80,XG80&gt;$ADA$55),XG80 = $ADA$56),$ACY$56,
IF(OR(AND($ADA$57&gt;XG80,XG80&gt;$ADA$56),XG80 = $ADA$57),$ACY$57,
IF(OR(AND($ADA$58&gt;XG80,XG80&gt;$ADA$57),XG80 = $ADA$58),$ACY$58,
IF(OR(AND($ADA$59&gt;XG80,XG80&gt;$ADA$58),XG80 = $ADA$59),$ACY$59,
IF(OR(AND($ADA$60&gt;XG80,XG80&gt;$ADA$59),XG80 = $ADA$60),$ACY$60,
IF(OR(AND($ADA$61&gt;XG80,XG80&gt;$ADA$60),XG80 = $ADA$61),$ACY$61,
IF(OR(AND($ADA$62&gt;XG80,XG80&gt;$ADA$61),XG80 = $ADA$62),$ACY$62,
"Y")))))))))))))))))))))))))))))))))))))))))))))))))))</f>
        <v>Y</v>
      </c>
      <c r="XH83" s="693" t="str">
        <f t="shared" si="73"/>
        <v>Y</v>
      </c>
      <c r="XI83" s="693" t="str">
        <f t="shared" si="73"/>
        <v>Y</v>
      </c>
      <c r="XJ83" s="693" t="str">
        <f t="shared" si="73"/>
        <v>Y</v>
      </c>
      <c r="XK83" s="693" t="str">
        <f t="shared" si="73"/>
        <v>Y</v>
      </c>
      <c r="XL83" s="693" t="str">
        <f t="shared" si="73"/>
        <v>Y</v>
      </c>
      <c r="XM83" s="693" t="str">
        <f t="shared" si="73"/>
        <v>Y</v>
      </c>
      <c r="XN83" s="693" t="str">
        <f t="shared" si="73"/>
        <v>Y</v>
      </c>
      <c r="XO83" s="693" t="str">
        <f t="shared" si="73"/>
        <v>Y</v>
      </c>
      <c r="XP83" s="693" t="str">
        <f t="shared" si="73"/>
        <v>Y</v>
      </c>
      <c r="XQ83" s="693" t="str">
        <f t="shared" si="73"/>
        <v>Y</v>
      </c>
      <c r="XR83" s="693" t="str">
        <f t="shared" si="73"/>
        <v>Y</v>
      </c>
      <c r="XS83" s="693" t="str">
        <f t="shared" si="73"/>
        <v>Y</v>
      </c>
      <c r="XT83" s="693" t="str">
        <f t="shared" si="73"/>
        <v>Y</v>
      </c>
      <c r="XU83" s="693" t="str">
        <f t="shared" si="73"/>
        <v>Y</v>
      </c>
      <c r="XV83" s="693" t="str">
        <f t="shared" si="73"/>
        <v>Y</v>
      </c>
      <c r="XW83" s="693" t="str">
        <f t="shared" si="73"/>
        <v>Y</v>
      </c>
      <c r="XX83" s="693" t="str">
        <f t="shared" si="73"/>
        <v>Y</v>
      </c>
      <c r="XY83" s="693">
        <f t="shared" si="73"/>
        <v>0.35333333351000007</v>
      </c>
      <c r="XZ83" s="693">
        <f t="shared" si="73"/>
        <v>0.38000000019000002</v>
      </c>
      <c r="YA83" s="693">
        <f t="shared" si="73"/>
        <v>0.4099999999999997</v>
      </c>
      <c r="YB83" s="693">
        <f t="shared" si="73"/>
        <v>0.44999999999999996</v>
      </c>
      <c r="YC83" s="693">
        <f t="shared" si="73"/>
        <v>0.49</v>
      </c>
      <c r="YD83" s="693">
        <f t="shared" si="73"/>
        <v>0.52</v>
      </c>
      <c r="YE83" s="693">
        <f t="shared" si="73"/>
        <v>0.56000000000000005</v>
      </c>
      <c r="YF83" s="693">
        <f t="shared" si="73"/>
        <v>0.59000000000000008</v>
      </c>
      <c r="YG83" s="693">
        <f t="shared" si="73"/>
        <v>0.63000000000000012</v>
      </c>
      <c r="YH83" s="693">
        <f t="shared" si="73"/>
        <v>0.65999999999999992</v>
      </c>
      <c r="YI83" s="693">
        <f t="shared" si="73"/>
        <v>0.69000000000000017</v>
      </c>
      <c r="YJ83" s="693">
        <f t="shared" si="73"/>
        <v>0.7300000000000002</v>
      </c>
      <c r="YK83" s="693">
        <f t="shared" si="73"/>
        <v>0.76</v>
      </c>
      <c r="YL83" s="693">
        <f t="shared" si="73"/>
        <v>0.79</v>
      </c>
      <c r="YM83" s="693" t="str">
        <f t="shared" ref="YM83:ZR83" si="74" xml:space="preserve">
IF($ADA$13&lt;1,"Ошибка",
IF(OR(AND($ADA$13&gt;YM80,YM80&gt;$ACQ$62),YM80 = $ADA$13),$ACY$13,
IF(OR(AND($ADA$14&gt;YM80,YM80&gt;$ADA$13),YM80 = $ADA$14),$ACY$14,
IF(OR(AND($ADA$15&gt;YM80,YM80&gt;$ADA$14),YM80 = $ADA$15),$ACY$15,
IF(OR(AND($ADA$16&gt;YM80,YM80&gt;$ADA$15),YM80 = $ADA$16),$ACY$16,
IF(OR(AND($ADA$17&gt;YM80,YM80&gt;$ADA$16),YM80 = $ADA$17),$ACY$17,
IF(OR(AND($ADA$18&gt;YM80,YM80&gt;$ADA$17),YM80 = $ADA$18),$ACY$18,
IF(OR(AND($ADA$19&gt;YM80,YM80&gt;$ADA$18),YM80 = $ADA$19),$ACY$19,
IF(OR(AND($ADA$20&gt;YM80,YM80&gt;$ADA$19),YM80 = $ADA$20),$ACY$20,
IF(OR(AND($ADA$21&gt;YM80,YM80&gt;$ADA$20),YM80 = $ADA$21),$ACY$21,
IF(OR(AND($ADA$22&gt;YM80,YM80&gt;$ADA$21),YM80 = $ADA$22),$ACY$22,
IF(OR(AND($ADA$23&gt;YM80,YM80&gt;$ADA$22),YM80 = $ADA$23),$ACY$23,
IF(OR(AND($ADA$24&gt;YM80,YM80&gt;$ADA$23),YM80 = $ADA$24),$ACY$24,
IF(OR(AND($ADA$25&gt;YM80,YM80&gt;$ADA$24),YM80 = $ADA$25),$ACY$25,
IF(OR(AND($ADA$26&gt;YM80,YM80&gt;$ADA$25),YM80 = $ADA$26),$ACY$26,
IF(OR(AND($ADA$27&gt;YM80,YM80&gt;$ADA$26),YM80 = $ADA$27),$ACY$27,
IF(OR(AND($ADA$28&gt;YM80,YM80&gt;$ADA$27),YM80 = $ADA$28),$ACY$28,
IF(OR(AND($ADA$29&gt;YM80,YM80&gt;$ADA$28),YM80 = $ADA$29),$ACY$29,
IF(OR(AND($ADA$30&gt;YM80,YM80&gt;$ADA$29),YM80 = $ADA$30),$ACY$30,
IF(OR(AND($ADA$31&gt;YM80,YM80&gt;$ADA$30),YM80 = $ADA$31),$ACY$31,
IF(OR(AND($ADA$32&gt;YM80,YM80&gt;$ADA$31),YM80 = $ADA$32),$ACY$32,
IF(OR(AND($ADA$33&gt;YM80,YM80&gt;$ADA$32),YM80 = $ADA$33),$ACY$33,
IF(OR(AND($ADA$34&gt;YM80,YM80&gt;$ADA$33),YM80 = $ADA$34),$ACY$34,
IF(OR(AND($ADA$35&gt;YM80,YM80&gt;$ADA$34),YM80 = $ADA$35),$ACY$35,
IF(OR(AND($ADA$36&gt;YM80,YM80&gt;$ADA$35),YM80 = $ADA$36),$ACY$36,
IF(OR(AND($ADA$37&gt;YM80,YM80&gt;$ADA$36),YM80 = $ADA$37),$ACY$37,
IF(OR(AND($ADA$38&gt;YM80,YM80&gt;$ADA$37),YM80 = $ADA$38),$ACY$38,
IF(OR(AND($ADA$39&gt;YM80,YM80&gt;$ADA$38),YM80 = $ADA$39),$ACY$39,
IF(OR(AND($ADA$40&gt;YM80,YM80&gt;$ADA$39),YM80 = $ADA$40),$ACY$40,
IF(OR(AND($ADA$41&gt;YM80,YM80&gt;$ADA$40),YM80 = $ADA$41),$ACY$41,
IF(OR(AND($ADA$42&gt;YM80,YM80&gt;$ADA$41),YM80 = $ADA$42),$ACY$42,
IF(OR(AND($ADA$43&gt;YM80,YM80&gt;$ADA$42),YM80 = $ADA$43),$ACY$43,
IF(OR(AND($ADA$44&gt;YM80,YM80&gt;$ADA$43),YM80 = $ADA$44),$ACY$44,
IF(OR(AND($ADA$45&gt;YM80,YM80&gt;$ADA$44),YM80 = $ADA$45),$ACY$45,
IF(OR(AND($ADA$46&gt;YM80,YM80&gt;$ADA$45),YM80 = $ADA$46),$ACY$46,
IF(OR(AND($ADA$47&gt;YM80,YM80&gt;$ADA$46),YM80 = $ADA$47),$ACY$47,
IF(OR(AND($ADA$48&gt;YM80,YM80&gt;$ADA$47),YM80 = $ADA$48),$ACY$48,
IF(OR(AND($ADA$49&gt;YM80,YM80&gt;$ADA$48),YM80 = $ADA$49),$ACY$49,
IF(OR(AND($ADA$50&gt;YM80,YM80&gt;$ADA$49),YM80 = $ADA$50),$ACY$50,
IF(OR(AND($ADA$51&gt;YM80,YM80&gt;$ADA$50),YM80 = $ADA$51),$ACY$51,
IF(OR(AND($ADA$52&gt;YM80,YM80&gt;$ADA$51),YM80 = $ADA$52),$ACY$52,
IF(OR(AND($ADA$53&gt;YM80,YM80&gt;$ADA$52),YM80 = $ADA$53),$ACY$53,
IF(OR(AND($ADA$54&gt;YM80,YM80&gt;$ADA$53),YM80 = $ADA$54),$ACY$54,
IF(OR(AND($ADA$55&gt;YM80,YM80&gt;$ADA$54),YM80 = $ADA$55),$ACY$55,
IF(OR(AND($ADA$56&gt;YM80,YM80&gt;$ADA$55),YM80 = $ADA$56),$ACY$56,
IF(OR(AND($ADA$57&gt;YM80,YM80&gt;$ADA$56),YM80 = $ADA$57),$ACY$57,
IF(OR(AND($ADA$58&gt;YM80,YM80&gt;$ADA$57),YM80 = $ADA$58),$ACY$58,
IF(OR(AND($ADA$59&gt;YM80,YM80&gt;$ADA$58),YM80 = $ADA$59),$ACY$59,
IF(OR(AND($ADA$60&gt;YM80,YM80&gt;$ADA$59),YM80 = $ADA$60),$ACY$60,
IF(OR(AND($ADA$61&gt;YM80,YM80&gt;$ADA$60),YM80 = $ADA$61),$ACY$61,
IF(OR(AND($ADA$62&gt;YM80,YM80&gt;$ADA$61),YM80 = $ADA$62),$ACY$62,
"Y")))))))))))))))))))))))))))))))))))))))))))))))))))</f>
        <v>Y</v>
      </c>
      <c r="YN83" s="693" t="str">
        <f t="shared" si="74"/>
        <v>Y</v>
      </c>
      <c r="YO83" s="693" t="str">
        <f t="shared" si="74"/>
        <v>Y</v>
      </c>
      <c r="YP83" s="693" t="str">
        <f t="shared" si="74"/>
        <v>Y</v>
      </c>
      <c r="YQ83" s="693" t="str">
        <f t="shared" si="74"/>
        <v>Y</v>
      </c>
      <c r="YR83" s="693" t="str">
        <f t="shared" si="74"/>
        <v>Y</v>
      </c>
      <c r="YS83" s="693" t="str">
        <f t="shared" si="74"/>
        <v>Y</v>
      </c>
      <c r="YT83" s="693" t="str">
        <f t="shared" si="74"/>
        <v>Y</v>
      </c>
      <c r="YU83" s="693" t="str">
        <f t="shared" si="74"/>
        <v>Y</v>
      </c>
      <c r="YV83" s="693" t="str">
        <f t="shared" si="74"/>
        <v>Y</v>
      </c>
      <c r="YW83" s="693" t="str">
        <f t="shared" si="74"/>
        <v>Y</v>
      </c>
      <c r="YX83" s="693" t="str">
        <f t="shared" si="74"/>
        <v>Y</v>
      </c>
      <c r="YY83" s="693" t="str">
        <f t="shared" si="74"/>
        <v>Y</v>
      </c>
      <c r="YZ83" s="693" t="str">
        <f t="shared" si="74"/>
        <v>Y</v>
      </c>
      <c r="ZA83" s="693" t="str">
        <f t="shared" si="74"/>
        <v>Y</v>
      </c>
      <c r="ZB83" s="693" t="str">
        <f t="shared" si="74"/>
        <v>Y</v>
      </c>
      <c r="ZC83" s="693" t="str">
        <f t="shared" si="74"/>
        <v>Y</v>
      </c>
      <c r="ZD83" s="693" t="str">
        <f t="shared" si="74"/>
        <v>Y</v>
      </c>
      <c r="ZE83" s="693" t="str">
        <f t="shared" si="74"/>
        <v>Y</v>
      </c>
      <c r="ZF83" s="693" t="str">
        <f t="shared" si="74"/>
        <v>Y</v>
      </c>
      <c r="ZG83" s="693" t="str">
        <f t="shared" si="74"/>
        <v>Y</v>
      </c>
      <c r="ZH83" s="693" t="str">
        <f t="shared" si="74"/>
        <v>Y</v>
      </c>
      <c r="ZI83" s="693" t="str">
        <f t="shared" si="74"/>
        <v>Y</v>
      </c>
      <c r="ZJ83" s="693" t="str">
        <f t="shared" si="74"/>
        <v>Y</v>
      </c>
      <c r="ZK83" s="693" t="str">
        <f t="shared" si="74"/>
        <v>Y</v>
      </c>
      <c r="ZL83" s="693" t="str">
        <f t="shared" si="74"/>
        <v>Y</v>
      </c>
      <c r="ZM83" s="693" t="str">
        <f t="shared" si="74"/>
        <v>Y</v>
      </c>
      <c r="ZN83" s="693" t="str">
        <f t="shared" si="74"/>
        <v>Y</v>
      </c>
      <c r="ZO83" s="693" t="str">
        <f t="shared" si="74"/>
        <v>Y</v>
      </c>
      <c r="ZP83" s="693" t="str">
        <f t="shared" si="74"/>
        <v>Y</v>
      </c>
      <c r="ZQ83" s="693" t="str">
        <f t="shared" si="74"/>
        <v>Y</v>
      </c>
      <c r="ZR83" s="693" t="str">
        <f t="shared" si="74"/>
        <v>Y</v>
      </c>
      <c r="ZS83" s="693" t="str">
        <f t="shared" ref="ZS83:AAS83" si="75" xml:space="preserve">
IF($ADA$13&lt;1,"Ошибка",
IF(OR(AND($ADA$13&gt;ZS80,ZS80&gt;$ACQ$62),ZS80 = $ADA$13),$ACY$13,
IF(OR(AND($ADA$14&gt;ZS80,ZS80&gt;$ADA$13),ZS80 = $ADA$14),$ACY$14,
IF(OR(AND($ADA$15&gt;ZS80,ZS80&gt;$ADA$14),ZS80 = $ADA$15),$ACY$15,
IF(OR(AND($ADA$16&gt;ZS80,ZS80&gt;$ADA$15),ZS80 = $ADA$16),$ACY$16,
IF(OR(AND($ADA$17&gt;ZS80,ZS80&gt;$ADA$16),ZS80 = $ADA$17),$ACY$17,
IF(OR(AND($ADA$18&gt;ZS80,ZS80&gt;$ADA$17),ZS80 = $ADA$18),$ACY$18,
IF(OR(AND($ADA$19&gt;ZS80,ZS80&gt;$ADA$18),ZS80 = $ADA$19),$ACY$19,
IF(OR(AND($ADA$20&gt;ZS80,ZS80&gt;$ADA$19),ZS80 = $ADA$20),$ACY$20,
IF(OR(AND($ADA$21&gt;ZS80,ZS80&gt;$ADA$20),ZS80 = $ADA$21),$ACY$21,
IF(OR(AND($ADA$22&gt;ZS80,ZS80&gt;$ADA$21),ZS80 = $ADA$22),$ACY$22,
IF(OR(AND($ADA$23&gt;ZS80,ZS80&gt;$ADA$22),ZS80 = $ADA$23),$ACY$23,
IF(OR(AND($ADA$24&gt;ZS80,ZS80&gt;$ADA$23),ZS80 = $ADA$24),$ACY$24,
IF(OR(AND($ADA$25&gt;ZS80,ZS80&gt;$ADA$24),ZS80 = $ADA$25),$ACY$25,
IF(OR(AND($ADA$26&gt;ZS80,ZS80&gt;$ADA$25),ZS80 = $ADA$26),$ACY$26,
IF(OR(AND($ADA$27&gt;ZS80,ZS80&gt;$ADA$26),ZS80 = $ADA$27),$ACY$27,
IF(OR(AND($ADA$28&gt;ZS80,ZS80&gt;$ADA$27),ZS80 = $ADA$28),$ACY$28,
IF(OR(AND($ADA$29&gt;ZS80,ZS80&gt;$ADA$28),ZS80 = $ADA$29),$ACY$29,
IF(OR(AND($ADA$30&gt;ZS80,ZS80&gt;$ADA$29),ZS80 = $ADA$30),$ACY$30,
IF(OR(AND($ADA$31&gt;ZS80,ZS80&gt;$ADA$30),ZS80 = $ADA$31),$ACY$31,
IF(OR(AND($ADA$32&gt;ZS80,ZS80&gt;$ADA$31),ZS80 = $ADA$32),$ACY$32,
IF(OR(AND($ADA$33&gt;ZS80,ZS80&gt;$ADA$32),ZS80 = $ADA$33),$ACY$33,
IF(OR(AND($ADA$34&gt;ZS80,ZS80&gt;$ADA$33),ZS80 = $ADA$34),$ACY$34,
IF(OR(AND($ADA$35&gt;ZS80,ZS80&gt;$ADA$34),ZS80 = $ADA$35),$ACY$35,
IF(OR(AND($ADA$36&gt;ZS80,ZS80&gt;$ADA$35),ZS80 = $ADA$36),$ACY$36,
IF(OR(AND($ADA$37&gt;ZS80,ZS80&gt;$ADA$36),ZS80 = $ADA$37),$ACY$37,
IF(OR(AND($ADA$38&gt;ZS80,ZS80&gt;$ADA$37),ZS80 = $ADA$38),$ACY$38,
IF(OR(AND($ADA$39&gt;ZS80,ZS80&gt;$ADA$38),ZS80 = $ADA$39),$ACY$39,
IF(OR(AND($ADA$40&gt;ZS80,ZS80&gt;$ADA$39),ZS80 = $ADA$40),$ACY$40,
IF(OR(AND($ADA$41&gt;ZS80,ZS80&gt;$ADA$40),ZS80 = $ADA$41),$ACY$41,
IF(OR(AND($ADA$42&gt;ZS80,ZS80&gt;$ADA$41),ZS80 = $ADA$42),$ACY$42,
IF(OR(AND($ADA$43&gt;ZS80,ZS80&gt;$ADA$42),ZS80 = $ADA$43),$ACY$43,
IF(OR(AND($ADA$44&gt;ZS80,ZS80&gt;$ADA$43),ZS80 = $ADA$44),$ACY$44,
IF(OR(AND($ADA$45&gt;ZS80,ZS80&gt;$ADA$44),ZS80 = $ADA$45),$ACY$45,
IF(OR(AND($ADA$46&gt;ZS80,ZS80&gt;$ADA$45),ZS80 = $ADA$46),$ACY$46,
IF(OR(AND($ADA$47&gt;ZS80,ZS80&gt;$ADA$46),ZS80 = $ADA$47),$ACY$47,
IF(OR(AND($ADA$48&gt;ZS80,ZS80&gt;$ADA$47),ZS80 = $ADA$48),$ACY$48,
IF(OR(AND($ADA$49&gt;ZS80,ZS80&gt;$ADA$48),ZS80 = $ADA$49),$ACY$49,
IF(OR(AND($ADA$50&gt;ZS80,ZS80&gt;$ADA$49),ZS80 = $ADA$50),$ACY$50,
IF(OR(AND($ADA$51&gt;ZS80,ZS80&gt;$ADA$50),ZS80 = $ADA$51),$ACY$51,
IF(OR(AND($ADA$52&gt;ZS80,ZS80&gt;$ADA$51),ZS80 = $ADA$52),$ACY$52,
IF(OR(AND($ADA$53&gt;ZS80,ZS80&gt;$ADA$52),ZS80 = $ADA$53),$ACY$53,
IF(OR(AND($ADA$54&gt;ZS80,ZS80&gt;$ADA$53),ZS80 = $ADA$54),$ACY$54,
IF(OR(AND($ADA$55&gt;ZS80,ZS80&gt;$ADA$54),ZS80 = $ADA$55),$ACY$55,
IF(OR(AND($ADA$56&gt;ZS80,ZS80&gt;$ADA$55),ZS80 = $ADA$56),$ACY$56,
IF(OR(AND($ADA$57&gt;ZS80,ZS80&gt;$ADA$56),ZS80 = $ADA$57),$ACY$57,
IF(OR(AND($ADA$58&gt;ZS80,ZS80&gt;$ADA$57),ZS80 = $ADA$58),$ACY$58,
IF(OR(AND($ADA$59&gt;ZS80,ZS80&gt;$ADA$58),ZS80 = $ADA$59),$ACY$59,
IF(OR(AND($ADA$60&gt;ZS80,ZS80&gt;$ADA$59),ZS80 = $ADA$60),$ACY$60,
IF(OR(AND($ADA$61&gt;ZS80,ZS80&gt;$ADA$60),ZS80 = $ADA$61),$ACY$61,
IF(OR(AND($ADA$62&gt;ZS80,ZS80&gt;$ADA$61),ZS80 = $ADA$62),$ACY$62,
"Y")))))))))))))))))))))))))))))))))))))))))))))))))))</f>
        <v>Y</v>
      </c>
      <c r="ZT83" s="693" t="str">
        <f t="shared" si="75"/>
        <v>Y</v>
      </c>
      <c r="ZU83" s="693" t="str">
        <f t="shared" si="75"/>
        <v>Y</v>
      </c>
      <c r="ZV83" s="693" t="str">
        <f t="shared" si="75"/>
        <v>Y</v>
      </c>
      <c r="ZW83" s="693" t="str">
        <f t="shared" si="75"/>
        <v>Y</v>
      </c>
      <c r="ZX83" s="693" t="str">
        <f t="shared" si="75"/>
        <v>Y</v>
      </c>
      <c r="ZY83" s="693" t="str">
        <f t="shared" si="75"/>
        <v>Y</v>
      </c>
      <c r="ZZ83" s="693" t="str">
        <f t="shared" si="75"/>
        <v>Y</v>
      </c>
      <c r="AAA83" s="693" t="str">
        <f t="shared" si="75"/>
        <v>Y</v>
      </c>
      <c r="AAB83" s="693" t="str">
        <f t="shared" si="75"/>
        <v>Y</v>
      </c>
      <c r="AAC83" s="693" t="str">
        <f t="shared" si="75"/>
        <v>Y</v>
      </c>
      <c r="AAD83" s="693" t="str">
        <f t="shared" si="75"/>
        <v>Y</v>
      </c>
      <c r="AAE83" s="693" t="str">
        <f t="shared" si="75"/>
        <v>Y</v>
      </c>
      <c r="AAF83" s="693" t="str">
        <f t="shared" si="75"/>
        <v>Y</v>
      </c>
      <c r="AAG83" s="693" t="str">
        <f t="shared" si="75"/>
        <v>Y</v>
      </c>
      <c r="AAH83" s="693" t="str">
        <f t="shared" si="75"/>
        <v>Y</v>
      </c>
      <c r="AAI83" s="693" t="str">
        <f t="shared" si="75"/>
        <v>Y</v>
      </c>
      <c r="AAJ83" s="693" t="str">
        <f t="shared" si="75"/>
        <v>Y</v>
      </c>
      <c r="AAK83" s="693" t="str">
        <f t="shared" si="75"/>
        <v>Y</v>
      </c>
      <c r="AAL83" s="693" t="str">
        <f t="shared" si="75"/>
        <v>Y</v>
      </c>
      <c r="AAM83" s="693" t="str">
        <f t="shared" si="75"/>
        <v>Y</v>
      </c>
      <c r="AAN83" s="693" t="str">
        <f t="shared" si="75"/>
        <v>Y</v>
      </c>
      <c r="AAO83" s="693" t="str">
        <f t="shared" si="75"/>
        <v>Y</v>
      </c>
      <c r="AAP83" s="693" t="str">
        <f t="shared" si="75"/>
        <v>Y</v>
      </c>
      <c r="AAQ83" s="693" t="str">
        <f t="shared" si="75"/>
        <v>Y</v>
      </c>
      <c r="AAR83" s="693" t="str">
        <f t="shared" si="75"/>
        <v>Y</v>
      </c>
      <c r="AAS83" s="693" t="str">
        <f t="shared" si="75"/>
        <v>Y</v>
      </c>
      <c r="AAT83" s="1006"/>
      <c r="AAU83" s="960"/>
      <c r="AAV83" s="1101"/>
      <c r="AAW83" s="1101"/>
      <c r="AAX83" s="1101"/>
      <c r="AAY83" s="1101"/>
      <c r="AAZ83" s="1101"/>
      <c r="ABA83" s="1101"/>
      <c r="ABB83" s="1101"/>
      <c r="ABC83" s="1101"/>
      <c r="ABD83" s="1101"/>
      <c r="ABE83" s="1101"/>
      <c r="ABF83" s="1101"/>
      <c r="ABG83" s="1101"/>
      <c r="ABH83" s="961"/>
      <c r="ABI83" s="158"/>
      <c r="ABJ83" s="158"/>
      <c r="ABK83" s="158"/>
      <c r="ABL83" s="158"/>
      <c r="ABM83" s="158"/>
      <c r="ABN83" s="158"/>
      <c r="ABO83" s="158"/>
      <c r="ABP83" s="163"/>
      <c r="ABT83" s="1287" t="s">
        <v>1584</v>
      </c>
      <c r="ABU83" s="1287"/>
      <c r="ABV83" s="1287"/>
      <c r="ABW83" s="1287"/>
      <c r="ABX83" s="1287"/>
      <c r="ABY83" s="1287"/>
      <c r="ABZ83" s="1287"/>
      <c r="ACA83" s="1287"/>
      <c r="ACB83" s="1287"/>
      <c r="ACC83" s="1287"/>
      <c r="ACD83" s="1287"/>
      <c r="ACE83" s="1287"/>
      <c r="ACF83" s="1287"/>
      <c r="ACG83" s="1287"/>
      <c r="ACH83" s="981"/>
      <c r="ACJ83" s="800" t="s">
        <v>1442</v>
      </c>
      <c r="ACK83" s="982"/>
      <c r="ACL83" s="801"/>
      <c r="ACM83" s="951">
        <f>$AHB$33</f>
        <v>1.8595658001541595</v>
      </c>
      <c r="ACN83" s="952"/>
      <c r="ACO83" s="983" t="s">
        <v>1689</v>
      </c>
      <c r="ACP83" s="984"/>
      <c r="ACQ83" s="985" t="str">
        <f>IF(ACQ85&lt;1,"Ошибка",
IF(OR(AND(ACQ85&gt;ACM83,ACM83&gt;1    ),ACM83 = ACQ85),ACO85,
IF(OR(AND(ACQ86&gt;ACM83,ACM83&gt;ACQ85),ACM83 = ACQ86),ACO86,
IF(OR(AND(ACQ87&gt;ACM83,ACM83&gt;ACQ86),ACM83 = ACQ87),ACO87,
IF(OR(AND(ACQ88&gt;ACM83,ACM83&gt;ACQ87),ACM83 = ACQ88),ACO88,
IF(OR(AND(ACQ89&gt;ACM83,ACM83&gt;ACQ88),ACM83 = ACQ89),ACO89,
IF(OR(AND(ACQ90&gt;ACM83,ACM83&gt;ACQ89),ACM83 = ACQ90),ACO90,
IF(OR(AND(ACQ91&gt;ACM83,ACM83&gt;ACQ90),ACM83 = ACQ91),ACO91,
IF(OR(AND(ACQ92&gt;ACM83,ACM83&gt;ACQ91),ACM83 = ACQ92),ACO92,
IF(OR(AND(ACQ93&gt;ACM83,ACM83&gt;ACQ92),ACM83 = ACQ93),ACO93,
IF(OR(AND(ACQ94&gt;ACM83,ACM83&gt;ACQ93),ACM83 = ACQ94),ACO94,
IF(OR(AND(ACQ95&gt;ACM83,ACM83&gt;ACQ94),ACM83 = ACQ95),ACO95,
IF(OR(AND(ACQ96&gt;ACM83,ACM83&gt;ACQ95),ACM83 = ACQ96),ACO96,
IF(OR(AND(ACQ97&gt;ACM83,ACM83&gt;ACQ96),ACM83 = ACQ97),ACO97,
IF(OR(AND(ACQ98&gt;ACM83,ACM83&gt;ACQ97),ACM83 = ACQ98),ACO98,
IF(OR(AND(ACQ99&gt;ACM83,ACM83&gt;ACQ98),ACM83 = ACQ99),ACO99,
IF(OR(AND(ACQ100&gt;ACM83,ACM83&gt;ACQ99),ACM83 = ACQ100),ACO100,
IF(OR(AND(ACQ101&gt;ACM83,ACM83&gt;ACQ100),ACM83 = ACQ101),ACO101,
IF(OR(AND(ACQ102&gt;ACM83,ACM83&gt;ACQ101),ACM83 = ACQ102),ACO102,
IF(OR(AND(ACQ103&gt;ACM83,ACM83&gt;ACQ102),ACM83 = ACQ103),ACO103,
IF(OR(AND(ACQ104&gt;ACM83,ACM83&gt;ACQ103),ACM83 = ACQ104),ACO104,
IF(OR(AND(ACQ105&gt;ACM83,ACM83&gt;ACQ104),ACM83 = ACQ105),ACO105,
IF(OR(AND(ACQ106&gt;ACM83,ACM83&gt;ACQ105),ACM83 = ACQ106),ACO106,
IF(OR(AND(ACQ107&gt;ACM83,ACM83&gt;ACQ106),ACM83 = ACQ107),ACO107,
IF(OR(AND(ACQ108&gt;ACM83,ACM83&gt;ACQ107),ACM83 = ACQ108),ACO108,
IF(OR(AND(ACQ109&gt;ACM83,ACM83&gt;ACQ108),ACM83 = ACQ109),ACO109,
IF(OR(AND(ACQ110&gt;ACM83,ACM83&gt;ACQ109),ACM83 = ACQ110),ACO110,
IF(OR(AND(ACQ111&gt;ACM83,ACM83&gt;ACQ110),ACM83 = ACQ111),ACO111,
IF(OR(AND(ACQ112&gt;ACM83,ACM83&gt;ACQ111),ACM83 = ACQ112),ACO112,
IF(OR(AND(ACQ113&gt;ACM83,ACM83&gt;ACQ112),ACM83 = ACQ113),ACO113,
IF(OR(AND(ACQ114&gt;ACM83,ACM83&gt;ACQ113),ACM83 = ACQ114),ACO114,
IF(OR(AND(ACQ115&gt;ACM83,ACM83&gt;ACQ114),ACM83 = ACQ115),ACO115,
IF(OR(AND(ACQ116&gt;ACM83,ACM83&gt;ACQ115),ACM83 = ACQ116),ACO116,
IF(OR(AND(ACQ117&gt;ACM83,ACM83&gt;ACQ116),ACM83 = ACQ117),ACO117,
IF(OR(AND(ACQ118&gt;ACM83,ACM83&gt;ACQ117),ACM83 = ACQ118),ACO118,
IF(OR(AND(ACQ119&gt;ACM83,ACM83&gt;ACQ118),ACM83 = ACQ119),ACO119,
IF(OR(AND(ACQ120&gt;ACM83,ACM83&gt;ACQ119),ACM83 = ACQ120),ACO120,
IF(OR(AND(ACQ121&gt;ACM83,ACM83&gt;ACQ120),ACM83 = ACQ121),ACO121,
IF(OR(AND(ACQ122&gt;ACM83,ACM83&gt;ACQ121),ACM83 = ACQ122),ACO122,
IF(OR(AND(ACQ123&gt;ACM83,ACM83&gt;ACQ122),ACM83 = ACQ123),ACO123,
IF(OR(AND(ACQ124&gt;ACM83,ACM83&gt;ACQ123),ACM83 = ACQ124),ACO124,
IF(OR(AND(ACQ125&gt;ACM83,ACM83&gt;ACQ124),ACM83 = ACQ125),ACO125,
IF(OR(AND(ACQ126&gt;ACM83,ACM83&gt;ACQ125),ACM83 = ACQ126),ACO126,
IF(OR(AND(ACQ127&gt;ACM83,ACM83&gt;ACQ126),ACM83 = ACQ127),ACO127,
IF(OR(AND(ACQ128&gt;ACM83,ACM83&gt;ACQ127),ACM83 = ACQ128),ACO128,
IF(OR(AND(ACQ129&gt;ACM83,ACM83&gt;ACQ128),ACM83 = ACQ129),ACO129,
IF(OR(AND(ACQ130&gt;ACM83,ACM83&gt;ACQ129),ACM83 = ACQ130),ACO130,
IF(OR(AND(ACQ131&gt;ACM83,ACM83&gt;ACQ130),ACM83 = ACQ131),ACO131,
IF(OR(AND(ACQ132&gt;ACM83,ACM83&gt;ACQ131),ACM83 = ACQ132),ACO132,
IF(OR(AND(ACQ133&gt;ACM83,ACM83&gt;ACQ132),ACM83 = ACQ133),ACO133,
IF(OR(AND(ACQ134&gt;ACM83,ACM83&gt;ACQ133),ACM83 = ACQ134),ACO134,
"Y")))))))))))))))))))))))))))))))))))))))))))))))))))</f>
        <v>Y</v>
      </c>
      <c r="ACR83" s="986"/>
      <c r="ACT83" s="800" t="s">
        <v>1442</v>
      </c>
      <c r="ACU83" s="982"/>
      <c r="ACV83" s="801"/>
      <c r="ACW83" s="951">
        <f>$AHB$33</f>
        <v>1.8595658001541595</v>
      </c>
      <c r="ACX83" s="952"/>
      <c r="ACY83" s="983" t="s">
        <v>1689</v>
      </c>
      <c r="ACZ83" s="984"/>
      <c r="ADA83" s="985">
        <f>IF(ADA85&lt;1,"Ошибка",
IF(OR(AND(ADA85&gt;ACW83,ACW83&gt;ACQ134),ACW83 = ADA85),ACY85,
IF(OR(AND(ADA86&gt;ACW83,ACW83&gt;ADA85),ACW83 = ADA86),ACY86,
IF(OR(AND(ADA87&gt;ACW83,ACW83&gt;ADA86),ACW83 = ADA87),ACY87,
IF(OR(AND(ADA88&gt;ACW83,ACW83&gt;ADA87),ACW83 = ADA88),ACY88,
IF(OR(AND(ADA89&gt;ACW83,ACW83&gt;ADA88),ACW83 = ADA89),ACY89,
IF(OR(AND(ADA90&gt;ACW83,ACW83&gt;ADA89),ACW83 = ADA90),ACY90,
IF(OR(AND(ADA91&gt;ACW83,ACW83&gt;ADA90),ACW83 = ADA91),ACY91,
IF(OR(AND(ADA92&gt;ACW83,ACW83&gt;ADA91),ACW83 = ADA92),ACY92,
IF(OR(AND(ADA93&gt;ACW83,ACW83&gt;ADA92),ACW83 = ADA93),ACY93,
IF(OR(AND(ADA94&gt;ACW83,ACW83&gt;ADA93),ACW83 = ADA94),ACY94,
IF(OR(AND(ADA95&gt;ACW83,ACW83&gt;ADA94),ACW83 = ADA95),ACY95,
IF(OR(AND(ADA96&gt;ACW83,ACW83&gt;ADA95),ACW83 = ADA96),ACY96,
IF(OR(AND(ADA97&gt;ACW83,ACW83&gt;ADA96),ACW83 = ADA97),ACY97,
IF(OR(AND(ADA98&gt;ACW83,ACW83&gt;ADA97),ACW83 = ADA98),ACY98,
IF(OR(AND(ADA99&gt;ACW83,ACW83&gt;ADA98),ACW83 = ADA99),ACY99,
IF(OR(AND(ADA100&gt;ACW83,ACW83&gt;ADA99),ACW83 = ADA100),ACY100,
IF(OR(AND(ADA101&gt;ACW83,ACW83&gt;ADA100),ACW83 = ADA101),ACY101,
IF(OR(AND(ADA102&gt;ACW83,ACW83&gt;ADA101),ACW83 = ADA102),ACY102,
IF(OR(AND(ADA103&gt;ACW83,ACW83&gt;ADA102),ACW83 = ADA103),ACY103,
IF(OR(AND(ADA104&gt;ACW83,ACW83&gt;ADA103),ACW83 = ADA104),ACY104,
IF(OR(AND(ADA105&gt;ACW83,ACW83&gt;ADA104),ACW83 = ADA105),ACY105,
IF(OR(AND(ADA106&gt;ACW83,ACW83&gt;ADA105),ACW83 = ADA106),ACY106,
IF(OR(AND(ADA107&gt;ACW83,ACW83&gt;ADA106),ACW83 = ADA107),ACY107,
IF(OR(AND(ADA108&gt;ACW83,ACW83&gt;ADA107),ACW83 = ADA108),ACY108,
IF(OR(AND(ADA109&gt;ACW83,ACW83&gt;ADA108),ACW83 = ADA109),ACY109,
IF(OR(AND(ADA110&gt;ACW83,ACW83&gt;ADA109),ACW83 = ADA110),ACY110,
IF(OR(AND(ADA111&gt;ACW83,ACW83&gt;ADA110),ACW83 = ADA111),ACY111,
IF(OR(AND(ADA112&gt;ACW83,ACW83&gt;ADA111),ACW83 = ADA112),ACY112,
IF(OR(AND(ADA113&gt;ACW83,ACW83&gt;ADA112),ACW83 = ADA113),ACY113,
IF(OR(AND(ADA114&gt;ACW83,ACW83&gt;ADA113),ACW83 = ADA114),ACY114,
IF(OR(AND(ADA115&gt;ACW83,ACW83&gt;ADA114),ACW83 = ADA115),ACY115,
IF(OR(AND(ADA116&gt;ACW83,ACW83&gt;ADA115),ACW83 = ADA116),ACY116,
IF(OR(AND(ADA117&gt;ACW83,ACW83&gt;ADA116),ACW83 = ADA117),ACY117,
IF(OR(AND(ADA118&gt;ACW83,ACW83&gt;ADA117),ACW83 = ADA118),ACY118,
IF(OR(AND(ADA119&gt;ACW83,ACW83&gt;ADA118),ACW83 = ADA119),ACY119,
IF(OR(AND(ADA120&gt;ACW83,ACW83&gt;ADA119),ACW83 = ADA120),ACY120,
IF(OR(AND(ADA121&gt;ACW83,ACW83&gt;ADA120),ACW83 = ADA121),ACY121,
IF(OR(AND(ADA122&gt;ACW83,ACW83&gt;ADA121),ACW83 = ADA122),ACY122,
IF(OR(AND(ADA123&gt;ACW83,ACW83&gt;ADA122),ACW83 = ADA123),ACY123,
IF(OR(AND(ADA124&gt;ACW83,ACW83&gt;ADA123),ACW83 = ADA124),ACY124,
IF(OR(AND(ADA125&gt;ACW83,ACW83&gt;ADA124),ACW83 = ADA125),ACY125,
IF(OR(AND(ADA126&gt;ACW83,ACW83&gt;ADA125),ACW83 = ADA126),ACY126,
IF(OR(AND(ADA127&gt;ACW83,ACW83&gt;ADA126),ACW83 = ADA127),ACY127,
IF(OR(AND(ADA128&gt;ACW83,ACW83&gt;ADA127),ACW83 = ADA128),ACY128,
IF(OR(AND(ADA129&gt;ACW83,ACW83&gt;ADA128),ACW83 = ADA129),ACY129,
IF(OR(AND(ADA130&gt;ACW83,ACW83&gt;ADA129),ACW83 = ADA130),ACY130,
IF(OR(AND(ADA131&gt;ACW83,ACW83&gt;ADA130),ACW83 = ADA131),ACY131,
IF(OR(AND(ADA132&gt;ACW83,ACW83&gt;ADA131),ACW83 = ADA132),ACY132,
IF(OR(AND(ADA133&gt;ACW83,ACW83&gt;ADA132),ACW83 = ADA133),ACY133,
IF(OR(AND(ADA134&gt;ACW83,ACW83&gt;ADA133),ACW83 = ADA134),ACY134,
"Y")))))))))))))))))))))))))))))))))))))))))))))))))))</f>
        <v>0.69272727272728307</v>
      </c>
      <c r="ADB83" s="986"/>
      <c r="ADD83" s="800" t="s">
        <v>1442</v>
      </c>
      <c r="ADE83" s="982"/>
      <c r="ADF83" s="801"/>
      <c r="ADG83" s="951">
        <f>$AHB$33</f>
        <v>1.8595658001541595</v>
      </c>
      <c r="ADH83" s="952"/>
      <c r="ADI83" s="983" t="s">
        <v>1689</v>
      </c>
      <c r="ADJ83" s="984"/>
      <c r="ADK83" s="985" t="str">
        <f>IF(ADK85&lt;1,"Ошибка",
IF(OR(AND(ADK85&gt;ADG83,ADG83&gt;ADA134),ADG83 = ADK85),ADI85,
IF(OR(AND(ADK86&gt;ADG83,ADG83&gt;ADK85),ADG83 = ADK86),ADI86,
IF(OR(AND(ADK87&gt;ADG83,ADG83&gt;ADK86),ADG83 = ADK87),ADI87,
IF(OR(AND(ADK88&gt;ADG83,ADG83&gt;ADK87),ADG83 = ADK88),ADI88,
IF(OR(AND(ADK89&gt;ADG83,ADG83&gt;ADK88),ADG83 = ADK89),ADI89,
IF(OR(AND(ADK90&gt;ADG83,ADG83&gt;ADK89),ADG83 = ADK90),ADI90,
IF(OR(AND(ADK91&gt;ADG83,ADG83&gt;ADK90),ADG83 = ADK91),ADI91,
IF(OR(AND(ADK92&gt;ADG83,ADG83&gt;ADK91),ADG83 = ADK92),ADI92,
IF(OR(AND(ADK93&gt;ADG83,ADG83&gt;ADK92),ADG83 = ADK93),ADI93,
IF(OR(AND(ADK94&gt;ADG83,ADG83&gt;ADK93),ADG83 = ADK94),ADI94,
IF(OR(AND(ADK95&gt;ADG83,ADG83&gt;ADK94),ADG83 = ADK95),ADI95,
IF(OR(AND(ADK96&gt;ADG83,ADG83&gt;ADK95),ADG83 = ADK96),ADI96,
IF(OR(AND(ADK97&gt;ADG83,ADG83&gt;ADK96),ADG83 = ADK97),ADI97,
IF(OR(AND(ADK98&gt;ADG83,ADG83&gt;ADK97),ADG83 = ADK98),ADI98,
IF(OR(AND(ADK99&gt;ADG83,ADG83&gt;ADK98),ADG83 = ADK99),ADI99,
IF(OR(AND(ADK100&gt;ADG83,ADG83&gt;ADK99),ADG83 = ADK100),ADI100,
IF(OR(AND(ADK101&gt;ADG83,ADG83&gt;ADK100),ADG83 = ADK101),ADI101,
IF(OR(AND(ADK102&gt;ADG83,ADG83&gt;ADK101),ADG83 = ADK102),ADI102,
IF(OR(AND(ADK103&gt;ADG83,ADG83&gt;ADK102),ADG83 = ADK103),ADI103,
IF(OR(AND(ADK104&gt;ADG83,ADG83&gt;ADK103),ADG83 = ADK104),ADI104,
IF(OR(AND(ADK105&gt;ADG83,ADG83&gt;ADK104),ADG83 = ADK105),ADI105,
IF(OR(AND(ADK106&gt;ADG83,ADG83&gt;ADK105),ADG83 = ADK106),ADI106,
IF(OR(AND(ADK107&gt;ADG83,ADG83&gt;ADK106),ADG83 = ADK107),ADI107,
IF(OR(AND(ADK108&gt;ADG83,ADG83&gt;ADK107),ADG83 = ADK108),ADI108,
IF(OR(AND(ADK109&gt;ADG83,ADG83&gt;ADK108),ADG83 = ADK109),ADI109,
IF(OR(AND(ADK110&gt;ADG83,ADG83&gt;ADK109),ADG83 = ADK110),ADI110,
IF(OR(AND(ADK111&gt;ADG83,ADG83&gt;ADK110),ADG83 = ADK111),ADI111,
IF(OR(AND(ADK112&gt;ADG83,ADG83&gt;ADK111),ADG83 = ADK112),ADI112,
IF(OR(AND(ADK113&gt;ADG83,ADG83&gt;ADK112),ADG83 = ADK113),ADI113,
IF(OR(AND(ADK114&gt;ADG83,ADG83&gt;ADK113),ADG83 = ADK114),ADI114,
IF(OR(AND(ADK115&gt;ADG83,ADG83&gt;ADK114),ADG83 = ADK115),ADI115,
IF(OR(AND(ADK116&gt;ADG83,ADG83&gt;ADK115),ADG83 = ADK116),ADI116,
IF(OR(AND(ADK117&gt;ADG83,ADG83&gt;ADK116),ADG83 = ADK117),ADI117,
IF(OR(AND(ADK118&gt;ADG83,ADG83&gt;ADK117),ADG83 = ADK118),ADI118,
IF(OR(AND(ADK119&gt;ADG83,ADG83&gt;ADK118),ADG83 = ADK119),ADI119,
IF(OR(AND(ADK120&gt;ADG83,ADG83&gt;ADK119),ADG83 = ADK120),ADI120,
IF(OR(AND(ADK121&gt;ADG83,ADG83&gt;ADK120),ADG83 = ADK121),ADI121,
IF(OR(AND(ADK122&gt;ADG83,ADG83&gt;ADK121),ADG83 = ADK122),ADI122,
IF(OR(AND(ADK123&gt;ADG83,ADG83&gt;ADK122),ADG83 = ADK123),ADI123,
IF(OR(AND(ADK124&gt;ADG83,ADG83&gt;ADK123),ADG83 = ADK124),ADI124,
IF(OR(AND(ADK125&gt;ADG83,ADG83&gt;ADK124),ADG83 = ADK125),ADI125,
IF(OR(AND(ADK126&gt;ADG83,ADG83&gt;ADK125),ADG83 = ADK126),ADI126,
IF(OR(AND(ADK127&gt;ADG83,ADG83&gt;ADK126),ADG83 = ADK127),ADI127,
IF(OR(AND(ADK128&gt;ADG83,ADG83&gt;ADK127),ADG83 = ADK128),ADI128,
IF(OR(AND(ADK129&gt;ADG83,ADG83&gt;ADK128),ADG83 = ADK129),ADI129,
IF(OR(AND(ADK130&gt;ADG83,ADG83&gt;ADK129),ADG83 = ADK130),ADI130,
IF(OR(AND(ADK131&gt;ADG83,ADG83&gt;ADK130),ADG83 = ADK131),ADI131,
IF(OR(AND(ADK132&gt;ADG83,ADG83&gt;ADK131),ADG83 = ADK132),ADI132,
IF(OR(AND(ADK133&gt;ADG83,ADG83&gt;ADK132),ADG83 = ADK133),ADI133,
IF(OR(AND(ADK134&gt;ADG83,ADG83&gt;ADK133),ADG83 = ADK134),ADI134,
"Y")))))))))))))))))))))))))))))))))))))))))))))))))))</f>
        <v>Y</v>
      </c>
      <c r="ADL83" s="986"/>
      <c r="ADN83" s="800" t="s">
        <v>1442</v>
      </c>
      <c r="ADO83" s="982"/>
      <c r="ADP83" s="801"/>
      <c r="ADQ83" s="951">
        <f>$AHB$33</f>
        <v>1.8595658001541595</v>
      </c>
      <c r="ADR83" s="952"/>
      <c r="ADS83" s="983" t="s">
        <v>1689</v>
      </c>
      <c r="ADT83" s="984"/>
      <c r="ADU83" s="985" t="str">
        <f>IF(ADU85&lt;1,"Ошибка",
IF(OR(AND(ADU85&gt;ADQ83,ADQ83&gt;ADK134),ADQ83 = ADU85),ADS85,
IF(OR(AND(ADU86&gt;ADQ83,ADQ83&gt;ADU85),ADQ83 = ADU86),ADS86,
IF(OR(AND(ADU87&gt;ADQ83,ADQ83&gt;ADU86),ADQ83 = ADU87),ADS87,
IF(OR(AND(ADU88&gt;ADQ83,ADQ83&gt;ADU87),ADQ83 = ADU88),ADS88,
IF(OR(AND(ADU89&gt;ADQ83,ADQ83&gt;ADU88),ADQ83 = ADU89),ADS89,
IF(OR(AND(ADU90&gt;ADQ83,ADQ83&gt;ADU89),ADQ83 = ADU90),ADS90,
IF(OR(AND(ADU91&gt;ADQ83,ADQ83&gt;ADU90),ADQ83 = ADU91),ADS91,
IF(OR(AND(ADU92&gt;ADQ83,ADQ83&gt;ADU91),ADQ83 = ADU92),ADS92,
IF(OR(AND(ADU93&gt;ADQ83,ADQ83&gt;ADU92),ADQ83 = ADU93),ADS93,
IF(OR(AND(ADU94&gt;ADQ83,ADQ83&gt;ADU93),ADQ83 = ADU94),ADS94,
IF(OR(AND(ADU95&gt;ADQ83,ADQ83&gt;ADU94),ADQ83 = ADU95),ADS95,
IF(OR(AND(ADU96&gt;ADQ83,ADQ83&gt;ADU95),ADQ83 = ADU96),ADS96,
IF(OR(AND(ADU97&gt;ADQ83,ADQ83&gt;ADU96),ADQ83 = ADU97),ADS97,
IF(OR(AND(ADU98&gt;ADQ83,ADQ83&gt;ADU97),ADQ83 = ADU98),ADS98,
IF(OR(AND(ADU99&gt;ADQ83,ADQ83&gt;ADU98),ADQ83 = ADU99),ADS99,
IF(OR(AND(ADU100&gt;ADQ83,ADQ83&gt;ADU99),ADQ83 = ADU100),ADS100,
IF(OR(AND(ADU101&gt;ADQ83,ADQ83&gt;ADU100),ADQ83 = ADU101),ADS101,
IF(OR(AND(ADU102&gt;ADQ83,ADQ83&gt;ADU101),ADQ83 = ADU102),ADS102,
IF(OR(AND(ADU103&gt;ADQ83,ADQ83&gt;ADU102),ADQ83 = ADU103),ADS103,
IF(OR(AND(ADU104&gt;ADQ83,ADQ83&gt;ADU103),ADQ83 = ADU104),ADS104,
IF(OR(AND(ADU105&gt;ADQ83,ADQ83&gt;ADU104),ADQ83 = ADU105),ADS105,
IF(OR(AND(ADU106&gt;ADQ83,ADQ83&gt;ADU105),ADQ83 = ADU106),ADS106,
IF(OR(AND(ADU107&gt;ADQ83,ADQ83&gt;ADU106),ADQ83 = ADU107),ADS107,
IF(OR(AND(ADU108&gt;ADQ83,ADQ83&gt;ADU107),ADQ83 = ADU108),ADS108,
IF(OR(AND(ADU109&gt;ADQ83,ADQ83&gt;ADU108),ADQ83 = ADU109),ADS109,
IF(OR(AND(ADU110&gt;ADQ83,ADQ83&gt;ADU109),ADQ83 = ADU110),ADS110,
IF(OR(AND(ADU111&gt;ADQ83,ADQ83&gt;ADU110),ADQ83 = ADU111),ADS111,
IF(OR(AND(ADU112&gt;ADQ83,ADQ83&gt;ADU111),ADQ83 = ADU112),ADS112,
IF(OR(AND(ADU113&gt;ADQ83,ADQ83&gt;ADU112),ADQ83 = ADU113),ADS113,
IF(OR(AND(ADU114&gt;ADQ83,ADQ83&gt;ADU113),ADQ83 = ADU114),ADS114,
IF(OR(AND(ADU115&gt;ADQ83,ADQ83&gt;ADU114),ADQ83 = ADU115),ADS115,
IF(OR(AND(ADU116&gt;ADQ83,ADQ83&gt;ADU115),ADQ83 = ADU116),ADS116,
IF(OR(AND(ADU117&gt;ADQ83,ADQ83&gt;ADU116),ADQ83 = ADU117),ADS117,
IF(OR(AND(ADU118&gt;ADQ83,ADQ83&gt;ADU117),ADQ83 = ADU118),ADS118,
IF(OR(AND(ADU119&gt;ADQ83,ADQ83&gt;ADU118),ADQ83 = ADU119),ADS119,
IF(OR(AND(ADU120&gt;ADQ83,ADQ83&gt;ADU119),ADQ83 = ADU120),ADS120,
IF(OR(AND(ADU121&gt;ADQ83,ADQ83&gt;ADU120),ADQ83 = ADU121),ADS121,
IF(OR(AND(ADU122&gt;ADQ83,ADQ83&gt;ADU121),ADQ83 = ADU122),ADS122,
IF(OR(AND(ADU123&gt;ADQ83,ADQ83&gt;ADU122),ADQ83 = ADU123),ADS123,
IF(OR(AND(ADU124&gt;ADQ83,ADQ83&gt;ADU123),ADQ83 = ADU124),ADS124,
IF(OR(AND(ADU125&gt;ADQ83,ADQ83&gt;ADU124),ADQ83 = ADU125),ADS125,
IF(OR(AND(ADU126&gt;ADQ83,ADQ83&gt;ADU125),ADQ83 = ADU126),ADS126,
IF(OR(AND(ADU127&gt;ADQ83,ADQ83&gt;ADU126),ADQ83 = ADU127),ADS127,
IF(OR(AND(ADU128&gt;ADQ83,ADQ83&gt;ADU127),ADQ83 = ADU128),ADS128,
IF(OR(AND(ADU129&gt;ADQ83,ADQ83&gt;ADU128),ADQ83 = ADU129),ADS129,
IF(OR(AND(ADU130&gt;ADQ83,ADQ83&gt;ADU129),ADQ83 = ADU130),ADS130,
IF(OR(AND(ADU131&gt;ADQ83,ADQ83&gt;ADU130),ADQ83 = ADU131),ADS131,
IF(OR(AND(ADU132&gt;ADQ83,ADQ83&gt;ADU131),ADQ83 = ADU132),ADS132,
IF(OR(AND(ADU133&gt;ADQ83,ADQ83&gt;ADU132),ADQ83 = ADU133),ADS133,
IF(OR(AND(ADU134&gt;ADQ83,ADQ83&gt;ADU133),ADQ83 = ADU134),ADS134,
"Y")))))))))))))))))))))))))))))))))))))))))))))))))))</f>
        <v>Y</v>
      </c>
      <c r="ADV83" s="986"/>
      <c r="ADW83" s="653"/>
      <c r="ADX83" s="800" t="s">
        <v>1442</v>
      </c>
      <c r="ADY83" s="982"/>
      <c r="ADZ83" s="801"/>
      <c r="AEA83" s="951">
        <f>$AHB$33</f>
        <v>1.8595658001541595</v>
      </c>
      <c r="AEB83" s="952"/>
      <c r="AEC83" s="983" t="s">
        <v>1689</v>
      </c>
      <c r="AED83" s="984"/>
      <c r="AEE83" s="985" t="str">
        <f>IF(AEE85&lt;1,"Ошибка",
IF(OR(AND(AEE85&gt;AEA83,AEA83&gt;ADU134),AEA83 = AEE85),AEC85,
IF(OR(AND(AEE86&gt;AEA83,AEA83&gt;AEE85),AEA83 = AEE86),AEC86,
IF(OR(AND(AEE87&gt;AEA83,AEA83&gt;AEE86),AEA83 = AEE87),AEC87,
IF(OR(AND(AEE88&gt;AEA83,AEA83&gt;AEE87),AEA83 = AEE88),AEC88,
IF(OR(AND(AEE89&gt;AEA83,AEA83&gt;AEE88),AEA83 = AEE89),AEC89,
IF(OR(AND(AEE90&gt;AEA83,AEA83&gt;AEE89),AEA83 = AEE90),AEC90,
IF(OR(AND(AEE91&gt;AEA83,AEA83&gt;AEE90),AEA83 = AEE91),AEC91,
IF(OR(AND(AEE92&gt;AEA83,AEA83&gt;AEE91),AEA83 = AEE92),AEC92,
IF(OR(AND(AEE93&gt;AEA83,AEA83&gt;AEE92),AEA83 = AEE93),AEC93,
IF(OR(AND(AEE94&gt;AEA83,AEA83&gt;AEE93),AEA83 = AEE94),AEC94,
IF(OR(AND(AEE95&gt;AEA83,AEA83&gt;AEE94),AEA83 = AEE95),AEC95,
IF(OR(AND(AEE96&gt;AEA83,AEA83&gt;AEE95),AEA83 = AEE96),AEC96,
IF(OR(AND(AEE97&gt;AEA83,AEA83&gt;AEE96),AEA83 = AEE97),AEC97,
IF(OR(AND(AEE98&gt;AEA83,AEA83&gt;AEE97),AEA83 = AEE98),AEC98,
IF(OR(AND(AEE99&gt;AEA83,AEA83&gt;AEE98),AEA83 = AEE99),AEC99,
IF(OR(AND(AEE100&gt;AEA83,AEA83&gt;AEE99),AEA83 = AEE100),AEC100,
IF(OR(AND(AEE101&gt;AEA83,AEA83&gt;AEE100),AEA83 = AEE101),AEC101,
IF(OR(AND(AEE102&gt;AEA83,AEA83&gt;AEE101),AEA83 = AEE102),AEC102,
IF(OR(AND(AEE103&gt;AEA83,AEA83&gt;AEE102),AEA83 = AEE103),AEC103,
IF(OR(AND(AEE104&gt;AEA83,AEA83&gt;AEE103),AEA83 = AEE104),AEC104,
IF(OR(AND(AEE105&gt;AEA83,AEA83&gt;AEE104),AEA83 = AEE105),AEC105,
IF(OR(AND(AEE106&gt;AEA83,AEA83&gt;AEE105),AEA83 = AEE106),AEC106,
IF(OR(AND(AEE107&gt;AEA83,AEA83&gt;AEE106),AEA83 = AEE107),AEC107,
IF(OR(AND(AEE108&gt;AEA83,AEA83&gt;AEE107),AEA83 = AEE108),AEC108,
IF(OR(AND(AEE109&gt;AEA83,AEA83&gt;AEE108),AEA83 = AEE109),AEC109,
IF(OR(AND(AEE110&gt;AEA83,AEA83&gt;AEE109),AEA83 = AEE110),AEC110,
IF(OR(AND(AEE111&gt;AEA83,AEA83&gt;AEE110),AEA83 = AEE111),AEC111,
IF(OR(AND(AEE112&gt;AEA83,AEA83&gt;AEE111),AEA83 = AEE112),AEC112,
IF(OR(AND(AEE113&gt;AEA83,AEA83&gt;AEE112),AEA83 = AEE113),AEC113,
IF(OR(AND(AEE114&gt;AEA83,AEA83&gt;AEE113),AEA83 = AEE114),AEC114,
IF(OR(AND(AEE115&gt;AEA83,AEA83&gt;AEE114),AEA83 = AEE115),AEC115,
IF(OR(AND(AEE116&gt;AEA83,AEA83&gt;AEE115),AEA83 = AEE116),AEC116,
IF(OR(AND(AEE117&gt;AEA83,AEA83&gt;AEE116),AEA83 = AEE117),AEC117,
IF(OR(AND(AEE118&gt;AEA83,AEA83&gt;AEE117),AEA83 = AEE118),AEC118,
IF(OR(AND(AEE119&gt;AEA83,AEA83&gt;AEE118),AEA83 = AEE119),AEC119,
IF(OR(AND(AEE120&gt;AEA83,AEA83&gt;AEE119),AEA83 = AEE120),AEC120,
IF(OR(AND(AEE121&gt;AEA83,AEA83&gt;AEE120),AEA83 = AEE121),AEC121,
IF(OR(AND(AEE122&gt;AEA83,AEA83&gt;AEE121),AEA83 = AEE122),AEC122,
IF(OR(AND(AEE123&gt;AEA83,AEA83&gt;AEE122),AEA83 = AEE123),AEC123,
IF(OR(AND(AEE124&gt;AEA83,AEA83&gt;AEE123),AEA83 = AEE124),AEC124,
IF(OR(AND(AEE125&gt;AEA83,AEA83&gt;AEE124),AEA83 = AEE125),AEC125,
IF(OR(AND(AEE126&gt;AEA83,AEA83&gt;AEE125),AEA83 = AEE126),AEC126,
IF(OR(AND(AEE127&gt;AEA83,AEA83&gt;AEE126),AEA83 = AEE127),AEC127,
IF(OR(AND(AEE128&gt;AEA83,AEA83&gt;AEE127),AEA83 = AEE128),AEC128,
IF(OR(AND(AEE129&gt;AEA83,AEA83&gt;AEE128),AEA83 = AEE129),AEC129,
IF(OR(AND(AEE130&gt;AEA83,AEA83&gt;AEE129),AEA83 = AEE130),AEC130,
IF(OR(AND(AEE131&gt;AEA83,AEA83&gt;AEE130),AEA83 = AEE131),AEC131,
IF(OR(AND(AEE132&gt;AEA83,AEA83&gt;AEE131),AEA83 = AEE132),AEC132,
IF(OR(AND(AEE133&gt;AEA83,AEA83&gt;AEE132),AEA83 = AEE133),AEC133,
IF(OR(AND(AEE134&gt;AEA83,AEA83&gt;AEE133),AEA83 = AEE134),AEC134,
"Y")))))))))))))))))))))))))))))))))))))))))))))))))))</f>
        <v>Y</v>
      </c>
      <c r="AEF83" s="986"/>
      <c r="AEH83" s="800" t="s">
        <v>1442</v>
      </c>
      <c r="AEI83" s="982"/>
      <c r="AEJ83" s="801"/>
      <c r="AEK83" s="951">
        <f>$AHB$33</f>
        <v>1.8595658001541595</v>
      </c>
      <c r="AEL83" s="952"/>
      <c r="AEM83" s="983" t="s">
        <v>1689</v>
      </c>
      <c r="AEN83" s="984"/>
      <c r="AEO83" s="985" t="str">
        <f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AEP83" s="986"/>
      <c r="AGN83" s="199"/>
      <c r="AGO83" s="852" t="s">
        <v>1737</v>
      </c>
      <c r="AGP83" s="923"/>
      <c r="AGQ83" s="199"/>
      <c r="AGR83" s="1117" t="s">
        <v>1005</v>
      </c>
      <c r="AGS83" s="1118"/>
      <c r="AGT83" s="1118"/>
      <c r="AGU83" s="1118"/>
      <c r="AGV83" s="1118"/>
      <c r="AGW83" s="1118"/>
      <c r="AGX83" s="1118"/>
      <c r="AGY83" s="1118"/>
      <c r="AGZ83" s="1118"/>
      <c r="AHA83" s="1118"/>
      <c r="AHB83" s="1119"/>
      <c r="AHC83" s="199"/>
      <c r="AHU83" s="130"/>
      <c r="AHV83" s="130"/>
      <c r="AHW83" s="130"/>
      <c r="AHX83" s="130"/>
      <c r="ANI83" s="130"/>
      <c r="ANJ83" s="130"/>
      <c r="ANK83" s="130"/>
      <c r="ANL83" s="130"/>
      <c r="AQE83" s="653"/>
      <c r="AQF83" s="653"/>
      <c r="AQG83" s="653"/>
      <c r="AQH83" s="653"/>
      <c r="AQI83" s="653"/>
      <c r="AQJ83" s="653"/>
      <c r="AQK83" s="653"/>
      <c r="AQL83" s="653"/>
      <c r="AQM83" s="653"/>
      <c r="AQN83" s="653"/>
      <c r="AQO83" s="653"/>
      <c r="AQP83" s="653"/>
      <c r="AQQ83" s="653"/>
      <c r="AQR83" s="653"/>
      <c r="AQS83" s="653"/>
      <c r="AQT83" s="653"/>
      <c r="AQU83" s="653"/>
      <c r="AQV83" s="653"/>
      <c r="AQW83" s="653"/>
      <c r="AQX83" s="653"/>
      <c r="AQY83" s="653"/>
      <c r="AQZ83" s="653"/>
      <c r="ARA83" s="653"/>
      <c r="ARB83" s="653"/>
      <c r="ARC83" s="653"/>
      <c r="ARD83" s="653"/>
      <c r="ARE83" s="653"/>
      <c r="ARF83" s="653"/>
      <c r="ARG83" s="653"/>
      <c r="ARH83" s="653"/>
      <c r="ARI83" s="653"/>
      <c r="ARJ83" s="653"/>
      <c r="ARK83" s="653"/>
      <c r="ARL83" s="653"/>
      <c r="ARN83" s="1276"/>
      <c r="ARO83" s="1277"/>
      <c r="ARP83" s="1278"/>
      <c r="ARU83" s="850"/>
      <c r="ARV83" s="797" t="s">
        <v>143</v>
      </c>
      <c r="ARW83" s="797"/>
      <c r="ARX83" s="797"/>
      <c r="ARY83" s="797"/>
      <c r="ARZ83" s="797"/>
      <c r="ASA83" s="797"/>
      <c r="ASB83" s="797"/>
      <c r="ASC83" s="797"/>
      <c r="ASD83" s="797"/>
      <c r="ASE83" s="797"/>
      <c r="ASF83" s="797"/>
      <c r="ASG83" s="797"/>
      <c r="ASH83" s="797"/>
      <c r="ASI83" s="1471"/>
      <c r="ASJ83" s="1472"/>
      <c r="ASK83" s="1475" t="s">
        <v>923</v>
      </c>
      <c r="ASL83" s="1330"/>
      <c r="ASM83" s="1066"/>
      <c r="ASN83" s="1170" t="s">
        <v>900</v>
      </c>
      <c r="ASO83" s="1172"/>
      <c r="ASP83" s="847"/>
      <c r="ASQ83" s="1052"/>
      <c r="ASR83" s="1052"/>
      <c r="ASS83" s="1052"/>
      <c r="AST83" s="1052"/>
      <c r="ASU83" s="1052"/>
      <c r="ASV83" s="1052"/>
      <c r="ASW83" s="1052"/>
      <c r="ASX83" s="1052"/>
      <c r="ASY83" s="1052"/>
      <c r="ASZ83" s="1052"/>
      <c r="ATA83" s="1052"/>
      <c r="ATB83" s="1052"/>
    </row>
    <row r="84" spans="4:908 1049:1212" ht="48" customHeight="1" thickBot="1">
      <c r="D84" s="588">
        <v>5</v>
      </c>
      <c r="E84" s="976" t="s">
        <v>941</v>
      </c>
      <c r="F84" s="1696"/>
      <c r="G84" s="1696"/>
      <c r="H84" s="1696"/>
      <c r="I84" s="1696"/>
      <c r="J84" s="1696"/>
      <c r="K84" s="1696"/>
      <c r="L84" s="1696"/>
      <c r="M84" s="1696"/>
      <c r="N84" s="1696"/>
      <c r="O84" s="1696"/>
      <c r="P84" s="1696"/>
      <c r="Q84" s="1696"/>
      <c r="R84" s="1696"/>
      <c r="S84" s="977"/>
      <c r="AI84" s="903"/>
      <c r="AJ84" s="904"/>
      <c r="AK84" s="905"/>
      <c r="AL84" s="851"/>
      <c r="AM84" s="769"/>
      <c r="AN84" s="764"/>
      <c r="AO84" s="764"/>
      <c r="AP84" s="764"/>
      <c r="AQ84" s="764"/>
      <c r="AR84" s="764"/>
      <c r="AS84" s="764"/>
      <c r="AT84" s="764"/>
      <c r="AU84" s="764"/>
      <c r="AV84" s="764"/>
      <c r="AW84" s="764"/>
      <c r="AX84" s="764"/>
      <c r="AY84" s="765"/>
      <c r="AZ84" s="1455"/>
      <c r="BA84" s="1456"/>
      <c r="BB84" s="1077"/>
      <c r="BC84" s="1078"/>
      <c r="BD84" s="942"/>
      <c r="BE84" s="943"/>
      <c r="BF84" s="943"/>
      <c r="BG84" s="944"/>
      <c r="BX84" s="903"/>
      <c r="BY84" s="904"/>
      <c r="BZ84" s="905"/>
      <c r="CA84" s="851"/>
      <c r="CB84" s="811"/>
      <c r="CC84" s="772"/>
      <c r="CD84" s="772"/>
      <c r="CE84" s="772"/>
      <c r="CF84" s="772"/>
      <c r="CG84" s="772"/>
      <c r="CH84" s="772"/>
      <c r="CI84" s="772"/>
      <c r="CJ84" s="772"/>
      <c r="CK84" s="772"/>
      <c r="CL84" s="772"/>
      <c r="CM84" s="1455"/>
      <c r="CN84" s="1456"/>
      <c r="CO84" s="1185"/>
      <c r="CP84" s="1186"/>
      <c r="CQ84" s="842"/>
      <c r="CR84" s="1877"/>
      <c r="CS84" s="1878"/>
      <c r="CT84" s="848"/>
      <c r="DZ84" s="849"/>
      <c r="EA84" s="861" t="s">
        <v>1760</v>
      </c>
      <c r="EB84" s="861"/>
      <c r="EC84" s="761">
        <f>$EL$71</f>
        <v>21.978064587580175</v>
      </c>
      <c r="ED84" s="761"/>
      <c r="EE84" s="816" t="s">
        <v>1846</v>
      </c>
      <c r="EF84" s="817"/>
      <c r="EG84" s="817"/>
      <c r="EH84" s="817"/>
      <c r="EI84" s="817"/>
      <c r="EJ84" s="817"/>
      <c r="EK84" s="885">
        <f>EL71-EJ58</f>
        <v>21.748064587580174</v>
      </c>
      <c r="EL84" s="886"/>
      <c r="EM84" s="1075" t="s">
        <v>45</v>
      </c>
      <c r="EN84" s="1076"/>
      <c r="EO84" s="841"/>
      <c r="EP84" s="1170" t="s">
        <v>1595</v>
      </c>
      <c r="EQ84" s="1171"/>
      <c r="ER84" s="1172"/>
      <c r="ES84" s="847"/>
      <c r="ET84" s="1052"/>
      <c r="EU84" s="1052"/>
      <c r="EV84" s="1052"/>
      <c r="EW84" s="1052"/>
      <c r="EX84" s="1052"/>
      <c r="EY84" s="1052"/>
      <c r="EZ84" s="1052"/>
      <c r="FT84" s="126"/>
      <c r="FU84" s="126"/>
      <c r="FV84" s="126"/>
      <c r="FW84" s="126"/>
      <c r="FX84" s="126"/>
      <c r="GC84" s="6"/>
      <c r="GD84" s="3"/>
      <c r="GE84" s="3"/>
      <c r="GF84" s="849"/>
      <c r="GG84" s="935" t="s">
        <v>1074</v>
      </c>
      <c r="GH84" s="936"/>
      <c r="GI84" s="926">
        <f>$GT$73</f>
        <v>7.9639464327648497</v>
      </c>
      <c r="GJ84" s="926"/>
      <c r="GK84" s="791" t="s">
        <v>1862</v>
      </c>
      <c r="GL84" s="792"/>
      <c r="GM84" s="792"/>
      <c r="GN84" s="792"/>
      <c r="GO84" s="792"/>
      <c r="GP84" s="793"/>
      <c r="GQ84" s="885">
        <f>(GI84-GI85)*(GI86/(2*3.14))</f>
        <v>22.82818476862052</v>
      </c>
      <c r="GR84" s="886"/>
      <c r="GS84" s="931" t="s">
        <v>45</v>
      </c>
      <c r="GT84" s="932"/>
      <c r="GU84" s="1066"/>
      <c r="GV84" s="893" t="s">
        <v>1096</v>
      </c>
      <c r="GW84" s="1081"/>
      <c r="GX84" s="894"/>
      <c r="GY84" s="847"/>
      <c r="GZ84" s="1052"/>
      <c r="HA84" s="1052"/>
      <c r="HB84" s="1052"/>
      <c r="HC84" s="1052"/>
      <c r="HD84" s="1052"/>
      <c r="HE84" s="1052"/>
      <c r="HF84" s="1052"/>
      <c r="HG84" s="1052"/>
      <c r="IR84" s="1052"/>
      <c r="IS84" s="516" t="s">
        <v>1148</v>
      </c>
      <c r="IT84" s="926">
        <f>$JC$38</f>
        <v>90.437322257914587</v>
      </c>
      <c r="IU84" s="926"/>
      <c r="IV84" s="792" t="s">
        <v>1628</v>
      </c>
      <c r="IW84" s="792"/>
      <c r="IX84" s="792"/>
      <c r="IY84" s="792"/>
      <c r="IZ84" s="792"/>
      <c r="JA84" s="792"/>
      <c r="JB84" s="792"/>
      <c r="JC84" s="792"/>
      <c r="JD84" s="792"/>
      <c r="JE84" s="793"/>
      <c r="JF84" s="835">
        <f>1+(JF14+JC38)/KI64</f>
        <v>1.1570589213534688</v>
      </c>
      <c r="JG84" s="836"/>
      <c r="JH84" s="1183" t="s">
        <v>729</v>
      </c>
      <c r="JI84" s="1184"/>
      <c r="JJ84" s="1066"/>
      <c r="JK84" s="843" t="s">
        <v>830</v>
      </c>
      <c r="JL84" s="844"/>
      <c r="JM84" s="847"/>
      <c r="JN84" s="1052"/>
      <c r="JO84" s="1052"/>
      <c r="JP84" s="1052"/>
      <c r="JQ84" s="1052"/>
      <c r="JR84" s="1052"/>
      <c r="JZ84" s="185"/>
      <c r="KA84" s="852" t="s">
        <v>837</v>
      </c>
      <c r="KB84" s="923"/>
      <c r="KC84" s="185"/>
      <c r="KD84" s="1117" t="s">
        <v>841</v>
      </c>
      <c r="KE84" s="1118"/>
      <c r="KF84" s="1118"/>
      <c r="KG84" s="1118"/>
      <c r="KH84" s="1118"/>
      <c r="KI84" s="1118"/>
      <c r="KJ84" s="1118"/>
      <c r="KK84" s="1118"/>
      <c r="KL84" s="1118"/>
      <c r="KM84" s="1118"/>
      <c r="KN84" s="1119"/>
      <c r="KO84" s="185"/>
      <c r="PL84" s="897" t="s">
        <v>929</v>
      </c>
      <c r="PM84" s="898"/>
      <c r="PN84" s="899"/>
      <c r="PO84" s="849"/>
      <c r="PP84" s="1257" t="s">
        <v>416</v>
      </c>
      <c r="PQ84" s="1257"/>
      <c r="PR84" s="466"/>
      <c r="PS84" s="76" t="s">
        <v>441</v>
      </c>
      <c r="PT84" s="854" t="s">
        <v>435</v>
      </c>
      <c r="PU84" s="1111"/>
      <c r="PV84" s="920" t="s">
        <v>111</v>
      </c>
      <c r="PW84" s="921"/>
      <c r="PX84" s="916" t="s">
        <v>704</v>
      </c>
      <c r="PY84" s="917"/>
      <c r="PZ84" s="906" t="s">
        <v>447</v>
      </c>
      <c r="QA84" s="907"/>
      <c r="QB84" s="907"/>
      <c r="QC84" s="908"/>
      <c r="QV84" s="130"/>
      <c r="QW84" s="130"/>
      <c r="RE84" s="653"/>
      <c r="RF84" s="653"/>
      <c r="RG84" s="653"/>
      <c r="RH84" s="653"/>
      <c r="RI84" s="653"/>
      <c r="RJ84" s="653"/>
      <c r="RK84" s="653"/>
      <c r="RL84" s="653"/>
      <c r="RM84" s="653"/>
      <c r="RN84" s="653"/>
      <c r="RO84" s="653"/>
      <c r="RP84" s="653"/>
      <c r="RQ84" s="653"/>
      <c r="RR84" s="653"/>
      <c r="RS84" s="653"/>
      <c r="RT84" s="653"/>
      <c r="RU84" s="653"/>
      <c r="RV84" s="653"/>
      <c r="RW84" s="653"/>
      <c r="RX84" s="653"/>
      <c r="RY84" s="653"/>
      <c r="RZ84" s="653"/>
      <c r="SA84" s="653"/>
      <c r="SB84" s="653"/>
      <c r="SC84" s="653"/>
      <c r="SD84" s="653"/>
      <c r="SE84" s="653"/>
      <c r="SF84" s="653"/>
      <c r="SG84" s="653"/>
      <c r="SH84" s="653"/>
      <c r="SI84" s="653"/>
      <c r="SJ84" s="653"/>
      <c r="SK84" s="653"/>
      <c r="SL84" s="653"/>
      <c r="SM84" s="653"/>
      <c r="SN84" s="653"/>
      <c r="SO84" s="653"/>
      <c r="SP84" s="653"/>
      <c r="SQ84" s="653"/>
      <c r="SR84" s="653"/>
      <c r="SS84" s="653"/>
      <c r="ST84" s="653"/>
      <c r="SU84" s="653"/>
      <c r="SV84" s="653"/>
      <c r="SW84" s="653"/>
      <c r="SX84" s="653"/>
      <c r="SY84" s="653"/>
      <c r="SZ84" s="653"/>
      <c r="TA84" s="653"/>
      <c r="TB84" s="653"/>
      <c r="TC84" s="653"/>
      <c r="TD84" s="653"/>
      <c r="TE84" s="653"/>
      <c r="TF84" s="653"/>
      <c r="TG84" s="653"/>
      <c r="TH84" s="653"/>
      <c r="TI84" s="653"/>
      <c r="TJ84" s="653"/>
      <c r="TK84" s="653"/>
      <c r="TL84" s="653"/>
      <c r="TM84" s="653"/>
      <c r="TN84" s="653"/>
      <c r="TO84" s="653"/>
      <c r="TP84" s="653"/>
      <c r="TQ84" s="653"/>
      <c r="TR84" s="653"/>
      <c r="TS84" s="653"/>
      <c r="TT84" s="653"/>
      <c r="TU84" s="653"/>
      <c r="TV84" s="653"/>
      <c r="TW84" s="653"/>
      <c r="TX84" s="653"/>
      <c r="TY84" s="653"/>
      <c r="TZ84" s="653"/>
      <c r="UA84" s="653"/>
      <c r="UB84" s="653"/>
      <c r="UC84" s="653"/>
      <c r="UD84" s="653"/>
      <c r="UE84" s="653"/>
      <c r="UF84" s="653"/>
      <c r="UG84" s="653"/>
      <c r="UH84" s="653"/>
      <c r="UI84" s="653"/>
      <c r="UJ84" s="653"/>
      <c r="UK84" s="653"/>
      <c r="UL84" s="653"/>
      <c r="UM84" s="653"/>
      <c r="UN84" s="653"/>
      <c r="UO84" s="653"/>
      <c r="UP84" s="653"/>
      <c r="UQ84" s="653"/>
      <c r="UR84" s="653"/>
      <c r="US84" s="653"/>
      <c r="UT84" s="653"/>
      <c r="UU84" s="653"/>
      <c r="UV84" s="653"/>
      <c r="UW84" s="653"/>
      <c r="UX84" s="653"/>
      <c r="UY84" s="653"/>
      <c r="UZ84" s="653"/>
      <c r="WE84" s="996"/>
      <c r="WF84" s="997"/>
      <c r="WG84" s="175"/>
      <c r="WH84" s="173"/>
      <c r="WI84" s="173"/>
      <c r="WJ84" s="173"/>
      <c r="WK84" s="173"/>
      <c r="WL84" s="173"/>
      <c r="WM84" s="173"/>
      <c r="WN84" s="173"/>
      <c r="WO84" s="173"/>
      <c r="WP84" s="173"/>
      <c r="WQ84" s="173"/>
      <c r="WR84" s="173"/>
      <c r="WS84" s="173"/>
      <c r="WT84" s="173"/>
      <c r="WU84" s="173"/>
      <c r="WV84" s="173"/>
      <c r="WW84" s="173"/>
      <c r="WX84" s="173"/>
      <c r="WY84" s="174"/>
      <c r="WZ84" s="1085"/>
      <c r="XA84" s="1085"/>
      <c r="XB84" s="173"/>
      <c r="XC84" s="173"/>
      <c r="XD84" s="173"/>
      <c r="XE84" s="173"/>
      <c r="XF84" s="173"/>
      <c r="XG84" s="693" t="str">
        <f t="shared" ref="XG84:YL84" si="76">IF($ADK$13&lt;1,"Ошибка",
IF(OR(AND($ADK$13&gt;XG80,XG80&gt;$ADA$62),XG80 = $ADK$13),$ADI$13,
IF(OR(AND($ADK$14&gt;XG80,XG80&gt;$ADK$13),XG80 = $ADK$14),$ADI$14,
IF(OR(AND($ADK$15&gt;XG80,XG80&gt;$ADK$14),XG80 = $ADK$15),$ADI$15,
IF(OR(AND($ADK$16&gt;XG80,XG80&gt;$ADK$15),XG80 = $ADK$16),$ADI$16,
IF(OR(AND($ADK$17&gt;XG80,XG80&gt;$ADK$16),XG80 = $ADK$17),$ADI$17,
IF(OR(AND($ADK$18&gt;XG80,XG80&gt;$ADK$17),XG80 = $ADK$18),$ADI$18,
IF(OR(AND($ADK$19&gt;XG80,XG80&gt;$ADK$18),XG80 = $ADK$19),$ADI$19,
IF(OR(AND($ADK$20&gt;XG80,XG80&gt;$ADK$19),XG80 = $ADK$20),$ADI$20,
IF(OR(AND($ADK$21&gt;XG80,XG80&gt;$ADK$20),XG80 = $ADK$21),$ADI$21,
IF(OR(AND($ADK$22&gt;XG80,XG80&gt;$ADK$21),XG80 = $ADK$22),$ADI$22,
IF(OR(AND($ADK$23&gt;XG80,XG80&gt;$ADK$22),XG80 = $ADK$23),$ADI$23,
IF(OR(AND($ADK$24&gt;XG80,XG80&gt;$ADK$23),XG80 = $ADK$24),$ADI$24,
IF(OR(AND($ADK$25&gt;XG80,XG80&gt;$ADK$24),XG80 = $ADK$25),$ADI$25,
IF(OR(AND($ADK$26&gt;XG80,XG80&gt;$ADK$25),XG80 = $ADK$26),$ADI$26,
IF(OR(AND($ADK$27&gt;XG80,XG80&gt;$ADK$26),XG80 = $ADK$27),$ADI$27,
IF(OR(AND($ADK$28&gt;XG80,XG80&gt;$ADK$27),XG80 = $ADK$28),$ADI$28,
IF(OR(AND($ADK$29&gt;XG80,XG80&gt;$ADK$28),XG80 = $ADK$29),$ADI$29,
IF(OR(AND($ADK$30&gt;XG80,XG80&gt;$ADK$29),XG80 = $ADK$30),$ADI$30,
IF(OR(AND($ADK$31&gt;XG80,XG80&gt;$ADK$30),XG80 = $ADK$31),$ADI$31,
IF(OR(AND($ADK$32&gt;XG80,XG80&gt;$ADK$31),XG80 = $ADK$32),$ADI$32,
IF(OR(AND($ADK$33&gt;XG80,XG80&gt;$ADK$32),XG80 = $ADK$33),$ADI$33,
IF(OR(AND($ADK$34&gt;XG80,XG80&gt;$ADK$33),XG80 = $ADK$34),$ADI$34,
IF(OR(AND($ADK$35&gt;XG80,XG80&gt;$ADK$34),XG80 = $ADK$35),$ADI$35,
IF(OR(AND($ADK$36&gt;XG80,XG80&gt;$ADK$35),XG80 = $ADK$36),$ADI$36,
IF(OR(AND($ADK$37&gt;XG80,XG80&gt;$ADK$36),XG80 = $ADK$37),$ADI$37,
IF(OR(AND($ADK$38&gt;XG80,XG80&gt;$ADK$37),XG80 = $ADK$38),$ADI$38,
IF(OR(AND($ADK$39&gt;XG80,XG80&gt;$ADK$38),XG80 = $ADK$39),$ADI$39,
IF(OR(AND($ADK$40&gt;XG80,XG80&gt;$ADK$39),XG80 = $ADK$40),$ADI$40,
IF(OR(AND($ADK$41&gt;XG80,XG80&gt;$ADK$40),XG80 = $ADK$41),$ADI$41,
IF(OR(AND($ADK$42&gt;XG80,XG80&gt;$ADK$41),XG80 = $ADK$42),$ADI$42,
IF(OR(AND($ADK$43&gt;XG80,XG80&gt;$ADK$42),XG80 = $ADK$43),$ADI$43,
IF(OR(AND($ADK$44&gt;XG80,XG80&gt;$ADK$43),XG80 = $ADK$44),$ADI$44,
IF(OR(AND($ADK$45&gt;XG80,XG80&gt;$ADK$44),XG80 = $ADK$45),$ADI$45,
IF(OR(AND($ADK$46&gt;XG80,XG80&gt;$ADK$45),XG80 = $ADK$46),$ADI$46,
IF(OR(AND($ADK$47&gt;XG80,XG80&gt;$ADK$46),XG80 = $ADK$47),$ADI$47,
IF(OR(AND($ADK$48&gt;XG80,XG80&gt;$ADK$47),XG80 = $ADK$48),$ADI$48,
IF(OR(AND($ADK$49&gt;XG80,XG80&gt;$ADK$48),XG80 = $ADK$49),$ADI$49,
IF(OR(AND($ADK$50&gt;XG80,XG80&gt;$ADK$49),XG80 = $ADK$50),$ADI$50,
IF(OR(AND($ADK$51&gt;XG80,XG80&gt;$ADK$50),XG80 = $ADK$51),$ADI$51,
IF(OR(AND($ADK$52&gt;XG80,XG80&gt;$ADK$51),XG80 = $ADK$52),$ADI$52,
IF(OR(AND($ADK$53&gt;XG80,XG80&gt;$ADK$52),XG80 = $ADK$53),$ADI$53,
IF(OR(AND($ADK$54&gt;XG80,XG80&gt;$ADK$53),XG80 = $ADK$54),$ADI$54,
IF(OR(AND($ADK$55&gt;XG80,XG80&gt;$ADK$54),XG80 = $ADK$55),$ADI$55,
IF(OR(AND($ADK$56&gt;XG80,XG80&gt;$ADK$55),XG80 = $ADK$56),$ADI$56,
IF(OR(AND($ADK$57&gt;XG80,XG80&gt;$ADK$56),XG80 = $ADK$57),$ADI$57,
IF(OR(AND($ADK$58&gt;XG80,XG80&gt;$ADK$57),XG80 = $ADK$58),$ADI$58,
IF(OR(AND($ADK$59&gt;XG80,XG80&gt;$ADK$58),XG80 = $ADK$59),$ADI$59,
IF(OR(AND($ADK$60&gt;XG80,XG80&gt;$ADK$59),XG80 = $ADK$60),$ADI$60,
IF(OR(AND($ADK$61&gt;XG80,XG80&gt;$ADK$60),XG80 = $ADK$61),$ADI$61,
IF(OR(AND($ADK$62&gt;XG80,XG80&gt;$ADK$61),XG80 = $ADK$62),$ADI$62,
"Y")))))))))))))))))))))))))))))))))))))))))))))))))))</f>
        <v>Y</v>
      </c>
      <c r="XH84" s="693" t="str">
        <f t="shared" si="76"/>
        <v>Y</v>
      </c>
      <c r="XI84" s="693" t="str">
        <f t="shared" si="76"/>
        <v>Y</v>
      </c>
      <c r="XJ84" s="693" t="str">
        <f t="shared" si="76"/>
        <v>Y</v>
      </c>
      <c r="XK84" s="693" t="str">
        <f t="shared" si="76"/>
        <v>Y</v>
      </c>
      <c r="XL84" s="693" t="str">
        <f t="shared" si="76"/>
        <v>Y</v>
      </c>
      <c r="XM84" s="693" t="str">
        <f t="shared" si="76"/>
        <v>Y</v>
      </c>
      <c r="XN84" s="693" t="str">
        <f t="shared" si="76"/>
        <v>Y</v>
      </c>
      <c r="XO84" s="693" t="str">
        <f t="shared" si="76"/>
        <v>Y</v>
      </c>
      <c r="XP84" s="693" t="str">
        <f t="shared" si="76"/>
        <v>Y</v>
      </c>
      <c r="XQ84" s="693" t="str">
        <f t="shared" si="76"/>
        <v>Y</v>
      </c>
      <c r="XR84" s="693" t="str">
        <f t="shared" si="76"/>
        <v>Y</v>
      </c>
      <c r="XS84" s="693" t="str">
        <f t="shared" si="76"/>
        <v>Y</v>
      </c>
      <c r="XT84" s="693" t="str">
        <f t="shared" si="76"/>
        <v>Y</v>
      </c>
      <c r="XU84" s="693" t="str">
        <f t="shared" si="76"/>
        <v>Y</v>
      </c>
      <c r="XV84" s="693" t="str">
        <f t="shared" si="76"/>
        <v>Y</v>
      </c>
      <c r="XW84" s="693" t="str">
        <f t="shared" si="76"/>
        <v>Y</v>
      </c>
      <c r="XX84" s="693" t="str">
        <f t="shared" si="76"/>
        <v>Y</v>
      </c>
      <c r="XY84" s="693" t="str">
        <f t="shared" si="76"/>
        <v>Y</v>
      </c>
      <c r="XZ84" s="693" t="str">
        <f t="shared" si="76"/>
        <v>Y</v>
      </c>
      <c r="YA84" s="693" t="str">
        <f t="shared" si="76"/>
        <v>Y</v>
      </c>
      <c r="YB84" s="693" t="str">
        <f t="shared" si="76"/>
        <v>Y</v>
      </c>
      <c r="YC84" s="693" t="str">
        <f t="shared" si="76"/>
        <v>Y</v>
      </c>
      <c r="YD84" s="693" t="str">
        <f t="shared" si="76"/>
        <v>Y</v>
      </c>
      <c r="YE84" s="693" t="str">
        <f t="shared" si="76"/>
        <v>Y</v>
      </c>
      <c r="YF84" s="693" t="str">
        <f t="shared" si="76"/>
        <v>Y</v>
      </c>
      <c r="YG84" s="693" t="str">
        <f t="shared" si="76"/>
        <v>Y</v>
      </c>
      <c r="YH84" s="693" t="str">
        <f t="shared" si="76"/>
        <v>Y</v>
      </c>
      <c r="YI84" s="693" t="str">
        <f t="shared" si="76"/>
        <v>Y</v>
      </c>
      <c r="YJ84" s="693" t="str">
        <f t="shared" si="76"/>
        <v>Y</v>
      </c>
      <c r="YK84" s="693" t="str">
        <f t="shared" si="76"/>
        <v>Y</v>
      </c>
      <c r="YL84" s="693" t="str">
        <f t="shared" si="76"/>
        <v>Y</v>
      </c>
      <c r="YM84" s="693">
        <f t="shared" ref="YM84:ZR84" si="77">IF($ADK$13&lt;1,"Ошибка",
IF(OR(AND($ADK$13&gt;YM80,YM80&gt;$ADA$62),YM80 = $ADK$13),$ADI$13,
IF(OR(AND($ADK$14&gt;YM80,YM80&gt;$ADK$13),YM80 = $ADK$14),$ADI$14,
IF(OR(AND($ADK$15&gt;YM80,YM80&gt;$ADK$14),YM80 = $ADK$15),$ADI$15,
IF(OR(AND($ADK$16&gt;YM80,YM80&gt;$ADK$15),YM80 = $ADK$16),$ADI$16,
IF(OR(AND($ADK$17&gt;YM80,YM80&gt;$ADK$16),YM80 = $ADK$17),$ADI$17,
IF(OR(AND($ADK$18&gt;YM80,YM80&gt;$ADK$17),YM80 = $ADK$18),$ADI$18,
IF(OR(AND($ADK$19&gt;YM80,YM80&gt;$ADK$18),YM80 = $ADK$19),$ADI$19,
IF(OR(AND($ADK$20&gt;YM80,YM80&gt;$ADK$19),YM80 = $ADK$20),$ADI$20,
IF(OR(AND($ADK$21&gt;YM80,YM80&gt;$ADK$20),YM80 = $ADK$21),$ADI$21,
IF(OR(AND($ADK$22&gt;YM80,YM80&gt;$ADK$21),YM80 = $ADK$22),$ADI$22,
IF(OR(AND($ADK$23&gt;YM80,YM80&gt;$ADK$22),YM80 = $ADK$23),$ADI$23,
IF(OR(AND($ADK$24&gt;YM80,YM80&gt;$ADK$23),YM80 = $ADK$24),$ADI$24,
IF(OR(AND($ADK$25&gt;YM80,YM80&gt;$ADK$24),YM80 = $ADK$25),$ADI$25,
IF(OR(AND($ADK$26&gt;YM80,YM80&gt;$ADK$25),YM80 = $ADK$26),$ADI$26,
IF(OR(AND($ADK$27&gt;YM80,YM80&gt;$ADK$26),YM80 = $ADK$27),$ADI$27,
IF(OR(AND($ADK$28&gt;YM80,YM80&gt;$ADK$27),YM80 = $ADK$28),$ADI$28,
IF(OR(AND($ADK$29&gt;YM80,YM80&gt;$ADK$28),YM80 = $ADK$29),$ADI$29,
IF(OR(AND($ADK$30&gt;YM80,YM80&gt;$ADK$29),YM80 = $ADK$30),$ADI$30,
IF(OR(AND($ADK$31&gt;YM80,YM80&gt;$ADK$30),YM80 = $ADK$31),$ADI$31,
IF(OR(AND($ADK$32&gt;YM80,YM80&gt;$ADK$31),YM80 = $ADK$32),$ADI$32,
IF(OR(AND($ADK$33&gt;YM80,YM80&gt;$ADK$32),YM80 = $ADK$33),$ADI$33,
IF(OR(AND($ADK$34&gt;YM80,YM80&gt;$ADK$33),YM80 = $ADK$34),$ADI$34,
IF(OR(AND($ADK$35&gt;YM80,YM80&gt;$ADK$34),YM80 = $ADK$35),$ADI$35,
IF(OR(AND($ADK$36&gt;YM80,YM80&gt;$ADK$35),YM80 = $ADK$36),$ADI$36,
IF(OR(AND($ADK$37&gt;YM80,YM80&gt;$ADK$36),YM80 = $ADK$37),$ADI$37,
IF(OR(AND($ADK$38&gt;YM80,YM80&gt;$ADK$37),YM80 = $ADK$38),$ADI$38,
IF(OR(AND($ADK$39&gt;YM80,YM80&gt;$ADK$38),YM80 = $ADK$39),$ADI$39,
IF(OR(AND($ADK$40&gt;YM80,YM80&gt;$ADK$39),YM80 = $ADK$40),$ADI$40,
IF(OR(AND($ADK$41&gt;YM80,YM80&gt;$ADK$40),YM80 = $ADK$41),$ADI$41,
IF(OR(AND($ADK$42&gt;YM80,YM80&gt;$ADK$41),YM80 = $ADK$42),$ADI$42,
IF(OR(AND($ADK$43&gt;YM80,YM80&gt;$ADK$42),YM80 = $ADK$43),$ADI$43,
IF(OR(AND($ADK$44&gt;YM80,YM80&gt;$ADK$43),YM80 = $ADK$44),$ADI$44,
IF(OR(AND($ADK$45&gt;YM80,YM80&gt;$ADK$44),YM80 = $ADK$45),$ADI$45,
IF(OR(AND($ADK$46&gt;YM80,YM80&gt;$ADK$45),YM80 = $ADK$46),$ADI$46,
IF(OR(AND($ADK$47&gt;YM80,YM80&gt;$ADK$46),YM80 = $ADK$47),$ADI$47,
IF(OR(AND($ADK$48&gt;YM80,YM80&gt;$ADK$47),YM80 = $ADK$48),$ADI$48,
IF(OR(AND($ADK$49&gt;YM80,YM80&gt;$ADK$48),YM80 = $ADK$49),$ADI$49,
IF(OR(AND($ADK$50&gt;YM80,YM80&gt;$ADK$49),YM80 = $ADK$50),$ADI$50,
IF(OR(AND($ADK$51&gt;YM80,YM80&gt;$ADK$50),YM80 = $ADK$51),$ADI$51,
IF(OR(AND($ADK$52&gt;YM80,YM80&gt;$ADK$51),YM80 = $ADK$52),$ADI$52,
IF(OR(AND($ADK$53&gt;YM80,YM80&gt;$ADK$52),YM80 = $ADK$53),$ADI$53,
IF(OR(AND($ADK$54&gt;YM80,YM80&gt;$ADK$53),YM80 = $ADK$54),$ADI$54,
IF(OR(AND($ADK$55&gt;YM80,YM80&gt;$ADK$54),YM80 = $ADK$55),$ADI$55,
IF(OR(AND($ADK$56&gt;YM80,YM80&gt;$ADK$55),YM80 = $ADK$56),$ADI$56,
IF(OR(AND($ADK$57&gt;YM80,YM80&gt;$ADK$56),YM80 = $ADK$57),$ADI$57,
IF(OR(AND($ADK$58&gt;YM80,YM80&gt;$ADK$57),YM80 = $ADK$58),$ADI$58,
IF(OR(AND($ADK$59&gt;YM80,YM80&gt;$ADK$58),YM80 = $ADK$59),$ADI$59,
IF(OR(AND($ADK$60&gt;YM80,YM80&gt;$ADK$59),YM80 = $ADK$60),$ADI$60,
IF(OR(AND($ADK$61&gt;YM80,YM80&gt;$ADK$60),YM80 = $ADK$61),$ADI$61,
IF(OR(AND($ADK$62&gt;YM80,YM80&gt;$ADK$61),YM80 = $ADK$62),$ADI$62,
"Y")))))))))))))))))))))))))))))))))))))))))))))))))))</f>
        <v>0.82000000000000006</v>
      </c>
      <c r="YN84" s="693">
        <f t="shared" si="77"/>
        <v>0.84999999999999987</v>
      </c>
      <c r="YO84" s="693">
        <f t="shared" si="77"/>
        <v>0.88000000000000012</v>
      </c>
      <c r="YP84" s="693">
        <f t="shared" si="77"/>
        <v>0.91105263157894756</v>
      </c>
      <c r="YQ84" s="693">
        <f t="shared" si="77"/>
        <v>0.94421052631579405</v>
      </c>
      <c r="YR84" s="693">
        <f t="shared" si="77"/>
        <v>0.97736842105263566</v>
      </c>
      <c r="YS84" s="693">
        <f t="shared" si="77"/>
        <v>1.0105263157894782</v>
      </c>
      <c r="YT84" s="693">
        <f t="shared" si="77"/>
        <v>1.0326315789473726</v>
      </c>
      <c r="YU84" s="693">
        <f t="shared" si="77"/>
        <v>1.0657894736842151</v>
      </c>
      <c r="YV84" s="693">
        <f t="shared" si="77"/>
        <v>1.0989473684210576</v>
      </c>
      <c r="YW84" s="693">
        <f t="shared" si="77"/>
        <v>1.1321052631578996</v>
      </c>
      <c r="YX84" s="693">
        <f t="shared" si="77"/>
        <v>1.1542105263157945</v>
      </c>
      <c r="YY84" s="693">
        <f t="shared" si="77"/>
        <v>1.187368421052637</v>
      </c>
      <c r="YZ84" s="693">
        <f t="shared" si="77"/>
        <v>1.2094736842105314</v>
      </c>
      <c r="ZA84" s="693">
        <f t="shared" si="77"/>
        <v>1.2426315789473739</v>
      </c>
      <c r="ZB84" s="693">
        <f t="shared" si="77"/>
        <v>1.2757894736842155</v>
      </c>
      <c r="ZC84" s="693">
        <f t="shared" si="77"/>
        <v>1.2978947368421103</v>
      </c>
      <c r="ZD84" s="693">
        <f t="shared" si="77"/>
        <v>1.3310526315789528</v>
      </c>
      <c r="ZE84" s="693" t="str">
        <f t="shared" si="77"/>
        <v>Y</v>
      </c>
      <c r="ZF84" s="693" t="str">
        <f t="shared" si="77"/>
        <v>Y</v>
      </c>
      <c r="ZG84" s="693" t="str">
        <f t="shared" si="77"/>
        <v>Y</v>
      </c>
      <c r="ZH84" s="693" t="str">
        <f t="shared" si="77"/>
        <v>Y</v>
      </c>
      <c r="ZI84" s="693" t="str">
        <f t="shared" si="77"/>
        <v>Y</v>
      </c>
      <c r="ZJ84" s="693" t="str">
        <f t="shared" si="77"/>
        <v>Y</v>
      </c>
      <c r="ZK84" s="693" t="str">
        <f t="shared" si="77"/>
        <v>Y</v>
      </c>
      <c r="ZL84" s="693" t="str">
        <f t="shared" si="77"/>
        <v>Y</v>
      </c>
      <c r="ZM84" s="693" t="str">
        <f t="shared" si="77"/>
        <v>Y</v>
      </c>
      <c r="ZN84" s="693" t="str">
        <f t="shared" si="77"/>
        <v>Y</v>
      </c>
      <c r="ZO84" s="693" t="str">
        <f t="shared" si="77"/>
        <v>Y</v>
      </c>
      <c r="ZP84" s="693" t="str">
        <f t="shared" si="77"/>
        <v>Y</v>
      </c>
      <c r="ZQ84" s="693" t="str">
        <f t="shared" si="77"/>
        <v>Y</v>
      </c>
      <c r="ZR84" s="693" t="str">
        <f t="shared" si="77"/>
        <v>Y</v>
      </c>
      <c r="ZS84" s="693" t="str">
        <f t="shared" ref="ZS84:AAS84" si="78">IF($ADK$13&lt;1,"Ошибка",
IF(OR(AND($ADK$13&gt;ZS80,ZS80&gt;$ADA$62),ZS80 = $ADK$13),$ADI$13,
IF(OR(AND($ADK$14&gt;ZS80,ZS80&gt;$ADK$13),ZS80 = $ADK$14),$ADI$14,
IF(OR(AND($ADK$15&gt;ZS80,ZS80&gt;$ADK$14),ZS80 = $ADK$15),$ADI$15,
IF(OR(AND($ADK$16&gt;ZS80,ZS80&gt;$ADK$15),ZS80 = $ADK$16),$ADI$16,
IF(OR(AND($ADK$17&gt;ZS80,ZS80&gt;$ADK$16),ZS80 = $ADK$17),$ADI$17,
IF(OR(AND($ADK$18&gt;ZS80,ZS80&gt;$ADK$17),ZS80 = $ADK$18),$ADI$18,
IF(OR(AND($ADK$19&gt;ZS80,ZS80&gt;$ADK$18),ZS80 = $ADK$19),$ADI$19,
IF(OR(AND($ADK$20&gt;ZS80,ZS80&gt;$ADK$19),ZS80 = $ADK$20),$ADI$20,
IF(OR(AND($ADK$21&gt;ZS80,ZS80&gt;$ADK$20),ZS80 = $ADK$21),$ADI$21,
IF(OR(AND($ADK$22&gt;ZS80,ZS80&gt;$ADK$21),ZS80 = $ADK$22),$ADI$22,
IF(OR(AND($ADK$23&gt;ZS80,ZS80&gt;$ADK$22),ZS80 = $ADK$23),$ADI$23,
IF(OR(AND($ADK$24&gt;ZS80,ZS80&gt;$ADK$23),ZS80 = $ADK$24),$ADI$24,
IF(OR(AND($ADK$25&gt;ZS80,ZS80&gt;$ADK$24),ZS80 = $ADK$25),$ADI$25,
IF(OR(AND($ADK$26&gt;ZS80,ZS80&gt;$ADK$25),ZS80 = $ADK$26),$ADI$26,
IF(OR(AND($ADK$27&gt;ZS80,ZS80&gt;$ADK$26),ZS80 = $ADK$27),$ADI$27,
IF(OR(AND($ADK$28&gt;ZS80,ZS80&gt;$ADK$27),ZS80 = $ADK$28),$ADI$28,
IF(OR(AND($ADK$29&gt;ZS80,ZS80&gt;$ADK$28),ZS80 = $ADK$29),$ADI$29,
IF(OR(AND($ADK$30&gt;ZS80,ZS80&gt;$ADK$29),ZS80 = $ADK$30),$ADI$30,
IF(OR(AND($ADK$31&gt;ZS80,ZS80&gt;$ADK$30),ZS80 = $ADK$31),$ADI$31,
IF(OR(AND($ADK$32&gt;ZS80,ZS80&gt;$ADK$31),ZS80 = $ADK$32),$ADI$32,
IF(OR(AND($ADK$33&gt;ZS80,ZS80&gt;$ADK$32),ZS80 = $ADK$33),$ADI$33,
IF(OR(AND($ADK$34&gt;ZS80,ZS80&gt;$ADK$33),ZS80 = $ADK$34),$ADI$34,
IF(OR(AND($ADK$35&gt;ZS80,ZS80&gt;$ADK$34),ZS80 = $ADK$35),$ADI$35,
IF(OR(AND($ADK$36&gt;ZS80,ZS80&gt;$ADK$35),ZS80 = $ADK$36),$ADI$36,
IF(OR(AND($ADK$37&gt;ZS80,ZS80&gt;$ADK$36),ZS80 = $ADK$37),$ADI$37,
IF(OR(AND($ADK$38&gt;ZS80,ZS80&gt;$ADK$37),ZS80 = $ADK$38),$ADI$38,
IF(OR(AND($ADK$39&gt;ZS80,ZS80&gt;$ADK$38),ZS80 = $ADK$39),$ADI$39,
IF(OR(AND($ADK$40&gt;ZS80,ZS80&gt;$ADK$39),ZS80 = $ADK$40),$ADI$40,
IF(OR(AND($ADK$41&gt;ZS80,ZS80&gt;$ADK$40),ZS80 = $ADK$41),$ADI$41,
IF(OR(AND($ADK$42&gt;ZS80,ZS80&gt;$ADK$41),ZS80 = $ADK$42),$ADI$42,
IF(OR(AND($ADK$43&gt;ZS80,ZS80&gt;$ADK$42),ZS80 = $ADK$43),$ADI$43,
IF(OR(AND($ADK$44&gt;ZS80,ZS80&gt;$ADK$43),ZS80 = $ADK$44),$ADI$44,
IF(OR(AND($ADK$45&gt;ZS80,ZS80&gt;$ADK$44),ZS80 = $ADK$45),$ADI$45,
IF(OR(AND($ADK$46&gt;ZS80,ZS80&gt;$ADK$45),ZS80 = $ADK$46),$ADI$46,
IF(OR(AND($ADK$47&gt;ZS80,ZS80&gt;$ADK$46),ZS80 = $ADK$47),$ADI$47,
IF(OR(AND($ADK$48&gt;ZS80,ZS80&gt;$ADK$47),ZS80 = $ADK$48),$ADI$48,
IF(OR(AND($ADK$49&gt;ZS80,ZS80&gt;$ADK$48),ZS80 = $ADK$49),$ADI$49,
IF(OR(AND($ADK$50&gt;ZS80,ZS80&gt;$ADK$49),ZS80 = $ADK$50),$ADI$50,
IF(OR(AND($ADK$51&gt;ZS80,ZS80&gt;$ADK$50),ZS80 = $ADK$51),$ADI$51,
IF(OR(AND($ADK$52&gt;ZS80,ZS80&gt;$ADK$51),ZS80 = $ADK$52),$ADI$52,
IF(OR(AND($ADK$53&gt;ZS80,ZS80&gt;$ADK$52),ZS80 = $ADK$53),$ADI$53,
IF(OR(AND($ADK$54&gt;ZS80,ZS80&gt;$ADK$53),ZS80 = $ADK$54),$ADI$54,
IF(OR(AND($ADK$55&gt;ZS80,ZS80&gt;$ADK$54),ZS80 = $ADK$55),$ADI$55,
IF(OR(AND($ADK$56&gt;ZS80,ZS80&gt;$ADK$55),ZS80 = $ADK$56),$ADI$56,
IF(OR(AND($ADK$57&gt;ZS80,ZS80&gt;$ADK$56),ZS80 = $ADK$57),$ADI$57,
IF(OR(AND($ADK$58&gt;ZS80,ZS80&gt;$ADK$57),ZS80 = $ADK$58),$ADI$58,
IF(OR(AND($ADK$59&gt;ZS80,ZS80&gt;$ADK$58),ZS80 = $ADK$59),$ADI$59,
IF(OR(AND($ADK$60&gt;ZS80,ZS80&gt;$ADK$59),ZS80 = $ADK$60),$ADI$60,
IF(OR(AND($ADK$61&gt;ZS80,ZS80&gt;$ADK$60),ZS80 = $ADK$61),$ADI$61,
IF(OR(AND($ADK$62&gt;ZS80,ZS80&gt;$ADK$61),ZS80 = $ADK$62),$ADI$62,
"Y")))))))))))))))))))))))))))))))))))))))))))))))))))</f>
        <v>Y</v>
      </c>
      <c r="ZT84" s="693" t="str">
        <f t="shared" si="78"/>
        <v>Y</v>
      </c>
      <c r="ZU84" s="693" t="str">
        <f t="shared" si="78"/>
        <v>Y</v>
      </c>
      <c r="ZV84" s="693" t="str">
        <f t="shared" si="78"/>
        <v>Y</v>
      </c>
      <c r="ZW84" s="693" t="str">
        <f t="shared" si="78"/>
        <v>Y</v>
      </c>
      <c r="ZX84" s="693" t="str">
        <f t="shared" si="78"/>
        <v>Y</v>
      </c>
      <c r="ZY84" s="693" t="str">
        <f t="shared" si="78"/>
        <v>Y</v>
      </c>
      <c r="ZZ84" s="693" t="str">
        <f t="shared" si="78"/>
        <v>Y</v>
      </c>
      <c r="AAA84" s="693" t="str">
        <f t="shared" si="78"/>
        <v>Y</v>
      </c>
      <c r="AAB84" s="693" t="str">
        <f t="shared" si="78"/>
        <v>Y</v>
      </c>
      <c r="AAC84" s="693" t="str">
        <f t="shared" si="78"/>
        <v>Y</v>
      </c>
      <c r="AAD84" s="693" t="str">
        <f t="shared" si="78"/>
        <v>Y</v>
      </c>
      <c r="AAE84" s="693" t="str">
        <f t="shared" si="78"/>
        <v>Y</v>
      </c>
      <c r="AAF84" s="693" t="str">
        <f t="shared" si="78"/>
        <v>Y</v>
      </c>
      <c r="AAG84" s="693" t="str">
        <f t="shared" si="78"/>
        <v>Y</v>
      </c>
      <c r="AAH84" s="693" t="str">
        <f t="shared" si="78"/>
        <v>Y</v>
      </c>
      <c r="AAI84" s="693" t="str">
        <f t="shared" si="78"/>
        <v>Y</v>
      </c>
      <c r="AAJ84" s="693" t="str">
        <f t="shared" si="78"/>
        <v>Y</v>
      </c>
      <c r="AAK84" s="693" t="str">
        <f t="shared" si="78"/>
        <v>Y</v>
      </c>
      <c r="AAL84" s="693" t="str">
        <f t="shared" si="78"/>
        <v>Y</v>
      </c>
      <c r="AAM84" s="693" t="str">
        <f t="shared" si="78"/>
        <v>Y</v>
      </c>
      <c r="AAN84" s="693" t="str">
        <f t="shared" si="78"/>
        <v>Y</v>
      </c>
      <c r="AAO84" s="693" t="str">
        <f t="shared" si="78"/>
        <v>Y</v>
      </c>
      <c r="AAP84" s="693" t="str">
        <f t="shared" si="78"/>
        <v>Y</v>
      </c>
      <c r="AAQ84" s="693" t="str">
        <f t="shared" si="78"/>
        <v>Y</v>
      </c>
      <c r="AAR84" s="693" t="str">
        <f t="shared" si="78"/>
        <v>Y</v>
      </c>
      <c r="AAS84" s="693" t="str">
        <f t="shared" si="78"/>
        <v>Y</v>
      </c>
      <c r="AAT84" s="1006"/>
      <c r="AAU84" s="960"/>
      <c r="AAV84" s="1101"/>
      <c r="AAW84" s="1101"/>
      <c r="AAX84" s="1101"/>
      <c r="AAY84" s="1101"/>
      <c r="AAZ84" s="1101"/>
      <c r="ABA84" s="1101"/>
      <c r="ABB84" s="1101"/>
      <c r="ABC84" s="1101"/>
      <c r="ABD84" s="1101"/>
      <c r="ABE84" s="1101"/>
      <c r="ABF84" s="1101"/>
      <c r="ABG84" s="1101"/>
      <c r="ABH84" s="961"/>
      <c r="ABI84" s="158"/>
      <c r="ABJ84" s="158"/>
      <c r="ABK84" s="158"/>
      <c r="ABL84" s="158"/>
      <c r="ABM84" s="158"/>
      <c r="ABN84" s="158"/>
      <c r="ABO84" s="158"/>
      <c r="ABP84" s="163"/>
      <c r="ABT84" s="1287"/>
      <c r="ABU84" s="1287"/>
      <c r="ABV84" s="1287"/>
      <c r="ABW84" s="1287"/>
      <c r="ABX84" s="1287"/>
      <c r="ABY84" s="1287"/>
      <c r="ABZ84" s="1287"/>
      <c r="ACA84" s="1287"/>
      <c r="ACB84" s="1287"/>
      <c r="ACC84" s="1287"/>
      <c r="ACD84" s="1287"/>
      <c r="ACE84" s="1287"/>
      <c r="ACF84" s="1287"/>
      <c r="ACG84" s="1287"/>
      <c r="ACH84" s="981"/>
      <c r="ACJ84" s="856" t="s">
        <v>1585</v>
      </c>
      <c r="ACK84" s="856"/>
      <c r="ACL84" s="856" t="s">
        <v>829</v>
      </c>
      <c r="ACM84" s="856"/>
      <c r="ACN84" s="671" t="s">
        <v>410</v>
      </c>
      <c r="ACO84" s="759" t="s">
        <v>432</v>
      </c>
      <c r="ACP84" s="760"/>
      <c r="ACQ84" s="1102" t="s">
        <v>1439</v>
      </c>
      <c r="ACR84" s="1103"/>
      <c r="ACT84" s="856" t="s">
        <v>1585</v>
      </c>
      <c r="ACU84" s="856"/>
      <c r="ACV84" s="856" t="s">
        <v>829</v>
      </c>
      <c r="ACW84" s="856"/>
      <c r="ACX84" s="679" t="s">
        <v>410</v>
      </c>
      <c r="ACY84" s="759" t="s">
        <v>432</v>
      </c>
      <c r="ACZ84" s="760"/>
      <c r="ADA84" s="1102" t="s">
        <v>1439</v>
      </c>
      <c r="ADB84" s="1103"/>
      <c r="ADD84" s="856" t="s">
        <v>1585</v>
      </c>
      <c r="ADE84" s="856"/>
      <c r="ADF84" s="856" t="s">
        <v>829</v>
      </c>
      <c r="ADG84" s="856"/>
      <c r="ADH84" s="679" t="s">
        <v>410</v>
      </c>
      <c r="ADI84" s="759" t="s">
        <v>432</v>
      </c>
      <c r="ADJ84" s="760"/>
      <c r="ADK84" s="1102" t="s">
        <v>1439</v>
      </c>
      <c r="ADL84" s="1103"/>
      <c r="ADN84" s="856" t="s">
        <v>1585</v>
      </c>
      <c r="ADO84" s="856"/>
      <c r="ADP84" s="856" t="s">
        <v>829</v>
      </c>
      <c r="ADQ84" s="856"/>
      <c r="ADR84" s="679" t="s">
        <v>410</v>
      </c>
      <c r="ADS84" s="759" t="s">
        <v>432</v>
      </c>
      <c r="ADT84" s="760"/>
      <c r="ADU84" s="1102" t="s">
        <v>1439</v>
      </c>
      <c r="ADV84" s="1103"/>
      <c r="ADW84" s="653"/>
      <c r="ADX84" s="856" t="s">
        <v>1585</v>
      </c>
      <c r="ADY84" s="856"/>
      <c r="ADZ84" s="856" t="s">
        <v>829</v>
      </c>
      <c r="AEA84" s="856"/>
      <c r="AEB84" s="690" t="s">
        <v>410</v>
      </c>
      <c r="AEC84" s="759" t="s">
        <v>432</v>
      </c>
      <c r="AED84" s="760"/>
      <c r="AEE84" s="1102" t="s">
        <v>1439</v>
      </c>
      <c r="AEF84" s="1103"/>
      <c r="AEH84" s="856" t="s">
        <v>1585</v>
      </c>
      <c r="AEI84" s="856"/>
      <c r="AEJ84" s="856" t="s">
        <v>829</v>
      </c>
      <c r="AEK84" s="856"/>
      <c r="AEL84" s="690" t="s">
        <v>410</v>
      </c>
      <c r="AEM84" s="759" t="s">
        <v>432</v>
      </c>
      <c r="AEN84" s="760"/>
      <c r="AEO84" s="1102" t="s">
        <v>1439</v>
      </c>
      <c r="AEP84" s="1103"/>
      <c r="AHU84" s="130"/>
      <c r="AHV84" s="130"/>
      <c r="AHW84" s="130"/>
      <c r="AHX84" s="130"/>
      <c r="ANI84" s="130"/>
      <c r="ANJ84" s="130"/>
      <c r="ANK84" s="130"/>
      <c r="ANL84" s="130"/>
      <c r="AQH84" s="897" t="s">
        <v>974</v>
      </c>
      <c r="AQI84" s="898"/>
      <c r="AQJ84" s="899"/>
      <c r="AQK84" s="849"/>
      <c r="AQL84" s="133" t="s">
        <v>416</v>
      </c>
      <c r="AQM84" s="134"/>
      <c r="AQN84" s="687"/>
      <c r="AQO84" s="78"/>
      <c r="AQP84" s="78"/>
      <c r="AQQ84" s="78"/>
      <c r="AQR84" s="78"/>
      <c r="AQS84" s="687"/>
      <c r="AQT84" s="652" t="s">
        <v>702</v>
      </c>
      <c r="AQU84" s="687"/>
      <c r="AQV84" s="76" t="s">
        <v>441</v>
      </c>
      <c r="AQW84" s="854" t="s">
        <v>435</v>
      </c>
      <c r="AQX84" s="855"/>
      <c r="AQY84" s="920" t="s">
        <v>111</v>
      </c>
      <c r="AQZ84" s="921"/>
      <c r="ARA84" s="916" t="s">
        <v>704</v>
      </c>
      <c r="ARB84" s="917"/>
      <c r="ARC84" s="906" t="s">
        <v>447</v>
      </c>
      <c r="ARD84" s="907"/>
      <c r="ARE84" s="907"/>
      <c r="ARF84" s="908"/>
      <c r="ARN84" s="653"/>
      <c r="ARO84" s="653"/>
      <c r="ARU84" s="850"/>
      <c r="ARV84" s="776"/>
      <c r="ARW84" s="776"/>
      <c r="ARX84" s="776"/>
      <c r="ARY84" s="776"/>
      <c r="ARZ84" s="776"/>
      <c r="ASA84" s="776"/>
      <c r="ASB84" s="776"/>
      <c r="ASC84" s="776"/>
      <c r="ASD84" s="776"/>
      <c r="ASE84" s="776"/>
      <c r="ASF84" s="776"/>
      <c r="ASG84" s="776"/>
      <c r="ASH84" s="776"/>
      <c r="ASI84" s="1473"/>
      <c r="ASJ84" s="1474"/>
      <c r="ASK84" s="1476"/>
      <c r="ASL84" s="1332"/>
      <c r="ASM84" s="1558"/>
      <c r="ASN84" s="1555"/>
      <c r="ASO84" s="1556"/>
      <c r="ASP84" s="1554"/>
      <c r="ASQ84" s="1052"/>
      <c r="ASR84" s="1052"/>
      <c r="ASS84" s="1052"/>
      <c r="AST84" s="1052"/>
      <c r="ASU84" s="1052"/>
      <c r="ASV84" s="1052"/>
      <c r="ASW84" s="1052"/>
      <c r="ASX84" s="1052"/>
      <c r="ASY84" s="1052"/>
      <c r="ASZ84" s="1052"/>
      <c r="ATA84" s="1052"/>
      <c r="ATB84" s="1052"/>
    </row>
    <row r="85" spans="4:908 1049:1212" ht="48" customHeight="1" thickBot="1">
      <c r="D85" s="588">
        <v>6</v>
      </c>
      <c r="E85" s="862" t="s">
        <v>942</v>
      </c>
      <c r="F85" s="863"/>
      <c r="G85" s="863"/>
      <c r="H85" s="863"/>
      <c r="I85" s="863"/>
      <c r="J85" s="863"/>
      <c r="K85" s="863"/>
      <c r="L85" s="863"/>
      <c r="M85" s="863"/>
      <c r="N85" s="863"/>
      <c r="O85" s="863"/>
      <c r="P85" s="863"/>
      <c r="Q85" s="863"/>
      <c r="R85" s="863"/>
      <c r="S85" s="864"/>
      <c r="BQ85" s="130"/>
      <c r="BR85" s="130"/>
      <c r="BS85" s="130"/>
      <c r="BT85" s="130"/>
      <c r="DZ85" s="851"/>
      <c r="EA85" s="1725" t="s">
        <v>1757</v>
      </c>
      <c r="EB85" s="1726"/>
      <c r="EC85" s="1694">
        <f>$EJ$58</f>
        <v>0.23</v>
      </c>
      <c r="ED85" s="1695"/>
      <c r="EE85" s="818"/>
      <c r="EF85" s="819"/>
      <c r="EG85" s="819"/>
      <c r="EH85" s="819"/>
      <c r="EI85" s="819"/>
      <c r="EJ85" s="819"/>
      <c r="EK85" s="887"/>
      <c r="EL85" s="888"/>
      <c r="EM85" s="1077"/>
      <c r="EN85" s="1078"/>
      <c r="EO85" s="842"/>
      <c r="EP85" s="1173"/>
      <c r="EQ85" s="1174"/>
      <c r="ER85" s="1175"/>
      <c r="ES85" s="848"/>
      <c r="ET85" s="1053"/>
      <c r="EU85" s="1053"/>
      <c r="EV85" s="1053"/>
      <c r="EW85" s="1053"/>
      <c r="EX85" s="1053"/>
      <c r="EY85" s="1053"/>
      <c r="EZ85" s="1053"/>
      <c r="FF85" s="126"/>
      <c r="FG85" s="126"/>
      <c r="FH85" s="126"/>
      <c r="FI85" s="126"/>
      <c r="FK85" s="126"/>
      <c r="FL85" s="126"/>
      <c r="FM85" s="126"/>
      <c r="FN85" s="126"/>
      <c r="FO85" s="126"/>
      <c r="FP85" s="126"/>
      <c r="GC85" s="6"/>
      <c r="GD85" s="3"/>
      <c r="GE85" s="3"/>
      <c r="GF85" s="850"/>
      <c r="GG85" s="935" t="s">
        <v>1090</v>
      </c>
      <c r="GH85" s="936"/>
      <c r="GI85" s="937">
        <f>$GQ$78</f>
        <v>4.847402946961874</v>
      </c>
      <c r="GJ85" s="937"/>
      <c r="GK85" s="823"/>
      <c r="GL85" s="824"/>
      <c r="GM85" s="824"/>
      <c r="GN85" s="824"/>
      <c r="GO85" s="824"/>
      <c r="GP85" s="1049"/>
      <c r="GQ85" s="887"/>
      <c r="GR85" s="888"/>
      <c r="GS85" s="933"/>
      <c r="GT85" s="934"/>
      <c r="GU85" s="1067"/>
      <c r="GV85" s="918"/>
      <c r="GW85" s="1082"/>
      <c r="GX85" s="919"/>
      <c r="GY85" s="848"/>
      <c r="GZ85" s="1052"/>
      <c r="HA85" s="1052"/>
      <c r="HB85" s="1052"/>
      <c r="HC85" s="1052"/>
      <c r="HD85" s="1052"/>
      <c r="HE85" s="1052"/>
      <c r="HF85" s="1052"/>
      <c r="HG85" s="1052"/>
      <c r="IR85" s="1052"/>
      <c r="IS85" s="516" t="s">
        <v>1149</v>
      </c>
      <c r="IT85" s="926">
        <f>$KI$64</f>
        <v>1068.1926267519793</v>
      </c>
      <c r="IU85" s="926"/>
      <c r="IV85" s="824"/>
      <c r="IW85" s="824"/>
      <c r="IX85" s="824"/>
      <c r="IY85" s="824"/>
      <c r="IZ85" s="824"/>
      <c r="JA85" s="824"/>
      <c r="JB85" s="824"/>
      <c r="JC85" s="824"/>
      <c r="JD85" s="824"/>
      <c r="JE85" s="1049"/>
      <c r="JF85" s="837"/>
      <c r="JG85" s="838"/>
      <c r="JH85" s="1185"/>
      <c r="JI85" s="1186"/>
      <c r="JJ85" s="1067"/>
      <c r="JK85" s="845"/>
      <c r="JL85" s="846"/>
      <c r="JM85" s="848"/>
      <c r="JN85" s="1052"/>
      <c r="JO85" s="1052"/>
      <c r="JP85" s="1052"/>
      <c r="JQ85" s="1052"/>
      <c r="JR85" s="1052"/>
      <c r="MB85" s="849"/>
      <c r="MC85" s="852" t="s">
        <v>416</v>
      </c>
      <c r="MD85" s="853"/>
      <c r="ME85" s="344"/>
      <c r="MF85" s="332" t="s">
        <v>1069</v>
      </c>
      <c r="MG85" s="937">
        <f>$CI$79</f>
        <v>0.95799999999999996</v>
      </c>
      <c r="MH85" s="937"/>
      <c r="MI85" s="78"/>
      <c r="MJ85" s="78"/>
      <c r="MK85" s="78"/>
      <c r="ML85" s="344"/>
      <c r="MM85" s="76" t="s">
        <v>441</v>
      </c>
      <c r="MN85" s="854" t="s">
        <v>435</v>
      </c>
      <c r="MO85" s="855"/>
      <c r="MP85" s="920" t="s">
        <v>111</v>
      </c>
      <c r="MQ85" s="921"/>
      <c r="MR85" s="916" t="s">
        <v>704</v>
      </c>
      <c r="MS85" s="917"/>
      <c r="MT85" s="906" t="s">
        <v>447</v>
      </c>
      <c r="MU85" s="907"/>
      <c r="MV85" s="907"/>
      <c r="MW85" s="908"/>
      <c r="MX85" s="1051" t="s">
        <v>436</v>
      </c>
      <c r="MY85" s="1051"/>
      <c r="MZ85" s="1051"/>
      <c r="NA85" s="1051"/>
      <c r="NB85" s="1051"/>
      <c r="NC85" s="1051"/>
      <c r="OH85" s="897" t="s">
        <v>929</v>
      </c>
      <c r="OI85" s="898"/>
      <c r="OJ85" s="899"/>
      <c r="PL85" s="900"/>
      <c r="PM85" s="901"/>
      <c r="PN85" s="902"/>
      <c r="PO85" s="850"/>
      <c r="PP85" s="809" t="s">
        <v>148</v>
      </c>
      <c r="PQ85" s="797"/>
      <c r="PR85" s="797"/>
      <c r="PS85" s="797"/>
      <c r="PT85" s="797"/>
      <c r="PU85" s="797"/>
      <c r="PV85" s="1193">
        <v>2.5</v>
      </c>
      <c r="PW85" s="1194"/>
      <c r="PX85" s="1183" t="s">
        <v>729</v>
      </c>
      <c r="PY85" s="1184"/>
      <c r="PZ85" s="1066"/>
      <c r="QA85" s="843" t="s">
        <v>1544</v>
      </c>
      <c r="QB85" s="844"/>
      <c r="QC85" s="847"/>
      <c r="QV85" s="130"/>
      <c r="QW85" s="130"/>
      <c r="RE85" s="653"/>
      <c r="RF85" s="653"/>
      <c r="RG85" s="653"/>
      <c r="RH85" s="653"/>
      <c r="RI85" s="653"/>
      <c r="RJ85" s="653"/>
      <c r="RK85" s="653"/>
      <c r="RL85" s="653"/>
      <c r="RM85" s="653"/>
      <c r="RN85" s="653"/>
      <c r="RO85" s="653"/>
      <c r="RP85" s="653"/>
      <c r="RQ85" s="653"/>
      <c r="RR85" s="653"/>
      <c r="RS85" s="653"/>
      <c r="RT85" s="653"/>
      <c r="RU85" s="653"/>
      <c r="RV85" s="653"/>
      <c r="RW85" s="653"/>
      <c r="RX85" s="653"/>
      <c r="RY85" s="653"/>
      <c r="RZ85" s="653"/>
      <c r="SA85" s="653"/>
      <c r="SB85" s="653"/>
      <c r="SC85" s="653"/>
      <c r="SD85" s="653"/>
      <c r="SE85" s="653"/>
      <c r="SF85" s="653"/>
      <c r="SG85" s="653"/>
      <c r="SH85" s="653"/>
      <c r="SI85" s="653"/>
      <c r="SJ85" s="653"/>
      <c r="SK85" s="653"/>
      <c r="SL85" s="653"/>
      <c r="SM85" s="653"/>
      <c r="SN85" s="653"/>
      <c r="SO85" s="653"/>
      <c r="SP85" s="653"/>
      <c r="SQ85" s="653"/>
      <c r="SR85" s="653"/>
      <c r="SS85" s="653"/>
      <c r="ST85" s="653"/>
      <c r="SU85" s="653"/>
      <c r="SV85" s="653"/>
      <c r="SW85" s="653"/>
      <c r="SX85" s="653"/>
      <c r="SY85" s="653"/>
      <c r="SZ85" s="653"/>
      <c r="TA85" s="653"/>
      <c r="TB85" s="653"/>
      <c r="TC85" s="653"/>
      <c r="TD85" s="653"/>
      <c r="TE85" s="653"/>
      <c r="TF85" s="653"/>
      <c r="TG85" s="653"/>
      <c r="TH85" s="653"/>
      <c r="TI85" s="653"/>
      <c r="TJ85" s="653"/>
      <c r="TK85" s="653"/>
      <c r="TL85" s="653"/>
      <c r="TM85" s="653"/>
      <c r="TN85" s="653"/>
      <c r="TO85" s="653"/>
      <c r="TP85" s="653"/>
      <c r="TQ85" s="653"/>
      <c r="TR85" s="653"/>
      <c r="TS85" s="653"/>
      <c r="TT85" s="653"/>
      <c r="TU85" s="653"/>
      <c r="TV85" s="653"/>
      <c r="TW85" s="653"/>
      <c r="TX85" s="653"/>
      <c r="TY85" s="653"/>
      <c r="TZ85" s="653"/>
      <c r="UA85" s="653"/>
      <c r="UB85" s="653"/>
      <c r="UC85" s="653"/>
      <c r="UD85" s="653"/>
      <c r="UE85" s="653"/>
      <c r="UF85" s="653"/>
      <c r="UG85" s="653"/>
      <c r="UH85" s="653"/>
      <c r="UI85" s="653"/>
      <c r="UJ85" s="653"/>
      <c r="UK85" s="653"/>
      <c r="UL85" s="653"/>
      <c r="UM85" s="653"/>
      <c r="UN85" s="653"/>
      <c r="UO85" s="653"/>
      <c r="UP85" s="653"/>
      <c r="UQ85" s="653"/>
      <c r="UR85" s="653"/>
      <c r="US85" s="653"/>
      <c r="UT85" s="653"/>
      <c r="UU85" s="653"/>
      <c r="UV85" s="653"/>
      <c r="UW85" s="653"/>
      <c r="UX85" s="653"/>
      <c r="UY85" s="653"/>
      <c r="UZ85" s="653"/>
      <c r="WE85" s="996"/>
      <c r="WF85" s="997"/>
      <c r="WG85" s="175"/>
      <c r="WH85" s="173"/>
      <c r="WI85" s="173"/>
      <c r="WJ85" s="173"/>
      <c r="WK85" s="173"/>
      <c r="WL85" s="173"/>
      <c r="WM85" s="173"/>
      <c r="WN85" s="173"/>
      <c r="WO85" s="173"/>
      <c r="WP85" s="173"/>
      <c r="WQ85" s="173"/>
      <c r="WR85" s="173"/>
      <c r="WS85" s="173"/>
      <c r="WT85" s="173"/>
      <c r="WU85" s="173"/>
      <c r="WV85" s="173"/>
      <c r="WW85" s="173"/>
      <c r="WX85" s="173"/>
      <c r="WY85" s="174"/>
      <c r="WZ85" s="1085"/>
      <c r="XA85" s="1085"/>
      <c r="XB85" s="173"/>
      <c r="XC85" s="173"/>
      <c r="XD85" s="173"/>
      <c r="XE85" s="173"/>
      <c r="XF85" s="173"/>
      <c r="XG85" s="693" t="str">
        <f t="shared" ref="XG85:YL85" si="79">IF($ADU$13&lt;1,"Ошибка",
IF(OR(AND($ADU$13&gt;XG80,XG80&gt;$ADK$62),XG80 = $ADU$13),$ADS$13,
IF(OR(AND($ADU$14&gt;XG80,XG80&gt;$ADU$13),XG80 = $ADU$14),$ADS$14,
IF(OR(AND($ADU$15&gt;XG80,XG80&gt;$ADU$14),XG80 = $ADU$15),$ADS$15,
IF(OR(AND($ADU$16&gt;XG80,XG80&gt;$ADU$15),XG80 = $ADU$16),$ADS$16,
IF(OR(AND($ADU$17&gt;XG80,XG80&gt;$ADU$16),XG80 = $ADU$17),$ADS$17,
IF(OR(AND($ADU$18&gt;XG80,XG80&gt;$ADU$17),XG80 = $ADU$18),$ADS$18,
IF(OR(AND($ADU$19&gt;XG80,XG80&gt;$ADU$18),XG80 = $ADU$19),$ADS$19,
IF(OR(AND($ADU$20&gt;XG80,XG80&gt;$ADU$19),XG80 = $ADU$20),$ADS$20,
IF(OR(AND($ADU$21&gt;XG80,XG80&gt;$ADU$20),XG80 = $ADU$21),$ADS$21,
IF(OR(AND($ADU$22&gt;XG80,XG80&gt;$ADU$21),XG80 = $ADU$22),$ADS$22,
IF(OR(AND($ADU$23&gt;XG80,XG80&gt;$ADU$22),XG80 = $ADU$23),$ADS$23,
IF(OR(AND($ADU$24&gt;XG80,XG80&gt;$ADU$23),XG80 = $ADU$24),$ADS$24,
IF(OR(AND($ADU$25&gt;XG80,XG80&gt;$ADU$24),XG80 = $ADU$25),$ADS$25,
IF(OR(AND($ADU$26&gt;XG80,XG80&gt;$ADU$25),XG80 = $ADU$26),$ADS$26,
IF(OR(AND($ADU$27&gt;XG80,XG80&gt;$ADU$26),XG80 = $ADU$27),$ADS$27,
IF(OR(AND($ADU$28&gt;XG80,XG80&gt;$ADU$27),XG80 = $ADU$28),$ADS$28,
IF(OR(AND($ADU$29&gt;XG80,XG80&gt;$ADU$28),XG80 = $ADU$29),$ADS$29,
IF(OR(AND($ADU$30&gt;XG80,XG80&gt;$ADU$29),XG80 = $ADU$30),$ADS$30,
IF(OR(AND($ADU$31&gt;XG80,XG80&gt;$ADU$30),XG80 = $ADU$31),$ADS$31,
IF(OR(AND($ADU$32&gt;XG80,XG80&gt;$ADU$31),XG80 = $ADU$32),$ADS$32,
IF(OR(AND($ADU$33&gt;XG80,XG80&gt;$ADU$32),XG80 = $ADU$33),$ADS$33,
IF(OR(AND($ADU$34&gt;XG80,XG80&gt;$ADU$33),XG80 = $ADU$34),$ADS$34,
IF(OR(AND($ADU$35&gt;XG80,XG80&gt;$ADU$34),XG80 = $ADU$35),$ADS$35,
IF(OR(AND($ADU$36&gt;XG80,XG80&gt;$ADU$35),XG80 = $ADU$36),$ADS$36,
IF(OR(AND($ADU$37&gt;XG80,XG80&gt;$ADU$36),XG80 = $ADU$37),$ADS$37,
IF(OR(AND($ADU$38&gt;XG80,XG80&gt;$ADU$37),XG80 = $ADU$38),$ADS$38,
IF(OR(AND($ADU$39&gt;XG80,XG80&gt;$ADU$38),XG80 = $ADU$39),$ADS$39,
IF(OR(AND($ADU$40&gt;XG80,XG80&gt;$ADU$39),XG80 = $ADU$40),$ADS$40,
IF(OR(AND($ADU$41&gt;XG80,XG80&gt;$ADU$40),XG80 = $ADU$41),$ADS$41,
IF(OR(AND($ADU$42&gt;XG80,XG80&gt;$ADU$41),XG80 = $ADU$42),$ADS$42,
IF(OR(AND($ADU$43&gt;XG80,XG80&gt;$ADU$42),XG80 = $ADU$43),$ADS$43,
IF(OR(AND($ADU$44&gt;XG80,XG80&gt;$ADU$43),XG80 = $ADU$44),$ADS$44,
IF(OR(AND($ADU$45&gt;XG80,XG80&gt;$ADU$44),XG80 = $ADU$45),$ADS$45,
IF(OR(AND($ADU$46&gt;XG80,XG80&gt;$ADU$45),XG80 = $ADU$46),$ADS$46,
IF(OR(AND($ADU$47&gt;XG80,XG80&gt;$ADU$46),XG80 = $ADU$47),$ADS$47,
IF(OR(AND($ADU$48&gt;XG80,XG80&gt;$ADU$47),XG80 = $ADU$48),$ADS$48,
IF(OR(AND($ADU$49&gt;XG80,XG80&gt;$ADU$48),XG80 = $ADU$49),$ADS$49,
IF(OR(AND($ADU$50&gt;XG80,XG80&gt;$ADU$49),XG80 = $ADU$50),$ADS$50,
IF(OR(AND($ADU$51&gt;XG80,XG80&gt;$ADU$50),XG80 = $ADU$51),$ADS$51,
IF(OR(AND($ADU$52&gt;XG80,XG80&gt;$ADU$51),XG80 = $ADU$52),$ADS$52,
IF(OR(AND($ADU$53&gt;XG80,XG80&gt;$ADU$52),XG80 = $ADU$53),$ADS$53,
IF(OR(AND($ADU$54&gt;XG80,XG80&gt;$ADU$53),XG80 = $ADU$54),$ADS$54,
IF(OR(AND($ADU$55&gt;XG80,XG80&gt;$ADU$54),XG80 = $ADU$55),$ADS$55,
IF(OR(AND($ADU$56&gt;XG80,XG80&gt;$ADU$55),XG80 = $ADU$56),$ADS$56,
IF(OR(AND($ADU$57&gt;XG80,XG80&gt;$ADU$56),XG80 = $ADU$57),$ADS$57,
IF(OR(AND($ADU$58&gt;XG80,XG80&gt;$ADU$57),XG80 = $ADU$58),$ADS$58,
IF(OR(AND($ADU$59&gt;XG80,XG80&gt;$ADU$58),XG80 = $ADU$59),$ADS$59,
IF(OR(AND($ADU$60&gt;XG80,XG80&gt;$ADU$59),XG80 = $ADU$60),$ADS$60,
IF(OR(AND($ADU$61&gt;XG80,XG80&gt;$ADU$60),XG80 = $ADU$61),$ADS$61,
IF(OR(AND($ADU$62&gt;XG80,XG80&gt;$ADU$61),XG80 = $ADU$62),$ADS$62,
"Y")))))))))))))))))))))))))))))))))))))))))))))))))))</f>
        <v>Y</v>
      </c>
      <c r="XH85" s="693" t="str">
        <f t="shared" si="79"/>
        <v>Y</v>
      </c>
      <c r="XI85" s="693" t="str">
        <f t="shared" si="79"/>
        <v>Y</v>
      </c>
      <c r="XJ85" s="693" t="str">
        <f t="shared" si="79"/>
        <v>Y</v>
      </c>
      <c r="XK85" s="693" t="str">
        <f t="shared" si="79"/>
        <v>Y</v>
      </c>
      <c r="XL85" s="693" t="str">
        <f t="shared" si="79"/>
        <v>Y</v>
      </c>
      <c r="XM85" s="693" t="str">
        <f t="shared" si="79"/>
        <v>Y</v>
      </c>
      <c r="XN85" s="693" t="str">
        <f t="shared" si="79"/>
        <v>Y</v>
      </c>
      <c r="XO85" s="693" t="str">
        <f t="shared" si="79"/>
        <v>Y</v>
      </c>
      <c r="XP85" s="693" t="str">
        <f t="shared" si="79"/>
        <v>Y</v>
      </c>
      <c r="XQ85" s="693" t="str">
        <f t="shared" si="79"/>
        <v>Y</v>
      </c>
      <c r="XR85" s="693" t="str">
        <f t="shared" si="79"/>
        <v>Y</v>
      </c>
      <c r="XS85" s="693" t="str">
        <f t="shared" si="79"/>
        <v>Y</v>
      </c>
      <c r="XT85" s="693" t="str">
        <f t="shared" si="79"/>
        <v>Y</v>
      </c>
      <c r="XU85" s="693" t="str">
        <f t="shared" si="79"/>
        <v>Y</v>
      </c>
      <c r="XV85" s="693" t="str">
        <f t="shared" si="79"/>
        <v>Y</v>
      </c>
      <c r="XW85" s="693" t="str">
        <f t="shared" si="79"/>
        <v>Y</v>
      </c>
      <c r="XX85" s="693" t="str">
        <f t="shared" si="79"/>
        <v>Y</v>
      </c>
      <c r="XY85" s="693" t="str">
        <f t="shared" si="79"/>
        <v>Y</v>
      </c>
      <c r="XZ85" s="693" t="str">
        <f t="shared" si="79"/>
        <v>Y</v>
      </c>
      <c r="YA85" s="693" t="str">
        <f t="shared" si="79"/>
        <v>Y</v>
      </c>
      <c r="YB85" s="693" t="str">
        <f t="shared" si="79"/>
        <v>Y</v>
      </c>
      <c r="YC85" s="693" t="str">
        <f t="shared" si="79"/>
        <v>Y</v>
      </c>
      <c r="YD85" s="693" t="str">
        <f t="shared" si="79"/>
        <v>Y</v>
      </c>
      <c r="YE85" s="693" t="str">
        <f t="shared" si="79"/>
        <v>Y</v>
      </c>
      <c r="YF85" s="693" t="str">
        <f t="shared" si="79"/>
        <v>Y</v>
      </c>
      <c r="YG85" s="693" t="str">
        <f t="shared" si="79"/>
        <v>Y</v>
      </c>
      <c r="YH85" s="693" t="str">
        <f t="shared" si="79"/>
        <v>Y</v>
      </c>
      <c r="YI85" s="693" t="str">
        <f t="shared" si="79"/>
        <v>Y</v>
      </c>
      <c r="YJ85" s="693" t="str">
        <f t="shared" si="79"/>
        <v>Y</v>
      </c>
      <c r="YK85" s="693" t="str">
        <f t="shared" si="79"/>
        <v>Y</v>
      </c>
      <c r="YL85" s="693" t="str">
        <f t="shared" si="79"/>
        <v>Y</v>
      </c>
      <c r="YM85" s="693" t="str">
        <f t="shared" ref="YM85:ZR85" si="80">IF($ADU$13&lt;1,"Ошибка",
IF(OR(AND($ADU$13&gt;YM80,YM80&gt;$ADK$62),YM80 = $ADU$13),$ADS$13,
IF(OR(AND($ADU$14&gt;YM80,YM80&gt;$ADU$13),YM80 = $ADU$14),$ADS$14,
IF(OR(AND($ADU$15&gt;YM80,YM80&gt;$ADU$14),YM80 = $ADU$15),$ADS$15,
IF(OR(AND($ADU$16&gt;YM80,YM80&gt;$ADU$15),YM80 = $ADU$16),$ADS$16,
IF(OR(AND($ADU$17&gt;YM80,YM80&gt;$ADU$16),YM80 = $ADU$17),$ADS$17,
IF(OR(AND($ADU$18&gt;YM80,YM80&gt;$ADU$17),YM80 = $ADU$18),$ADS$18,
IF(OR(AND($ADU$19&gt;YM80,YM80&gt;$ADU$18),YM80 = $ADU$19),$ADS$19,
IF(OR(AND($ADU$20&gt;YM80,YM80&gt;$ADU$19),YM80 = $ADU$20),$ADS$20,
IF(OR(AND($ADU$21&gt;YM80,YM80&gt;$ADU$20),YM80 = $ADU$21),$ADS$21,
IF(OR(AND($ADU$22&gt;YM80,YM80&gt;$ADU$21),YM80 = $ADU$22),$ADS$22,
IF(OR(AND($ADU$23&gt;YM80,YM80&gt;$ADU$22),YM80 = $ADU$23),$ADS$23,
IF(OR(AND($ADU$24&gt;YM80,YM80&gt;$ADU$23),YM80 = $ADU$24),$ADS$24,
IF(OR(AND($ADU$25&gt;YM80,YM80&gt;$ADU$24),YM80 = $ADU$25),$ADS$25,
IF(OR(AND($ADU$26&gt;YM80,YM80&gt;$ADU$25),YM80 = $ADU$26),$ADS$26,
IF(OR(AND($ADU$27&gt;YM80,YM80&gt;$ADU$26),YM80 = $ADU$27),$ADS$27,
IF(OR(AND($ADU$28&gt;YM80,YM80&gt;$ADU$27),YM80 = $ADU$28),$ADS$28,
IF(OR(AND($ADU$29&gt;YM80,YM80&gt;$ADU$28),YM80 = $ADU$29),$ADS$29,
IF(OR(AND($ADU$30&gt;YM80,YM80&gt;$ADU$29),YM80 = $ADU$30),$ADS$30,
IF(OR(AND($ADU$31&gt;YM80,YM80&gt;$ADU$30),YM80 = $ADU$31),$ADS$31,
IF(OR(AND($ADU$32&gt;YM80,YM80&gt;$ADU$31),YM80 = $ADU$32),$ADS$32,
IF(OR(AND($ADU$33&gt;YM80,YM80&gt;$ADU$32),YM80 = $ADU$33),$ADS$33,
IF(OR(AND($ADU$34&gt;YM80,YM80&gt;$ADU$33),YM80 = $ADU$34),$ADS$34,
IF(OR(AND($ADU$35&gt;YM80,YM80&gt;$ADU$34),YM80 = $ADU$35),$ADS$35,
IF(OR(AND($ADU$36&gt;YM80,YM80&gt;$ADU$35),YM80 = $ADU$36),$ADS$36,
IF(OR(AND($ADU$37&gt;YM80,YM80&gt;$ADU$36),YM80 = $ADU$37),$ADS$37,
IF(OR(AND($ADU$38&gt;YM80,YM80&gt;$ADU$37),YM80 = $ADU$38),$ADS$38,
IF(OR(AND($ADU$39&gt;YM80,YM80&gt;$ADU$38),YM80 = $ADU$39),$ADS$39,
IF(OR(AND($ADU$40&gt;YM80,YM80&gt;$ADU$39),YM80 = $ADU$40),$ADS$40,
IF(OR(AND($ADU$41&gt;YM80,YM80&gt;$ADU$40),YM80 = $ADU$41),$ADS$41,
IF(OR(AND($ADU$42&gt;YM80,YM80&gt;$ADU$41),YM80 = $ADU$42),$ADS$42,
IF(OR(AND($ADU$43&gt;YM80,YM80&gt;$ADU$42),YM80 = $ADU$43),$ADS$43,
IF(OR(AND($ADU$44&gt;YM80,YM80&gt;$ADU$43),YM80 = $ADU$44),$ADS$44,
IF(OR(AND($ADU$45&gt;YM80,YM80&gt;$ADU$44),YM80 = $ADU$45),$ADS$45,
IF(OR(AND($ADU$46&gt;YM80,YM80&gt;$ADU$45),YM80 = $ADU$46),$ADS$46,
IF(OR(AND($ADU$47&gt;YM80,YM80&gt;$ADU$46),YM80 = $ADU$47),$ADS$47,
IF(OR(AND($ADU$48&gt;YM80,YM80&gt;$ADU$47),YM80 = $ADU$48),$ADS$48,
IF(OR(AND($ADU$49&gt;YM80,YM80&gt;$ADU$48),YM80 = $ADU$49),$ADS$49,
IF(OR(AND($ADU$50&gt;YM80,YM80&gt;$ADU$49),YM80 = $ADU$50),$ADS$50,
IF(OR(AND($ADU$51&gt;YM80,YM80&gt;$ADU$50),YM80 = $ADU$51),$ADS$51,
IF(OR(AND($ADU$52&gt;YM80,YM80&gt;$ADU$51),YM80 = $ADU$52),$ADS$52,
IF(OR(AND($ADU$53&gt;YM80,YM80&gt;$ADU$52),YM80 = $ADU$53),$ADS$53,
IF(OR(AND($ADU$54&gt;YM80,YM80&gt;$ADU$53),YM80 = $ADU$54),$ADS$54,
IF(OR(AND($ADU$55&gt;YM80,YM80&gt;$ADU$54),YM80 = $ADU$55),$ADS$55,
IF(OR(AND($ADU$56&gt;YM80,YM80&gt;$ADU$55),YM80 = $ADU$56),$ADS$56,
IF(OR(AND($ADU$57&gt;YM80,YM80&gt;$ADU$56),YM80 = $ADU$57),$ADS$57,
IF(OR(AND($ADU$58&gt;YM80,YM80&gt;$ADU$57),YM80 = $ADU$58),$ADS$58,
IF(OR(AND($ADU$59&gt;YM80,YM80&gt;$ADU$58),YM80 = $ADU$59),$ADS$59,
IF(OR(AND($ADU$60&gt;YM80,YM80&gt;$ADU$59),YM80 = $ADU$60),$ADS$60,
IF(OR(AND($ADU$61&gt;YM80,YM80&gt;$ADU$60),YM80 = $ADU$61),$ADS$61,
IF(OR(AND($ADU$62&gt;YM80,YM80&gt;$ADU$61),YM80 = $ADU$62),$ADS$62,
"Y")))))))))))))))))))))))))))))))))))))))))))))))))))</f>
        <v>Y</v>
      </c>
      <c r="YN85" s="693" t="str">
        <f t="shared" si="80"/>
        <v>Y</v>
      </c>
      <c r="YO85" s="693" t="str">
        <f t="shared" si="80"/>
        <v>Y</v>
      </c>
      <c r="YP85" s="693" t="str">
        <f t="shared" si="80"/>
        <v>Y</v>
      </c>
      <c r="YQ85" s="693" t="str">
        <f t="shared" si="80"/>
        <v>Y</v>
      </c>
      <c r="YR85" s="693" t="str">
        <f t="shared" si="80"/>
        <v>Y</v>
      </c>
      <c r="YS85" s="693" t="str">
        <f t="shared" si="80"/>
        <v>Y</v>
      </c>
      <c r="YT85" s="693" t="str">
        <f t="shared" si="80"/>
        <v>Y</v>
      </c>
      <c r="YU85" s="693" t="str">
        <f t="shared" si="80"/>
        <v>Y</v>
      </c>
      <c r="YV85" s="693" t="str">
        <f t="shared" si="80"/>
        <v>Y</v>
      </c>
      <c r="YW85" s="693" t="str">
        <f t="shared" si="80"/>
        <v>Y</v>
      </c>
      <c r="YX85" s="693" t="str">
        <f t="shared" si="80"/>
        <v>Y</v>
      </c>
      <c r="YY85" s="693" t="str">
        <f t="shared" si="80"/>
        <v>Y</v>
      </c>
      <c r="YZ85" s="693" t="str">
        <f t="shared" si="80"/>
        <v>Y</v>
      </c>
      <c r="ZA85" s="693" t="str">
        <f t="shared" si="80"/>
        <v>Y</v>
      </c>
      <c r="ZB85" s="693" t="str">
        <f t="shared" si="80"/>
        <v>Y</v>
      </c>
      <c r="ZC85" s="693" t="str">
        <f t="shared" si="80"/>
        <v>Y</v>
      </c>
      <c r="ZD85" s="693" t="str">
        <f t="shared" si="80"/>
        <v>Y</v>
      </c>
      <c r="ZE85" s="693">
        <f t="shared" si="80"/>
        <v>1.3531578950010501</v>
      </c>
      <c r="ZF85" s="693">
        <f t="shared" si="80"/>
        <v>1.3752631581610504</v>
      </c>
      <c r="ZG85" s="693">
        <f t="shared" si="80"/>
        <v>1.4084210529010504</v>
      </c>
      <c r="ZH85" s="693">
        <f t="shared" si="80"/>
        <v>1.4305263160610502</v>
      </c>
      <c r="ZI85" s="693">
        <f t="shared" si="80"/>
        <v>1.4636842108010506</v>
      </c>
      <c r="ZJ85" s="693">
        <f t="shared" si="80"/>
        <v>1.48578947396105</v>
      </c>
      <c r="ZK85" s="693">
        <f t="shared" si="80"/>
        <v>1.5078947371210507</v>
      </c>
      <c r="ZL85" s="693">
        <f t="shared" si="80"/>
        <v>1.5410526318610498</v>
      </c>
      <c r="ZM85" s="693">
        <f t="shared" si="80"/>
        <v>1.5631578950210505</v>
      </c>
      <c r="ZN85" s="693">
        <f t="shared" si="80"/>
        <v>1.5852631581810499</v>
      </c>
      <c r="ZO85" s="693">
        <f t="shared" si="80"/>
        <v>1.6073684213410506</v>
      </c>
      <c r="ZP85" s="693">
        <f t="shared" si="80"/>
        <v>1.6405263160810502</v>
      </c>
      <c r="ZQ85" s="693">
        <f t="shared" si="80"/>
        <v>1.6626315792410504</v>
      </c>
      <c r="ZR85" s="693">
        <f t="shared" si="80"/>
        <v>1.6847368424010503</v>
      </c>
      <c r="ZS85" s="693">
        <f t="shared" ref="ZS85:AAS85" si="81">IF($ADU$13&lt;1,"Ошибка",
IF(OR(AND($ADU$13&gt;ZS80,ZS80&gt;$ADK$62),ZS80 = $ADU$13),$ADS$13,
IF(OR(AND($ADU$14&gt;ZS80,ZS80&gt;$ADU$13),ZS80 = $ADU$14),$ADS$14,
IF(OR(AND($ADU$15&gt;ZS80,ZS80&gt;$ADU$14),ZS80 = $ADU$15),$ADS$15,
IF(OR(AND($ADU$16&gt;ZS80,ZS80&gt;$ADU$15),ZS80 = $ADU$16),$ADS$16,
IF(OR(AND($ADU$17&gt;ZS80,ZS80&gt;$ADU$16),ZS80 = $ADU$17),$ADS$17,
IF(OR(AND($ADU$18&gt;ZS80,ZS80&gt;$ADU$17),ZS80 = $ADU$18),$ADS$18,
IF(OR(AND($ADU$19&gt;ZS80,ZS80&gt;$ADU$18),ZS80 = $ADU$19),$ADS$19,
IF(OR(AND($ADU$20&gt;ZS80,ZS80&gt;$ADU$19),ZS80 = $ADU$20),$ADS$20,
IF(OR(AND($ADU$21&gt;ZS80,ZS80&gt;$ADU$20),ZS80 = $ADU$21),$ADS$21,
IF(OR(AND($ADU$22&gt;ZS80,ZS80&gt;$ADU$21),ZS80 = $ADU$22),$ADS$22,
IF(OR(AND($ADU$23&gt;ZS80,ZS80&gt;$ADU$22),ZS80 = $ADU$23),$ADS$23,
IF(OR(AND($ADU$24&gt;ZS80,ZS80&gt;$ADU$23),ZS80 = $ADU$24),$ADS$24,
IF(OR(AND($ADU$25&gt;ZS80,ZS80&gt;$ADU$24),ZS80 = $ADU$25),$ADS$25,
IF(OR(AND($ADU$26&gt;ZS80,ZS80&gt;$ADU$25),ZS80 = $ADU$26),$ADS$26,
IF(OR(AND($ADU$27&gt;ZS80,ZS80&gt;$ADU$26),ZS80 = $ADU$27),$ADS$27,
IF(OR(AND($ADU$28&gt;ZS80,ZS80&gt;$ADU$27),ZS80 = $ADU$28),$ADS$28,
IF(OR(AND($ADU$29&gt;ZS80,ZS80&gt;$ADU$28),ZS80 = $ADU$29),$ADS$29,
IF(OR(AND($ADU$30&gt;ZS80,ZS80&gt;$ADU$29),ZS80 = $ADU$30),$ADS$30,
IF(OR(AND($ADU$31&gt;ZS80,ZS80&gt;$ADU$30),ZS80 = $ADU$31),$ADS$31,
IF(OR(AND($ADU$32&gt;ZS80,ZS80&gt;$ADU$31),ZS80 = $ADU$32),$ADS$32,
IF(OR(AND($ADU$33&gt;ZS80,ZS80&gt;$ADU$32),ZS80 = $ADU$33),$ADS$33,
IF(OR(AND($ADU$34&gt;ZS80,ZS80&gt;$ADU$33),ZS80 = $ADU$34),$ADS$34,
IF(OR(AND($ADU$35&gt;ZS80,ZS80&gt;$ADU$34),ZS80 = $ADU$35),$ADS$35,
IF(OR(AND($ADU$36&gt;ZS80,ZS80&gt;$ADU$35),ZS80 = $ADU$36),$ADS$36,
IF(OR(AND($ADU$37&gt;ZS80,ZS80&gt;$ADU$36),ZS80 = $ADU$37),$ADS$37,
IF(OR(AND($ADU$38&gt;ZS80,ZS80&gt;$ADU$37),ZS80 = $ADU$38),$ADS$38,
IF(OR(AND($ADU$39&gt;ZS80,ZS80&gt;$ADU$38),ZS80 = $ADU$39),$ADS$39,
IF(OR(AND($ADU$40&gt;ZS80,ZS80&gt;$ADU$39),ZS80 = $ADU$40),$ADS$40,
IF(OR(AND($ADU$41&gt;ZS80,ZS80&gt;$ADU$40),ZS80 = $ADU$41),$ADS$41,
IF(OR(AND($ADU$42&gt;ZS80,ZS80&gt;$ADU$41),ZS80 = $ADU$42),$ADS$42,
IF(OR(AND($ADU$43&gt;ZS80,ZS80&gt;$ADU$42),ZS80 = $ADU$43),$ADS$43,
IF(OR(AND($ADU$44&gt;ZS80,ZS80&gt;$ADU$43),ZS80 = $ADU$44),$ADS$44,
IF(OR(AND($ADU$45&gt;ZS80,ZS80&gt;$ADU$44),ZS80 = $ADU$45),$ADS$45,
IF(OR(AND($ADU$46&gt;ZS80,ZS80&gt;$ADU$45),ZS80 = $ADU$46),$ADS$46,
IF(OR(AND($ADU$47&gt;ZS80,ZS80&gt;$ADU$46),ZS80 = $ADU$47),$ADS$47,
IF(OR(AND($ADU$48&gt;ZS80,ZS80&gt;$ADU$47),ZS80 = $ADU$48),$ADS$48,
IF(OR(AND($ADU$49&gt;ZS80,ZS80&gt;$ADU$48),ZS80 = $ADU$49),$ADS$49,
IF(OR(AND($ADU$50&gt;ZS80,ZS80&gt;$ADU$49),ZS80 = $ADU$50),$ADS$50,
IF(OR(AND($ADU$51&gt;ZS80,ZS80&gt;$ADU$50),ZS80 = $ADU$51),$ADS$51,
IF(OR(AND($ADU$52&gt;ZS80,ZS80&gt;$ADU$51),ZS80 = $ADU$52),$ADS$52,
IF(OR(AND($ADU$53&gt;ZS80,ZS80&gt;$ADU$52),ZS80 = $ADU$53),$ADS$53,
IF(OR(AND($ADU$54&gt;ZS80,ZS80&gt;$ADU$53),ZS80 = $ADU$54),$ADS$54,
IF(OR(AND($ADU$55&gt;ZS80,ZS80&gt;$ADU$54),ZS80 = $ADU$55),$ADS$55,
IF(OR(AND($ADU$56&gt;ZS80,ZS80&gt;$ADU$55),ZS80 = $ADU$56),$ADS$56,
IF(OR(AND($ADU$57&gt;ZS80,ZS80&gt;$ADU$56),ZS80 = $ADU$57),$ADS$57,
IF(OR(AND($ADU$58&gt;ZS80,ZS80&gt;$ADU$57),ZS80 = $ADU$58),$ADS$58,
IF(OR(AND($ADU$59&gt;ZS80,ZS80&gt;$ADU$58),ZS80 = $ADU$59),$ADS$59,
IF(OR(AND($ADU$60&gt;ZS80,ZS80&gt;$ADU$59),ZS80 = $ADU$60),$ADS$60,
IF(OR(AND($ADU$61&gt;ZS80,ZS80&gt;$ADU$60),ZS80 = $ADU$61),$ADS$61,
IF(OR(AND($ADU$62&gt;ZS80,ZS80&gt;$ADU$61),ZS80 = $ADU$62),$ADS$62,
"Y")))))))))))))))))))))))))))))))))))))))))))))))))))</f>
        <v>1.7068421055610501</v>
      </c>
      <c r="ZT85" s="693">
        <f t="shared" si="81"/>
        <v>1.7289473687210504</v>
      </c>
      <c r="ZU85" s="693">
        <f t="shared" si="81"/>
        <v>1.7621052634610499</v>
      </c>
      <c r="ZV85" s="693">
        <f t="shared" si="81"/>
        <v>1.7842105266210506</v>
      </c>
      <c r="ZW85" s="693">
        <f t="shared" si="81"/>
        <v>1.80631578978105</v>
      </c>
      <c r="ZX85" s="693">
        <f t="shared" si="81"/>
        <v>1.8284210529410503</v>
      </c>
      <c r="ZY85" s="693">
        <f t="shared" si="81"/>
        <v>1.8505263161010501</v>
      </c>
      <c r="ZZ85" s="693">
        <f t="shared" si="81"/>
        <v>1.8726315792610504</v>
      </c>
      <c r="AAA85" s="693" t="str">
        <f t="shared" si="81"/>
        <v>Y</v>
      </c>
      <c r="AAB85" s="693" t="str">
        <f t="shared" si="81"/>
        <v>Y</v>
      </c>
      <c r="AAC85" s="693" t="str">
        <f t="shared" si="81"/>
        <v>Y</v>
      </c>
      <c r="AAD85" s="693" t="str">
        <f t="shared" si="81"/>
        <v>Y</v>
      </c>
      <c r="AAE85" s="693" t="str">
        <f t="shared" si="81"/>
        <v>Y</v>
      </c>
      <c r="AAF85" s="693" t="str">
        <f t="shared" si="81"/>
        <v>Y</v>
      </c>
      <c r="AAG85" s="693" t="str">
        <f t="shared" si="81"/>
        <v>Y</v>
      </c>
      <c r="AAH85" s="693" t="str">
        <f t="shared" si="81"/>
        <v>Y</v>
      </c>
      <c r="AAI85" s="693" t="str">
        <f t="shared" si="81"/>
        <v>Y</v>
      </c>
      <c r="AAJ85" s="693" t="str">
        <f t="shared" si="81"/>
        <v>Y</v>
      </c>
      <c r="AAK85" s="693" t="str">
        <f t="shared" si="81"/>
        <v>Y</v>
      </c>
      <c r="AAL85" s="693" t="str">
        <f t="shared" si="81"/>
        <v>Y</v>
      </c>
      <c r="AAM85" s="693" t="str">
        <f t="shared" si="81"/>
        <v>Y</v>
      </c>
      <c r="AAN85" s="693" t="str">
        <f t="shared" si="81"/>
        <v>Y</v>
      </c>
      <c r="AAO85" s="693" t="str">
        <f t="shared" si="81"/>
        <v>Y</v>
      </c>
      <c r="AAP85" s="693" t="str">
        <f t="shared" si="81"/>
        <v>Y</v>
      </c>
      <c r="AAQ85" s="693" t="str">
        <f t="shared" si="81"/>
        <v>Y</v>
      </c>
      <c r="AAR85" s="693" t="str">
        <f t="shared" si="81"/>
        <v>Y</v>
      </c>
      <c r="AAS85" s="693" t="str">
        <f t="shared" si="81"/>
        <v>Y</v>
      </c>
      <c r="AAT85" s="1006"/>
      <c r="AAU85" s="960"/>
      <c r="AAV85" s="1101"/>
      <c r="AAW85" s="1101"/>
      <c r="AAX85" s="1101"/>
      <c r="AAY85" s="1101"/>
      <c r="AAZ85" s="1101"/>
      <c r="ABA85" s="1101"/>
      <c r="ABB85" s="1101"/>
      <c r="ABC85" s="1101"/>
      <c r="ABD85" s="1101"/>
      <c r="ABE85" s="1101"/>
      <c r="ABF85" s="1101"/>
      <c r="ABG85" s="1101"/>
      <c r="ABH85" s="961"/>
      <c r="ABI85" s="158"/>
      <c r="ABJ85" s="158"/>
      <c r="ABK85" s="158"/>
      <c r="ABL85" s="158"/>
      <c r="ABM85" s="158"/>
      <c r="ABN85" s="158"/>
      <c r="ABO85" s="158"/>
      <c r="ABP85" s="163"/>
      <c r="ABT85" s="1527"/>
      <c r="ABU85" s="1527"/>
      <c r="ABV85" s="1527"/>
      <c r="ABW85" s="1527"/>
      <c r="ABX85" s="1527"/>
      <c r="ABY85" s="1527"/>
      <c r="ABZ85" s="1527"/>
      <c r="ACA85" s="1527"/>
      <c r="ACB85" s="1527"/>
      <c r="ACC85" s="1527"/>
      <c r="ACD85" s="1527"/>
      <c r="ACE85" s="1527"/>
      <c r="ACF85" s="1527"/>
      <c r="ACG85" s="1527"/>
      <c r="ACH85" s="1527"/>
      <c r="ACJ85" s="759">
        <v>0.25000000000000006</v>
      </c>
      <c r="ACK85" s="760"/>
      <c r="ACL85" s="759">
        <v>-0.20000000000000007</v>
      </c>
      <c r="ACM85" s="760"/>
      <c r="ACN85" s="592">
        <v>1</v>
      </c>
      <c r="ACO85" s="759">
        <f>ACJ85*ACQ85 + ACL85</f>
        <v>5.2499999999999991E-2</v>
      </c>
      <c r="ACP85" s="760"/>
      <c r="ACQ85" s="757">
        <f t="shared" ref="ACQ85:ACQ116" si="82">(3/$ACN$77 *ACN85) + 1</f>
        <v>1.01</v>
      </c>
      <c r="ACR85" s="758"/>
      <c r="ACT85" s="759">
        <v>0.99999999999999956</v>
      </c>
      <c r="ACU85" s="760"/>
      <c r="ACV85" s="759">
        <v>-1.1999999999999993</v>
      </c>
      <c r="ACW85" s="760"/>
      <c r="ACX85" s="592">
        <v>51</v>
      </c>
      <c r="ACY85" s="759">
        <f>ACT85*ADA85 + ACV85</f>
        <v>0.31000000000000005</v>
      </c>
      <c r="ACZ85" s="760"/>
      <c r="ADA85" s="757">
        <f t="shared" ref="ADA85:ADA116" si="83">(3/$ACN$77 *ACX85) + 1</f>
        <v>1.51</v>
      </c>
      <c r="ADB85" s="758"/>
      <c r="ADD85" s="759">
        <v>1.5454545454545452</v>
      </c>
      <c r="ADE85" s="760"/>
      <c r="ADF85" s="759">
        <v>-2.1818181818181812</v>
      </c>
      <c r="ADG85" s="760"/>
      <c r="ADH85" s="591">
        <v>100</v>
      </c>
      <c r="ADI85" s="759">
        <f>ADD85*ADK85 + ADF85</f>
        <v>0.90909090909090917</v>
      </c>
      <c r="ADJ85" s="760"/>
      <c r="ADK85" s="757">
        <f t="shared" ref="ADK85:ADK116" si="84">(3/$ACN$77 *ADH85) + 1</f>
        <v>2</v>
      </c>
      <c r="ADL85" s="758"/>
      <c r="ADN85" s="759">
        <v>1.5454545454545452</v>
      </c>
      <c r="ADO85" s="760"/>
      <c r="ADP85" s="759">
        <v>-2.1818181818181812</v>
      </c>
      <c r="ADQ85" s="760"/>
      <c r="ADR85" s="591">
        <v>150</v>
      </c>
      <c r="ADS85" s="759">
        <f>ADN85*ADU85 + ADP85</f>
        <v>1.6818181818181817</v>
      </c>
      <c r="ADT85" s="760"/>
      <c r="ADU85" s="757">
        <f t="shared" ref="ADU85:ADU116" si="85">(3/$ACN$77 *ADR85) + 1</f>
        <v>2.5</v>
      </c>
      <c r="ADV85" s="758"/>
      <c r="ADW85" s="653"/>
      <c r="ADX85" s="759">
        <v>1.5454545454545501</v>
      </c>
      <c r="ADY85" s="760"/>
      <c r="ADZ85" s="759">
        <v>-2.1818181818181799</v>
      </c>
      <c r="AEA85" s="760"/>
      <c r="AEB85" s="591">
        <v>200</v>
      </c>
      <c r="AEC85" s="759">
        <f>ADX85*AEE85 + ADZ85</f>
        <v>2.4545454545454701</v>
      </c>
      <c r="AED85" s="760"/>
      <c r="AEE85" s="757">
        <f t="shared" ref="AEE85:AEE116" si="86">(3/$ACN$77 *AEB85) + 1</f>
        <v>3</v>
      </c>
      <c r="AEF85" s="758"/>
      <c r="AEH85" s="759">
        <v>1.5454545454545501</v>
      </c>
      <c r="AEI85" s="760"/>
      <c r="AEJ85" s="759">
        <v>-2.1818181818181799</v>
      </c>
      <c r="AEK85" s="760"/>
      <c r="AEL85" s="591">
        <v>250</v>
      </c>
      <c r="AEM85" s="759">
        <f>AEH85*AEO85 + AEJ85</f>
        <v>3.2272727272727453</v>
      </c>
      <c r="AEN85" s="760"/>
      <c r="AEO85" s="757">
        <f t="shared" ref="AEO85:AEO116" si="87">(3/$ACN$77 *AEL85) + 1</f>
        <v>3.5</v>
      </c>
      <c r="AEP85" s="758"/>
      <c r="AGL85" s="1052"/>
      <c r="AGM85" s="852" t="s">
        <v>416</v>
      </c>
      <c r="AGN85" s="853"/>
      <c r="AGO85" s="142"/>
      <c r="AGP85" s="78"/>
      <c r="AGQ85" s="78"/>
      <c r="AGR85" s="78"/>
      <c r="AGS85" s="78"/>
      <c r="AGT85" s="78"/>
      <c r="AGU85" s="78"/>
      <c r="AGV85" s="142"/>
      <c r="AGW85" s="76" t="s">
        <v>441</v>
      </c>
      <c r="AGX85" s="854" t="s">
        <v>435</v>
      </c>
      <c r="AGY85" s="855"/>
      <c r="AGZ85" s="920" t="s">
        <v>111</v>
      </c>
      <c r="AHA85" s="1416"/>
      <c r="AHB85" s="921"/>
      <c r="AHC85" s="916" t="s">
        <v>704</v>
      </c>
      <c r="AHD85" s="917"/>
      <c r="AHE85" s="906" t="s">
        <v>447</v>
      </c>
      <c r="AHF85" s="907"/>
      <c r="AHG85" s="907"/>
      <c r="AHH85" s="907"/>
      <c r="AHI85" s="906" t="s">
        <v>436</v>
      </c>
      <c r="AHJ85" s="907"/>
      <c r="AHK85" s="907"/>
      <c r="AHL85" s="907"/>
      <c r="AHM85" s="907"/>
      <c r="AHN85" s="907"/>
      <c r="AHO85" s="907"/>
      <c r="AHP85" s="908"/>
      <c r="AHU85" s="130"/>
      <c r="AHV85" s="130"/>
      <c r="AHW85" s="130"/>
      <c r="AHX85" s="130"/>
      <c r="ANI85" s="130"/>
      <c r="ANJ85" s="130"/>
      <c r="ANK85" s="130"/>
      <c r="ANL85" s="130"/>
      <c r="AQH85" s="900"/>
      <c r="AQI85" s="901"/>
      <c r="AQJ85" s="902"/>
      <c r="AQK85" s="850"/>
      <c r="AQL85" s="957" t="s">
        <v>898</v>
      </c>
      <c r="AQM85" s="856"/>
      <c r="AQN85" s="856"/>
      <c r="AQO85" s="856"/>
      <c r="AQP85" s="856"/>
      <c r="AQQ85" s="856"/>
      <c r="AQR85" s="856"/>
      <c r="AQS85" s="856"/>
      <c r="AQT85" s="856"/>
      <c r="AQU85" s="856"/>
      <c r="AQV85" s="856"/>
      <c r="AQW85" s="856"/>
      <c r="AQX85" s="856"/>
      <c r="AQY85" s="835">
        <v>0.11</v>
      </c>
      <c r="AQZ85" s="836"/>
      <c r="ARA85" s="839"/>
      <c r="ARB85" s="840"/>
      <c r="ARC85" s="841"/>
      <c r="ARD85" s="893" t="s">
        <v>897</v>
      </c>
      <c r="ARE85" s="894"/>
      <c r="ARF85" s="847"/>
      <c r="ARJ85" s="653"/>
      <c r="ARK85" s="653"/>
      <c r="ARL85" s="653"/>
      <c r="ARM85" s="653"/>
      <c r="ARN85" s="653"/>
      <c r="ARO85" s="653"/>
      <c r="ARU85" s="851"/>
      <c r="ARV85" s="778"/>
      <c r="ARW85" s="778"/>
      <c r="ARX85" s="778"/>
      <c r="ARY85" s="778"/>
      <c r="ARZ85" s="778"/>
      <c r="ASA85" s="778"/>
      <c r="ASB85" s="778"/>
      <c r="ASC85" s="778"/>
      <c r="ASD85" s="778"/>
      <c r="ASE85" s="778"/>
      <c r="ASF85" s="778"/>
      <c r="ASG85" s="778"/>
      <c r="ASH85" s="778"/>
      <c r="ASI85" s="812"/>
      <c r="ASJ85" s="813"/>
      <c r="ASK85" s="813"/>
      <c r="ASL85" s="813"/>
      <c r="ASM85" s="813"/>
      <c r="ASN85" s="813"/>
      <c r="ASO85" s="813"/>
      <c r="ASP85" s="814"/>
      <c r="ASQ85" s="1053"/>
      <c r="ASR85" s="1053"/>
      <c r="ASS85" s="1053"/>
      <c r="AST85" s="1053"/>
      <c r="ASU85" s="1053"/>
      <c r="ASV85" s="1053"/>
      <c r="ASW85" s="1053"/>
      <c r="ASX85" s="1053"/>
      <c r="ASY85" s="1053"/>
      <c r="ASZ85" s="1053"/>
      <c r="ATA85" s="1053"/>
      <c r="ATB85" s="1053"/>
    </row>
    <row r="86" spans="4:908 1049:1212" ht="48" customHeight="1" thickBot="1">
      <c r="AI86" s="1298" t="s">
        <v>750</v>
      </c>
      <c r="AJ86" s="849"/>
      <c r="AK86" s="1257" t="s">
        <v>416</v>
      </c>
      <c r="AL86" s="1257"/>
      <c r="AM86" s="77"/>
      <c r="AN86" s="76" t="s">
        <v>441</v>
      </c>
      <c r="AO86" s="854" t="s">
        <v>435</v>
      </c>
      <c r="AP86" s="855"/>
      <c r="AQ86" s="920" t="s">
        <v>111</v>
      </c>
      <c r="AR86" s="921"/>
      <c r="AS86" s="916" t="s">
        <v>704</v>
      </c>
      <c r="AT86" s="917"/>
      <c r="AU86" s="906" t="s">
        <v>447</v>
      </c>
      <c r="AV86" s="907"/>
      <c r="AW86" s="907"/>
      <c r="AX86" s="908"/>
      <c r="BQ86" s="130"/>
      <c r="BR86" s="130"/>
      <c r="BS86" s="130"/>
      <c r="BT86" s="130"/>
      <c r="BX86" s="849"/>
      <c r="BY86" s="852" t="s">
        <v>25</v>
      </c>
      <c r="BZ86" s="853"/>
      <c r="CA86" s="132"/>
      <c r="CB86" s="78"/>
      <c r="CC86" s="78"/>
      <c r="CD86" s="78"/>
      <c r="CE86" s="78"/>
      <c r="CF86" s="78"/>
      <c r="CG86" s="78"/>
      <c r="CH86" s="132"/>
      <c r="CI86" s="76" t="s">
        <v>441</v>
      </c>
      <c r="CJ86" s="854" t="s">
        <v>435</v>
      </c>
      <c r="CK86" s="855"/>
      <c r="CL86" s="1072" t="s">
        <v>111</v>
      </c>
      <c r="CM86" s="1074"/>
      <c r="CN86" s="916" t="s">
        <v>704</v>
      </c>
      <c r="CO86" s="917"/>
      <c r="CP86" s="906" t="s">
        <v>447</v>
      </c>
      <c r="CQ86" s="907"/>
      <c r="CR86" s="907"/>
      <c r="CS86" s="908"/>
      <c r="DS86" s="653"/>
      <c r="DY86" s="653"/>
      <c r="GC86" s="6"/>
      <c r="GD86" s="3"/>
      <c r="GE86" s="3"/>
      <c r="GF86" s="851"/>
      <c r="GG86" s="802" t="s">
        <v>1070</v>
      </c>
      <c r="GH86" s="803"/>
      <c r="GI86" s="879">
        <f>$GU$16</f>
        <v>46</v>
      </c>
      <c r="GJ86" s="879"/>
      <c r="GK86" s="794"/>
      <c r="GL86" s="795"/>
      <c r="GM86" s="795"/>
      <c r="GN86" s="795"/>
      <c r="GO86" s="795"/>
      <c r="GP86" s="796"/>
      <c r="GQ86" s="812"/>
      <c r="GR86" s="813"/>
      <c r="GS86" s="813"/>
      <c r="GT86" s="813"/>
      <c r="GU86" s="813"/>
      <c r="GV86" s="813"/>
      <c r="GW86" s="813"/>
      <c r="GX86" s="813"/>
      <c r="GY86" s="814"/>
      <c r="GZ86" s="1053"/>
      <c r="HA86" s="1053"/>
      <c r="HB86" s="1053"/>
      <c r="HC86" s="1053"/>
      <c r="HD86" s="1053"/>
      <c r="HE86" s="1053"/>
      <c r="HF86" s="1053"/>
      <c r="HG86" s="1053"/>
      <c r="IC86" s="220"/>
      <c r="ID86" s="220"/>
      <c r="IE86" s="220"/>
      <c r="IF86" s="220"/>
      <c r="IG86" s="220"/>
      <c r="IH86" s="220"/>
      <c r="II86" s="220"/>
      <c r="IJ86" s="220"/>
      <c r="IK86" s="220"/>
      <c r="IL86" s="220"/>
      <c r="IM86" s="220"/>
      <c r="IN86" s="220"/>
      <c r="IO86" s="220"/>
      <c r="IP86" s="220"/>
      <c r="IR86" s="1053"/>
      <c r="IS86" s="518" t="s">
        <v>1147</v>
      </c>
      <c r="IT86" s="1050">
        <f>$JF$14</f>
        <v>77.331859497479712</v>
      </c>
      <c r="IU86" s="1050"/>
      <c r="IV86" s="795"/>
      <c r="IW86" s="795"/>
      <c r="IX86" s="795"/>
      <c r="IY86" s="795"/>
      <c r="IZ86" s="795"/>
      <c r="JA86" s="795"/>
      <c r="JB86" s="795"/>
      <c r="JC86" s="795"/>
      <c r="JD86" s="795"/>
      <c r="JE86" s="796"/>
      <c r="JF86" s="812"/>
      <c r="JG86" s="813"/>
      <c r="JH86" s="813"/>
      <c r="JI86" s="813"/>
      <c r="JJ86" s="813"/>
      <c r="JK86" s="813"/>
      <c r="JL86" s="813"/>
      <c r="JM86" s="814"/>
      <c r="JN86" s="1053"/>
      <c r="JO86" s="1053"/>
      <c r="JP86" s="1053"/>
      <c r="JQ86" s="1053"/>
      <c r="JR86" s="1053"/>
      <c r="JX86" s="849"/>
      <c r="JY86" s="852" t="s">
        <v>416</v>
      </c>
      <c r="JZ86" s="923"/>
      <c r="KA86" s="142"/>
      <c r="KB86" s="321" t="s">
        <v>1148</v>
      </c>
      <c r="KC86" s="926">
        <f>$JC$38</f>
        <v>90.437322257914587</v>
      </c>
      <c r="KD86" s="926"/>
      <c r="KE86" s="320"/>
      <c r="KF86" s="78"/>
      <c r="KG86" s="78"/>
      <c r="KH86" s="142"/>
      <c r="KI86" s="76" t="s">
        <v>441</v>
      </c>
      <c r="KJ86" s="854" t="s">
        <v>435</v>
      </c>
      <c r="KK86" s="1111"/>
      <c r="KL86" s="924" t="s">
        <v>111</v>
      </c>
      <c r="KM86" s="925"/>
      <c r="KN86" s="916" t="s">
        <v>704</v>
      </c>
      <c r="KO86" s="917"/>
      <c r="KP86" s="906" t="s">
        <v>447</v>
      </c>
      <c r="KQ86" s="907"/>
      <c r="KR86" s="907"/>
      <c r="KS86" s="908"/>
      <c r="KT86" s="1139" t="s">
        <v>436</v>
      </c>
      <c r="KU86" s="1140"/>
      <c r="KV86" s="1140"/>
      <c r="KW86" s="1140"/>
      <c r="KX86" s="1140"/>
      <c r="KY86" s="1140"/>
      <c r="KZ86" s="1140"/>
      <c r="LA86" s="1141"/>
      <c r="MB86" s="850"/>
      <c r="MC86" s="332" t="s">
        <v>816</v>
      </c>
      <c r="MD86" s="766">
        <f>$AP$9</f>
        <v>3</v>
      </c>
      <c r="ME86" s="766"/>
      <c r="MF86" s="349" t="s">
        <v>1070</v>
      </c>
      <c r="MG86" s="937">
        <f>$GU$16</f>
        <v>46</v>
      </c>
      <c r="MH86" s="937"/>
      <c r="MI86" s="791" t="s">
        <v>1207</v>
      </c>
      <c r="MJ86" s="792"/>
      <c r="MK86" s="792"/>
      <c r="ML86" s="792"/>
      <c r="MM86" s="792"/>
      <c r="MN86" s="792"/>
      <c r="MO86" s="793"/>
      <c r="MP86" s="1382">
        <f>(4*MD86*MG87*(MD87*MG85)^2)/MG86</f>
        <v>8.0207023726710278E-2</v>
      </c>
      <c r="MQ86" s="1383"/>
      <c r="MR86" s="1188" t="s">
        <v>392</v>
      </c>
      <c r="MS86" s="1189"/>
      <c r="MT86" s="1066"/>
      <c r="MU86" s="843" t="s">
        <v>1236</v>
      </c>
      <c r="MV86" s="844"/>
      <c r="MW86" s="847"/>
      <c r="MX86" s="1052"/>
      <c r="MY86" s="1052"/>
      <c r="MZ86" s="1052"/>
      <c r="NA86" s="1052"/>
      <c r="NB86" s="1052"/>
      <c r="NC86" s="1052"/>
      <c r="OH86" s="900"/>
      <c r="OI86" s="901"/>
      <c r="OJ86" s="902"/>
      <c r="PL86" s="903"/>
      <c r="PM86" s="904"/>
      <c r="PN86" s="905"/>
      <c r="PO86" s="851"/>
      <c r="PP86" s="777"/>
      <c r="PQ86" s="778"/>
      <c r="PR86" s="778"/>
      <c r="PS86" s="778"/>
      <c r="PT86" s="778"/>
      <c r="PU86" s="778"/>
      <c r="PV86" s="1195"/>
      <c r="PW86" s="1196"/>
      <c r="PX86" s="1185"/>
      <c r="PY86" s="1186"/>
      <c r="PZ86" s="1067"/>
      <c r="QA86" s="845"/>
      <c r="QB86" s="846"/>
      <c r="QC86" s="848"/>
      <c r="QV86" s="130"/>
      <c r="QW86" s="130"/>
      <c r="RE86" s="653"/>
      <c r="RF86" s="653"/>
      <c r="RG86" s="653"/>
      <c r="RH86" s="653"/>
      <c r="RI86" s="653"/>
      <c r="RJ86" s="653"/>
      <c r="RK86" s="653"/>
      <c r="RL86" s="653"/>
      <c r="RM86" s="653"/>
      <c r="RN86" s="653"/>
      <c r="RO86" s="653"/>
      <c r="RP86" s="653"/>
      <c r="RQ86" s="653"/>
      <c r="RR86" s="653"/>
      <c r="RS86" s="653"/>
      <c r="RT86" s="653"/>
      <c r="RU86" s="653"/>
      <c r="RV86" s="653"/>
      <c r="RW86" s="653"/>
      <c r="RX86" s="653"/>
      <c r="RY86" s="653"/>
      <c r="RZ86" s="653"/>
      <c r="SA86" s="653"/>
      <c r="SB86" s="653"/>
      <c r="SC86" s="653"/>
      <c r="SD86" s="653"/>
      <c r="SE86" s="653"/>
      <c r="SF86" s="653"/>
      <c r="SG86" s="653"/>
      <c r="SH86" s="653"/>
      <c r="SI86" s="653"/>
      <c r="SJ86" s="653"/>
      <c r="SK86" s="653"/>
      <c r="SL86" s="653"/>
      <c r="SM86" s="653"/>
      <c r="SN86" s="653"/>
      <c r="SO86" s="653"/>
      <c r="SP86" s="653"/>
      <c r="SQ86" s="653"/>
      <c r="SR86" s="653"/>
      <c r="SS86" s="653"/>
      <c r="ST86" s="653"/>
      <c r="SU86" s="653"/>
      <c r="SV86" s="653"/>
      <c r="SW86" s="653"/>
      <c r="SX86" s="653"/>
      <c r="SY86" s="653"/>
      <c r="SZ86" s="653"/>
      <c r="TA86" s="653"/>
      <c r="TB86" s="653"/>
      <c r="TC86" s="653"/>
      <c r="TD86" s="653"/>
      <c r="TE86" s="653"/>
      <c r="TF86" s="653"/>
      <c r="TG86" s="653"/>
      <c r="TH86" s="653"/>
      <c r="TI86" s="653"/>
      <c r="TJ86" s="653"/>
      <c r="TK86" s="653"/>
      <c r="TL86" s="653"/>
      <c r="TM86" s="653"/>
      <c r="TN86" s="653"/>
      <c r="TO86" s="653"/>
      <c r="TP86" s="653"/>
      <c r="TQ86" s="653"/>
      <c r="TR86" s="653"/>
      <c r="TS86" s="653"/>
      <c r="TT86" s="653"/>
      <c r="TU86" s="653"/>
      <c r="TV86" s="653"/>
      <c r="TW86" s="653"/>
      <c r="TX86" s="653"/>
      <c r="TY86" s="653"/>
      <c r="TZ86" s="653"/>
      <c r="UA86" s="653"/>
      <c r="UB86" s="653"/>
      <c r="UC86" s="653"/>
      <c r="UD86" s="653"/>
      <c r="UE86" s="653"/>
      <c r="UF86" s="653"/>
      <c r="UG86" s="653"/>
      <c r="UH86" s="653"/>
      <c r="UI86" s="653"/>
      <c r="UJ86" s="653"/>
      <c r="UK86" s="653"/>
      <c r="UL86" s="653"/>
      <c r="UM86" s="653"/>
      <c r="UN86" s="653"/>
      <c r="UO86" s="653"/>
      <c r="UP86" s="653"/>
      <c r="UQ86" s="653"/>
      <c r="UR86" s="653"/>
      <c r="US86" s="653"/>
      <c r="UT86" s="653"/>
      <c r="UU86" s="653"/>
      <c r="UV86" s="653"/>
      <c r="UW86" s="653"/>
      <c r="UX86" s="653"/>
      <c r="UY86" s="653"/>
      <c r="UZ86" s="653"/>
      <c r="WE86" s="996"/>
      <c r="WF86" s="997"/>
      <c r="WG86" s="175"/>
      <c r="WH86" s="173"/>
      <c r="WI86" s="173"/>
      <c r="WJ86" s="173"/>
      <c r="WK86" s="173"/>
      <c r="WL86" s="173"/>
      <c r="WM86" s="173"/>
      <c r="WN86" s="173"/>
      <c r="WO86" s="173"/>
      <c r="WP86" s="173"/>
      <c r="WQ86" s="173"/>
      <c r="WR86" s="173"/>
      <c r="WS86" s="173"/>
      <c r="WT86" s="173"/>
      <c r="WU86" s="173"/>
      <c r="WV86" s="173"/>
      <c r="WW86" s="173"/>
      <c r="WX86" s="173"/>
      <c r="WY86" s="174"/>
      <c r="WZ86" s="1085"/>
      <c r="XA86" s="1085"/>
      <c r="XB86" s="173"/>
      <c r="XC86" s="173"/>
      <c r="XD86" s="173"/>
      <c r="XE86" s="173"/>
      <c r="XF86" s="173"/>
      <c r="XG86" s="693" t="str">
        <f t="shared" ref="XG86:YL86" si="88">IF($AEE$13&lt;1,"Ошибка",
IF(OR(AND($AEE$13&gt;XG80,XG80&gt;$ADU$62),XG80 = $AEE$13),$AEC$13,
IF(OR(AND($AEE$14&gt;XG80,XG80&gt;$AEE$13),XG80 = $AEE$14),$AEC$14,
IF(OR(AND($AEE$15&gt;XG80,XG80&gt;$AEE$14),XG80 = $AEE$15),$AEC$15,
IF(OR(AND($AEE$16&gt;XG80,XG80&gt;$AEE$15),XG80 = $AEE$16),$AEC$16,
IF(OR(AND($AEE$17&gt;XG80,XG80&gt;$AEE$16),XG80 = $AEE$17),$AEC$17,
IF(OR(AND($AEE$18&gt;XG80,XG80&gt;$AEE$17),XG80 = $AEE$18),$AEC$18,
IF(OR(AND($AEE$19&gt;XG80,XG80&gt;$AEE$18),XG80 = $AEE$19),$AEC$19,
IF(OR(AND($AEE$20&gt;XG80,XG80&gt;$AEE$19),XG80 = $AEE$20),$AEC$20,
IF(OR(AND($AEE$21&gt;XG80,XG80&gt;$AEE$20),XG80 = $AEE$21),$AEC$21,
IF(OR(AND($AEE$22&gt;XG80,XG80&gt;$AEE$21),XG80 = $AEE$22),$AEC$22,
IF(OR(AND($AEE$23&gt;XG80,XG80&gt;$AEE$22),XG80 = $AEE$23),$AEC$23,
IF(OR(AND($AEE$24&gt;XG80,XG80&gt;$AEE$23),XG80 = $AEE$24),$AEC$24,
IF(OR(AND($AEE$25&gt;XG80,XG80&gt;$AEE$24),XG80 = $AEE$25),$AEC$25,
IF(OR(AND($AEE$26&gt;XG80,XG80&gt;$AEE$25),XG80 = $AEE$26),$AEC$26,
IF(OR(AND($AEE$27&gt;XG80,XG80&gt;$AEE$26),XG80 = $AEE$27),$AEC$27,
IF(OR(AND($AEE$28&gt;XG80,XG80&gt;$AEE$27),XG80 = $AEE$28),$AEC$28,
IF(OR(AND($AEE$29&gt;XG80,XG80&gt;$AEE$28),XG80 = $AEE$29),$AEC$29,
IF(OR(AND($AEE$30&gt;XG80,XG80&gt;$AEE$29),XG80 = $AEE$30),$AEC$30,
IF(OR(AND($AEE$31&gt;XG80,XG80&gt;$AEE$30),XG80 = $AEE$31),$AEC$31,
IF(OR(AND($AEE$32&gt;XG80,XG80&gt;$AEE$31),XG80 = $AEE$32),$AEC$32,
IF(OR(AND($AEE$33&gt;XG80,XG80&gt;$AEE$32),XG80 = $AEE$33),$AEC$33,
IF(OR(AND($AEE$34&gt;XG80,XG80&gt;$AEE$33),XG80 = $AEE$34),$AEC$34,
IF(OR(AND($AEE$35&gt;XG80,XG80&gt;$AEE$34),XG80 = $AEE$35),$AEC$35,
IF(OR(AND($AEE$36&gt;XG80,XG80&gt;$AEE$35),XG80 = $AEE$36),$AEC$36,
IF(OR(AND($AEE$37&gt;XG80,XG80&gt;$AEE$36),XG80 = $AEE$37),$AEC$37,
IF(OR(AND($AEE$38&gt;XG80,XG80&gt;$AEE$37),XG80 = $AEE$38),$AEC$38,
IF(OR(AND($AEE$39&gt;XG80,XG80&gt;$AEE$38),XG80 = $AEE$39),$AEC$39,
IF(OR(AND($AEE$40&gt;XG80,XG80&gt;$AEE$39),XG80 = $AEE$40),$AEC$40,
IF(OR(AND($AEE$41&gt;XG80,XG80&gt;$AEE$40),XG80 = $AEE$41),$AEC$41,
IF(OR(AND($AEE$42&gt;XG80,XG80&gt;$AEE$41),XG80 = $AEE$42),$AEC$42,
IF(OR(AND($AEE$43&gt;XG80,XG80&gt;$AEE$42),XG80 = $AEE$43),$AEC$43,
IF(OR(AND($AEE$44&gt;XG80,XG80&gt;$AEE$43),XG80 = $AEE$44),$AEC$44,
IF(OR(AND($AEE$45&gt;XG80,XG80&gt;$AEE$44),XG80 = $AEE$45),$AEC$45,
IF(OR(AND($AEE$46&gt;XG80,XG80&gt;$AEE$45),XG80 = $AEE$46),$AEC$46,
IF(OR(AND($AEE$47&gt;XG80,XG80&gt;$AEE$46),XG80 = $AEE$47),$AEC$47,
IF(OR(AND($AEE$48&gt;XG80,XG80&gt;$AEE$47),XG80 = $AEE$48),$AEC$48,
IF(OR(AND($AEE$49&gt;XG80,XG80&gt;$AEE$48),XG80 = $AEE$49),$AEC$49,
IF(OR(AND($AEE$50&gt;XG80,XG80&gt;$AEE$49),XG80 = $AEE$50),$AEC$50,
IF(OR(AND($AEE$51&gt;XG80,XG80&gt;$AEE$50),XG80 = $AEE$51),$AEC$51,
IF(OR(AND($AEE$52&gt;XG80,XG80&gt;$AEE$51),XG80 = $AEE$52),$AEC$52,
IF(OR(AND($AEE$53&gt;XG80,XG80&gt;$AEE$52),XG80 = $AEE$53),$AEC$53,
IF(OR(AND($AEE$54&gt;XG80,XG80&gt;$AEE$53),XG80 = $AEE$54),$AEC$54,
IF(OR(AND($AEE$55&gt;XG80,XG80&gt;$AEE$54),XG80 = $AEE$55),$AEC$55,
IF(OR(AND($AEE$56&gt;XG80,XG80&gt;$AEE$55),XG80 = $AEE$56),$AEC$56,
IF(OR(AND($AEE$57&gt;XG80,XG80&gt;$AEE$56),XG80 = $AEE$57),$AEC$57,
IF(OR(AND($AEE$58&gt;XG80,XG80&gt;$AEE$57),XG80 = $AEE$58),$AEC$58,
IF(OR(AND($AEE$59&gt;XG80,XG80&gt;$AEE$58),XG80 = $AEE$59),$AEC$59,
IF(OR(AND($AEE$60&gt;XG80,XG80&gt;$AEE$59),XG80 = $AEE$60),$AEC$60,
IF(OR(AND($AEE$61&gt;XG80,XG80&gt;$AEE$60),XG80 = $AEE$61),$AEC$61,
IF(OR(AND($AEE$62&gt;XG80,XG80&gt;$AEE$61),XG80 = $AEE$62),$AEC$62,
"Y")))))))))))))))))))))))))))))))))))))))))))))))))))</f>
        <v>Y</v>
      </c>
      <c r="XH86" s="693" t="str">
        <f t="shared" si="88"/>
        <v>Y</v>
      </c>
      <c r="XI86" s="693" t="str">
        <f t="shared" si="88"/>
        <v>Y</v>
      </c>
      <c r="XJ86" s="693" t="str">
        <f t="shared" si="88"/>
        <v>Y</v>
      </c>
      <c r="XK86" s="693" t="str">
        <f t="shared" si="88"/>
        <v>Y</v>
      </c>
      <c r="XL86" s="693" t="str">
        <f t="shared" si="88"/>
        <v>Y</v>
      </c>
      <c r="XM86" s="693" t="str">
        <f t="shared" si="88"/>
        <v>Y</v>
      </c>
      <c r="XN86" s="693" t="str">
        <f t="shared" si="88"/>
        <v>Y</v>
      </c>
      <c r="XO86" s="693" t="str">
        <f t="shared" si="88"/>
        <v>Y</v>
      </c>
      <c r="XP86" s="693" t="str">
        <f t="shared" si="88"/>
        <v>Y</v>
      </c>
      <c r="XQ86" s="693" t="str">
        <f t="shared" si="88"/>
        <v>Y</v>
      </c>
      <c r="XR86" s="693" t="str">
        <f t="shared" si="88"/>
        <v>Y</v>
      </c>
      <c r="XS86" s="693" t="str">
        <f t="shared" si="88"/>
        <v>Y</v>
      </c>
      <c r="XT86" s="693" t="str">
        <f t="shared" si="88"/>
        <v>Y</v>
      </c>
      <c r="XU86" s="693" t="str">
        <f t="shared" si="88"/>
        <v>Y</v>
      </c>
      <c r="XV86" s="693" t="str">
        <f t="shared" si="88"/>
        <v>Y</v>
      </c>
      <c r="XW86" s="693" t="str">
        <f t="shared" si="88"/>
        <v>Y</v>
      </c>
      <c r="XX86" s="693" t="str">
        <f t="shared" si="88"/>
        <v>Y</v>
      </c>
      <c r="XY86" s="693" t="str">
        <f t="shared" si="88"/>
        <v>Y</v>
      </c>
      <c r="XZ86" s="693" t="str">
        <f t="shared" si="88"/>
        <v>Y</v>
      </c>
      <c r="YA86" s="693" t="str">
        <f t="shared" si="88"/>
        <v>Y</v>
      </c>
      <c r="YB86" s="693" t="str">
        <f t="shared" si="88"/>
        <v>Y</v>
      </c>
      <c r="YC86" s="693" t="str">
        <f t="shared" si="88"/>
        <v>Y</v>
      </c>
      <c r="YD86" s="693" t="str">
        <f t="shared" si="88"/>
        <v>Y</v>
      </c>
      <c r="YE86" s="693" t="str">
        <f t="shared" si="88"/>
        <v>Y</v>
      </c>
      <c r="YF86" s="693" t="str">
        <f t="shared" si="88"/>
        <v>Y</v>
      </c>
      <c r="YG86" s="693" t="str">
        <f t="shared" si="88"/>
        <v>Y</v>
      </c>
      <c r="YH86" s="693" t="str">
        <f t="shared" si="88"/>
        <v>Y</v>
      </c>
      <c r="YI86" s="693" t="str">
        <f t="shared" si="88"/>
        <v>Y</v>
      </c>
      <c r="YJ86" s="693" t="str">
        <f t="shared" si="88"/>
        <v>Y</v>
      </c>
      <c r="YK86" s="693" t="str">
        <f t="shared" si="88"/>
        <v>Y</v>
      </c>
      <c r="YL86" s="693" t="str">
        <f t="shared" si="88"/>
        <v>Y</v>
      </c>
      <c r="YM86" s="693" t="str">
        <f t="shared" ref="YM86:ZR86" si="89">IF($AEE$13&lt;1,"Ошибка",
IF(OR(AND($AEE$13&gt;YM80,YM80&gt;$ADU$62),YM80 = $AEE$13),$AEC$13,
IF(OR(AND($AEE$14&gt;YM80,YM80&gt;$AEE$13),YM80 = $AEE$14),$AEC$14,
IF(OR(AND($AEE$15&gt;YM80,YM80&gt;$AEE$14),YM80 = $AEE$15),$AEC$15,
IF(OR(AND($AEE$16&gt;YM80,YM80&gt;$AEE$15),YM80 = $AEE$16),$AEC$16,
IF(OR(AND($AEE$17&gt;YM80,YM80&gt;$AEE$16),YM80 = $AEE$17),$AEC$17,
IF(OR(AND($AEE$18&gt;YM80,YM80&gt;$AEE$17),YM80 = $AEE$18),$AEC$18,
IF(OR(AND($AEE$19&gt;YM80,YM80&gt;$AEE$18),YM80 = $AEE$19),$AEC$19,
IF(OR(AND($AEE$20&gt;YM80,YM80&gt;$AEE$19),YM80 = $AEE$20),$AEC$20,
IF(OR(AND($AEE$21&gt;YM80,YM80&gt;$AEE$20),YM80 = $AEE$21),$AEC$21,
IF(OR(AND($AEE$22&gt;YM80,YM80&gt;$AEE$21),YM80 = $AEE$22),$AEC$22,
IF(OR(AND($AEE$23&gt;YM80,YM80&gt;$AEE$22),YM80 = $AEE$23),$AEC$23,
IF(OR(AND($AEE$24&gt;YM80,YM80&gt;$AEE$23),YM80 = $AEE$24),$AEC$24,
IF(OR(AND($AEE$25&gt;YM80,YM80&gt;$AEE$24),YM80 = $AEE$25),$AEC$25,
IF(OR(AND($AEE$26&gt;YM80,YM80&gt;$AEE$25),YM80 = $AEE$26),$AEC$26,
IF(OR(AND($AEE$27&gt;YM80,YM80&gt;$AEE$26),YM80 = $AEE$27),$AEC$27,
IF(OR(AND($AEE$28&gt;YM80,YM80&gt;$AEE$27),YM80 = $AEE$28),$AEC$28,
IF(OR(AND($AEE$29&gt;YM80,YM80&gt;$AEE$28),YM80 = $AEE$29),$AEC$29,
IF(OR(AND($AEE$30&gt;YM80,YM80&gt;$AEE$29),YM80 = $AEE$30),$AEC$30,
IF(OR(AND($AEE$31&gt;YM80,YM80&gt;$AEE$30),YM80 = $AEE$31),$AEC$31,
IF(OR(AND($AEE$32&gt;YM80,YM80&gt;$AEE$31),YM80 = $AEE$32),$AEC$32,
IF(OR(AND($AEE$33&gt;YM80,YM80&gt;$AEE$32),YM80 = $AEE$33),$AEC$33,
IF(OR(AND($AEE$34&gt;YM80,YM80&gt;$AEE$33),YM80 = $AEE$34),$AEC$34,
IF(OR(AND($AEE$35&gt;YM80,YM80&gt;$AEE$34),YM80 = $AEE$35),$AEC$35,
IF(OR(AND($AEE$36&gt;YM80,YM80&gt;$AEE$35),YM80 = $AEE$36),$AEC$36,
IF(OR(AND($AEE$37&gt;YM80,YM80&gt;$AEE$36),YM80 = $AEE$37),$AEC$37,
IF(OR(AND($AEE$38&gt;YM80,YM80&gt;$AEE$37),YM80 = $AEE$38),$AEC$38,
IF(OR(AND($AEE$39&gt;YM80,YM80&gt;$AEE$38),YM80 = $AEE$39),$AEC$39,
IF(OR(AND($AEE$40&gt;YM80,YM80&gt;$AEE$39),YM80 = $AEE$40),$AEC$40,
IF(OR(AND($AEE$41&gt;YM80,YM80&gt;$AEE$40),YM80 = $AEE$41),$AEC$41,
IF(OR(AND($AEE$42&gt;YM80,YM80&gt;$AEE$41),YM80 = $AEE$42),$AEC$42,
IF(OR(AND($AEE$43&gt;YM80,YM80&gt;$AEE$42),YM80 = $AEE$43),$AEC$43,
IF(OR(AND($AEE$44&gt;YM80,YM80&gt;$AEE$43),YM80 = $AEE$44),$AEC$44,
IF(OR(AND($AEE$45&gt;YM80,YM80&gt;$AEE$44),YM80 = $AEE$45),$AEC$45,
IF(OR(AND($AEE$46&gt;YM80,YM80&gt;$AEE$45),YM80 = $AEE$46),$AEC$46,
IF(OR(AND($AEE$47&gt;YM80,YM80&gt;$AEE$46),YM80 = $AEE$47),$AEC$47,
IF(OR(AND($AEE$48&gt;YM80,YM80&gt;$AEE$47),YM80 = $AEE$48),$AEC$48,
IF(OR(AND($AEE$49&gt;YM80,YM80&gt;$AEE$48),YM80 = $AEE$49),$AEC$49,
IF(OR(AND($AEE$50&gt;YM80,YM80&gt;$AEE$49),YM80 = $AEE$50),$AEC$50,
IF(OR(AND($AEE$51&gt;YM80,YM80&gt;$AEE$50),YM80 = $AEE$51),$AEC$51,
IF(OR(AND($AEE$52&gt;YM80,YM80&gt;$AEE$51),YM80 = $AEE$52),$AEC$52,
IF(OR(AND($AEE$53&gt;YM80,YM80&gt;$AEE$52),YM80 = $AEE$53),$AEC$53,
IF(OR(AND($AEE$54&gt;YM80,YM80&gt;$AEE$53),YM80 = $AEE$54),$AEC$54,
IF(OR(AND($AEE$55&gt;YM80,YM80&gt;$AEE$54),YM80 = $AEE$55),$AEC$55,
IF(OR(AND($AEE$56&gt;YM80,YM80&gt;$AEE$55),YM80 = $AEE$56),$AEC$56,
IF(OR(AND($AEE$57&gt;YM80,YM80&gt;$AEE$56),YM80 = $AEE$57),$AEC$57,
IF(OR(AND($AEE$58&gt;YM80,YM80&gt;$AEE$57),YM80 = $AEE$58),$AEC$58,
IF(OR(AND($AEE$59&gt;YM80,YM80&gt;$AEE$58),YM80 = $AEE$59),$AEC$59,
IF(OR(AND($AEE$60&gt;YM80,YM80&gt;$AEE$59),YM80 = $AEE$60),$AEC$60,
IF(OR(AND($AEE$61&gt;YM80,YM80&gt;$AEE$60),YM80 = $AEE$61),$AEC$61,
IF(OR(AND($AEE$62&gt;YM80,YM80&gt;$AEE$61),YM80 = $AEE$62),$AEC$62,
"Y")))))))))))))))))))))))))))))))))))))))))))))))))))</f>
        <v>Y</v>
      </c>
      <c r="YN86" s="693" t="str">
        <f t="shared" si="89"/>
        <v>Y</v>
      </c>
      <c r="YO86" s="693" t="str">
        <f t="shared" si="89"/>
        <v>Y</v>
      </c>
      <c r="YP86" s="693" t="str">
        <f t="shared" si="89"/>
        <v>Y</v>
      </c>
      <c r="YQ86" s="693" t="str">
        <f t="shared" si="89"/>
        <v>Y</v>
      </c>
      <c r="YR86" s="693" t="str">
        <f t="shared" si="89"/>
        <v>Y</v>
      </c>
      <c r="YS86" s="693" t="str">
        <f t="shared" si="89"/>
        <v>Y</v>
      </c>
      <c r="YT86" s="693" t="str">
        <f t="shared" si="89"/>
        <v>Y</v>
      </c>
      <c r="YU86" s="693" t="str">
        <f t="shared" si="89"/>
        <v>Y</v>
      </c>
      <c r="YV86" s="693" t="str">
        <f t="shared" si="89"/>
        <v>Y</v>
      </c>
      <c r="YW86" s="693" t="str">
        <f t="shared" si="89"/>
        <v>Y</v>
      </c>
      <c r="YX86" s="693" t="str">
        <f t="shared" si="89"/>
        <v>Y</v>
      </c>
      <c r="YY86" s="693" t="str">
        <f t="shared" si="89"/>
        <v>Y</v>
      </c>
      <c r="YZ86" s="693" t="str">
        <f t="shared" si="89"/>
        <v>Y</v>
      </c>
      <c r="ZA86" s="693" t="str">
        <f t="shared" si="89"/>
        <v>Y</v>
      </c>
      <c r="ZB86" s="693" t="str">
        <f t="shared" si="89"/>
        <v>Y</v>
      </c>
      <c r="ZC86" s="693" t="str">
        <f t="shared" si="89"/>
        <v>Y</v>
      </c>
      <c r="ZD86" s="693" t="str">
        <f t="shared" si="89"/>
        <v>Y</v>
      </c>
      <c r="ZE86" s="693" t="str">
        <f t="shared" si="89"/>
        <v>Y</v>
      </c>
      <c r="ZF86" s="693" t="str">
        <f t="shared" si="89"/>
        <v>Y</v>
      </c>
      <c r="ZG86" s="693" t="str">
        <f t="shared" si="89"/>
        <v>Y</v>
      </c>
      <c r="ZH86" s="693" t="str">
        <f t="shared" si="89"/>
        <v>Y</v>
      </c>
      <c r="ZI86" s="693" t="str">
        <f t="shared" si="89"/>
        <v>Y</v>
      </c>
      <c r="ZJ86" s="693" t="str">
        <f t="shared" si="89"/>
        <v>Y</v>
      </c>
      <c r="ZK86" s="693" t="str">
        <f t="shared" si="89"/>
        <v>Y</v>
      </c>
      <c r="ZL86" s="693" t="str">
        <f t="shared" si="89"/>
        <v>Y</v>
      </c>
      <c r="ZM86" s="693" t="str">
        <f t="shared" si="89"/>
        <v>Y</v>
      </c>
      <c r="ZN86" s="693" t="str">
        <f t="shared" si="89"/>
        <v>Y</v>
      </c>
      <c r="ZO86" s="693" t="str">
        <f t="shared" si="89"/>
        <v>Y</v>
      </c>
      <c r="ZP86" s="693" t="str">
        <f t="shared" si="89"/>
        <v>Y</v>
      </c>
      <c r="ZQ86" s="693" t="str">
        <f t="shared" si="89"/>
        <v>Y</v>
      </c>
      <c r="ZR86" s="693" t="str">
        <f t="shared" si="89"/>
        <v>Y</v>
      </c>
      <c r="ZS86" s="693" t="str">
        <f t="shared" ref="ZS86:AAS86" si="90">IF($AEE$13&lt;1,"Ошибка",
IF(OR(AND($AEE$13&gt;ZS80,ZS80&gt;$ADU$62),ZS80 = $AEE$13),$AEC$13,
IF(OR(AND($AEE$14&gt;ZS80,ZS80&gt;$AEE$13),ZS80 = $AEE$14),$AEC$14,
IF(OR(AND($AEE$15&gt;ZS80,ZS80&gt;$AEE$14),ZS80 = $AEE$15),$AEC$15,
IF(OR(AND($AEE$16&gt;ZS80,ZS80&gt;$AEE$15),ZS80 = $AEE$16),$AEC$16,
IF(OR(AND($AEE$17&gt;ZS80,ZS80&gt;$AEE$16),ZS80 = $AEE$17),$AEC$17,
IF(OR(AND($AEE$18&gt;ZS80,ZS80&gt;$AEE$17),ZS80 = $AEE$18),$AEC$18,
IF(OR(AND($AEE$19&gt;ZS80,ZS80&gt;$AEE$18),ZS80 = $AEE$19),$AEC$19,
IF(OR(AND($AEE$20&gt;ZS80,ZS80&gt;$AEE$19),ZS80 = $AEE$20),$AEC$20,
IF(OR(AND($AEE$21&gt;ZS80,ZS80&gt;$AEE$20),ZS80 = $AEE$21),$AEC$21,
IF(OR(AND($AEE$22&gt;ZS80,ZS80&gt;$AEE$21),ZS80 = $AEE$22),$AEC$22,
IF(OR(AND($AEE$23&gt;ZS80,ZS80&gt;$AEE$22),ZS80 = $AEE$23),$AEC$23,
IF(OR(AND($AEE$24&gt;ZS80,ZS80&gt;$AEE$23),ZS80 = $AEE$24),$AEC$24,
IF(OR(AND($AEE$25&gt;ZS80,ZS80&gt;$AEE$24),ZS80 = $AEE$25),$AEC$25,
IF(OR(AND($AEE$26&gt;ZS80,ZS80&gt;$AEE$25),ZS80 = $AEE$26),$AEC$26,
IF(OR(AND($AEE$27&gt;ZS80,ZS80&gt;$AEE$26),ZS80 = $AEE$27),$AEC$27,
IF(OR(AND($AEE$28&gt;ZS80,ZS80&gt;$AEE$27),ZS80 = $AEE$28),$AEC$28,
IF(OR(AND($AEE$29&gt;ZS80,ZS80&gt;$AEE$28),ZS80 = $AEE$29),$AEC$29,
IF(OR(AND($AEE$30&gt;ZS80,ZS80&gt;$AEE$29),ZS80 = $AEE$30),$AEC$30,
IF(OR(AND($AEE$31&gt;ZS80,ZS80&gt;$AEE$30),ZS80 = $AEE$31),$AEC$31,
IF(OR(AND($AEE$32&gt;ZS80,ZS80&gt;$AEE$31),ZS80 = $AEE$32),$AEC$32,
IF(OR(AND($AEE$33&gt;ZS80,ZS80&gt;$AEE$32),ZS80 = $AEE$33),$AEC$33,
IF(OR(AND($AEE$34&gt;ZS80,ZS80&gt;$AEE$33),ZS80 = $AEE$34),$AEC$34,
IF(OR(AND($AEE$35&gt;ZS80,ZS80&gt;$AEE$34),ZS80 = $AEE$35),$AEC$35,
IF(OR(AND($AEE$36&gt;ZS80,ZS80&gt;$AEE$35),ZS80 = $AEE$36),$AEC$36,
IF(OR(AND($AEE$37&gt;ZS80,ZS80&gt;$AEE$36),ZS80 = $AEE$37),$AEC$37,
IF(OR(AND($AEE$38&gt;ZS80,ZS80&gt;$AEE$37),ZS80 = $AEE$38),$AEC$38,
IF(OR(AND($AEE$39&gt;ZS80,ZS80&gt;$AEE$38),ZS80 = $AEE$39),$AEC$39,
IF(OR(AND($AEE$40&gt;ZS80,ZS80&gt;$AEE$39),ZS80 = $AEE$40),$AEC$40,
IF(OR(AND($AEE$41&gt;ZS80,ZS80&gt;$AEE$40),ZS80 = $AEE$41),$AEC$41,
IF(OR(AND($AEE$42&gt;ZS80,ZS80&gt;$AEE$41),ZS80 = $AEE$42),$AEC$42,
IF(OR(AND($AEE$43&gt;ZS80,ZS80&gt;$AEE$42),ZS80 = $AEE$43),$AEC$43,
IF(OR(AND($AEE$44&gt;ZS80,ZS80&gt;$AEE$43),ZS80 = $AEE$44),$AEC$44,
IF(OR(AND($AEE$45&gt;ZS80,ZS80&gt;$AEE$44),ZS80 = $AEE$45),$AEC$45,
IF(OR(AND($AEE$46&gt;ZS80,ZS80&gt;$AEE$45),ZS80 = $AEE$46),$AEC$46,
IF(OR(AND($AEE$47&gt;ZS80,ZS80&gt;$AEE$46),ZS80 = $AEE$47),$AEC$47,
IF(OR(AND($AEE$48&gt;ZS80,ZS80&gt;$AEE$47),ZS80 = $AEE$48),$AEC$48,
IF(OR(AND($AEE$49&gt;ZS80,ZS80&gt;$AEE$48),ZS80 = $AEE$49),$AEC$49,
IF(OR(AND($AEE$50&gt;ZS80,ZS80&gt;$AEE$49),ZS80 = $AEE$50),$AEC$50,
IF(OR(AND($AEE$51&gt;ZS80,ZS80&gt;$AEE$50),ZS80 = $AEE$51),$AEC$51,
IF(OR(AND($AEE$52&gt;ZS80,ZS80&gt;$AEE$51),ZS80 = $AEE$52),$AEC$52,
IF(OR(AND($AEE$53&gt;ZS80,ZS80&gt;$AEE$52),ZS80 = $AEE$53),$AEC$53,
IF(OR(AND($AEE$54&gt;ZS80,ZS80&gt;$AEE$53),ZS80 = $AEE$54),$AEC$54,
IF(OR(AND($AEE$55&gt;ZS80,ZS80&gt;$AEE$54),ZS80 = $AEE$55),$AEC$55,
IF(OR(AND($AEE$56&gt;ZS80,ZS80&gt;$AEE$55),ZS80 = $AEE$56),$AEC$56,
IF(OR(AND($AEE$57&gt;ZS80,ZS80&gt;$AEE$56),ZS80 = $AEE$57),$AEC$57,
IF(OR(AND($AEE$58&gt;ZS80,ZS80&gt;$AEE$57),ZS80 = $AEE$58),$AEC$58,
IF(OR(AND($AEE$59&gt;ZS80,ZS80&gt;$AEE$58),ZS80 = $AEE$59),$AEC$59,
IF(OR(AND($AEE$60&gt;ZS80,ZS80&gt;$AEE$59),ZS80 = $AEE$60),$AEC$60,
IF(OR(AND($AEE$61&gt;ZS80,ZS80&gt;$AEE$60),ZS80 = $AEE$61),$AEC$61,
IF(OR(AND($AEE$62&gt;ZS80,ZS80&gt;$AEE$61),ZS80 = $AEE$62),$AEC$62,
"Y")))))))))))))))))))))))))))))))))))))))))))))))))))</f>
        <v>Y</v>
      </c>
      <c r="ZT86" s="693" t="str">
        <f t="shared" si="90"/>
        <v>Y</v>
      </c>
      <c r="ZU86" s="693" t="str">
        <f t="shared" si="90"/>
        <v>Y</v>
      </c>
      <c r="ZV86" s="693" t="str">
        <f t="shared" si="90"/>
        <v>Y</v>
      </c>
      <c r="ZW86" s="693" t="str">
        <f t="shared" si="90"/>
        <v>Y</v>
      </c>
      <c r="ZX86" s="693" t="str">
        <f t="shared" si="90"/>
        <v>Y</v>
      </c>
      <c r="ZY86" s="693" t="str">
        <f t="shared" si="90"/>
        <v>Y</v>
      </c>
      <c r="ZZ86" s="693" t="str">
        <f t="shared" si="90"/>
        <v>Y</v>
      </c>
      <c r="AAA86" s="693">
        <f t="shared" si="90"/>
        <v>1.8947368424210502</v>
      </c>
      <c r="AAB86" s="693">
        <f t="shared" si="90"/>
        <v>1.9168421055810501</v>
      </c>
      <c r="AAC86" s="693">
        <f t="shared" si="90"/>
        <v>1.9389473687410503</v>
      </c>
      <c r="AAD86" s="693">
        <f t="shared" si="90"/>
        <v>1.9610526319010502</v>
      </c>
      <c r="AAE86" s="693">
        <f t="shared" si="90"/>
        <v>1.9831578950610504</v>
      </c>
      <c r="AAF86" s="693">
        <f t="shared" si="90"/>
        <v>2.0052631582210503</v>
      </c>
      <c r="AAG86" s="693">
        <f t="shared" si="90"/>
        <v>2.0273684213810506</v>
      </c>
      <c r="AAH86" s="693">
        <f t="shared" si="90"/>
        <v>2.0494736845410504</v>
      </c>
      <c r="AAI86" s="693">
        <f t="shared" si="90"/>
        <v>2.0715789477010502</v>
      </c>
      <c r="AAJ86" s="693">
        <f t="shared" si="90"/>
        <v>2.0936842108610505</v>
      </c>
      <c r="AAK86" s="693">
        <f t="shared" si="90"/>
        <v>2.1157894740210503</v>
      </c>
      <c r="AAL86" s="693">
        <f t="shared" si="90"/>
        <v>2.1378947371810506</v>
      </c>
      <c r="AAM86" s="693">
        <f t="shared" si="90"/>
        <v>2.1600000003410504</v>
      </c>
      <c r="AAN86" s="693">
        <f t="shared" si="90"/>
        <v>2.1821052635010507</v>
      </c>
      <c r="AAO86" s="693">
        <f t="shared" si="90"/>
        <v>2.2042105266610506</v>
      </c>
      <c r="AAP86" s="693">
        <f t="shared" si="90"/>
        <v>2.2263157898210504</v>
      </c>
      <c r="AAQ86" s="693">
        <f t="shared" si="90"/>
        <v>2.2373684214010505</v>
      </c>
      <c r="AAR86" s="693">
        <f t="shared" si="90"/>
        <v>2.2594736845610504</v>
      </c>
      <c r="AAS86" s="693">
        <f t="shared" si="90"/>
        <v>2.2815789477210502</v>
      </c>
      <c r="AAT86" s="1006"/>
      <c r="AAU86" s="962"/>
      <c r="AAV86" s="1059"/>
      <c r="AAW86" s="1059"/>
      <c r="AAX86" s="1059"/>
      <c r="AAY86" s="1059"/>
      <c r="AAZ86" s="1059"/>
      <c r="ABA86" s="1059"/>
      <c r="ABB86" s="1059"/>
      <c r="ABC86" s="1059"/>
      <c r="ABD86" s="1059"/>
      <c r="ABE86" s="1059"/>
      <c r="ABF86" s="1059"/>
      <c r="ABG86" s="1059"/>
      <c r="ABH86" s="963"/>
      <c r="ABI86" s="158"/>
      <c r="ABJ86" s="158"/>
      <c r="ABK86" s="158"/>
      <c r="ABL86" s="158"/>
      <c r="ABM86" s="158"/>
      <c r="ABN86" s="158"/>
      <c r="ABO86" s="158"/>
      <c r="ABP86" s="163"/>
      <c r="ABT86" s="1527"/>
      <c r="ABU86" s="1527"/>
      <c r="ABV86" s="1527"/>
      <c r="ABW86" s="1527"/>
      <c r="ABX86" s="1527"/>
      <c r="ABY86" s="1527"/>
      <c r="ABZ86" s="1527"/>
      <c r="ACA86" s="1527"/>
      <c r="ACB86" s="1527"/>
      <c r="ACC86" s="1527"/>
      <c r="ACD86" s="1527"/>
      <c r="ACE86" s="1527"/>
      <c r="ACF86" s="1527"/>
      <c r="ACG86" s="1527"/>
      <c r="ACH86" s="1527"/>
      <c r="ACJ86" s="759">
        <v>0.25000000000000006</v>
      </c>
      <c r="ACK86" s="760"/>
      <c r="ACL86" s="759">
        <v>-0.20000000000000007</v>
      </c>
      <c r="ACM86" s="760"/>
      <c r="ACN86" s="592">
        <v>2</v>
      </c>
      <c r="ACO86" s="759">
        <f t="shared" ref="ACO86:ACO134" si="91">ACJ86*ACQ86 + ACL86</f>
        <v>5.4999999999999993E-2</v>
      </c>
      <c r="ACP86" s="760"/>
      <c r="ACQ86" s="757">
        <f t="shared" si="82"/>
        <v>1.02</v>
      </c>
      <c r="ACR86" s="758"/>
      <c r="ACT86" s="759">
        <v>0.99999999999999956</v>
      </c>
      <c r="ACU86" s="760"/>
      <c r="ACV86" s="759">
        <v>-1.1999999999999993</v>
      </c>
      <c r="ACW86" s="760"/>
      <c r="ACX86" s="592">
        <v>52</v>
      </c>
      <c r="ACY86" s="759">
        <f t="shared" ref="ACY86:ACY134" si="92">ACT86*ADA86 + ACV86</f>
        <v>0.32000000000000006</v>
      </c>
      <c r="ACZ86" s="760"/>
      <c r="ADA86" s="757">
        <f t="shared" si="83"/>
        <v>1.52</v>
      </c>
      <c r="ADB86" s="758"/>
      <c r="ADD86" s="759">
        <v>1.5454545454545452</v>
      </c>
      <c r="ADE86" s="760"/>
      <c r="ADF86" s="759">
        <v>-2.1818181818181812</v>
      </c>
      <c r="ADG86" s="760"/>
      <c r="ADH86" s="591">
        <v>101</v>
      </c>
      <c r="ADI86" s="759">
        <f t="shared" ref="ADI86:ADI134" si="93">ADD86*ADK86 + ADF86</f>
        <v>0.92454545454545434</v>
      </c>
      <c r="ADJ86" s="760"/>
      <c r="ADK86" s="757">
        <f t="shared" si="84"/>
        <v>2.0099999999999998</v>
      </c>
      <c r="ADL86" s="758"/>
      <c r="ADN86" s="759">
        <v>1.5454545454545452</v>
      </c>
      <c r="ADO86" s="760"/>
      <c r="ADP86" s="759">
        <v>-2.1818181818181812</v>
      </c>
      <c r="ADQ86" s="760"/>
      <c r="ADR86" s="591">
        <v>151</v>
      </c>
      <c r="ADS86" s="759">
        <f t="shared" ref="ADS86:ADS134" si="94">ADN86*ADU86 + ADP86</f>
        <v>1.6972727272727268</v>
      </c>
      <c r="ADT86" s="760"/>
      <c r="ADU86" s="757">
        <f t="shared" si="85"/>
        <v>2.5099999999999998</v>
      </c>
      <c r="ADV86" s="758"/>
      <c r="ADW86" s="653"/>
      <c r="ADX86" s="759">
        <v>1.5454545454545501</v>
      </c>
      <c r="ADY86" s="760"/>
      <c r="ADZ86" s="759">
        <v>-2.1818181818181799</v>
      </c>
      <c r="AEA86" s="760"/>
      <c r="AEB86" s="591">
        <v>201</v>
      </c>
      <c r="AEC86" s="759">
        <f t="shared" ref="AEC86:AEC108" si="95">ADX86*AEE86 + ADZ86</f>
        <v>2.4700000000000166</v>
      </c>
      <c r="AED86" s="760"/>
      <c r="AEE86" s="757">
        <f t="shared" si="86"/>
        <v>3.0100000000000002</v>
      </c>
      <c r="AEF86" s="758"/>
      <c r="AEH86" s="759">
        <v>1.5454545454545501</v>
      </c>
      <c r="AEI86" s="760"/>
      <c r="AEJ86" s="759">
        <v>-2.1818181818181799</v>
      </c>
      <c r="AEK86" s="760"/>
      <c r="AEL86" s="591">
        <v>251</v>
      </c>
      <c r="AEM86" s="759">
        <f>AEH86*AEO86 + AEJ86</f>
        <v>3.2427272727272909</v>
      </c>
      <c r="AEN86" s="760"/>
      <c r="AEO86" s="757">
        <f t="shared" si="87"/>
        <v>3.5100000000000002</v>
      </c>
      <c r="AEP86" s="758"/>
      <c r="AGL86" s="1052"/>
      <c r="AGM86" s="683" t="s">
        <v>1217</v>
      </c>
      <c r="AGN86" s="1552">
        <f>$MP$69</f>
        <v>5.2449590821531827E-5</v>
      </c>
      <c r="AGO86" s="1552"/>
      <c r="AGP86" s="1552"/>
      <c r="AGQ86" s="792" t="s">
        <v>1699</v>
      </c>
      <c r="AGR86" s="792"/>
      <c r="AGS86" s="792"/>
      <c r="AGT86" s="792"/>
      <c r="AGU86" s="792"/>
      <c r="AGV86" s="792"/>
      <c r="AGW86" s="792"/>
      <c r="AGX86" s="792"/>
      <c r="AGY86" s="793"/>
      <c r="AGZ86" s="1347">
        <f>1+(AGN86/AGN88)*(AGN87-1)</f>
        <v>1.3704056404889424</v>
      </c>
      <c r="AHA86" s="1348"/>
      <c r="AHB86" s="1349"/>
      <c r="AHC86" s="1341" t="s">
        <v>729</v>
      </c>
      <c r="AHD86" s="1342"/>
      <c r="AHE86" s="841"/>
      <c r="AHF86" s="843" t="s">
        <v>1373</v>
      </c>
      <c r="AHG86" s="844"/>
      <c r="AHH86" s="1255"/>
      <c r="AHI86" s="826"/>
      <c r="AHJ86" s="945"/>
      <c r="AHK86" s="945"/>
      <c r="AHL86" s="945"/>
      <c r="AHM86" s="945"/>
      <c r="AHN86" s="945"/>
      <c r="AHO86" s="945"/>
      <c r="AHP86" s="946"/>
      <c r="AHU86" s="130"/>
      <c r="AHW86" s="130"/>
      <c r="AHX86" s="130"/>
      <c r="ANI86" s="130"/>
      <c r="ANJ86" s="130"/>
      <c r="ANK86" s="130"/>
      <c r="ANL86" s="130"/>
      <c r="AQH86" s="903"/>
      <c r="AQI86" s="904"/>
      <c r="AQJ86" s="905"/>
      <c r="AQK86" s="851"/>
      <c r="AQL86" s="857"/>
      <c r="AQM86" s="857"/>
      <c r="AQN86" s="857"/>
      <c r="AQO86" s="857"/>
      <c r="AQP86" s="857"/>
      <c r="AQQ86" s="857"/>
      <c r="AQR86" s="857"/>
      <c r="AQS86" s="857"/>
      <c r="AQT86" s="857"/>
      <c r="AQU86" s="857"/>
      <c r="AQV86" s="857"/>
      <c r="AQW86" s="857"/>
      <c r="AQX86" s="857"/>
      <c r="AQY86" s="837"/>
      <c r="AQZ86" s="838"/>
      <c r="ARA86" s="777"/>
      <c r="ARB86" s="799"/>
      <c r="ARC86" s="842"/>
      <c r="ARD86" s="918"/>
      <c r="ARE86" s="919"/>
      <c r="ARF86" s="848"/>
      <c r="ARG86" s="653"/>
      <c r="ARH86" s="653"/>
      <c r="ARI86" s="653"/>
      <c r="ARJ86" s="653"/>
      <c r="ARK86" s="653"/>
      <c r="ARL86" s="653"/>
      <c r="ARM86" s="653"/>
      <c r="ARN86" s="653"/>
      <c r="ARO86" s="653"/>
    </row>
    <row r="87" spans="4:908 1049:1212" ht="48" customHeight="1" thickBot="1">
      <c r="AI87" s="1299"/>
      <c r="AJ87" s="850"/>
      <c r="AK87" s="810" t="s">
        <v>19</v>
      </c>
      <c r="AL87" s="770"/>
      <c r="AM87" s="770"/>
      <c r="AN87" s="770"/>
      <c r="AO87" s="770"/>
      <c r="AP87" s="770"/>
      <c r="AQ87" s="1660">
        <v>1.1000000000000001</v>
      </c>
      <c r="AR87" s="1661"/>
      <c r="AS87" s="1075" t="s">
        <v>705</v>
      </c>
      <c r="AT87" s="1076"/>
      <c r="AU87" s="1066"/>
      <c r="AV87" s="893" t="s">
        <v>744</v>
      </c>
      <c r="AW87" s="894"/>
      <c r="AX87" s="847"/>
      <c r="BQ87" s="130"/>
      <c r="BR87" s="130"/>
      <c r="BS87" s="130"/>
      <c r="BT87" s="130"/>
      <c r="BX87" s="850"/>
      <c r="BY87" s="768" t="s">
        <v>1494</v>
      </c>
      <c r="BZ87" s="770"/>
      <c r="CA87" s="770"/>
      <c r="CB87" s="770"/>
      <c r="CC87" s="770"/>
      <c r="CD87" s="770"/>
      <c r="CE87" s="770"/>
      <c r="CF87" s="770"/>
      <c r="CG87" s="770"/>
      <c r="CH87" s="770"/>
      <c r="CI87" s="770"/>
      <c r="CJ87" s="770"/>
      <c r="CK87" s="771"/>
      <c r="CL87" s="1879">
        <v>1</v>
      </c>
      <c r="CM87" s="1880"/>
      <c r="CN87" s="1183" t="s">
        <v>729</v>
      </c>
      <c r="CO87" s="1184"/>
      <c r="CP87" s="841"/>
      <c r="CQ87" s="1170" t="s">
        <v>764</v>
      </c>
      <c r="CR87" s="1172"/>
      <c r="CS87" s="847"/>
      <c r="DS87" s="653"/>
      <c r="DT87" s="653"/>
      <c r="DU87" s="653"/>
      <c r="DV87" s="653"/>
      <c r="DW87" s="653"/>
      <c r="DX87" s="653"/>
      <c r="DY87" s="653"/>
      <c r="DZ87" s="849"/>
      <c r="EA87" s="852" t="s">
        <v>416</v>
      </c>
      <c r="EB87" s="853"/>
      <c r="EC87" s="138"/>
      <c r="ED87" s="713" t="s">
        <v>1764</v>
      </c>
      <c r="EE87" s="926">
        <f>$EG$109</f>
        <v>0</v>
      </c>
      <c r="EF87" s="926"/>
      <c r="EG87" s="713" t="s">
        <v>1763</v>
      </c>
      <c r="EH87" s="926">
        <f>$EL$93</f>
        <v>28.647156840822699</v>
      </c>
      <c r="EI87" s="926"/>
      <c r="EJ87" s="138"/>
      <c r="EK87" s="76" t="s">
        <v>441</v>
      </c>
      <c r="EL87" s="854" t="s">
        <v>435</v>
      </c>
      <c r="EM87" s="855"/>
      <c r="EN87" s="920" t="s">
        <v>111</v>
      </c>
      <c r="EO87" s="921"/>
      <c r="EP87" s="916" t="s">
        <v>704</v>
      </c>
      <c r="EQ87" s="917"/>
      <c r="ER87" s="906" t="s">
        <v>447</v>
      </c>
      <c r="ES87" s="907"/>
      <c r="ET87" s="907"/>
      <c r="EU87" s="908"/>
      <c r="EV87" s="1051" t="s">
        <v>436</v>
      </c>
      <c r="EW87" s="1051"/>
      <c r="EX87" s="1051"/>
      <c r="EY87" s="1051"/>
      <c r="EZ87" s="1051"/>
      <c r="FA87" s="1051"/>
      <c r="FB87" s="1051"/>
      <c r="FC87" s="1051"/>
      <c r="FD87" s="1051"/>
      <c r="FE87" s="1051"/>
      <c r="GC87" s="6"/>
      <c r="GD87" s="3"/>
      <c r="GE87" s="3"/>
      <c r="HP87" s="220"/>
      <c r="HQ87" s="220"/>
      <c r="HR87" s="220"/>
      <c r="HS87" s="220"/>
      <c r="HT87" s="220"/>
      <c r="HU87" s="220"/>
      <c r="HV87" s="220"/>
      <c r="HW87" s="220"/>
      <c r="HX87" s="220"/>
      <c r="HY87" s="220"/>
      <c r="HZ87" s="220"/>
      <c r="IA87" s="220"/>
      <c r="IB87" s="220"/>
      <c r="IC87" s="220"/>
      <c r="ID87" s="220"/>
      <c r="IE87" s="220"/>
      <c r="IF87" s="220"/>
      <c r="IG87" s="220"/>
      <c r="IH87" s="220"/>
      <c r="II87" s="220"/>
      <c r="IJ87" s="220"/>
      <c r="IK87" s="220"/>
      <c r="IL87" s="220"/>
      <c r="IM87" s="220"/>
      <c r="IN87" s="220"/>
      <c r="IO87" s="220"/>
      <c r="IP87" s="220"/>
      <c r="JX87" s="850"/>
      <c r="JY87" s="321" t="s">
        <v>1149</v>
      </c>
      <c r="JZ87" s="926">
        <f>$KI$64</f>
        <v>1068.1926267519793</v>
      </c>
      <c r="KA87" s="926"/>
      <c r="KB87" s="321" t="s">
        <v>1168</v>
      </c>
      <c r="KC87" s="766">
        <f>$KI$30</f>
        <v>117.7077811864708</v>
      </c>
      <c r="KD87" s="766"/>
      <c r="KE87" s="791" t="s">
        <v>66</v>
      </c>
      <c r="KF87" s="792"/>
      <c r="KG87" s="792"/>
      <c r="KH87" s="792"/>
      <c r="KI87" s="792"/>
      <c r="KJ87" s="792"/>
      <c r="KK87" s="793"/>
      <c r="KL87" s="885">
        <f>JZ87+JZ88+KC86+KC87+KC88</f>
        <v>1357.5592856044307</v>
      </c>
      <c r="KM87" s="886"/>
      <c r="KN87" s="931" t="s">
        <v>32</v>
      </c>
      <c r="KO87" s="932"/>
      <c r="KP87" s="1066"/>
      <c r="KQ87" s="843" t="s">
        <v>1170</v>
      </c>
      <c r="KR87" s="844"/>
      <c r="KS87" s="847"/>
      <c r="KT87" s="826"/>
      <c r="KU87" s="945"/>
      <c r="KV87" s="945"/>
      <c r="KW87" s="945"/>
      <c r="KX87" s="945"/>
      <c r="KY87" s="945"/>
      <c r="KZ87" s="945"/>
      <c r="LA87" s="946"/>
      <c r="MB87" s="851"/>
      <c r="MC87" s="333" t="s">
        <v>1068</v>
      </c>
      <c r="MD87" s="879">
        <f>$CL$71</f>
        <v>68</v>
      </c>
      <c r="ME87" s="879"/>
      <c r="MF87" s="350" t="s">
        <v>1240</v>
      </c>
      <c r="MG87" s="1068">
        <f>$MP$59</f>
        <v>7.2450292500398427E-5</v>
      </c>
      <c r="MH87" s="1068"/>
      <c r="MI87" s="794"/>
      <c r="MJ87" s="795"/>
      <c r="MK87" s="795"/>
      <c r="ML87" s="795"/>
      <c r="MM87" s="795"/>
      <c r="MN87" s="795"/>
      <c r="MO87" s="796"/>
      <c r="MP87" s="1384"/>
      <c r="MQ87" s="1385"/>
      <c r="MR87" s="1190"/>
      <c r="MS87" s="1191"/>
      <c r="MT87" s="1067"/>
      <c r="MU87" s="845"/>
      <c r="MV87" s="846"/>
      <c r="MW87" s="848"/>
      <c r="MX87" s="1053"/>
      <c r="MY87" s="1053"/>
      <c r="MZ87" s="1053"/>
      <c r="NA87" s="1053"/>
      <c r="NB87" s="1053"/>
      <c r="NC87" s="1053"/>
      <c r="OH87" s="903"/>
      <c r="OI87" s="904"/>
      <c r="OJ87" s="905"/>
      <c r="QT87" s="130"/>
      <c r="RE87" s="653"/>
      <c r="RF87" s="653"/>
      <c r="RG87" s="653"/>
      <c r="RH87" s="653"/>
      <c r="RI87" s="653"/>
      <c r="RJ87" s="653"/>
      <c r="RK87" s="653"/>
      <c r="RL87" s="653"/>
      <c r="RM87" s="653"/>
      <c r="RN87" s="653"/>
      <c r="RO87" s="653"/>
      <c r="RP87" s="653"/>
      <c r="RQ87" s="653"/>
      <c r="RR87" s="653"/>
      <c r="RS87" s="653"/>
      <c r="RT87" s="653"/>
      <c r="RU87" s="653"/>
      <c r="RV87" s="653"/>
      <c r="RW87" s="653"/>
      <c r="RX87" s="653"/>
      <c r="RY87" s="653"/>
      <c r="RZ87" s="653"/>
      <c r="SA87" s="653"/>
      <c r="SB87" s="653"/>
      <c r="SC87" s="653"/>
      <c r="SD87" s="653"/>
      <c r="SE87" s="653"/>
      <c r="SF87" s="653"/>
      <c r="SG87" s="653"/>
      <c r="SH87" s="653"/>
      <c r="SI87" s="653"/>
      <c r="SJ87" s="653"/>
      <c r="SK87" s="653"/>
      <c r="SL87" s="653"/>
      <c r="SM87" s="653"/>
      <c r="SN87" s="653"/>
      <c r="SO87" s="653"/>
      <c r="SP87" s="653"/>
      <c r="SQ87" s="653"/>
      <c r="SR87" s="653"/>
      <c r="SS87" s="653"/>
      <c r="ST87" s="653"/>
      <c r="SU87" s="653"/>
      <c r="SV87" s="653"/>
      <c r="SW87" s="653"/>
      <c r="SX87" s="653"/>
      <c r="SY87" s="653"/>
      <c r="SZ87" s="653"/>
      <c r="TA87" s="653"/>
      <c r="TB87" s="653"/>
      <c r="TC87" s="653"/>
      <c r="TD87" s="653"/>
      <c r="TE87" s="653"/>
      <c r="TF87" s="653"/>
      <c r="TG87" s="653"/>
      <c r="TH87" s="653"/>
      <c r="TI87" s="653"/>
      <c r="TJ87" s="653"/>
      <c r="TK87" s="653"/>
      <c r="TL87" s="653"/>
      <c r="TM87" s="653"/>
      <c r="TN87" s="653"/>
      <c r="TO87" s="653"/>
      <c r="TP87" s="653"/>
      <c r="TQ87" s="653"/>
      <c r="TR87" s="653"/>
      <c r="TS87" s="653"/>
      <c r="TT87" s="653"/>
      <c r="TU87" s="653"/>
      <c r="TV87" s="653"/>
      <c r="TW87" s="653"/>
      <c r="TX87" s="653"/>
      <c r="TY87" s="653"/>
      <c r="TZ87" s="653"/>
      <c r="UA87" s="653"/>
      <c r="UB87" s="653"/>
      <c r="UC87" s="653"/>
      <c r="UD87" s="653"/>
      <c r="UE87" s="653"/>
      <c r="UF87" s="653"/>
      <c r="UG87" s="653"/>
      <c r="UH87" s="653"/>
      <c r="UI87" s="653"/>
      <c r="UJ87" s="653"/>
      <c r="UK87" s="653"/>
      <c r="UL87" s="653"/>
      <c r="UM87" s="653"/>
      <c r="UN87" s="653"/>
      <c r="UO87" s="653"/>
      <c r="UP87" s="653"/>
      <c r="UQ87" s="653"/>
      <c r="UR87" s="653"/>
      <c r="US87" s="653"/>
      <c r="UT87" s="653"/>
      <c r="UU87" s="653"/>
      <c r="UV87" s="653"/>
      <c r="UW87" s="653"/>
      <c r="UX87" s="653"/>
      <c r="UY87" s="653"/>
      <c r="UZ87" s="653"/>
      <c r="WE87" s="996"/>
      <c r="WF87" s="997"/>
      <c r="WG87" s="175"/>
      <c r="WH87" s="173"/>
      <c r="WI87" s="173"/>
      <c r="WJ87" s="173"/>
      <c r="WK87" s="173"/>
      <c r="WL87" s="173"/>
      <c r="WM87" s="173"/>
      <c r="WN87" s="173"/>
      <c r="WO87" s="173"/>
      <c r="WP87" s="173"/>
      <c r="WQ87" s="173"/>
      <c r="WR87" s="173"/>
      <c r="WS87" s="173"/>
      <c r="WT87" s="173"/>
      <c r="WU87" s="173"/>
      <c r="WV87" s="173"/>
      <c r="WW87" s="173"/>
      <c r="WX87" s="173"/>
      <c r="WY87" s="174"/>
      <c r="WZ87" s="1085"/>
      <c r="XA87" s="1085"/>
      <c r="XB87" s="173"/>
      <c r="XC87" s="173"/>
      <c r="XD87" s="173"/>
      <c r="XE87" s="173"/>
      <c r="XF87" s="173"/>
      <c r="XG87" s="693" t="str">
        <f t="shared" ref="XG87:YL87" si="96">IF($AEO$13&lt;1,"Ошибка",
IF(OR(AND($AEO$13&gt;XG80,XG80&gt;$AEE$62),XG80 = $AEO$13),$AEM$13,
IF(OR(AND($AEO$14&gt;XG80,XG80&gt;$AEO$13),XG80 = $AEO$14),$AEM$14,
IF(OR(AND($AEO$15&gt;XG80,XG80&gt;$AEO$14),XG80 = $AEO$15),$AEM$15,
IF(OR(AND($AEO$16&gt;XG80,XG80&gt;$AEO$15),XG80 = $AEO$16),$AEM$16,
IF(OR(AND($AEO$17&gt;XG80,XG80&gt;$AEO$16),XG80 = $AEO$17),$AEM$17,
IF(OR(AND($AEO$18&gt;XG80,XG80&gt;$AEO$17),XG80 = $AEO$18),$AEM$18,
IF(OR(AND($AEO$19&gt;XG80,XG80&gt;$AEO$18),XG80 = $AEO$19),$AEM$19,
IF(OR(AND($AEO$20&gt;XG80,XG80&gt;$AEO$19),XG80 = $AEO$20),$AEM$20,
IF(OR(AND($AEO$21&gt;XG80,XG80&gt;$AEO$20),XG80 = $AEO$21),$AEM$21,
IF(OR(AND($AEO$22&gt;XG80,XG80&gt;$AEO$21),XG80 = $AEO$22),$AEM$22,
IF(OR(AND($AEO$23&gt;XG80,XG80&gt;$AEO$22),XG80 = $AEO$23),$AEM$23,
IF(OR(AND($AEO$24&gt;XG80,XG80&gt;$AEO$23),XG80 = $AEO$24),$AEM$24,
IF(OR(AND($AEO$25&gt;XG80,XG80&gt;$AEO$24),XG80 = $AEO$25),$AEM$25,
IF(OR(AND($AEO$26&gt;XG80,XG80&gt;$AEO$25),XG80 = $AEO$26),$AEM$26,
IF(OR(AND($AEO$27&gt;XG80,XG80&gt;$AEO$26),XG80 = $AEO$27),$AEM$27,
IF(OR(AND($AEO$28&gt;XG80,XG80&gt;$AEO$27),XG80 = $AEO$28),$AEM$28,
IF(OR(AND($AEO$29&gt;XG80,XG80&gt;$AEO$28),XG80 = $AEO$29),$AEM$29,
IF(OR(AND($AEO$30&gt;XG80,XG80&gt;$AEO$29),XG80 = $AEO$30),$AEM$30,
IF(OR(AND($AEO$31&gt;XG80,XG80&gt;$AEO$30),XG80 = $AEO$31),$AEM$31,
IF(OR(AND($AEO$32&gt;XG80,XG80&gt;$AEO$31),XG80 = $AEO$32),$AEM$32,
IF(OR(AND($AEO$33&gt;XG80,XG80&gt;$AEO$32),XG80 = $AEO$33),$AEM$33,
IF(OR(AND($AEO$34&gt;XG80,XG80&gt;$AEO$33),XG80 = $AEO$34),$AEM$34,
IF(OR(AND($AEO$35&gt;XG80,XG80&gt;$AEO$34),XG80 = $AEO$35),$AEM$35,
IF(OR(AND($AEO$36&gt;XG80,XG80&gt;$AEO$35),XG80 = $AEO$36),$AEM$36,
IF(OR(AND($AEO$37&gt;XG80,XG80&gt;$AEO$36),XG80 = $AEO$37),$AEM$37,
IF(OR(AND($AEO$38&gt;XG80,XG80&gt;$AEO$37),XG80 = $AEO$38),$AEM$38,
IF(OR(AND($AEO$39&gt;XG80,XG80&gt;$AEO$38),XG80 = $AEO$39),$AEM$39,
IF(OR(AND($AEO$40&gt;XG80,XG80&gt;$AEO$39),XG80 = $AEO$40),$AEM$40,
IF(OR(AND($AEO$41&gt;XG80,XG80&gt;$AEO$40),XG80 = $AEO$41),$AEM$41,
IF(OR(AND($AEO$42&gt;XG80,XG80&gt;$AEO$41),XG80 = $AEO$42),$AEM$42,
IF(OR(AND($AEO$43&gt;XG80,XG80&gt;$AEO$42),XG80 = $AEO$43),$AEM$43,
IF(OR(AND($AEO$44&gt;XG80,XG80&gt;$AEO$43),XG80 = $AEO$44),$AEM$44,
IF(OR(AND($AEO$45&gt;XG80,XG80&gt;$AEO$44),XG80 = $AEO$45),$AEM$45,
IF(OR(AND($AEO$46&gt;XG80,XG80&gt;$AEO$45),XG80 = $AEO$46),$AEM$46,
IF(OR(AND($AEO$47&gt;XG80,XG80&gt;$AEO$46),XG80 = $AEO$47),$AEM$47,
IF(OR(AND($AEO$48&gt;XG80,XG80&gt;$AEO$47),XG80 = $AEO$48),$AEM$48,
IF(OR(AND($AEO$49&gt;XG80,XG80&gt;$AEO$48),XG80 = $AEO$49),$AEM$49,
IF(OR(AND($AEO$50&gt;XG80,XG80&gt;$AEO$49),XG80 = $AEO$50),$AEM$50,
IF(OR(AND($AEO$51&gt;XG80,XG80&gt;$AEO$50),XG80 = $AEO$51),$AEM$51,
IF(OR(AND($AEO$52&gt;XG80,XG80&gt;$AEO$51),XG80 = $AEO$52),$AEM$52,
IF(OR(AND($AEO$53&gt;XG80,XG80&gt;$AEO$52),XG80 = $AEO$53),$AEM$53,
IF(OR(AND($AEO$54&gt;XG80,XG80&gt;$AEO$53),XG80 = $AEO$54),$AEM$54,
IF(OR(AND($AEO$55&gt;XG80,XG80&gt;$AEO$54),XG80 = $AEO$55),$AEM$55,
IF(OR(AND($AEO$56&gt;XG80,XG80&gt;$AEO$55),XG80 = $AEO$56),$AEM$56,
IF(OR(AND($AEO$57&gt;XG80,XG80&gt;$AEO$56),XG80 = $AEO$57),$AEM$57,
IF(OR(AND($AEO$58&gt;XG80,XG80&gt;$AEO$57),XG80 = $AEO$58),$AEM$58,
IF(OR(AND($AEO$59&gt;XG80,XG80&gt;$AEO$58),XG80 = $AEO$59),$AEM$59,
IF(OR(AND($AEO$60&gt;XG80,XG80&gt;$AEO$59),XG80 = $AEO$60),$AEM$60,
IF(OR(AND($AEO$61&gt;XG80,XG80&gt;$AEO$60),XG80 = $AEO$61),$AEM$61,
IF(OR(AND($AEO$62&gt;XG80,XG80&gt;$AEO$61),XG80 = $AEO$62),$AEM$62,
"Y")))))))))))))))))))))))))))))))))))))))))))))))))))</f>
        <v>Y</v>
      </c>
      <c r="XH87" s="693" t="str">
        <f t="shared" si="96"/>
        <v>Y</v>
      </c>
      <c r="XI87" s="693" t="str">
        <f t="shared" si="96"/>
        <v>Y</v>
      </c>
      <c r="XJ87" s="693" t="str">
        <f t="shared" si="96"/>
        <v>Y</v>
      </c>
      <c r="XK87" s="693" t="str">
        <f t="shared" si="96"/>
        <v>Y</v>
      </c>
      <c r="XL87" s="693" t="str">
        <f t="shared" si="96"/>
        <v>Y</v>
      </c>
      <c r="XM87" s="693" t="str">
        <f t="shared" si="96"/>
        <v>Y</v>
      </c>
      <c r="XN87" s="693" t="str">
        <f t="shared" si="96"/>
        <v>Y</v>
      </c>
      <c r="XO87" s="693" t="str">
        <f t="shared" si="96"/>
        <v>Y</v>
      </c>
      <c r="XP87" s="693" t="str">
        <f t="shared" si="96"/>
        <v>Y</v>
      </c>
      <c r="XQ87" s="693" t="str">
        <f t="shared" si="96"/>
        <v>Y</v>
      </c>
      <c r="XR87" s="693" t="str">
        <f t="shared" si="96"/>
        <v>Y</v>
      </c>
      <c r="XS87" s="693" t="str">
        <f t="shared" si="96"/>
        <v>Y</v>
      </c>
      <c r="XT87" s="693" t="str">
        <f t="shared" si="96"/>
        <v>Y</v>
      </c>
      <c r="XU87" s="693" t="str">
        <f t="shared" si="96"/>
        <v>Y</v>
      </c>
      <c r="XV87" s="693" t="str">
        <f t="shared" si="96"/>
        <v>Y</v>
      </c>
      <c r="XW87" s="693" t="str">
        <f t="shared" si="96"/>
        <v>Y</v>
      </c>
      <c r="XX87" s="693" t="str">
        <f t="shared" si="96"/>
        <v>Y</v>
      </c>
      <c r="XY87" s="693" t="str">
        <f t="shared" si="96"/>
        <v>Y</v>
      </c>
      <c r="XZ87" s="693" t="str">
        <f t="shared" si="96"/>
        <v>Y</v>
      </c>
      <c r="YA87" s="693" t="str">
        <f t="shared" si="96"/>
        <v>Y</v>
      </c>
      <c r="YB87" s="693" t="str">
        <f t="shared" si="96"/>
        <v>Y</v>
      </c>
      <c r="YC87" s="693" t="str">
        <f t="shared" si="96"/>
        <v>Y</v>
      </c>
      <c r="YD87" s="693" t="str">
        <f t="shared" si="96"/>
        <v>Y</v>
      </c>
      <c r="YE87" s="693" t="str">
        <f t="shared" si="96"/>
        <v>Y</v>
      </c>
      <c r="YF87" s="693" t="str">
        <f t="shared" si="96"/>
        <v>Y</v>
      </c>
      <c r="YG87" s="693" t="str">
        <f t="shared" si="96"/>
        <v>Y</v>
      </c>
      <c r="YH87" s="693" t="str">
        <f t="shared" si="96"/>
        <v>Y</v>
      </c>
      <c r="YI87" s="693" t="str">
        <f t="shared" si="96"/>
        <v>Y</v>
      </c>
      <c r="YJ87" s="693" t="str">
        <f t="shared" si="96"/>
        <v>Y</v>
      </c>
      <c r="YK87" s="693" t="str">
        <f t="shared" si="96"/>
        <v>Y</v>
      </c>
      <c r="YL87" s="693" t="str">
        <f t="shared" si="96"/>
        <v>Y</v>
      </c>
      <c r="YM87" s="693" t="str">
        <f t="shared" ref="YM87:ZR87" si="97">IF($AEO$13&lt;1,"Ошибка",
IF(OR(AND($AEO$13&gt;YM80,YM80&gt;$AEE$62),YM80 = $AEO$13),$AEM$13,
IF(OR(AND($AEO$14&gt;YM80,YM80&gt;$AEO$13),YM80 = $AEO$14),$AEM$14,
IF(OR(AND($AEO$15&gt;YM80,YM80&gt;$AEO$14),YM80 = $AEO$15),$AEM$15,
IF(OR(AND($AEO$16&gt;YM80,YM80&gt;$AEO$15),YM80 = $AEO$16),$AEM$16,
IF(OR(AND($AEO$17&gt;YM80,YM80&gt;$AEO$16),YM80 = $AEO$17),$AEM$17,
IF(OR(AND($AEO$18&gt;YM80,YM80&gt;$AEO$17),YM80 = $AEO$18),$AEM$18,
IF(OR(AND($AEO$19&gt;YM80,YM80&gt;$AEO$18),YM80 = $AEO$19),$AEM$19,
IF(OR(AND($AEO$20&gt;YM80,YM80&gt;$AEO$19),YM80 = $AEO$20),$AEM$20,
IF(OR(AND($AEO$21&gt;YM80,YM80&gt;$AEO$20),YM80 = $AEO$21),$AEM$21,
IF(OR(AND($AEO$22&gt;YM80,YM80&gt;$AEO$21),YM80 = $AEO$22),$AEM$22,
IF(OR(AND($AEO$23&gt;YM80,YM80&gt;$AEO$22),YM80 = $AEO$23),$AEM$23,
IF(OR(AND($AEO$24&gt;YM80,YM80&gt;$AEO$23),YM80 = $AEO$24),$AEM$24,
IF(OR(AND($AEO$25&gt;YM80,YM80&gt;$AEO$24),YM80 = $AEO$25),$AEM$25,
IF(OR(AND($AEO$26&gt;YM80,YM80&gt;$AEO$25),YM80 = $AEO$26),$AEM$26,
IF(OR(AND($AEO$27&gt;YM80,YM80&gt;$AEO$26),YM80 = $AEO$27),$AEM$27,
IF(OR(AND($AEO$28&gt;YM80,YM80&gt;$AEO$27),YM80 = $AEO$28),$AEM$28,
IF(OR(AND($AEO$29&gt;YM80,YM80&gt;$AEO$28),YM80 = $AEO$29),$AEM$29,
IF(OR(AND($AEO$30&gt;YM80,YM80&gt;$AEO$29),YM80 = $AEO$30),$AEM$30,
IF(OR(AND($AEO$31&gt;YM80,YM80&gt;$AEO$30),YM80 = $AEO$31),$AEM$31,
IF(OR(AND($AEO$32&gt;YM80,YM80&gt;$AEO$31),YM80 = $AEO$32),$AEM$32,
IF(OR(AND($AEO$33&gt;YM80,YM80&gt;$AEO$32),YM80 = $AEO$33),$AEM$33,
IF(OR(AND($AEO$34&gt;YM80,YM80&gt;$AEO$33),YM80 = $AEO$34),$AEM$34,
IF(OR(AND($AEO$35&gt;YM80,YM80&gt;$AEO$34),YM80 = $AEO$35),$AEM$35,
IF(OR(AND($AEO$36&gt;YM80,YM80&gt;$AEO$35),YM80 = $AEO$36),$AEM$36,
IF(OR(AND($AEO$37&gt;YM80,YM80&gt;$AEO$36),YM80 = $AEO$37),$AEM$37,
IF(OR(AND($AEO$38&gt;YM80,YM80&gt;$AEO$37),YM80 = $AEO$38),$AEM$38,
IF(OR(AND($AEO$39&gt;YM80,YM80&gt;$AEO$38),YM80 = $AEO$39),$AEM$39,
IF(OR(AND($AEO$40&gt;YM80,YM80&gt;$AEO$39),YM80 = $AEO$40),$AEM$40,
IF(OR(AND($AEO$41&gt;YM80,YM80&gt;$AEO$40),YM80 = $AEO$41),$AEM$41,
IF(OR(AND($AEO$42&gt;YM80,YM80&gt;$AEO$41),YM80 = $AEO$42),$AEM$42,
IF(OR(AND($AEO$43&gt;YM80,YM80&gt;$AEO$42),YM80 = $AEO$43),$AEM$43,
IF(OR(AND($AEO$44&gt;YM80,YM80&gt;$AEO$43),YM80 = $AEO$44),$AEM$44,
IF(OR(AND($AEO$45&gt;YM80,YM80&gt;$AEO$44),YM80 = $AEO$45),$AEM$45,
IF(OR(AND($AEO$46&gt;YM80,YM80&gt;$AEO$45),YM80 = $AEO$46),$AEM$46,
IF(OR(AND($AEO$47&gt;YM80,YM80&gt;$AEO$46),YM80 = $AEO$47),$AEM$47,
IF(OR(AND($AEO$48&gt;YM80,YM80&gt;$AEO$47),YM80 = $AEO$48),$AEM$48,
IF(OR(AND($AEO$49&gt;YM80,YM80&gt;$AEO$48),YM80 = $AEO$49),$AEM$49,
IF(OR(AND($AEO$50&gt;YM80,YM80&gt;$AEO$49),YM80 = $AEO$50),$AEM$50,
IF(OR(AND($AEO$51&gt;YM80,YM80&gt;$AEO$50),YM80 = $AEO$51),$AEM$51,
IF(OR(AND($AEO$52&gt;YM80,YM80&gt;$AEO$51),YM80 = $AEO$52),$AEM$52,
IF(OR(AND($AEO$53&gt;YM80,YM80&gt;$AEO$52),YM80 = $AEO$53),$AEM$53,
IF(OR(AND($AEO$54&gt;YM80,YM80&gt;$AEO$53),YM80 = $AEO$54),$AEM$54,
IF(OR(AND($AEO$55&gt;YM80,YM80&gt;$AEO$54),YM80 = $AEO$55),$AEM$55,
IF(OR(AND($AEO$56&gt;YM80,YM80&gt;$AEO$55),YM80 = $AEO$56),$AEM$56,
IF(OR(AND($AEO$57&gt;YM80,YM80&gt;$AEO$56),YM80 = $AEO$57),$AEM$57,
IF(OR(AND($AEO$58&gt;YM80,YM80&gt;$AEO$57),YM80 = $AEO$58),$AEM$58,
IF(OR(AND($AEO$59&gt;YM80,YM80&gt;$AEO$58),YM80 = $AEO$59),$AEM$59,
IF(OR(AND($AEO$60&gt;YM80,YM80&gt;$AEO$59),YM80 = $AEO$60),$AEM$60,
IF(OR(AND($AEO$61&gt;YM80,YM80&gt;$AEO$60),YM80 = $AEO$61),$AEM$61,
IF(OR(AND($AEO$62&gt;YM80,YM80&gt;$AEO$61),YM80 = $AEO$62),$AEM$62,
"Y")))))))))))))))))))))))))))))))))))))))))))))))))))</f>
        <v>Y</v>
      </c>
      <c r="YN87" s="693" t="str">
        <f t="shared" si="97"/>
        <v>Y</v>
      </c>
      <c r="YO87" s="693" t="str">
        <f t="shared" si="97"/>
        <v>Y</v>
      </c>
      <c r="YP87" s="693" t="str">
        <f t="shared" si="97"/>
        <v>Y</v>
      </c>
      <c r="YQ87" s="693" t="str">
        <f t="shared" si="97"/>
        <v>Y</v>
      </c>
      <c r="YR87" s="693" t="str">
        <f t="shared" si="97"/>
        <v>Y</v>
      </c>
      <c r="YS87" s="693" t="str">
        <f t="shared" si="97"/>
        <v>Y</v>
      </c>
      <c r="YT87" s="693" t="str">
        <f t="shared" si="97"/>
        <v>Y</v>
      </c>
      <c r="YU87" s="693" t="str">
        <f t="shared" si="97"/>
        <v>Y</v>
      </c>
      <c r="YV87" s="693" t="str">
        <f t="shared" si="97"/>
        <v>Y</v>
      </c>
      <c r="YW87" s="693" t="str">
        <f t="shared" si="97"/>
        <v>Y</v>
      </c>
      <c r="YX87" s="693" t="str">
        <f t="shared" si="97"/>
        <v>Y</v>
      </c>
      <c r="YY87" s="693" t="str">
        <f t="shared" si="97"/>
        <v>Y</v>
      </c>
      <c r="YZ87" s="693" t="str">
        <f t="shared" si="97"/>
        <v>Y</v>
      </c>
      <c r="ZA87" s="693" t="str">
        <f t="shared" si="97"/>
        <v>Y</v>
      </c>
      <c r="ZB87" s="693" t="str">
        <f t="shared" si="97"/>
        <v>Y</v>
      </c>
      <c r="ZC87" s="693" t="str">
        <f t="shared" si="97"/>
        <v>Y</v>
      </c>
      <c r="ZD87" s="693" t="str">
        <f t="shared" si="97"/>
        <v>Y</v>
      </c>
      <c r="ZE87" s="693" t="str">
        <f t="shared" si="97"/>
        <v>Y</v>
      </c>
      <c r="ZF87" s="693" t="str">
        <f t="shared" si="97"/>
        <v>Y</v>
      </c>
      <c r="ZG87" s="693" t="str">
        <f t="shared" si="97"/>
        <v>Y</v>
      </c>
      <c r="ZH87" s="693" t="str">
        <f t="shared" si="97"/>
        <v>Y</v>
      </c>
      <c r="ZI87" s="693" t="str">
        <f t="shared" si="97"/>
        <v>Y</v>
      </c>
      <c r="ZJ87" s="693" t="str">
        <f t="shared" si="97"/>
        <v>Y</v>
      </c>
      <c r="ZK87" s="693" t="str">
        <f t="shared" si="97"/>
        <v>Y</v>
      </c>
      <c r="ZL87" s="693" t="str">
        <f t="shared" si="97"/>
        <v>Y</v>
      </c>
      <c r="ZM87" s="693" t="str">
        <f t="shared" si="97"/>
        <v>Y</v>
      </c>
      <c r="ZN87" s="693" t="str">
        <f t="shared" si="97"/>
        <v>Y</v>
      </c>
      <c r="ZO87" s="693" t="str">
        <f t="shared" si="97"/>
        <v>Y</v>
      </c>
      <c r="ZP87" s="693" t="str">
        <f t="shared" si="97"/>
        <v>Y</v>
      </c>
      <c r="ZQ87" s="693" t="str">
        <f t="shared" si="97"/>
        <v>Y</v>
      </c>
      <c r="ZR87" s="693" t="str">
        <f t="shared" si="97"/>
        <v>Y</v>
      </c>
      <c r="ZS87" s="693" t="str">
        <f t="shared" ref="ZS87:AAS87" si="98">IF($AEO$13&lt;1,"Ошибка",
IF(OR(AND($AEO$13&gt;ZS80,ZS80&gt;$AEE$62),ZS80 = $AEO$13),$AEM$13,
IF(OR(AND($AEO$14&gt;ZS80,ZS80&gt;$AEO$13),ZS80 = $AEO$14),$AEM$14,
IF(OR(AND($AEO$15&gt;ZS80,ZS80&gt;$AEO$14),ZS80 = $AEO$15),$AEM$15,
IF(OR(AND($AEO$16&gt;ZS80,ZS80&gt;$AEO$15),ZS80 = $AEO$16),$AEM$16,
IF(OR(AND($AEO$17&gt;ZS80,ZS80&gt;$AEO$16),ZS80 = $AEO$17),$AEM$17,
IF(OR(AND($AEO$18&gt;ZS80,ZS80&gt;$AEO$17),ZS80 = $AEO$18),$AEM$18,
IF(OR(AND($AEO$19&gt;ZS80,ZS80&gt;$AEO$18),ZS80 = $AEO$19),$AEM$19,
IF(OR(AND($AEO$20&gt;ZS80,ZS80&gt;$AEO$19),ZS80 = $AEO$20),$AEM$20,
IF(OR(AND($AEO$21&gt;ZS80,ZS80&gt;$AEO$20),ZS80 = $AEO$21),$AEM$21,
IF(OR(AND($AEO$22&gt;ZS80,ZS80&gt;$AEO$21),ZS80 = $AEO$22),$AEM$22,
IF(OR(AND($AEO$23&gt;ZS80,ZS80&gt;$AEO$22),ZS80 = $AEO$23),$AEM$23,
IF(OR(AND($AEO$24&gt;ZS80,ZS80&gt;$AEO$23),ZS80 = $AEO$24),$AEM$24,
IF(OR(AND($AEO$25&gt;ZS80,ZS80&gt;$AEO$24),ZS80 = $AEO$25),$AEM$25,
IF(OR(AND($AEO$26&gt;ZS80,ZS80&gt;$AEO$25),ZS80 = $AEO$26),$AEM$26,
IF(OR(AND($AEO$27&gt;ZS80,ZS80&gt;$AEO$26),ZS80 = $AEO$27),$AEM$27,
IF(OR(AND($AEO$28&gt;ZS80,ZS80&gt;$AEO$27),ZS80 = $AEO$28),$AEM$28,
IF(OR(AND($AEO$29&gt;ZS80,ZS80&gt;$AEO$28),ZS80 = $AEO$29),$AEM$29,
IF(OR(AND($AEO$30&gt;ZS80,ZS80&gt;$AEO$29),ZS80 = $AEO$30),$AEM$30,
IF(OR(AND($AEO$31&gt;ZS80,ZS80&gt;$AEO$30),ZS80 = $AEO$31),$AEM$31,
IF(OR(AND($AEO$32&gt;ZS80,ZS80&gt;$AEO$31),ZS80 = $AEO$32),$AEM$32,
IF(OR(AND($AEO$33&gt;ZS80,ZS80&gt;$AEO$32),ZS80 = $AEO$33),$AEM$33,
IF(OR(AND($AEO$34&gt;ZS80,ZS80&gt;$AEO$33),ZS80 = $AEO$34),$AEM$34,
IF(OR(AND($AEO$35&gt;ZS80,ZS80&gt;$AEO$34),ZS80 = $AEO$35),$AEM$35,
IF(OR(AND($AEO$36&gt;ZS80,ZS80&gt;$AEO$35),ZS80 = $AEO$36),$AEM$36,
IF(OR(AND($AEO$37&gt;ZS80,ZS80&gt;$AEO$36),ZS80 = $AEO$37),$AEM$37,
IF(OR(AND($AEO$38&gt;ZS80,ZS80&gt;$AEO$37),ZS80 = $AEO$38),$AEM$38,
IF(OR(AND($AEO$39&gt;ZS80,ZS80&gt;$AEO$38),ZS80 = $AEO$39),$AEM$39,
IF(OR(AND($AEO$40&gt;ZS80,ZS80&gt;$AEO$39),ZS80 = $AEO$40),$AEM$40,
IF(OR(AND($AEO$41&gt;ZS80,ZS80&gt;$AEO$40),ZS80 = $AEO$41),$AEM$41,
IF(OR(AND($AEO$42&gt;ZS80,ZS80&gt;$AEO$41),ZS80 = $AEO$42),$AEM$42,
IF(OR(AND($AEO$43&gt;ZS80,ZS80&gt;$AEO$42),ZS80 = $AEO$43),$AEM$43,
IF(OR(AND($AEO$44&gt;ZS80,ZS80&gt;$AEO$43),ZS80 = $AEO$44),$AEM$44,
IF(OR(AND($AEO$45&gt;ZS80,ZS80&gt;$AEO$44),ZS80 = $AEO$45),$AEM$45,
IF(OR(AND($AEO$46&gt;ZS80,ZS80&gt;$AEO$45),ZS80 = $AEO$46),$AEM$46,
IF(OR(AND($AEO$47&gt;ZS80,ZS80&gt;$AEO$46),ZS80 = $AEO$47),$AEM$47,
IF(OR(AND($AEO$48&gt;ZS80,ZS80&gt;$AEO$47),ZS80 = $AEO$48),$AEM$48,
IF(OR(AND($AEO$49&gt;ZS80,ZS80&gt;$AEO$48),ZS80 = $AEO$49),$AEM$49,
IF(OR(AND($AEO$50&gt;ZS80,ZS80&gt;$AEO$49),ZS80 = $AEO$50),$AEM$50,
IF(OR(AND($AEO$51&gt;ZS80,ZS80&gt;$AEO$50),ZS80 = $AEO$51),$AEM$51,
IF(OR(AND($AEO$52&gt;ZS80,ZS80&gt;$AEO$51),ZS80 = $AEO$52),$AEM$52,
IF(OR(AND($AEO$53&gt;ZS80,ZS80&gt;$AEO$52),ZS80 = $AEO$53),$AEM$53,
IF(OR(AND($AEO$54&gt;ZS80,ZS80&gt;$AEO$53),ZS80 = $AEO$54),$AEM$54,
IF(OR(AND($AEO$55&gt;ZS80,ZS80&gt;$AEO$54),ZS80 = $AEO$55),$AEM$55,
IF(OR(AND($AEO$56&gt;ZS80,ZS80&gt;$AEO$55),ZS80 = $AEO$56),$AEM$56,
IF(OR(AND($AEO$57&gt;ZS80,ZS80&gt;$AEO$56),ZS80 = $AEO$57),$AEM$57,
IF(OR(AND($AEO$58&gt;ZS80,ZS80&gt;$AEO$57),ZS80 = $AEO$58),$AEM$58,
IF(OR(AND($AEO$59&gt;ZS80,ZS80&gt;$AEO$58),ZS80 = $AEO$59),$AEM$59,
IF(OR(AND($AEO$60&gt;ZS80,ZS80&gt;$AEO$59),ZS80 = $AEO$60),$AEM$60,
IF(OR(AND($AEO$61&gt;ZS80,ZS80&gt;$AEO$60),ZS80 = $AEO$61),$AEM$61,
IF(OR(AND($AEO$62&gt;ZS80,ZS80&gt;$AEO$61),ZS80 = $AEO$62),$AEM$62,
"Y")))))))))))))))))))))))))))))))))))))))))))))))))))</f>
        <v>Y</v>
      </c>
      <c r="ZT87" s="693" t="str">
        <f t="shared" si="98"/>
        <v>Y</v>
      </c>
      <c r="ZU87" s="693" t="str">
        <f t="shared" si="98"/>
        <v>Y</v>
      </c>
      <c r="ZV87" s="693" t="str">
        <f t="shared" si="98"/>
        <v>Y</v>
      </c>
      <c r="ZW87" s="693" t="str">
        <f t="shared" si="98"/>
        <v>Y</v>
      </c>
      <c r="ZX87" s="693" t="str">
        <f t="shared" si="98"/>
        <v>Y</v>
      </c>
      <c r="ZY87" s="693" t="str">
        <f t="shared" si="98"/>
        <v>Y</v>
      </c>
      <c r="ZZ87" s="693" t="str">
        <f t="shared" si="98"/>
        <v>Y</v>
      </c>
      <c r="AAA87" s="693" t="str">
        <f t="shared" si="98"/>
        <v>Y</v>
      </c>
      <c r="AAB87" s="693" t="str">
        <f t="shared" si="98"/>
        <v>Y</v>
      </c>
      <c r="AAC87" s="693" t="str">
        <f t="shared" si="98"/>
        <v>Y</v>
      </c>
      <c r="AAD87" s="693" t="str">
        <f t="shared" si="98"/>
        <v>Y</v>
      </c>
      <c r="AAE87" s="693" t="str">
        <f t="shared" si="98"/>
        <v>Y</v>
      </c>
      <c r="AAF87" s="693" t="str">
        <f t="shared" si="98"/>
        <v>Y</v>
      </c>
      <c r="AAG87" s="693" t="str">
        <f t="shared" si="98"/>
        <v>Y</v>
      </c>
      <c r="AAH87" s="693" t="str">
        <f t="shared" si="98"/>
        <v>Y</v>
      </c>
      <c r="AAI87" s="693" t="str">
        <f t="shared" si="98"/>
        <v>Y</v>
      </c>
      <c r="AAJ87" s="693" t="str">
        <f t="shared" si="98"/>
        <v>Y</v>
      </c>
      <c r="AAK87" s="693" t="str">
        <f t="shared" si="98"/>
        <v>Y</v>
      </c>
      <c r="AAL87" s="693" t="str">
        <f t="shared" si="98"/>
        <v>Y</v>
      </c>
      <c r="AAM87" s="693" t="str">
        <f t="shared" si="98"/>
        <v>Y</v>
      </c>
      <c r="AAN87" s="693" t="str">
        <f t="shared" si="98"/>
        <v>Y</v>
      </c>
      <c r="AAO87" s="693" t="str">
        <f t="shared" si="98"/>
        <v>Y</v>
      </c>
      <c r="AAP87" s="693" t="str">
        <f t="shared" si="98"/>
        <v>Y</v>
      </c>
      <c r="AAQ87" s="693" t="str">
        <f t="shared" si="98"/>
        <v>Y</v>
      </c>
      <c r="AAR87" s="693" t="str">
        <f t="shared" si="98"/>
        <v>Y</v>
      </c>
      <c r="AAS87" s="693" t="str">
        <f t="shared" si="98"/>
        <v>Y</v>
      </c>
      <c r="AAT87" s="1006"/>
      <c r="AAU87" s="958"/>
      <c r="AAV87" s="1058"/>
      <c r="AAW87" s="1058"/>
      <c r="AAX87" s="959"/>
      <c r="AAY87" s="158"/>
      <c r="AAZ87" s="158"/>
      <c r="ABA87" s="158"/>
      <c r="ABB87" s="158"/>
      <c r="ABC87" s="158"/>
      <c r="ABD87" s="158"/>
      <c r="ABE87" s="158"/>
      <c r="ABF87" s="158"/>
      <c r="ABG87" s="158"/>
      <c r="ABH87" s="158"/>
      <c r="ABI87" s="158"/>
      <c r="ABJ87" s="158"/>
      <c r="ABK87" s="158"/>
      <c r="ABL87" s="158"/>
      <c r="ABM87" s="158"/>
      <c r="ABN87" s="158"/>
      <c r="ABO87" s="158"/>
      <c r="ABP87" s="163"/>
      <c r="ABT87" s="1527"/>
      <c r="ABU87" s="1527"/>
      <c r="ABV87" s="1527"/>
      <c r="ABW87" s="1527"/>
      <c r="ABX87" s="1527"/>
      <c r="ABY87" s="1527"/>
      <c r="ABZ87" s="1527"/>
      <c r="ACA87" s="1527"/>
      <c r="ACB87" s="1527"/>
      <c r="ACC87" s="1527"/>
      <c r="ACD87" s="1527"/>
      <c r="ACE87" s="1527"/>
      <c r="ACF87" s="1527"/>
      <c r="ACG87" s="1527"/>
      <c r="ACH87" s="1527"/>
      <c r="ACJ87" s="759">
        <v>0.25</v>
      </c>
      <c r="ACK87" s="760"/>
      <c r="ACL87" s="759">
        <v>-0.2</v>
      </c>
      <c r="ACM87" s="760"/>
      <c r="ACN87" s="592">
        <v>3</v>
      </c>
      <c r="ACO87" s="759">
        <f t="shared" si="91"/>
        <v>5.7499999999999996E-2</v>
      </c>
      <c r="ACP87" s="760"/>
      <c r="ACQ87" s="757">
        <f t="shared" si="82"/>
        <v>1.03</v>
      </c>
      <c r="ACR87" s="758"/>
      <c r="ACT87" s="759">
        <v>1</v>
      </c>
      <c r="ACU87" s="760"/>
      <c r="ACV87" s="759">
        <v>-1.2</v>
      </c>
      <c r="ACW87" s="760"/>
      <c r="ACX87" s="592">
        <v>53</v>
      </c>
      <c r="ACY87" s="759">
        <f t="shared" si="92"/>
        <v>0.33000000000000007</v>
      </c>
      <c r="ACZ87" s="760"/>
      <c r="ADA87" s="757">
        <f t="shared" si="83"/>
        <v>1.53</v>
      </c>
      <c r="ADB87" s="758"/>
      <c r="ADD87" s="759">
        <v>1.5454545454545501</v>
      </c>
      <c r="ADE87" s="760"/>
      <c r="ADF87" s="759">
        <v>-2.1818181818181799</v>
      </c>
      <c r="ADG87" s="760"/>
      <c r="ADH87" s="591">
        <v>102</v>
      </c>
      <c r="ADI87" s="759">
        <f t="shared" si="93"/>
        <v>0.94000000000001149</v>
      </c>
      <c r="ADJ87" s="760"/>
      <c r="ADK87" s="757">
        <f t="shared" si="84"/>
        <v>2.02</v>
      </c>
      <c r="ADL87" s="758"/>
      <c r="ADN87" s="759">
        <v>1.5454545454545501</v>
      </c>
      <c r="ADO87" s="760"/>
      <c r="ADP87" s="759">
        <v>-2.1818181818181799</v>
      </c>
      <c r="ADQ87" s="760"/>
      <c r="ADR87" s="591">
        <v>152</v>
      </c>
      <c r="ADS87" s="759">
        <f t="shared" si="94"/>
        <v>1.7127272727272862</v>
      </c>
      <c r="ADT87" s="760"/>
      <c r="ADU87" s="757">
        <f t="shared" si="85"/>
        <v>2.52</v>
      </c>
      <c r="ADV87" s="758"/>
      <c r="ADW87" s="653"/>
      <c r="ADX87" s="759">
        <v>1.5454545454545501</v>
      </c>
      <c r="ADY87" s="760"/>
      <c r="ADZ87" s="759">
        <v>-2.1818181818181799</v>
      </c>
      <c r="AEA87" s="760"/>
      <c r="AEB87" s="591">
        <v>202</v>
      </c>
      <c r="AEC87" s="759">
        <f t="shared" si="95"/>
        <v>2.4854545454545613</v>
      </c>
      <c r="AED87" s="760"/>
      <c r="AEE87" s="757">
        <f t="shared" si="86"/>
        <v>3.02</v>
      </c>
      <c r="AEF87" s="758"/>
      <c r="AEH87" s="759">
        <v>1.5454545454545501</v>
      </c>
      <c r="AEI87" s="760"/>
      <c r="AEJ87" s="759">
        <v>-2.1818181818181799</v>
      </c>
      <c r="AEK87" s="760"/>
      <c r="AEL87" s="591">
        <v>252</v>
      </c>
      <c r="AEM87" s="759">
        <f>AEH87*AEO87 + AEJ87</f>
        <v>3.2581818181818365</v>
      </c>
      <c r="AEN87" s="760"/>
      <c r="AEO87" s="757">
        <f t="shared" si="87"/>
        <v>3.52</v>
      </c>
      <c r="AEP87" s="758"/>
      <c r="AGL87" s="1052"/>
      <c r="AGM87" s="683" t="s">
        <v>1461</v>
      </c>
      <c r="AGN87" s="1552">
        <f>$AGZ$78</f>
        <v>1.5116531240164504</v>
      </c>
      <c r="AGO87" s="1552"/>
      <c r="AGP87" s="1552"/>
      <c r="AGQ87" s="824"/>
      <c r="AGR87" s="824"/>
      <c r="AGS87" s="824"/>
      <c r="AGT87" s="824"/>
      <c r="AGU87" s="824"/>
      <c r="AGV87" s="824"/>
      <c r="AGW87" s="824"/>
      <c r="AGX87" s="824"/>
      <c r="AGY87" s="1049"/>
      <c r="AGZ87" s="1350"/>
      <c r="AHA87" s="1351"/>
      <c r="AHB87" s="1352"/>
      <c r="AHC87" s="1343"/>
      <c r="AHD87" s="1344"/>
      <c r="AHE87" s="892"/>
      <c r="AHF87" s="1497"/>
      <c r="AHG87" s="1498"/>
      <c r="AHH87" s="1557"/>
      <c r="AHI87" s="827"/>
      <c r="AHJ87" s="947"/>
      <c r="AHK87" s="947"/>
      <c r="AHL87" s="947"/>
      <c r="AHM87" s="947"/>
      <c r="AHN87" s="947"/>
      <c r="AHO87" s="947"/>
      <c r="AHP87" s="948"/>
      <c r="AHW87" s="130"/>
      <c r="AHX87" s="130"/>
      <c r="ANI87" s="130"/>
      <c r="ANJ87" s="130"/>
      <c r="ANK87" s="130"/>
      <c r="ANL87" s="130"/>
      <c r="AQG87" s="653"/>
      <c r="AQH87" s="653"/>
      <c r="AQI87" s="653"/>
      <c r="AQJ87" s="653"/>
      <c r="AQK87" s="653"/>
      <c r="AQL87" s="653"/>
      <c r="AQM87" s="653"/>
      <c r="AQN87" s="653"/>
      <c r="AQO87" s="653"/>
      <c r="AQP87" s="653"/>
      <c r="AQQ87" s="653"/>
      <c r="AQR87" s="653"/>
      <c r="AQS87" s="653"/>
      <c r="AQT87" s="653"/>
      <c r="AQU87" s="653"/>
      <c r="AQV87" s="653"/>
      <c r="AQW87" s="653"/>
      <c r="AQX87" s="653"/>
      <c r="AQY87" s="653"/>
      <c r="AQZ87" s="653"/>
      <c r="ARA87" s="653"/>
      <c r="ARB87" s="653"/>
      <c r="ARC87" s="653"/>
      <c r="ARD87" s="653"/>
      <c r="ARE87" s="653"/>
      <c r="ARF87" s="653"/>
      <c r="ARG87" s="653"/>
      <c r="ARH87" s="653"/>
      <c r="ARI87" s="653"/>
      <c r="ARJ87" s="653"/>
      <c r="ARK87" s="653"/>
      <c r="ARL87" s="653"/>
      <c r="ARM87" s="653"/>
      <c r="ARN87" s="653"/>
      <c r="ARO87" s="653"/>
    </row>
    <row r="88" spans="4:908 1049:1212" ht="48" customHeight="1" thickBot="1">
      <c r="AI88" s="1300"/>
      <c r="AJ88" s="851"/>
      <c r="AK88" s="811"/>
      <c r="AL88" s="772"/>
      <c r="AM88" s="772"/>
      <c r="AN88" s="772"/>
      <c r="AO88" s="772"/>
      <c r="AP88" s="772"/>
      <c r="AQ88" s="1662"/>
      <c r="AR88" s="1663"/>
      <c r="AS88" s="1077"/>
      <c r="AT88" s="1078"/>
      <c r="AU88" s="1067"/>
      <c r="AV88" s="918"/>
      <c r="AW88" s="919"/>
      <c r="AX88" s="848"/>
      <c r="BQ88" s="130"/>
      <c r="BR88" s="130"/>
      <c r="BS88" s="130"/>
      <c r="BT88" s="130"/>
      <c r="BX88" s="851"/>
      <c r="BY88" s="811"/>
      <c r="BZ88" s="772"/>
      <c r="CA88" s="772"/>
      <c r="CB88" s="772"/>
      <c r="CC88" s="772"/>
      <c r="CD88" s="772"/>
      <c r="CE88" s="772"/>
      <c r="CF88" s="772"/>
      <c r="CG88" s="772"/>
      <c r="CH88" s="772"/>
      <c r="CI88" s="772"/>
      <c r="CJ88" s="772"/>
      <c r="CK88" s="773"/>
      <c r="CL88" s="1642"/>
      <c r="CM88" s="1643"/>
      <c r="CN88" s="1185"/>
      <c r="CO88" s="1186"/>
      <c r="CP88" s="842"/>
      <c r="CQ88" s="1173"/>
      <c r="CR88" s="1175"/>
      <c r="CS88" s="848"/>
      <c r="DS88" s="653"/>
      <c r="DT88" s="653"/>
      <c r="DU88" s="653"/>
      <c r="DV88" s="653"/>
      <c r="DW88" s="653"/>
      <c r="DX88" s="653"/>
      <c r="DY88" s="653"/>
      <c r="DZ88" s="850"/>
      <c r="EA88" s="800" t="s">
        <v>1761</v>
      </c>
      <c r="EB88" s="801"/>
      <c r="EC88" s="883">
        <f>$EN$62</f>
        <v>8.9200941784447281</v>
      </c>
      <c r="ED88" s="884"/>
      <c r="EE88" s="1198" t="s">
        <v>1633</v>
      </c>
      <c r="EF88" s="1198"/>
      <c r="EG88" s="1198"/>
      <c r="EH88" s="1198"/>
      <c r="EI88" s="1198"/>
      <c r="EJ88" s="1198"/>
      <c r="EK88" s="1198"/>
      <c r="EL88" s="1198"/>
      <c r="EM88" s="1199"/>
      <c r="EN88" s="885">
        <f>((EK76+EN80)/2)*EK84-EH87-EE87</f>
        <v>191.46140281004224</v>
      </c>
      <c r="EO88" s="886"/>
      <c r="EP88" s="927" t="s">
        <v>757</v>
      </c>
      <c r="EQ88" s="928"/>
      <c r="ER88" s="841"/>
      <c r="ES88" s="843" t="s">
        <v>960</v>
      </c>
      <c r="ET88" s="844"/>
      <c r="EU88" s="847"/>
      <c r="EV88" s="1052"/>
      <c r="EW88" s="1052"/>
      <c r="EX88" s="1052"/>
      <c r="EY88" s="1052"/>
      <c r="EZ88" s="1052"/>
      <c r="FA88" s="1052"/>
      <c r="FB88" s="1052"/>
      <c r="FC88" s="1052"/>
      <c r="FD88" s="1052"/>
      <c r="FE88" s="1052"/>
      <c r="FJ88" s="126"/>
      <c r="FK88" s="126"/>
      <c r="FL88" s="126"/>
      <c r="FM88" s="126"/>
      <c r="FN88" s="126"/>
      <c r="FO88" s="126"/>
      <c r="FP88" s="126"/>
      <c r="FQ88" s="126"/>
      <c r="FR88" s="126"/>
      <c r="FS88" s="126"/>
      <c r="FT88" s="126"/>
      <c r="FU88" s="126"/>
      <c r="FV88" s="126"/>
      <c r="FW88" s="126"/>
      <c r="FX88" s="126"/>
      <c r="GC88" s="6"/>
      <c r="GD88" s="3"/>
      <c r="GE88" s="3"/>
      <c r="GF88" s="76" t="s">
        <v>793</v>
      </c>
      <c r="GG88" s="852" t="s">
        <v>416</v>
      </c>
      <c r="GH88" s="923"/>
      <c r="GI88" s="239"/>
      <c r="GJ88" s="800" t="s">
        <v>1074</v>
      </c>
      <c r="GK88" s="801"/>
      <c r="GL88" s="926">
        <f>$GT$73</f>
        <v>7.9639464327648497</v>
      </c>
      <c r="GM88" s="926"/>
      <c r="GN88" s="935" t="s">
        <v>1090</v>
      </c>
      <c r="GO88" s="936"/>
      <c r="GP88" s="937">
        <f>$GQ$78</f>
        <v>4.847402946961874</v>
      </c>
      <c r="GQ88" s="937"/>
      <c r="GR88" s="136"/>
      <c r="GS88" s="76" t="s">
        <v>441</v>
      </c>
      <c r="GT88" s="854" t="s">
        <v>435</v>
      </c>
      <c r="GU88" s="855"/>
      <c r="GV88" s="924" t="s">
        <v>111</v>
      </c>
      <c r="GW88" s="925"/>
      <c r="GX88" s="916" t="s">
        <v>704</v>
      </c>
      <c r="GY88" s="917"/>
      <c r="GZ88" s="906" t="s">
        <v>447</v>
      </c>
      <c r="HA88" s="907"/>
      <c r="HB88" s="907"/>
      <c r="HC88" s="907"/>
      <c r="HD88" s="908"/>
      <c r="HE88" s="1051" t="s">
        <v>436</v>
      </c>
      <c r="HF88" s="1051"/>
      <c r="HG88" s="1051"/>
      <c r="HH88" s="1051"/>
      <c r="HI88" s="1051"/>
      <c r="HJ88" s="1051"/>
      <c r="HK88" s="1051"/>
      <c r="HL88" s="1051"/>
      <c r="HM88" s="1051"/>
      <c r="HN88" s="1051"/>
      <c r="HO88" s="1051"/>
      <c r="HP88" s="1051"/>
      <c r="HQ88" s="1051"/>
      <c r="HR88" s="220"/>
      <c r="HS88" s="220"/>
      <c r="HT88" s="220"/>
      <c r="HU88" s="220"/>
      <c r="HV88" s="220"/>
      <c r="HW88" s="220"/>
      <c r="HX88" s="220"/>
      <c r="HY88" s="220"/>
      <c r="HZ88" s="220"/>
      <c r="IA88" s="220"/>
      <c r="IB88" s="220"/>
      <c r="IC88" s="220"/>
      <c r="ID88" s="220"/>
      <c r="IE88" s="220"/>
      <c r="IF88" s="220"/>
      <c r="IG88" s="220"/>
      <c r="IH88" s="220"/>
      <c r="II88" s="220"/>
      <c r="IJ88" s="220"/>
      <c r="IK88" s="220"/>
      <c r="IL88" s="220"/>
      <c r="IM88" s="220"/>
      <c r="IN88" s="220"/>
      <c r="IO88" s="220"/>
      <c r="IP88" s="220"/>
      <c r="IQ88" s="653"/>
      <c r="IR88" s="653"/>
      <c r="IS88" s="653"/>
      <c r="IT88" s="653"/>
      <c r="IU88" s="653"/>
      <c r="IV88" s="653"/>
      <c r="IW88" s="653"/>
      <c r="IX88" s="653"/>
      <c r="IY88" s="653"/>
      <c r="IZ88" s="653"/>
      <c r="JA88" s="653"/>
      <c r="JB88" s="653"/>
      <c r="JC88" s="653"/>
      <c r="JD88" s="653"/>
      <c r="JE88" s="653"/>
      <c r="JF88" s="653"/>
      <c r="JG88" s="653"/>
      <c r="JH88" s="653"/>
      <c r="JI88" s="653"/>
      <c r="JJ88" s="653"/>
      <c r="JK88" s="653"/>
      <c r="JL88" s="653"/>
      <c r="JM88" s="653"/>
      <c r="JN88" s="653"/>
      <c r="JO88" s="653"/>
      <c r="JP88" s="653"/>
      <c r="JQ88" s="653"/>
      <c r="JR88" s="653"/>
      <c r="JS88" s="130"/>
      <c r="JT88" s="130"/>
      <c r="JU88" s="653"/>
      <c r="JV88" s="653"/>
      <c r="JX88" s="851"/>
      <c r="JY88" s="232" t="s">
        <v>1147</v>
      </c>
      <c r="JZ88" s="1537">
        <f>$JF$14</f>
        <v>77.331859497479712</v>
      </c>
      <c r="KA88" s="1537"/>
      <c r="KB88" s="323" t="s">
        <v>1169</v>
      </c>
      <c r="KC88" s="804">
        <f>$IY$61</f>
        <v>3.8896959105862945</v>
      </c>
      <c r="KD88" s="804"/>
      <c r="KE88" s="794"/>
      <c r="KF88" s="795"/>
      <c r="KG88" s="795"/>
      <c r="KH88" s="795"/>
      <c r="KI88" s="795"/>
      <c r="KJ88" s="795"/>
      <c r="KK88" s="796"/>
      <c r="KL88" s="887"/>
      <c r="KM88" s="888"/>
      <c r="KN88" s="933"/>
      <c r="KO88" s="934"/>
      <c r="KP88" s="1067"/>
      <c r="KQ88" s="845"/>
      <c r="KR88" s="846"/>
      <c r="KS88" s="848"/>
      <c r="KT88" s="828"/>
      <c r="KU88" s="949"/>
      <c r="KV88" s="949"/>
      <c r="KW88" s="949"/>
      <c r="KX88" s="949"/>
      <c r="KY88" s="949"/>
      <c r="KZ88" s="949"/>
      <c r="LA88" s="950"/>
      <c r="PL88" s="897" t="s">
        <v>974</v>
      </c>
      <c r="PM88" s="898"/>
      <c r="PN88" s="899"/>
      <c r="PO88" s="849"/>
      <c r="PP88" s="1257" t="s">
        <v>416</v>
      </c>
      <c r="PQ88" s="1257"/>
      <c r="PR88" s="466"/>
      <c r="PS88" s="806" t="s">
        <v>1854</v>
      </c>
      <c r="PT88" s="807"/>
      <c r="PU88" s="808"/>
      <c r="PV88" s="75" t="s">
        <v>451</v>
      </c>
      <c r="PW88" s="466"/>
      <c r="PX88" s="76" t="s">
        <v>441</v>
      </c>
      <c r="PY88" s="854" t="s">
        <v>435</v>
      </c>
      <c r="PZ88" s="1111"/>
      <c r="QA88" s="920" t="s">
        <v>111</v>
      </c>
      <c r="QB88" s="921"/>
      <c r="QC88" s="916" t="s">
        <v>704</v>
      </c>
      <c r="QD88" s="917"/>
      <c r="QE88" s="906" t="s">
        <v>447</v>
      </c>
      <c r="QF88" s="907"/>
      <c r="QG88" s="907"/>
      <c r="QH88" s="908"/>
      <c r="RE88" s="653"/>
      <c r="RF88" s="653"/>
      <c r="RG88" s="653"/>
      <c r="RH88" s="653"/>
      <c r="RI88" s="653"/>
      <c r="RJ88" s="653"/>
      <c r="RK88" s="653"/>
      <c r="RL88" s="653"/>
      <c r="RM88" s="653"/>
      <c r="RN88" s="653"/>
      <c r="RO88" s="653"/>
      <c r="RP88" s="653"/>
      <c r="RQ88" s="653"/>
      <c r="RR88" s="653"/>
      <c r="RS88" s="653"/>
      <c r="RT88" s="653"/>
      <c r="RU88" s="653"/>
      <c r="RV88" s="653"/>
      <c r="RW88" s="653"/>
      <c r="RX88" s="653"/>
      <c r="RY88" s="653"/>
      <c r="RZ88" s="653"/>
      <c r="SA88" s="653"/>
      <c r="SB88" s="653"/>
      <c r="SC88" s="653"/>
      <c r="SD88" s="653"/>
      <c r="SE88" s="653"/>
      <c r="SF88" s="653"/>
      <c r="SG88" s="653"/>
      <c r="SH88" s="653"/>
      <c r="SI88" s="653"/>
      <c r="SJ88" s="653"/>
      <c r="SK88" s="653"/>
      <c r="SL88" s="653"/>
      <c r="SM88" s="653"/>
      <c r="SN88" s="653"/>
      <c r="SO88" s="653"/>
      <c r="SP88" s="653"/>
      <c r="SQ88" s="653"/>
      <c r="SR88" s="653"/>
      <c r="SS88" s="653"/>
      <c r="ST88" s="653"/>
      <c r="SU88" s="653"/>
      <c r="SV88" s="653"/>
      <c r="SW88" s="653"/>
      <c r="SX88" s="653"/>
      <c r="SY88" s="653"/>
      <c r="SZ88" s="653"/>
      <c r="TA88" s="653"/>
      <c r="TB88" s="653"/>
      <c r="TC88" s="653"/>
      <c r="TD88" s="653"/>
      <c r="TE88" s="653"/>
      <c r="TF88" s="653"/>
      <c r="TG88" s="653"/>
      <c r="TH88" s="653"/>
      <c r="TI88" s="653"/>
      <c r="TJ88" s="653"/>
      <c r="TK88" s="653"/>
      <c r="TL88" s="653"/>
      <c r="TM88" s="653"/>
      <c r="TN88" s="653"/>
      <c r="TO88" s="653"/>
      <c r="TP88" s="653"/>
      <c r="TQ88" s="653"/>
      <c r="TR88" s="653"/>
      <c r="TS88" s="653"/>
      <c r="TT88" s="653"/>
      <c r="TU88" s="653"/>
      <c r="TV88" s="653"/>
      <c r="TW88" s="653"/>
      <c r="TX88" s="653"/>
      <c r="TY88" s="653"/>
      <c r="TZ88" s="653"/>
      <c r="UA88" s="653"/>
      <c r="UB88" s="653"/>
      <c r="UC88" s="653"/>
      <c r="UD88" s="653"/>
      <c r="UE88" s="653"/>
      <c r="UF88" s="653"/>
      <c r="UG88" s="653"/>
      <c r="UH88" s="653"/>
      <c r="UI88" s="653"/>
      <c r="UJ88" s="653"/>
      <c r="UK88" s="653"/>
      <c r="UL88" s="653"/>
      <c r="UM88" s="653"/>
      <c r="UN88" s="653"/>
      <c r="UO88" s="653"/>
      <c r="UP88" s="653"/>
      <c r="UQ88" s="653"/>
      <c r="UR88" s="653"/>
      <c r="US88" s="653"/>
      <c r="UT88" s="653"/>
      <c r="UU88" s="653"/>
      <c r="UV88" s="653"/>
      <c r="UW88" s="653"/>
      <c r="UX88" s="653"/>
      <c r="UY88" s="653"/>
      <c r="UZ88" s="653"/>
      <c r="WE88" s="996"/>
      <c r="WF88" s="997"/>
      <c r="WG88" s="175"/>
      <c r="WH88" s="173"/>
      <c r="WI88" s="173"/>
      <c r="WJ88" s="173"/>
      <c r="WK88" s="173"/>
      <c r="WL88" s="173"/>
      <c r="WM88" s="173"/>
      <c r="WN88" s="173"/>
      <c r="WO88" s="173"/>
      <c r="WP88" s="173"/>
      <c r="WQ88" s="173"/>
      <c r="WR88" s="173"/>
      <c r="WS88" s="173"/>
      <c r="WT88" s="173"/>
      <c r="WU88" s="173"/>
      <c r="WV88" s="173"/>
      <c r="WW88" s="173"/>
      <c r="WX88" s="1203" t="s">
        <v>1654</v>
      </c>
      <c r="WY88" s="1204"/>
      <c r="WZ88" s="1135" t="s">
        <v>729</v>
      </c>
      <c r="XA88" s="1135"/>
      <c r="XB88" s="173"/>
      <c r="XC88" s="173"/>
      <c r="XD88" s="173"/>
      <c r="XE88" s="173"/>
      <c r="XF88" s="173"/>
      <c r="XG88" s="1042">
        <f>IF(XG82="Y",
IF(XG83="Y",
IF(XG84="Y",
IF(XG85="Y",
IF(XG86="Y",
IF(XG87="Y",
IF(AND(XG82="Y",XG83="Y",XG84 = "Y",XG85= "Y",XG86= "Y",XG87= "Y"),$WH$82,"Ошибка редактироввания"),
XG87),
XG86),
XG85),
XG84),
XG83),
XG82)</f>
        <v>0.01</v>
      </c>
      <c r="XH88" s="1042">
        <f t="shared" ref="XH88:ZS88" si="99">IF(XH82="Y",
IF(XH83="Y",
IF(XH84="Y",
IF(XH85="Y",
IF(XH86="Y",
IF(XH87="Y",
IF(AND(XH82="Y",XH83="Y",XH84 = "Y",XH85= "Y",XH86= "Y",XH87= "Y"),$WH$82,"Ошибка редактироввания"),
XH87),
XH86),
XH85),
XH84),
XH83),
XH82)</f>
        <v>0.01</v>
      </c>
      <c r="XI88" s="1042">
        <f t="shared" si="99"/>
        <v>0.01</v>
      </c>
      <c r="XJ88" s="1042">
        <f t="shared" si="99"/>
        <v>0.01</v>
      </c>
      <c r="XK88" s="1042">
        <f t="shared" si="99"/>
        <v>0.01</v>
      </c>
      <c r="XL88" s="1042">
        <f t="shared" si="99"/>
        <v>0.01</v>
      </c>
      <c r="XM88" s="1042">
        <f t="shared" si="99"/>
        <v>0.01</v>
      </c>
      <c r="XN88" s="1042">
        <f t="shared" si="99"/>
        <v>0.01</v>
      </c>
      <c r="XO88" s="1042">
        <f t="shared" si="99"/>
        <v>0.11999999998000002</v>
      </c>
      <c r="XP88" s="1042">
        <f t="shared" si="99"/>
        <v>0.13666666663000002</v>
      </c>
      <c r="XQ88" s="1042">
        <f t="shared" si="99"/>
        <v>0.15666666660999998</v>
      </c>
      <c r="XR88" s="1042">
        <f t="shared" si="99"/>
        <v>0.17333333325999997</v>
      </c>
      <c r="XS88" s="1042">
        <f t="shared" si="99"/>
        <v>0.18999999991000002</v>
      </c>
      <c r="XT88" s="1042">
        <f t="shared" si="99"/>
        <v>0.21333333344000005</v>
      </c>
      <c r="XU88" s="1042">
        <f t="shared" si="99"/>
        <v>0.24000000011999989</v>
      </c>
      <c r="XV88" s="1042">
        <f t="shared" si="99"/>
        <v>0.27333333347000011</v>
      </c>
      <c r="XW88" s="1042">
        <f t="shared" si="99"/>
        <v>0.30000000014999995</v>
      </c>
      <c r="XX88" s="1042">
        <f t="shared" si="99"/>
        <v>0.32666666683000001</v>
      </c>
      <c r="XY88" s="1042">
        <f t="shared" si="99"/>
        <v>0.35333333351000007</v>
      </c>
      <c r="XZ88" s="1042">
        <f t="shared" si="99"/>
        <v>0.38000000019000002</v>
      </c>
      <c r="YA88" s="1042">
        <f t="shared" si="99"/>
        <v>0.4099999999999997</v>
      </c>
      <c r="YB88" s="1042">
        <f t="shared" si="99"/>
        <v>0.44999999999999996</v>
      </c>
      <c r="YC88" s="1042">
        <f t="shared" si="99"/>
        <v>0.49</v>
      </c>
      <c r="YD88" s="1042">
        <f t="shared" si="99"/>
        <v>0.52</v>
      </c>
      <c r="YE88" s="1042">
        <f t="shared" si="99"/>
        <v>0.56000000000000005</v>
      </c>
      <c r="YF88" s="1042">
        <f t="shared" si="99"/>
        <v>0.59000000000000008</v>
      </c>
      <c r="YG88" s="1042">
        <f t="shared" si="99"/>
        <v>0.63000000000000012</v>
      </c>
      <c r="YH88" s="1042">
        <f t="shared" si="99"/>
        <v>0.65999999999999992</v>
      </c>
      <c r="YI88" s="1042">
        <f t="shared" si="99"/>
        <v>0.69000000000000017</v>
      </c>
      <c r="YJ88" s="1042">
        <f t="shared" si="99"/>
        <v>0.7300000000000002</v>
      </c>
      <c r="YK88" s="1042">
        <f t="shared" si="99"/>
        <v>0.76</v>
      </c>
      <c r="YL88" s="1042">
        <f t="shared" si="99"/>
        <v>0.79</v>
      </c>
      <c r="YM88" s="1042">
        <f t="shared" si="99"/>
        <v>0.82000000000000006</v>
      </c>
      <c r="YN88" s="1042">
        <f t="shared" si="99"/>
        <v>0.84999999999999987</v>
      </c>
      <c r="YO88" s="1042">
        <f t="shared" si="99"/>
        <v>0.88000000000000012</v>
      </c>
      <c r="YP88" s="1042">
        <f t="shared" si="99"/>
        <v>0.91105263157894756</v>
      </c>
      <c r="YQ88" s="1042">
        <f t="shared" si="99"/>
        <v>0.94421052631579405</v>
      </c>
      <c r="YR88" s="1042">
        <f t="shared" si="99"/>
        <v>0.97736842105263566</v>
      </c>
      <c r="YS88" s="1042">
        <f t="shared" si="99"/>
        <v>1.0105263157894782</v>
      </c>
      <c r="YT88" s="1042">
        <f t="shared" si="99"/>
        <v>1.0326315789473726</v>
      </c>
      <c r="YU88" s="1042">
        <f t="shared" si="99"/>
        <v>1.0657894736842151</v>
      </c>
      <c r="YV88" s="1042">
        <f t="shared" si="99"/>
        <v>1.0989473684210576</v>
      </c>
      <c r="YW88" s="1042">
        <f t="shared" si="99"/>
        <v>1.1321052631578996</v>
      </c>
      <c r="YX88" s="1042">
        <f t="shared" si="99"/>
        <v>1.1542105263157945</v>
      </c>
      <c r="YY88" s="1042">
        <f t="shared" si="99"/>
        <v>1.187368421052637</v>
      </c>
      <c r="YZ88" s="1042">
        <f t="shared" si="99"/>
        <v>1.2094736842105314</v>
      </c>
      <c r="ZA88" s="1042">
        <f t="shared" si="99"/>
        <v>1.2426315789473739</v>
      </c>
      <c r="ZB88" s="1042">
        <f t="shared" si="99"/>
        <v>1.2757894736842155</v>
      </c>
      <c r="ZC88" s="1042">
        <f t="shared" si="99"/>
        <v>1.2978947368421103</v>
      </c>
      <c r="ZD88" s="1042">
        <f t="shared" si="99"/>
        <v>1.3310526315789528</v>
      </c>
      <c r="ZE88" s="1042">
        <f t="shared" si="99"/>
        <v>1.3531578950010501</v>
      </c>
      <c r="ZF88" s="1042">
        <f t="shared" si="99"/>
        <v>1.3752631581610504</v>
      </c>
      <c r="ZG88" s="1042">
        <f t="shared" si="99"/>
        <v>1.4084210529010504</v>
      </c>
      <c r="ZH88" s="1042">
        <f t="shared" si="99"/>
        <v>1.4305263160610502</v>
      </c>
      <c r="ZI88" s="1042">
        <f t="shared" si="99"/>
        <v>1.4636842108010506</v>
      </c>
      <c r="ZJ88" s="1042">
        <f t="shared" si="99"/>
        <v>1.48578947396105</v>
      </c>
      <c r="ZK88" s="1042">
        <f t="shared" si="99"/>
        <v>1.5078947371210507</v>
      </c>
      <c r="ZL88" s="1042">
        <f t="shared" si="99"/>
        <v>1.5410526318610498</v>
      </c>
      <c r="ZM88" s="1042">
        <f t="shared" si="99"/>
        <v>1.5631578950210505</v>
      </c>
      <c r="ZN88" s="1042">
        <f t="shared" si="99"/>
        <v>1.5852631581810499</v>
      </c>
      <c r="ZO88" s="1042">
        <f t="shared" si="99"/>
        <v>1.6073684213410506</v>
      </c>
      <c r="ZP88" s="1042">
        <f t="shared" si="99"/>
        <v>1.6405263160810502</v>
      </c>
      <c r="ZQ88" s="1042">
        <f t="shared" si="99"/>
        <v>1.6626315792410504</v>
      </c>
      <c r="ZR88" s="1042">
        <f t="shared" si="99"/>
        <v>1.6847368424010503</v>
      </c>
      <c r="ZS88" s="1042">
        <f t="shared" si="99"/>
        <v>1.7068421055610501</v>
      </c>
      <c r="ZT88" s="1042">
        <f t="shared" ref="ZT88:AAS88" si="100">IF(ZT82="Y",
IF(ZT83="Y",
IF(ZT84="Y",
IF(ZT85="Y",
IF(ZT86="Y",
IF(ZT87="Y",
IF(AND(ZT82="Y",ZT83="Y",ZT84 = "Y",ZT85= "Y",ZT86= "Y",ZT87= "Y"),$WH$82,"Ошибка редактироввания"),
ZT87),
ZT86),
ZT85),
ZT84),
ZT83),
ZT82)</f>
        <v>1.7289473687210504</v>
      </c>
      <c r="ZU88" s="1042">
        <f t="shared" si="100"/>
        <v>1.7621052634610499</v>
      </c>
      <c r="ZV88" s="1042">
        <f t="shared" si="100"/>
        <v>1.7842105266210506</v>
      </c>
      <c r="ZW88" s="1042">
        <f t="shared" si="100"/>
        <v>1.80631578978105</v>
      </c>
      <c r="ZX88" s="1042">
        <f t="shared" si="100"/>
        <v>1.8284210529410503</v>
      </c>
      <c r="ZY88" s="1042">
        <f t="shared" si="100"/>
        <v>1.8505263161010501</v>
      </c>
      <c r="ZZ88" s="1042">
        <f t="shared" si="100"/>
        <v>1.8726315792610504</v>
      </c>
      <c r="AAA88" s="1042">
        <f t="shared" si="100"/>
        <v>1.8947368424210502</v>
      </c>
      <c r="AAB88" s="1042">
        <f t="shared" si="100"/>
        <v>1.9168421055810501</v>
      </c>
      <c r="AAC88" s="1042">
        <f t="shared" si="100"/>
        <v>1.9389473687410503</v>
      </c>
      <c r="AAD88" s="1042">
        <f t="shared" si="100"/>
        <v>1.9610526319010502</v>
      </c>
      <c r="AAE88" s="1042">
        <f t="shared" si="100"/>
        <v>1.9831578950610504</v>
      </c>
      <c r="AAF88" s="1042">
        <f t="shared" si="100"/>
        <v>2.0052631582210503</v>
      </c>
      <c r="AAG88" s="1042">
        <f t="shared" si="100"/>
        <v>2.0273684213810506</v>
      </c>
      <c r="AAH88" s="1042">
        <f t="shared" si="100"/>
        <v>2.0494736845410504</v>
      </c>
      <c r="AAI88" s="1042">
        <f t="shared" si="100"/>
        <v>2.0715789477010502</v>
      </c>
      <c r="AAJ88" s="1042">
        <f t="shared" si="100"/>
        <v>2.0936842108610505</v>
      </c>
      <c r="AAK88" s="1042">
        <f t="shared" si="100"/>
        <v>2.1157894740210503</v>
      </c>
      <c r="AAL88" s="1042">
        <f t="shared" si="100"/>
        <v>2.1378947371810506</v>
      </c>
      <c r="AAM88" s="1042">
        <f t="shared" si="100"/>
        <v>2.1600000003410504</v>
      </c>
      <c r="AAN88" s="1042">
        <f t="shared" si="100"/>
        <v>2.1821052635010507</v>
      </c>
      <c r="AAO88" s="1042">
        <f t="shared" si="100"/>
        <v>2.2042105266610506</v>
      </c>
      <c r="AAP88" s="1042">
        <f t="shared" si="100"/>
        <v>2.2263157898210504</v>
      </c>
      <c r="AAQ88" s="1042">
        <f t="shared" si="100"/>
        <v>2.2373684214010505</v>
      </c>
      <c r="AAR88" s="1042">
        <f t="shared" si="100"/>
        <v>2.2594736845610504</v>
      </c>
      <c r="AAS88" s="1042">
        <f t="shared" si="100"/>
        <v>2.2815789477210502</v>
      </c>
      <c r="AAT88" s="1006"/>
      <c r="AAU88" s="960"/>
      <c r="AAV88" s="1101"/>
      <c r="AAW88" s="1101"/>
      <c r="AAX88" s="961"/>
      <c r="AAY88" s="158"/>
      <c r="AAZ88" s="158"/>
      <c r="ABA88" s="158"/>
      <c r="ABB88" s="158"/>
      <c r="ABC88" s="158"/>
      <c r="ABD88" s="158"/>
      <c r="ABE88" s="158"/>
      <c r="ABF88" s="158"/>
      <c r="ABG88" s="158"/>
      <c r="ABH88" s="158"/>
      <c r="ABI88" s="158"/>
      <c r="ABJ88" s="158"/>
      <c r="ABK88" s="158"/>
      <c r="ABL88" s="158"/>
      <c r="ABM88" s="158"/>
      <c r="ABN88" s="158"/>
      <c r="ABO88" s="158"/>
      <c r="ABP88" s="163"/>
      <c r="ABT88" s="1527"/>
      <c r="ABU88" s="1527"/>
      <c r="ABV88" s="1527"/>
      <c r="ABW88" s="1527"/>
      <c r="ABX88" s="1527"/>
      <c r="ABY88" s="1527"/>
      <c r="ABZ88" s="1527"/>
      <c r="ACA88" s="1527"/>
      <c r="ACB88" s="1527"/>
      <c r="ACC88" s="1527"/>
      <c r="ACD88" s="1527"/>
      <c r="ACE88" s="1527"/>
      <c r="ACF88" s="1527"/>
      <c r="ACG88" s="1527"/>
      <c r="ACH88" s="1527"/>
      <c r="ACJ88" s="759">
        <v>0.25</v>
      </c>
      <c r="ACK88" s="760"/>
      <c r="ACL88" s="759">
        <v>-0.2</v>
      </c>
      <c r="ACM88" s="760"/>
      <c r="ACN88" s="592">
        <v>4</v>
      </c>
      <c r="ACO88" s="759">
        <f t="shared" si="91"/>
        <v>0.06</v>
      </c>
      <c r="ACP88" s="760"/>
      <c r="ACQ88" s="757">
        <f t="shared" si="82"/>
        <v>1.04</v>
      </c>
      <c r="ACR88" s="758"/>
      <c r="ACT88" s="759">
        <v>1</v>
      </c>
      <c r="ACU88" s="760"/>
      <c r="ACV88" s="759">
        <v>-1.2</v>
      </c>
      <c r="ACW88" s="760"/>
      <c r="ACX88" s="592">
        <v>54</v>
      </c>
      <c r="ACY88" s="759">
        <f t="shared" si="92"/>
        <v>0.34000000000000008</v>
      </c>
      <c r="ACZ88" s="760"/>
      <c r="ADA88" s="757">
        <f t="shared" si="83"/>
        <v>1.54</v>
      </c>
      <c r="ADB88" s="758"/>
      <c r="ADD88" s="759">
        <v>1.5454545454545501</v>
      </c>
      <c r="ADE88" s="760"/>
      <c r="ADF88" s="759">
        <v>-2.1818181818181799</v>
      </c>
      <c r="ADG88" s="760"/>
      <c r="ADH88" s="591">
        <v>103</v>
      </c>
      <c r="ADI88" s="759">
        <f t="shared" si="93"/>
        <v>0.9554545454545571</v>
      </c>
      <c r="ADJ88" s="760"/>
      <c r="ADK88" s="757">
        <f t="shared" si="84"/>
        <v>2.0300000000000002</v>
      </c>
      <c r="ADL88" s="758"/>
      <c r="ADN88" s="759">
        <v>1.5454545454545501</v>
      </c>
      <c r="ADO88" s="760"/>
      <c r="ADP88" s="759">
        <v>-2.1818181818181799</v>
      </c>
      <c r="ADQ88" s="760"/>
      <c r="ADR88" s="591">
        <v>153</v>
      </c>
      <c r="ADS88" s="759">
        <f t="shared" si="94"/>
        <v>1.7281818181818323</v>
      </c>
      <c r="ADT88" s="760"/>
      <c r="ADU88" s="757">
        <f t="shared" si="85"/>
        <v>2.5300000000000002</v>
      </c>
      <c r="ADV88" s="758"/>
      <c r="ADW88" s="653"/>
      <c r="ADX88" s="759">
        <v>1.5454545454545501</v>
      </c>
      <c r="ADY88" s="760"/>
      <c r="ADZ88" s="759">
        <v>-2.1818181818181799</v>
      </c>
      <c r="AEA88" s="760"/>
      <c r="AEB88" s="591">
        <v>203</v>
      </c>
      <c r="AEC88" s="759">
        <f t="shared" si="95"/>
        <v>2.500909090909107</v>
      </c>
      <c r="AED88" s="760"/>
      <c r="AEE88" s="757">
        <f t="shared" si="86"/>
        <v>3.0300000000000002</v>
      </c>
      <c r="AEF88" s="758"/>
      <c r="AEH88" s="759">
        <v>1.5454545454545501</v>
      </c>
      <c r="AEI88" s="760"/>
      <c r="AEJ88" s="759">
        <v>-2.1818181818181799</v>
      </c>
      <c r="AEK88" s="760"/>
      <c r="AEL88" s="591">
        <v>253</v>
      </c>
      <c r="AEM88" s="759">
        <f t="shared" ref="AEM88:AEM134" si="101">AEH88*AEO88 + AEJ88</f>
        <v>3.2736363636363821</v>
      </c>
      <c r="AEN88" s="760"/>
      <c r="AEO88" s="757">
        <f t="shared" si="87"/>
        <v>3.5300000000000002</v>
      </c>
      <c r="AEP88" s="758"/>
      <c r="AGL88" s="1053"/>
      <c r="AGM88" s="684" t="s">
        <v>1240</v>
      </c>
      <c r="AGN88" s="1553">
        <f>$MP$59</f>
        <v>7.2450292500398427E-5</v>
      </c>
      <c r="AGO88" s="1553"/>
      <c r="AGP88" s="1553"/>
      <c r="AGQ88" s="795"/>
      <c r="AGR88" s="795"/>
      <c r="AGS88" s="795"/>
      <c r="AGT88" s="795"/>
      <c r="AGU88" s="795"/>
      <c r="AGV88" s="795"/>
      <c r="AGW88" s="795"/>
      <c r="AGX88" s="795"/>
      <c r="AGY88" s="796"/>
      <c r="AGZ88" s="1494"/>
      <c r="AHA88" s="1495"/>
      <c r="AHB88" s="1495"/>
      <c r="AHC88" s="1495"/>
      <c r="AHD88" s="1495"/>
      <c r="AHE88" s="1495"/>
      <c r="AHF88" s="1495"/>
      <c r="AHG88" s="1495"/>
      <c r="AHH88" s="1496"/>
      <c r="AHI88" s="828"/>
      <c r="AHJ88" s="949"/>
      <c r="AHK88" s="949"/>
      <c r="AHL88" s="949"/>
      <c r="AHM88" s="949"/>
      <c r="AHN88" s="949"/>
      <c r="AHO88" s="949"/>
      <c r="AHP88" s="950"/>
      <c r="AHW88" s="130"/>
      <c r="AHX88" s="130"/>
      <c r="ANI88" s="130"/>
      <c r="ANJ88" s="130"/>
      <c r="ANK88" s="130"/>
      <c r="ANL88" s="130"/>
      <c r="AQH88" s="897" t="s">
        <v>974</v>
      </c>
      <c r="AQI88" s="898"/>
      <c r="AQJ88" s="899"/>
      <c r="AQK88" s="849"/>
      <c r="AQL88" s="133" t="s">
        <v>416</v>
      </c>
      <c r="AQM88" s="134"/>
      <c r="AQN88" s="687"/>
      <c r="AQO88" s="78"/>
      <c r="AQP88" s="78"/>
      <c r="AQQ88" s="78"/>
      <c r="AQR88" s="78"/>
      <c r="AQS88" s="687"/>
      <c r="AQT88" s="652" t="s">
        <v>702</v>
      </c>
      <c r="AQU88" s="687"/>
      <c r="AQV88" s="76" t="s">
        <v>441</v>
      </c>
      <c r="AQW88" s="854" t="s">
        <v>435</v>
      </c>
      <c r="AQX88" s="855"/>
      <c r="AQY88" s="920" t="s">
        <v>111</v>
      </c>
      <c r="AQZ88" s="921"/>
      <c r="ARA88" s="916" t="s">
        <v>704</v>
      </c>
      <c r="ARB88" s="917"/>
      <c r="ARC88" s="906" t="s">
        <v>447</v>
      </c>
      <c r="ARD88" s="907"/>
      <c r="ARE88" s="907"/>
      <c r="ARF88" s="908"/>
      <c r="ARG88" s="653"/>
      <c r="ARH88" s="653"/>
      <c r="ARI88" s="653"/>
      <c r="ARJ88" s="653"/>
      <c r="ARK88" s="653"/>
      <c r="ARL88" s="653"/>
      <c r="ARM88" s="653"/>
      <c r="ARN88" s="653"/>
      <c r="ARO88" s="653"/>
    </row>
    <row r="89" spans="4:908 1049:1212" ht="48" customHeight="1" thickBot="1">
      <c r="BP89" s="130"/>
      <c r="BQ89" s="130"/>
      <c r="BR89" s="130"/>
      <c r="BS89" s="130"/>
      <c r="BT89" s="130"/>
      <c r="DZ89" s="851"/>
      <c r="EA89" s="1163" t="s">
        <v>1762</v>
      </c>
      <c r="EB89" s="1163"/>
      <c r="EC89" s="804">
        <f>$EL$71</f>
        <v>21.978064587580175</v>
      </c>
      <c r="ED89" s="804"/>
      <c r="EE89" s="1201"/>
      <c r="EF89" s="1201"/>
      <c r="EG89" s="1201"/>
      <c r="EH89" s="1201"/>
      <c r="EI89" s="1201"/>
      <c r="EJ89" s="1201"/>
      <c r="EK89" s="1201"/>
      <c r="EL89" s="1201"/>
      <c r="EM89" s="1202"/>
      <c r="EN89" s="887"/>
      <c r="EO89" s="888"/>
      <c r="EP89" s="929"/>
      <c r="EQ89" s="930"/>
      <c r="ER89" s="842"/>
      <c r="ES89" s="845"/>
      <c r="ET89" s="846"/>
      <c r="EU89" s="848"/>
      <c r="EV89" s="1053"/>
      <c r="EW89" s="1053"/>
      <c r="EX89" s="1053"/>
      <c r="EY89" s="1053"/>
      <c r="EZ89" s="1053"/>
      <c r="FA89" s="1053"/>
      <c r="FB89" s="1053"/>
      <c r="FC89" s="1053"/>
      <c r="FD89" s="1053"/>
      <c r="FE89" s="1053"/>
      <c r="FF89" s="126"/>
      <c r="FG89" s="126"/>
      <c r="FH89" s="126"/>
      <c r="FI89" s="126"/>
      <c r="GC89" s="6"/>
      <c r="GD89" s="3"/>
      <c r="GE89" s="3"/>
      <c r="GF89" s="1052"/>
      <c r="GG89" s="861" t="s">
        <v>1102</v>
      </c>
      <c r="GH89" s="861"/>
      <c r="GI89" s="861"/>
      <c r="GJ89" s="1165">
        <f>$GQ$84</f>
        <v>22.82818476862052</v>
      </c>
      <c r="GK89" s="1165"/>
      <c r="GL89" s="809" t="s">
        <v>51</v>
      </c>
      <c r="GM89" s="797"/>
      <c r="GN89" s="797"/>
      <c r="GO89" s="797"/>
      <c r="GP89" s="797"/>
      <c r="GQ89" s="797"/>
      <c r="GR89" s="797"/>
      <c r="GS89" s="797"/>
      <c r="GT89" s="797"/>
      <c r="GU89" s="798"/>
      <c r="GV89" s="1442">
        <f>GJ91+GJ90+GL88/2+GQ84+GP88/2</f>
        <v>30.233859458483881</v>
      </c>
      <c r="GW89" s="1443"/>
      <c r="GX89" s="931" t="s">
        <v>45</v>
      </c>
      <c r="GY89" s="932"/>
      <c r="GZ89" s="1066"/>
      <c r="HA89" s="893" t="s">
        <v>1110</v>
      </c>
      <c r="HB89" s="1081"/>
      <c r="HC89" s="894"/>
      <c r="HD89" s="847"/>
      <c r="HE89" s="1052"/>
      <c r="HF89" s="1052"/>
      <c r="HG89" s="1052"/>
      <c r="HH89" s="1052"/>
      <c r="HI89" s="1052"/>
      <c r="HJ89" s="1052"/>
      <c r="HK89" s="1052"/>
      <c r="HL89" s="1052"/>
      <c r="HM89" s="1052"/>
      <c r="HN89" s="1052"/>
      <c r="HO89" s="1052"/>
      <c r="HP89" s="1052"/>
      <c r="HQ89" s="1052"/>
      <c r="HR89" s="220"/>
      <c r="HS89" s="220"/>
      <c r="HT89" s="220"/>
      <c r="HU89" s="220"/>
      <c r="HV89" s="220"/>
      <c r="HW89" s="220"/>
      <c r="HX89" s="220"/>
      <c r="HY89" s="220"/>
      <c r="HZ89" s="220"/>
      <c r="IA89" s="220"/>
      <c r="IB89" s="220"/>
      <c r="IC89" s="220"/>
      <c r="ID89" s="220"/>
      <c r="IE89" s="220"/>
      <c r="IF89" s="220"/>
      <c r="IG89" s="220"/>
      <c r="IH89" s="220"/>
      <c r="II89" s="220"/>
      <c r="IJ89" s="220"/>
      <c r="IK89" s="220"/>
      <c r="IL89" s="220"/>
      <c r="IM89" s="220"/>
      <c r="IN89" s="220"/>
      <c r="IO89" s="220"/>
      <c r="IP89" s="220"/>
      <c r="IR89" s="897" t="s">
        <v>973</v>
      </c>
      <c r="IS89" s="898"/>
      <c r="IT89" s="899"/>
      <c r="IU89" s="849"/>
      <c r="IV89" s="852" t="s">
        <v>416</v>
      </c>
      <c r="IW89" s="923"/>
      <c r="IX89" s="142"/>
      <c r="IY89" s="806" t="s">
        <v>1806</v>
      </c>
      <c r="IZ89" s="807"/>
      <c r="JA89" s="808"/>
      <c r="JB89" s="75" t="s">
        <v>451</v>
      </c>
      <c r="JC89" s="142"/>
      <c r="JD89" s="76" t="s">
        <v>441</v>
      </c>
      <c r="JE89" s="854" t="s">
        <v>435</v>
      </c>
      <c r="JF89" s="1111"/>
      <c r="JG89" s="924" t="s">
        <v>111</v>
      </c>
      <c r="JH89" s="925"/>
      <c r="JI89" s="916" t="s">
        <v>704</v>
      </c>
      <c r="JJ89" s="917"/>
      <c r="JK89" s="906" t="s">
        <v>447</v>
      </c>
      <c r="JL89" s="907"/>
      <c r="JM89" s="907"/>
      <c r="JN89" s="908"/>
      <c r="JO89" s="159"/>
      <c r="JP89" s="160"/>
      <c r="JQ89" s="160"/>
      <c r="JR89" s="160"/>
      <c r="JS89" s="161"/>
      <c r="JT89" s="130"/>
      <c r="JU89" s="653"/>
      <c r="JV89" s="653"/>
      <c r="MD89" s="196"/>
      <c r="ME89" s="852" t="s">
        <v>1730</v>
      </c>
      <c r="MF89" s="853"/>
      <c r="MG89" s="196"/>
      <c r="MH89" s="1069" t="s">
        <v>859</v>
      </c>
      <c r="MI89" s="1070"/>
      <c r="MJ89" s="1070"/>
      <c r="MK89" s="1070"/>
      <c r="ML89" s="1070"/>
      <c r="MM89" s="1070"/>
      <c r="MN89" s="1070"/>
      <c r="MO89" s="1070"/>
      <c r="MP89" s="1070"/>
      <c r="MQ89" s="1070"/>
      <c r="MR89" s="1071"/>
      <c r="MS89" s="196"/>
      <c r="PL89" s="900"/>
      <c r="PM89" s="901"/>
      <c r="PN89" s="902"/>
      <c r="PO89" s="850"/>
      <c r="PP89" s="829" t="s">
        <v>1594</v>
      </c>
      <c r="PQ89" s="830"/>
      <c r="PR89" s="830"/>
      <c r="PS89" s="830"/>
      <c r="PT89" s="830"/>
      <c r="PU89" s="830"/>
      <c r="PV89" s="830"/>
      <c r="PW89" s="830"/>
      <c r="PX89" s="830"/>
      <c r="PY89" s="830"/>
      <c r="PZ89" s="831"/>
      <c r="QA89" s="1193">
        <v>0.3</v>
      </c>
      <c r="QB89" s="1194"/>
      <c r="QC89" s="1183" t="s">
        <v>729</v>
      </c>
      <c r="QD89" s="1184"/>
      <c r="QE89" s="841"/>
      <c r="QF89" s="1170" t="s">
        <v>1533</v>
      </c>
      <c r="QG89" s="1172"/>
      <c r="QH89" s="847"/>
      <c r="RE89" s="653"/>
      <c r="RF89" s="653"/>
      <c r="RG89" s="653"/>
      <c r="RH89" s="653"/>
      <c r="RI89" s="653"/>
      <c r="RJ89" s="653"/>
      <c r="RK89" s="653"/>
      <c r="RL89" s="653"/>
      <c r="RM89" s="653"/>
      <c r="RN89" s="653"/>
      <c r="RO89" s="653"/>
      <c r="RP89" s="653"/>
      <c r="RQ89" s="653"/>
      <c r="RR89" s="653"/>
      <c r="RS89" s="653"/>
      <c r="RT89" s="653"/>
      <c r="RU89" s="653"/>
      <c r="RV89" s="653"/>
      <c r="RW89" s="653"/>
      <c r="RX89" s="653"/>
      <c r="RY89" s="653"/>
      <c r="RZ89" s="653"/>
      <c r="SA89" s="653"/>
      <c r="SB89" s="653"/>
      <c r="SC89" s="653"/>
      <c r="SD89" s="653"/>
      <c r="SE89" s="653"/>
      <c r="SF89" s="653"/>
      <c r="SG89" s="653"/>
      <c r="SH89" s="653"/>
      <c r="SI89" s="653"/>
      <c r="SJ89" s="653"/>
      <c r="SK89" s="653"/>
      <c r="SL89" s="653"/>
      <c r="SM89" s="653"/>
      <c r="SN89" s="653"/>
      <c r="SO89" s="653"/>
      <c r="SP89" s="653"/>
      <c r="SQ89" s="653"/>
      <c r="SR89" s="653"/>
      <c r="SS89" s="653"/>
      <c r="ST89" s="653"/>
      <c r="SU89" s="653"/>
      <c r="SV89" s="653"/>
      <c r="SW89" s="653"/>
      <c r="SX89" s="653"/>
      <c r="SY89" s="653"/>
      <c r="SZ89" s="653"/>
      <c r="TA89" s="653"/>
      <c r="TB89" s="653"/>
      <c r="TC89" s="653"/>
      <c r="TD89" s="653"/>
      <c r="TE89" s="653"/>
      <c r="TF89" s="653"/>
      <c r="TG89" s="653"/>
      <c r="TH89" s="653"/>
      <c r="TI89" s="653"/>
      <c r="TJ89" s="653"/>
      <c r="TK89" s="653"/>
      <c r="TL89" s="653"/>
      <c r="TM89" s="653"/>
      <c r="TN89" s="653"/>
      <c r="TO89" s="653"/>
      <c r="TP89" s="653"/>
      <c r="TQ89" s="653"/>
      <c r="TR89" s="653"/>
      <c r="TS89" s="653"/>
      <c r="TT89" s="653"/>
      <c r="TU89" s="653"/>
      <c r="TV89" s="653"/>
      <c r="TW89" s="653"/>
      <c r="TX89" s="653"/>
      <c r="TY89" s="653"/>
      <c r="TZ89" s="653"/>
      <c r="UA89" s="653"/>
      <c r="UB89" s="653"/>
      <c r="UC89" s="653"/>
      <c r="UD89" s="653"/>
      <c r="UE89" s="653"/>
      <c r="UF89" s="653"/>
      <c r="UG89" s="653"/>
      <c r="UH89" s="653"/>
      <c r="UI89" s="653"/>
      <c r="UJ89" s="653"/>
      <c r="UK89" s="653"/>
      <c r="UL89" s="653"/>
      <c r="UM89" s="653"/>
      <c r="UN89" s="653"/>
      <c r="UO89" s="653"/>
      <c r="UP89" s="653"/>
      <c r="UQ89" s="653"/>
      <c r="UR89" s="653"/>
      <c r="US89" s="653"/>
      <c r="UT89" s="653"/>
      <c r="UU89" s="653"/>
      <c r="UV89" s="653"/>
      <c r="UW89" s="653"/>
      <c r="UX89" s="653"/>
      <c r="UY89" s="653"/>
      <c r="UZ89" s="653"/>
      <c r="WE89" s="754"/>
      <c r="WF89" s="755"/>
      <c r="WG89" s="169"/>
      <c r="WH89" s="170"/>
      <c r="WI89" s="170"/>
      <c r="WJ89" s="170"/>
      <c r="WK89" s="170"/>
      <c r="WL89" s="170"/>
      <c r="WM89" s="170"/>
      <c r="WN89" s="170"/>
      <c r="WO89" s="170"/>
      <c r="WP89" s="170"/>
      <c r="WQ89" s="170"/>
      <c r="WR89" s="170"/>
      <c r="WS89" s="170"/>
      <c r="WT89" s="170"/>
      <c r="WU89" s="170"/>
      <c r="WV89" s="170"/>
      <c r="WW89" s="170"/>
      <c r="WX89" s="1722"/>
      <c r="WY89" s="1723"/>
      <c r="WZ89" s="1135"/>
      <c r="XA89" s="1135"/>
      <c r="XB89" s="173"/>
      <c r="XC89" s="173"/>
      <c r="XD89" s="173"/>
      <c r="XE89" s="173"/>
      <c r="XF89" s="173"/>
      <c r="XG89" s="1043"/>
      <c r="XH89" s="1043"/>
      <c r="XI89" s="1043"/>
      <c r="XJ89" s="1043"/>
      <c r="XK89" s="1043"/>
      <c r="XL89" s="1043"/>
      <c r="XM89" s="1043"/>
      <c r="XN89" s="1043"/>
      <c r="XO89" s="1043"/>
      <c r="XP89" s="1043"/>
      <c r="XQ89" s="1043"/>
      <c r="XR89" s="1043"/>
      <c r="XS89" s="1043"/>
      <c r="XT89" s="1043"/>
      <c r="XU89" s="1043"/>
      <c r="XV89" s="1043"/>
      <c r="XW89" s="1043"/>
      <c r="XX89" s="1043"/>
      <c r="XY89" s="1043"/>
      <c r="XZ89" s="1043"/>
      <c r="YA89" s="1043"/>
      <c r="YB89" s="1043"/>
      <c r="YC89" s="1043"/>
      <c r="YD89" s="1043"/>
      <c r="YE89" s="1043"/>
      <c r="YF89" s="1043"/>
      <c r="YG89" s="1043"/>
      <c r="YH89" s="1043"/>
      <c r="YI89" s="1043"/>
      <c r="YJ89" s="1043"/>
      <c r="YK89" s="1043"/>
      <c r="YL89" s="1043"/>
      <c r="YM89" s="1043"/>
      <c r="YN89" s="1043"/>
      <c r="YO89" s="1043"/>
      <c r="YP89" s="1043"/>
      <c r="YQ89" s="1043"/>
      <c r="YR89" s="1043"/>
      <c r="YS89" s="1043"/>
      <c r="YT89" s="1043"/>
      <c r="YU89" s="1043"/>
      <c r="YV89" s="1043"/>
      <c r="YW89" s="1043"/>
      <c r="YX89" s="1043"/>
      <c r="YY89" s="1043"/>
      <c r="YZ89" s="1043"/>
      <c r="ZA89" s="1043"/>
      <c r="ZB89" s="1043"/>
      <c r="ZC89" s="1043"/>
      <c r="ZD89" s="1043"/>
      <c r="ZE89" s="1043"/>
      <c r="ZF89" s="1043"/>
      <c r="ZG89" s="1043"/>
      <c r="ZH89" s="1043"/>
      <c r="ZI89" s="1043"/>
      <c r="ZJ89" s="1043"/>
      <c r="ZK89" s="1043"/>
      <c r="ZL89" s="1043"/>
      <c r="ZM89" s="1043"/>
      <c r="ZN89" s="1043"/>
      <c r="ZO89" s="1043"/>
      <c r="ZP89" s="1043"/>
      <c r="ZQ89" s="1043"/>
      <c r="ZR89" s="1043"/>
      <c r="ZS89" s="1043"/>
      <c r="ZT89" s="1043"/>
      <c r="ZU89" s="1043"/>
      <c r="ZV89" s="1043"/>
      <c r="ZW89" s="1043"/>
      <c r="ZX89" s="1043"/>
      <c r="ZY89" s="1043"/>
      <c r="ZZ89" s="1043"/>
      <c r="AAA89" s="1043"/>
      <c r="AAB89" s="1043"/>
      <c r="AAC89" s="1043"/>
      <c r="AAD89" s="1043"/>
      <c r="AAE89" s="1043"/>
      <c r="AAF89" s="1043"/>
      <c r="AAG89" s="1043"/>
      <c r="AAH89" s="1043"/>
      <c r="AAI89" s="1043"/>
      <c r="AAJ89" s="1043"/>
      <c r="AAK89" s="1043"/>
      <c r="AAL89" s="1043"/>
      <c r="AAM89" s="1043"/>
      <c r="AAN89" s="1043"/>
      <c r="AAO89" s="1043"/>
      <c r="AAP89" s="1043"/>
      <c r="AAQ89" s="1043"/>
      <c r="AAR89" s="1043"/>
      <c r="AAS89" s="1043"/>
      <c r="AAT89" s="1007"/>
      <c r="AAU89" s="962"/>
      <c r="AAV89" s="1059"/>
      <c r="AAW89" s="1059"/>
      <c r="AAX89" s="963"/>
      <c r="AAY89" s="158"/>
      <c r="AAZ89" s="158"/>
      <c r="ABA89" s="158"/>
      <c r="ABB89" s="158"/>
      <c r="ABC89" s="158"/>
      <c r="ABD89" s="158"/>
      <c r="ABE89" s="158"/>
      <c r="ABF89" s="158"/>
      <c r="ABG89" s="158"/>
      <c r="ABH89" s="158"/>
      <c r="ABI89" s="158"/>
      <c r="ABJ89" s="158"/>
      <c r="ABK89" s="158"/>
      <c r="ABL89" s="158"/>
      <c r="ABM89" s="158"/>
      <c r="ABN89" s="158"/>
      <c r="ABO89" s="158"/>
      <c r="ABP89" s="163"/>
      <c r="ABT89" s="1527"/>
      <c r="ABU89" s="1527"/>
      <c r="ABV89" s="1527"/>
      <c r="ABW89" s="1527"/>
      <c r="ABX89" s="1527"/>
      <c r="ABY89" s="1527"/>
      <c r="ABZ89" s="1527"/>
      <c r="ACA89" s="1527"/>
      <c r="ACB89" s="1527"/>
      <c r="ACC89" s="1527"/>
      <c r="ACD89" s="1527"/>
      <c r="ACE89" s="1527"/>
      <c r="ACF89" s="1527"/>
      <c r="ACG89" s="1527"/>
      <c r="ACH89" s="1527"/>
      <c r="ACJ89" s="759">
        <v>0.25</v>
      </c>
      <c r="ACK89" s="760"/>
      <c r="ACL89" s="759">
        <v>-0.2</v>
      </c>
      <c r="ACM89" s="760"/>
      <c r="ACN89" s="592">
        <v>5</v>
      </c>
      <c r="ACO89" s="759">
        <f t="shared" si="91"/>
        <v>6.25E-2</v>
      </c>
      <c r="ACP89" s="760"/>
      <c r="ACQ89" s="757">
        <f t="shared" si="82"/>
        <v>1.05</v>
      </c>
      <c r="ACR89" s="758"/>
      <c r="ACT89" s="759">
        <v>1</v>
      </c>
      <c r="ACU89" s="760"/>
      <c r="ACV89" s="759">
        <v>-1.2</v>
      </c>
      <c r="ACW89" s="760"/>
      <c r="ACX89" s="592">
        <v>55</v>
      </c>
      <c r="ACY89" s="759">
        <f t="shared" si="92"/>
        <v>0.35000000000000009</v>
      </c>
      <c r="ACZ89" s="760"/>
      <c r="ADA89" s="757">
        <f t="shared" si="83"/>
        <v>1.55</v>
      </c>
      <c r="ADB89" s="758"/>
      <c r="ADD89" s="759">
        <v>1.5454545454545501</v>
      </c>
      <c r="ADE89" s="760"/>
      <c r="ADF89" s="759">
        <v>-2.1818181818181799</v>
      </c>
      <c r="ADG89" s="760"/>
      <c r="ADH89" s="591">
        <v>104</v>
      </c>
      <c r="ADI89" s="759">
        <f t="shared" si="93"/>
        <v>0.97090909090910227</v>
      </c>
      <c r="ADJ89" s="760"/>
      <c r="ADK89" s="757">
        <f t="shared" si="84"/>
        <v>2.04</v>
      </c>
      <c r="ADL89" s="758"/>
      <c r="ADN89" s="759">
        <v>1.5454545454545501</v>
      </c>
      <c r="ADO89" s="760"/>
      <c r="ADP89" s="759">
        <v>-2.1818181818181799</v>
      </c>
      <c r="ADQ89" s="760"/>
      <c r="ADR89" s="591">
        <v>154</v>
      </c>
      <c r="ADS89" s="759">
        <f t="shared" si="94"/>
        <v>1.7436363636363774</v>
      </c>
      <c r="ADT89" s="760"/>
      <c r="ADU89" s="757">
        <f t="shared" si="85"/>
        <v>2.54</v>
      </c>
      <c r="ADV89" s="758"/>
      <c r="ADW89" s="653"/>
      <c r="ADX89" s="759">
        <v>1.5454545454545501</v>
      </c>
      <c r="ADY89" s="760"/>
      <c r="ADZ89" s="759">
        <v>-2.1818181818181799</v>
      </c>
      <c r="AEA89" s="760"/>
      <c r="AEB89" s="591">
        <v>204</v>
      </c>
      <c r="AEC89" s="759">
        <f t="shared" si="95"/>
        <v>2.5163636363636526</v>
      </c>
      <c r="AED89" s="760"/>
      <c r="AEE89" s="757">
        <f t="shared" si="86"/>
        <v>3.04</v>
      </c>
      <c r="AEF89" s="758"/>
      <c r="AEH89" s="759">
        <v>1.5454545454545501</v>
      </c>
      <c r="AEI89" s="760"/>
      <c r="AEJ89" s="759">
        <v>-2.1818181818181799</v>
      </c>
      <c r="AEK89" s="760"/>
      <c r="AEL89" s="591">
        <v>254</v>
      </c>
      <c r="AEM89" s="759">
        <f t="shared" si="101"/>
        <v>3.2890909090909277</v>
      </c>
      <c r="AEN89" s="760"/>
      <c r="AEO89" s="757">
        <f t="shared" si="87"/>
        <v>3.54</v>
      </c>
      <c r="AEP89" s="758"/>
      <c r="AHW89" s="130"/>
      <c r="AHX89" s="130"/>
      <c r="ANK89" s="130"/>
      <c r="ANL89" s="130"/>
      <c r="AQH89" s="900"/>
      <c r="AQI89" s="901"/>
      <c r="AQJ89" s="902"/>
      <c r="AQK89" s="850"/>
      <c r="AQL89" s="856" t="s">
        <v>385</v>
      </c>
      <c r="AQM89" s="856"/>
      <c r="AQN89" s="856"/>
      <c r="AQO89" s="856"/>
      <c r="AQP89" s="856"/>
      <c r="AQQ89" s="856"/>
      <c r="AQR89" s="856"/>
      <c r="AQS89" s="856"/>
      <c r="AQT89" s="856"/>
      <c r="AQU89" s="856"/>
      <c r="AQV89" s="856"/>
      <c r="AQW89" s="856"/>
      <c r="AQX89" s="856"/>
      <c r="AQY89" s="835">
        <f>ATR239/ATR235</f>
        <v>1.0754716981132073</v>
      </c>
      <c r="AQZ89" s="836"/>
      <c r="ARA89" s="839"/>
      <c r="ARB89" s="840"/>
      <c r="ARC89" s="841"/>
      <c r="ARD89" s="1170" t="s">
        <v>901</v>
      </c>
      <c r="ARE89" s="1172"/>
      <c r="ARF89" s="847"/>
      <c r="ARG89" s="653"/>
      <c r="ARH89" s="653"/>
      <c r="ARI89" s="653"/>
      <c r="ARJ89" s="653"/>
      <c r="ARK89" s="653"/>
      <c r="ARL89" s="653"/>
      <c r="ARM89" s="653"/>
      <c r="ARN89" s="653"/>
      <c r="ARO89" s="653"/>
      <c r="ATN89" s="1504" t="s">
        <v>911</v>
      </c>
      <c r="ATO89" s="1505"/>
      <c r="ATP89" s="1506"/>
    </row>
    <row r="90" spans="4:908 1049:1212" ht="48" customHeight="1" thickBot="1">
      <c r="AI90" s="849"/>
      <c r="AJ90" s="1257" t="s">
        <v>416</v>
      </c>
      <c r="AK90" s="1257"/>
      <c r="AL90" s="123"/>
      <c r="AM90" s="612" t="s">
        <v>1570</v>
      </c>
      <c r="AN90" s="766">
        <f>$AP$6</f>
        <v>1500</v>
      </c>
      <c r="AO90" s="766"/>
      <c r="AP90" s="123"/>
      <c r="AQ90" s="76" t="s">
        <v>441</v>
      </c>
      <c r="AR90" s="854" t="s">
        <v>435</v>
      </c>
      <c r="AS90" s="855"/>
      <c r="AT90" s="920" t="s">
        <v>111</v>
      </c>
      <c r="AU90" s="921"/>
      <c r="AV90" s="1386" t="s">
        <v>704</v>
      </c>
      <c r="AW90" s="1386"/>
      <c r="AX90" s="1386"/>
      <c r="AY90" s="906" t="s">
        <v>447</v>
      </c>
      <c r="AZ90" s="907"/>
      <c r="BA90" s="907"/>
      <c r="BB90" s="908"/>
      <c r="BC90" s="906" t="s">
        <v>446</v>
      </c>
      <c r="BD90" s="907"/>
      <c r="BE90" s="908"/>
      <c r="BQ90" s="130"/>
      <c r="BR90" s="130"/>
      <c r="BS90" s="130"/>
      <c r="BT90" s="130"/>
      <c r="BX90" s="849"/>
      <c r="BY90" s="852" t="s">
        <v>34</v>
      </c>
      <c r="BZ90" s="853"/>
      <c r="CA90" s="132"/>
      <c r="CB90" s="800" t="s">
        <v>1672</v>
      </c>
      <c r="CC90" s="801"/>
      <c r="CD90" s="937">
        <f>$AX$70</f>
        <v>0.97499999999999998</v>
      </c>
      <c r="CE90" s="937"/>
      <c r="CF90" s="78"/>
      <c r="CG90" s="78"/>
      <c r="CH90" s="132"/>
      <c r="CI90" s="76" t="s">
        <v>441</v>
      </c>
      <c r="CJ90" s="854" t="s">
        <v>435</v>
      </c>
      <c r="CK90" s="891"/>
      <c r="CL90" s="1452" t="s">
        <v>111</v>
      </c>
      <c r="CM90" s="1452"/>
      <c r="CN90" s="916" t="s">
        <v>704</v>
      </c>
      <c r="CO90" s="917"/>
      <c r="CP90" s="906" t="s">
        <v>447</v>
      </c>
      <c r="CQ90" s="907"/>
      <c r="CR90" s="907"/>
      <c r="CS90" s="908"/>
      <c r="CT90" s="1051" t="s">
        <v>436</v>
      </c>
      <c r="CU90" s="1051"/>
      <c r="CV90" s="1051"/>
      <c r="CW90" s="1051"/>
      <c r="CX90" s="1051"/>
      <c r="GF90" s="1052"/>
      <c r="GG90" s="861" t="s">
        <v>1080</v>
      </c>
      <c r="GH90" s="861"/>
      <c r="GI90" s="861"/>
      <c r="GJ90" s="761">
        <f>$GW$61</f>
        <v>0.7</v>
      </c>
      <c r="GK90" s="761"/>
      <c r="GL90" s="775"/>
      <c r="GM90" s="776"/>
      <c r="GN90" s="776"/>
      <c r="GO90" s="776"/>
      <c r="GP90" s="776"/>
      <c r="GQ90" s="776"/>
      <c r="GR90" s="776"/>
      <c r="GS90" s="776"/>
      <c r="GT90" s="776"/>
      <c r="GU90" s="815"/>
      <c r="GV90" s="1444"/>
      <c r="GW90" s="773"/>
      <c r="GX90" s="933"/>
      <c r="GY90" s="934"/>
      <c r="GZ90" s="1067"/>
      <c r="HA90" s="918"/>
      <c r="HB90" s="1082"/>
      <c r="HC90" s="919"/>
      <c r="HD90" s="848"/>
      <c r="HE90" s="1052"/>
      <c r="HF90" s="1052"/>
      <c r="HG90" s="1052"/>
      <c r="HH90" s="1052"/>
      <c r="HI90" s="1052"/>
      <c r="HJ90" s="1052"/>
      <c r="HK90" s="1052"/>
      <c r="HL90" s="1052"/>
      <c r="HM90" s="1052"/>
      <c r="HN90" s="1052"/>
      <c r="HO90" s="1052"/>
      <c r="HP90" s="1052"/>
      <c r="HQ90" s="1052"/>
      <c r="HR90" s="220"/>
      <c r="HS90" s="220"/>
      <c r="HT90" s="220"/>
      <c r="HU90" s="220"/>
      <c r="HV90" s="220"/>
      <c r="HW90" s="220"/>
      <c r="HX90" s="220"/>
      <c r="HY90" s="220"/>
      <c r="HZ90" s="220"/>
      <c r="IA90" s="220"/>
      <c r="IB90" s="220"/>
      <c r="IC90" s="220"/>
      <c r="ID90" s="220"/>
      <c r="IE90" s="220"/>
      <c r="IF90" s="220"/>
      <c r="IG90" s="220"/>
      <c r="IH90" s="220"/>
      <c r="II90" s="220"/>
      <c r="IJ90" s="220"/>
      <c r="IK90" s="220"/>
      <c r="IL90" s="220"/>
      <c r="IM90" s="220"/>
      <c r="IN90" s="220"/>
      <c r="IO90" s="220"/>
      <c r="IP90" s="220"/>
      <c r="IR90" s="900"/>
      <c r="IS90" s="901"/>
      <c r="IT90" s="902"/>
      <c r="IU90" s="850"/>
      <c r="IV90" s="809" t="s">
        <v>79</v>
      </c>
      <c r="IW90" s="797"/>
      <c r="IX90" s="797"/>
      <c r="IY90" s="797"/>
      <c r="IZ90" s="797"/>
      <c r="JA90" s="797"/>
      <c r="JB90" s="797"/>
      <c r="JC90" s="797"/>
      <c r="JD90" s="797"/>
      <c r="JE90" s="797"/>
      <c r="JF90" s="797"/>
      <c r="JG90" s="1434">
        <v>520</v>
      </c>
      <c r="JH90" s="1435"/>
      <c r="JI90" s="1075" t="s">
        <v>16</v>
      </c>
      <c r="JJ90" s="1076"/>
      <c r="JK90" s="1066"/>
      <c r="JL90" s="843" t="s">
        <v>1057</v>
      </c>
      <c r="JM90" s="844"/>
      <c r="JN90" s="847"/>
      <c r="JO90" s="162"/>
      <c r="JP90" s="723" t="s">
        <v>1105</v>
      </c>
      <c r="JQ90" s="761">
        <f>$KL$16</f>
        <v>1.6000000000000005</v>
      </c>
      <c r="JR90" s="761"/>
      <c r="JS90" s="733"/>
      <c r="JZ90" s="185"/>
      <c r="KA90" s="852" t="s">
        <v>838</v>
      </c>
      <c r="KB90" s="923"/>
      <c r="KC90" s="185"/>
      <c r="KD90" s="1069" t="s">
        <v>842</v>
      </c>
      <c r="KE90" s="1070"/>
      <c r="KF90" s="1070"/>
      <c r="KG90" s="1070"/>
      <c r="KH90" s="1070"/>
      <c r="KI90" s="1070"/>
      <c r="KJ90" s="1070"/>
      <c r="KK90" s="1070"/>
      <c r="KL90" s="1070"/>
      <c r="KM90" s="1070"/>
      <c r="KN90" s="1071"/>
      <c r="KO90" s="185"/>
      <c r="OY90" s="130"/>
      <c r="OZ90" s="130"/>
      <c r="PA90" s="130"/>
      <c r="PB90" s="130"/>
      <c r="PL90" s="903"/>
      <c r="PM90" s="904"/>
      <c r="PN90" s="905"/>
      <c r="PO90" s="851"/>
      <c r="PP90" s="832"/>
      <c r="PQ90" s="833"/>
      <c r="PR90" s="833"/>
      <c r="PS90" s="833"/>
      <c r="PT90" s="833"/>
      <c r="PU90" s="833"/>
      <c r="PV90" s="833"/>
      <c r="PW90" s="833"/>
      <c r="PX90" s="833"/>
      <c r="PY90" s="833"/>
      <c r="PZ90" s="834"/>
      <c r="QA90" s="1195"/>
      <c r="QB90" s="1196"/>
      <c r="QC90" s="1185"/>
      <c r="QD90" s="1186"/>
      <c r="QE90" s="842"/>
      <c r="QF90" s="1173"/>
      <c r="QG90" s="1175"/>
      <c r="QH90" s="848"/>
      <c r="RE90" s="653"/>
      <c r="RF90" s="653"/>
      <c r="RG90" s="653"/>
      <c r="RH90" s="653"/>
      <c r="RI90" s="653"/>
      <c r="RJ90" s="653"/>
      <c r="RK90" s="653"/>
      <c r="RL90" s="653"/>
      <c r="RM90" s="653"/>
      <c r="RN90" s="653"/>
      <c r="RO90" s="653"/>
      <c r="RP90" s="653"/>
      <c r="RQ90" s="653"/>
      <c r="RR90" s="653"/>
      <c r="RS90" s="653"/>
      <c r="RT90" s="653"/>
      <c r="RU90" s="653"/>
      <c r="RV90" s="653"/>
      <c r="RW90" s="653"/>
      <c r="RX90" s="653"/>
      <c r="RY90" s="653"/>
      <c r="RZ90" s="653"/>
      <c r="SA90" s="653"/>
      <c r="SB90" s="653"/>
      <c r="SC90" s="653"/>
      <c r="SD90" s="653"/>
      <c r="SE90" s="653"/>
      <c r="SF90" s="653"/>
      <c r="SG90" s="653"/>
      <c r="SH90" s="653"/>
      <c r="SI90" s="653"/>
      <c r="SJ90" s="653"/>
      <c r="SK90" s="653"/>
      <c r="SL90" s="653"/>
      <c r="SM90" s="653"/>
      <c r="SN90" s="653"/>
      <c r="SO90" s="653"/>
      <c r="SP90" s="653"/>
      <c r="SQ90" s="653"/>
      <c r="SR90" s="653"/>
      <c r="SS90" s="653"/>
      <c r="ST90" s="653"/>
      <c r="SU90" s="653"/>
      <c r="SV90" s="653"/>
      <c r="SW90" s="653"/>
      <c r="SX90" s="653"/>
      <c r="SY90" s="653"/>
      <c r="SZ90" s="653"/>
      <c r="TA90" s="653"/>
      <c r="TB90" s="653"/>
      <c r="TC90" s="653"/>
      <c r="TD90" s="653"/>
      <c r="TE90" s="653"/>
      <c r="TF90" s="653"/>
      <c r="TG90" s="653"/>
      <c r="TH90" s="653"/>
      <c r="TI90" s="653"/>
      <c r="TJ90" s="653"/>
      <c r="TK90" s="653"/>
      <c r="TL90" s="653"/>
      <c r="TM90" s="653"/>
      <c r="TN90" s="653"/>
      <c r="TO90" s="653"/>
      <c r="TP90" s="653"/>
      <c r="TQ90" s="653"/>
      <c r="TR90" s="653"/>
      <c r="TS90" s="653"/>
      <c r="TT90" s="653"/>
      <c r="TU90" s="653"/>
      <c r="TV90" s="653"/>
      <c r="TW90" s="653"/>
      <c r="TX90" s="653"/>
      <c r="TY90" s="653"/>
      <c r="TZ90" s="653"/>
      <c r="UA90" s="653"/>
      <c r="UB90" s="653"/>
      <c r="UC90" s="653"/>
      <c r="UD90" s="653"/>
      <c r="UE90" s="653"/>
      <c r="UF90" s="653"/>
      <c r="UG90" s="653"/>
      <c r="UH90" s="653"/>
      <c r="UI90" s="653"/>
      <c r="UJ90" s="653"/>
      <c r="UK90" s="653"/>
      <c r="UL90" s="653"/>
      <c r="UM90" s="653"/>
      <c r="UN90" s="653"/>
      <c r="UO90" s="653"/>
      <c r="UP90" s="653"/>
      <c r="UQ90" s="653"/>
      <c r="UR90" s="653"/>
      <c r="US90" s="653"/>
      <c r="UT90" s="653"/>
      <c r="UU90" s="653"/>
      <c r="UV90" s="653"/>
      <c r="UW90" s="653"/>
      <c r="UX90" s="653"/>
      <c r="UY90" s="653"/>
      <c r="UZ90" s="653"/>
      <c r="WE90" s="752">
        <v>3</v>
      </c>
      <c r="WF90" s="753"/>
      <c r="WG90" s="699" t="s">
        <v>1718</v>
      </c>
      <c r="WH90" s="951">
        <v>0.06</v>
      </c>
      <c r="WI90" s="952"/>
      <c r="WJ90" s="168"/>
      <c r="WK90" s="168"/>
      <c r="WL90" s="168"/>
      <c r="WM90" s="168"/>
      <c r="WN90" s="168"/>
      <c r="WO90" s="168"/>
      <c r="WP90" s="168"/>
      <c r="WQ90" s="168"/>
      <c r="WR90" s="168"/>
      <c r="WS90" s="168"/>
      <c r="WT90" s="168"/>
      <c r="WU90" s="168"/>
      <c r="WV90" s="168"/>
      <c r="WW90" s="168"/>
      <c r="WX90" s="168"/>
      <c r="WY90" s="171"/>
      <c r="WZ90" s="1085"/>
      <c r="XA90" s="1085"/>
      <c r="XB90" s="167"/>
      <c r="XC90" s="168"/>
      <c r="XD90" s="168"/>
      <c r="XE90" s="168"/>
      <c r="XF90" s="171"/>
      <c r="XG90" s="693" t="str">
        <f t="shared" ref="XG90:YL90" si="102">IF($ACQ$85&lt;1,"Ошибка",
IF(OR(AND($ACQ$85&gt;XG80,XG80&gt;1),XG80=$ACQ$85),$ACO$85,
IF(OR(AND($ACQ$86&gt;XG80,XG80&gt;$ACQ$85),XG80=$ACQ$86),$ACO$86,
IF(OR(AND($ACQ$87&gt;XG80,XG80&gt;$ACQ$86),XG80=$ACQ$87),$ACO$87,
IF(OR(AND($ACQ$88&gt;XG80,XG80&gt;$ACQ$87),XG80=$ACQ$88),$ACO$88,
IF(OR(AND($ACQ$89&gt;XG80,XG80&gt;$ACQ$88),XG80=$ACQ$89),$ACO$89,
IF(OR(AND($ACQ$90&gt;XG80,XG80&gt;$ACQ$89),XG80=$ACQ$90),$ACO$90,
IF(OR(AND($ACQ$91&gt;XG80,XG80&gt;$ACQ$90),XG80=$ACQ$91),$ACO$91,
IF(OR(AND($ACQ$92&gt;XG80,XG80&gt;$ACQ$91),XG80=$ACQ$92),$ACO$92,
IF(OR(AND($ACQ$93&gt;XG80,XG80&gt;$ACQ$92),XG80=$ACQ$93),$ACO$93,
IF(OR(AND($ACQ$94&gt;XG80,XG80&gt;$ACQ$93),XG80=$ACQ$94),$ACO$94,
IF(OR(AND($ACQ$95&gt;XG80,XG80&gt;$ACQ$94),XG80=$ACQ$95),$ACO$95,
IF(OR(AND($ACQ$96&gt;XG80,XG80&gt;$ACQ$95),XG80=$ACQ$96),$ACO$96,
IF(OR(AND($ACQ$97&gt;XG80,XG80&gt;$ACQ$96),XG80=$ACQ$97),$ACO$97,
IF(OR(AND($ACQ$98&gt;XG80,XG80&gt;$ACQ$97),XG80=$ACQ$98),$ACO$98,
IF(OR(AND($ACQ$99&gt;XG80,XG80&gt;$ACQ$98),XG80=$ACQ$99),$ACO$99,
IF(OR(AND($ACQ$100&gt;XG80,XG80&gt;$ACQ$99),XG80=$ACQ$100),$ACO$100,
IF(OR(AND($ACQ$101&gt;XG80,XG80&gt;$ACQ$100),XG80=$ACQ$101),$ACO$101,
IF(OR(AND($ACQ$102&gt;XG80,XG80&gt;$ACQ$101),XG80=$ACQ$102),$ACO$102,
IF(OR(AND($ACQ$103&gt;XG80,XG80&gt;$ACQ$102),XG80=$ACQ$103),$ACO$103,
IF(OR(AND($ACQ$104&gt;XG80,XG80&gt;$ACQ$103),XG80=$ACQ$104),$ACO$104,
IF(OR(AND($ACQ$105&gt;XG80,XG80&gt;$ACQ$104),XG80=$ACQ$105),$ACO$105,
IF(OR(AND($ACQ$106&gt;XG80,XG80&gt;$ACQ$105),XG80=$ACQ$106),$ACO$106,
IF(OR(AND($ACQ$107&gt;XG80,XG80&gt;$ACQ$106),XG80=$ACQ$107),$ACO$107,
IF(OR(AND($ACQ$108&gt;XG80,XG80&gt;$ACQ$107),XG80=$ACQ$108),$ACO$108,
IF(OR(AND($ACQ$109&gt;XG80,XG80&gt;$ACQ$108),XG80=$ACQ$109),$ACO$109,
IF(OR(AND($ACQ$110&gt;XG80,XG80&gt;$ACQ$109),XG80=$ACQ$110),$ACO$110,
IF(OR(AND($ACQ$111&gt;XG80,XG80&gt;$ACQ$110),XG80=$ACQ$111),$ACO$111,
IF(OR(AND($ACQ$112&gt;XG80,XG80&gt;$ACQ$111),XG80=$ACQ$112),$ACO$112,
IF(OR(AND($ACQ$113&gt;XG80,XG80&gt;$ACQ$112),XG80=$ACQ$113),$ACO$113,
IF(OR(AND($ACQ$114&gt;XG80,XG80&gt;$ACQ$113),XG80=$ACQ$114),$ACO$114,
IF(OR(AND($ACQ$115&gt;XG80,XG80&gt;$ACQ$114),XG80=$ACQ$115),$ACO$115,
IF(OR(AND($ACQ$116&gt;XG80,XG80&gt;$ACQ$115),XG80=$ACQ$116),$ACO$116,
IF(OR(AND($ACQ$117&gt;XG80,XG80&gt;$ACQ$116),XG80=$ACQ$117),$ACO$117,
IF(OR(AND($ACQ$118&gt;XG80,XG80&gt;$ACQ$117),XG80=$ACQ$118),$ACO$118,
IF(OR(AND($ACQ$119&gt;XG80,XG80&gt;$ACQ$118),XG80=$ACQ$119),$ACO$119,
IF(OR(AND($ACQ$120&gt;XG80,XG80&gt;$ACQ$119),XG80=$ACQ$120),$ACO$120,
IF(OR(AND($ACQ$121&gt;XG80,XG80&gt;$ACQ$120),XG80=$ACQ$121),$ACO$121,
IF(OR(AND($ACQ$122&gt;XG80,XG80&gt;$ACQ$121),XG80=$ACQ$122),$ACO$122,
IF(OR(AND($ACQ$123&gt;XG80,XG80&gt;$ACQ$122),XG80=$ACQ$123),$ACO$123,
IF(OR(AND($ACQ$124&gt;XG80,XG80&gt;$ACQ$123),XG80=$ACQ$124),$ACO$124,
IF(OR(AND($ACQ$125&gt;XG80,XG80&gt;$ACQ$124),XG80=$ACQ$125),$ACO$125,
IF(OR(AND($ACQ$126&gt;XG80,XG80&gt;$ACQ$125),XG80=$ACQ$126),$ACO$126,
IF(OR(AND($ACQ$127&gt;XG80,XG80&gt;$ACQ$126),XG80=$ACQ$127),$ACO$127,
IF(OR(AND($ACQ$128&gt;XG80,XG80&gt;$ACQ$127),XG80=$ACQ$128),$ACO$128,
IF(OR(AND($ACQ$129&gt;XG80,XG80&gt;$ACQ$128),XG80=$ACQ$129),$ACO$129,
IF(OR(AND($ACQ$130&gt;XG80,XG80&gt;$ACQ$129),XG80=$ACQ$130),$ACO$130,
IF(OR(AND($ACQ$131&gt;XG80,XG80&gt;$ACQ$130),XG80=$ACQ$131),$ACO$131,
IF(OR(AND($ACQ$132&gt;XG80,XG80&gt;$ACQ$131),XG80=$ACQ$132),$ACO$132,
IF(OR(AND($ACQ$133&gt;XG80,XG80&gt;$ACQ$132),XG80=$ACQ$133),$ACO$133,
IF(OR(AND($ACQ$134&gt;XG80,XG80&gt;$ACQ$133),XG80=$ACQ$134),$ACO$134,
"Y")))))))))))))))))))))))))))))))))))))))))))))))))))</f>
        <v>Y</v>
      </c>
      <c r="XH90" s="693" t="str">
        <f t="shared" si="102"/>
        <v>Y</v>
      </c>
      <c r="XI90" s="693" t="str">
        <f t="shared" si="102"/>
        <v>Y</v>
      </c>
      <c r="XJ90" s="693" t="str">
        <f t="shared" si="102"/>
        <v>Y</v>
      </c>
      <c r="XK90" s="693" t="str">
        <f t="shared" si="102"/>
        <v>Y</v>
      </c>
      <c r="XL90" s="693" t="str">
        <f t="shared" si="102"/>
        <v>Y</v>
      </c>
      <c r="XM90" s="693" t="str">
        <f t="shared" si="102"/>
        <v>Y</v>
      </c>
      <c r="XN90" s="693" t="str">
        <f t="shared" si="102"/>
        <v>Y</v>
      </c>
      <c r="XO90" s="693">
        <f t="shared" si="102"/>
        <v>6.5000000000000002E-2</v>
      </c>
      <c r="XP90" s="693">
        <f t="shared" si="102"/>
        <v>7.7500000000000013E-2</v>
      </c>
      <c r="XQ90" s="693">
        <f t="shared" si="102"/>
        <v>8.4999999999999964E-2</v>
      </c>
      <c r="XR90" s="693">
        <f t="shared" si="102"/>
        <v>0.10999999999999999</v>
      </c>
      <c r="XS90" s="693">
        <f t="shared" si="102"/>
        <v>0.13500000000000001</v>
      </c>
      <c r="XT90" s="693">
        <f t="shared" si="102"/>
        <v>0.12000000000000011</v>
      </c>
      <c r="XU90" s="693">
        <f t="shared" si="102"/>
        <v>0.15999999999999992</v>
      </c>
      <c r="XV90" s="693">
        <f t="shared" si="102"/>
        <v>0.21000000000000019</v>
      </c>
      <c r="XW90" s="693">
        <f t="shared" si="102"/>
        <v>0.25</v>
      </c>
      <c r="XX90" s="693">
        <f t="shared" si="102"/>
        <v>0.29000000000000004</v>
      </c>
      <c r="XY90" s="693" t="str">
        <f t="shared" si="102"/>
        <v>Y</v>
      </c>
      <c r="XZ90" s="693" t="str">
        <f t="shared" si="102"/>
        <v>Y</v>
      </c>
      <c r="YA90" s="693" t="str">
        <f t="shared" si="102"/>
        <v>Y</v>
      </c>
      <c r="YB90" s="693" t="str">
        <f t="shared" si="102"/>
        <v>Y</v>
      </c>
      <c r="YC90" s="693" t="str">
        <f t="shared" si="102"/>
        <v>Y</v>
      </c>
      <c r="YD90" s="693" t="str">
        <f t="shared" si="102"/>
        <v>Y</v>
      </c>
      <c r="YE90" s="693" t="str">
        <f t="shared" si="102"/>
        <v>Y</v>
      </c>
      <c r="YF90" s="693" t="str">
        <f t="shared" si="102"/>
        <v>Y</v>
      </c>
      <c r="YG90" s="693" t="str">
        <f t="shared" si="102"/>
        <v>Y</v>
      </c>
      <c r="YH90" s="693" t="str">
        <f t="shared" si="102"/>
        <v>Y</v>
      </c>
      <c r="YI90" s="693" t="str">
        <f t="shared" si="102"/>
        <v>Y</v>
      </c>
      <c r="YJ90" s="693" t="str">
        <f t="shared" si="102"/>
        <v>Y</v>
      </c>
      <c r="YK90" s="693" t="str">
        <f t="shared" si="102"/>
        <v>Y</v>
      </c>
      <c r="YL90" s="693" t="str">
        <f t="shared" si="102"/>
        <v>Y</v>
      </c>
      <c r="YM90" s="693" t="str">
        <f t="shared" ref="YM90:ZR90" si="103">IF($ACQ$85&lt;1,"Ошибка",
IF(OR(AND($ACQ$85&gt;YM80,YM80&gt;1),YM80=$ACQ$85),$ACO$85,
IF(OR(AND($ACQ$86&gt;YM80,YM80&gt;$ACQ$85),YM80=$ACQ$86),$ACO$86,
IF(OR(AND($ACQ$87&gt;YM80,YM80&gt;$ACQ$86),YM80=$ACQ$87),$ACO$87,
IF(OR(AND($ACQ$88&gt;YM80,YM80&gt;$ACQ$87),YM80=$ACQ$88),$ACO$88,
IF(OR(AND($ACQ$89&gt;YM80,YM80&gt;$ACQ$88),YM80=$ACQ$89),$ACO$89,
IF(OR(AND($ACQ$90&gt;YM80,YM80&gt;$ACQ$89),YM80=$ACQ$90),$ACO$90,
IF(OR(AND($ACQ$91&gt;YM80,YM80&gt;$ACQ$90),YM80=$ACQ$91),$ACO$91,
IF(OR(AND($ACQ$92&gt;YM80,YM80&gt;$ACQ$91),YM80=$ACQ$92),$ACO$92,
IF(OR(AND($ACQ$93&gt;YM80,YM80&gt;$ACQ$92),YM80=$ACQ$93),$ACO$93,
IF(OR(AND($ACQ$94&gt;YM80,YM80&gt;$ACQ$93),YM80=$ACQ$94),$ACO$94,
IF(OR(AND($ACQ$95&gt;YM80,YM80&gt;$ACQ$94),YM80=$ACQ$95),$ACO$95,
IF(OR(AND($ACQ$96&gt;YM80,YM80&gt;$ACQ$95),YM80=$ACQ$96),$ACO$96,
IF(OR(AND($ACQ$97&gt;YM80,YM80&gt;$ACQ$96),YM80=$ACQ$97),$ACO$97,
IF(OR(AND($ACQ$98&gt;YM80,YM80&gt;$ACQ$97),YM80=$ACQ$98),$ACO$98,
IF(OR(AND($ACQ$99&gt;YM80,YM80&gt;$ACQ$98),YM80=$ACQ$99),$ACO$99,
IF(OR(AND($ACQ$100&gt;YM80,YM80&gt;$ACQ$99),YM80=$ACQ$100),$ACO$100,
IF(OR(AND($ACQ$101&gt;YM80,YM80&gt;$ACQ$100),YM80=$ACQ$101),$ACO$101,
IF(OR(AND($ACQ$102&gt;YM80,YM80&gt;$ACQ$101),YM80=$ACQ$102),$ACO$102,
IF(OR(AND($ACQ$103&gt;YM80,YM80&gt;$ACQ$102),YM80=$ACQ$103),$ACO$103,
IF(OR(AND($ACQ$104&gt;YM80,YM80&gt;$ACQ$103),YM80=$ACQ$104),$ACO$104,
IF(OR(AND($ACQ$105&gt;YM80,YM80&gt;$ACQ$104),YM80=$ACQ$105),$ACO$105,
IF(OR(AND($ACQ$106&gt;YM80,YM80&gt;$ACQ$105),YM80=$ACQ$106),$ACO$106,
IF(OR(AND($ACQ$107&gt;YM80,YM80&gt;$ACQ$106),YM80=$ACQ$107),$ACO$107,
IF(OR(AND($ACQ$108&gt;YM80,YM80&gt;$ACQ$107),YM80=$ACQ$108),$ACO$108,
IF(OR(AND($ACQ$109&gt;YM80,YM80&gt;$ACQ$108),YM80=$ACQ$109),$ACO$109,
IF(OR(AND($ACQ$110&gt;YM80,YM80&gt;$ACQ$109),YM80=$ACQ$110),$ACO$110,
IF(OR(AND($ACQ$111&gt;YM80,YM80&gt;$ACQ$110),YM80=$ACQ$111),$ACO$111,
IF(OR(AND($ACQ$112&gt;YM80,YM80&gt;$ACQ$111),YM80=$ACQ$112),$ACO$112,
IF(OR(AND($ACQ$113&gt;YM80,YM80&gt;$ACQ$112),YM80=$ACQ$113),$ACO$113,
IF(OR(AND($ACQ$114&gt;YM80,YM80&gt;$ACQ$113),YM80=$ACQ$114),$ACO$114,
IF(OR(AND($ACQ$115&gt;YM80,YM80&gt;$ACQ$114),YM80=$ACQ$115),$ACO$115,
IF(OR(AND($ACQ$116&gt;YM80,YM80&gt;$ACQ$115),YM80=$ACQ$116),$ACO$116,
IF(OR(AND($ACQ$117&gt;YM80,YM80&gt;$ACQ$116),YM80=$ACQ$117),$ACO$117,
IF(OR(AND($ACQ$118&gt;YM80,YM80&gt;$ACQ$117),YM80=$ACQ$118),$ACO$118,
IF(OR(AND($ACQ$119&gt;YM80,YM80&gt;$ACQ$118),YM80=$ACQ$119),$ACO$119,
IF(OR(AND($ACQ$120&gt;YM80,YM80&gt;$ACQ$119),YM80=$ACQ$120),$ACO$120,
IF(OR(AND($ACQ$121&gt;YM80,YM80&gt;$ACQ$120),YM80=$ACQ$121),$ACO$121,
IF(OR(AND($ACQ$122&gt;YM80,YM80&gt;$ACQ$121),YM80=$ACQ$122),$ACO$122,
IF(OR(AND($ACQ$123&gt;YM80,YM80&gt;$ACQ$122),YM80=$ACQ$123),$ACO$123,
IF(OR(AND($ACQ$124&gt;YM80,YM80&gt;$ACQ$123),YM80=$ACQ$124),$ACO$124,
IF(OR(AND($ACQ$125&gt;YM80,YM80&gt;$ACQ$124),YM80=$ACQ$125),$ACO$125,
IF(OR(AND($ACQ$126&gt;YM80,YM80&gt;$ACQ$125),YM80=$ACQ$126),$ACO$126,
IF(OR(AND($ACQ$127&gt;YM80,YM80&gt;$ACQ$126),YM80=$ACQ$127),$ACO$127,
IF(OR(AND($ACQ$128&gt;YM80,YM80&gt;$ACQ$127),YM80=$ACQ$128),$ACO$128,
IF(OR(AND($ACQ$129&gt;YM80,YM80&gt;$ACQ$128),YM80=$ACQ$129),$ACO$129,
IF(OR(AND($ACQ$130&gt;YM80,YM80&gt;$ACQ$129),YM80=$ACQ$130),$ACO$130,
IF(OR(AND($ACQ$131&gt;YM80,YM80&gt;$ACQ$130),YM80=$ACQ$131),$ACO$131,
IF(OR(AND($ACQ$132&gt;YM80,YM80&gt;$ACQ$131),YM80=$ACQ$132),$ACO$132,
IF(OR(AND($ACQ$133&gt;YM80,YM80&gt;$ACQ$132),YM80=$ACQ$133),$ACO$133,
IF(OR(AND($ACQ$134&gt;YM80,YM80&gt;$ACQ$133),YM80=$ACQ$134),$ACO$134,
"Y")))))))))))))))))))))))))))))))))))))))))))))))))))</f>
        <v>Y</v>
      </c>
      <c r="YN90" s="693" t="str">
        <f t="shared" si="103"/>
        <v>Y</v>
      </c>
      <c r="YO90" s="693" t="str">
        <f t="shared" si="103"/>
        <v>Y</v>
      </c>
      <c r="YP90" s="693" t="str">
        <f t="shared" si="103"/>
        <v>Y</v>
      </c>
      <c r="YQ90" s="693" t="str">
        <f t="shared" si="103"/>
        <v>Y</v>
      </c>
      <c r="YR90" s="693" t="str">
        <f t="shared" si="103"/>
        <v>Y</v>
      </c>
      <c r="YS90" s="693" t="str">
        <f t="shared" si="103"/>
        <v>Y</v>
      </c>
      <c r="YT90" s="693" t="str">
        <f t="shared" si="103"/>
        <v>Y</v>
      </c>
      <c r="YU90" s="693" t="str">
        <f t="shared" si="103"/>
        <v>Y</v>
      </c>
      <c r="YV90" s="693" t="str">
        <f t="shared" si="103"/>
        <v>Y</v>
      </c>
      <c r="YW90" s="693" t="str">
        <f t="shared" si="103"/>
        <v>Y</v>
      </c>
      <c r="YX90" s="693" t="str">
        <f t="shared" si="103"/>
        <v>Y</v>
      </c>
      <c r="YY90" s="693" t="str">
        <f t="shared" si="103"/>
        <v>Y</v>
      </c>
      <c r="YZ90" s="693" t="str">
        <f t="shared" si="103"/>
        <v>Y</v>
      </c>
      <c r="ZA90" s="693" t="str">
        <f t="shared" si="103"/>
        <v>Y</v>
      </c>
      <c r="ZB90" s="693" t="str">
        <f t="shared" si="103"/>
        <v>Y</v>
      </c>
      <c r="ZC90" s="693" t="str">
        <f t="shared" si="103"/>
        <v>Y</v>
      </c>
      <c r="ZD90" s="693" t="str">
        <f t="shared" si="103"/>
        <v>Y</v>
      </c>
      <c r="ZE90" s="693" t="str">
        <f t="shared" si="103"/>
        <v>Y</v>
      </c>
      <c r="ZF90" s="693" t="str">
        <f t="shared" si="103"/>
        <v>Y</v>
      </c>
      <c r="ZG90" s="693" t="str">
        <f t="shared" si="103"/>
        <v>Y</v>
      </c>
      <c r="ZH90" s="693" t="str">
        <f t="shared" si="103"/>
        <v>Y</v>
      </c>
      <c r="ZI90" s="693" t="str">
        <f t="shared" si="103"/>
        <v>Y</v>
      </c>
      <c r="ZJ90" s="693" t="str">
        <f t="shared" si="103"/>
        <v>Y</v>
      </c>
      <c r="ZK90" s="693" t="str">
        <f t="shared" si="103"/>
        <v>Y</v>
      </c>
      <c r="ZL90" s="693" t="str">
        <f t="shared" si="103"/>
        <v>Y</v>
      </c>
      <c r="ZM90" s="693" t="str">
        <f t="shared" si="103"/>
        <v>Y</v>
      </c>
      <c r="ZN90" s="693" t="str">
        <f t="shared" si="103"/>
        <v>Y</v>
      </c>
      <c r="ZO90" s="693" t="str">
        <f t="shared" si="103"/>
        <v>Y</v>
      </c>
      <c r="ZP90" s="693" t="str">
        <f t="shared" si="103"/>
        <v>Y</v>
      </c>
      <c r="ZQ90" s="693" t="str">
        <f t="shared" si="103"/>
        <v>Y</v>
      </c>
      <c r="ZR90" s="693" t="str">
        <f t="shared" si="103"/>
        <v>Y</v>
      </c>
      <c r="ZS90" s="693" t="str">
        <f t="shared" ref="ZS90:AAS90" si="104">IF($ACQ$85&lt;1,"Ошибка",
IF(OR(AND($ACQ$85&gt;ZS80,ZS80&gt;1),ZS80=$ACQ$85),$ACO$85,
IF(OR(AND($ACQ$86&gt;ZS80,ZS80&gt;$ACQ$85),ZS80=$ACQ$86),$ACO$86,
IF(OR(AND($ACQ$87&gt;ZS80,ZS80&gt;$ACQ$86),ZS80=$ACQ$87),$ACO$87,
IF(OR(AND($ACQ$88&gt;ZS80,ZS80&gt;$ACQ$87),ZS80=$ACQ$88),$ACO$88,
IF(OR(AND($ACQ$89&gt;ZS80,ZS80&gt;$ACQ$88),ZS80=$ACQ$89),$ACO$89,
IF(OR(AND($ACQ$90&gt;ZS80,ZS80&gt;$ACQ$89),ZS80=$ACQ$90),$ACO$90,
IF(OR(AND($ACQ$91&gt;ZS80,ZS80&gt;$ACQ$90),ZS80=$ACQ$91),$ACO$91,
IF(OR(AND($ACQ$92&gt;ZS80,ZS80&gt;$ACQ$91),ZS80=$ACQ$92),$ACO$92,
IF(OR(AND($ACQ$93&gt;ZS80,ZS80&gt;$ACQ$92),ZS80=$ACQ$93),$ACO$93,
IF(OR(AND($ACQ$94&gt;ZS80,ZS80&gt;$ACQ$93),ZS80=$ACQ$94),$ACO$94,
IF(OR(AND($ACQ$95&gt;ZS80,ZS80&gt;$ACQ$94),ZS80=$ACQ$95),$ACO$95,
IF(OR(AND($ACQ$96&gt;ZS80,ZS80&gt;$ACQ$95),ZS80=$ACQ$96),$ACO$96,
IF(OR(AND($ACQ$97&gt;ZS80,ZS80&gt;$ACQ$96),ZS80=$ACQ$97),$ACO$97,
IF(OR(AND($ACQ$98&gt;ZS80,ZS80&gt;$ACQ$97),ZS80=$ACQ$98),$ACO$98,
IF(OR(AND($ACQ$99&gt;ZS80,ZS80&gt;$ACQ$98),ZS80=$ACQ$99),$ACO$99,
IF(OR(AND($ACQ$100&gt;ZS80,ZS80&gt;$ACQ$99),ZS80=$ACQ$100),$ACO$100,
IF(OR(AND($ACQ$101&gt;ZS80,ZS80&gt;$ACQ$100),ZS80=$ACQ$101),$ACO$101,
IF(OR(AND($ACQ$102&gt;ZS80,ZS80&gt;$ACQ$101),ZS80=$ACQ$102),$ACO$102,
IF(OR(AND($ACQ$103&gt;ZS80,ZS80&gt;$ACQ$102),ZS80=$ACQ$103),$ACO$103,
IF(OR(AND($ACQ$104&gt;ZS80,ZS80&gt;$ACQ$103),ZS80=$ACQ$104),$ACO$104,
IF(OR(AND($ACQ$105&gt;ZS80,ZS80&gt;$ACQ$104),ZS80=$ACQ$105),$ACO$105,
IF(OR(AND($ACQ$106&gt;ZS80,ZS80&gt;$ACQ$105),ZS80=$ACQ$106),$ACO$106,
IF(OR(AND($ACQ$107&gt;ZS80,ZS80&gt;$ACQ$106),ZS80=$ACQ$107),$ACO$107,
IF(OR(AND($ACQ$108&gt;ZS80,ZS80&gt;$ACQ$107),ZS80=$ACQ$108),$ACO$108,
IF(OR(AND($ACQ$109&gt;ZS80,ZS80&gt;$ACQ$108),ZS80=$ACQ$109),$ACO$109,
IF(OR(AND($ACQ$110&gt;ZS80,ZS80&gt;$ACQ$109),ZS80=$ACQ$110),$ACO$110,
IF(OR(AND($ACQ$111&gt;ZS80,ZS80&gt;$ACQ$110),ZS80=$ACQ$111),$ACO$111,
IF(OR(AND($ACQ$112&gt;ZS80,ZS80&gt;$ACQ$111),ZS80=$ACQ$112),$ACO$112,
IF(OR(AND($ACQ$113&gt;ZS80,ZS80&gt;$ACQ$112),ZS80=$ACQ$113),$ACO$113,
IF(OR(AND($ACQ$114&gt;ZS80,ZS80&gt;$ACQ$113),ZS80=$ACQ$114),$ACO$114,
IF(OR(AND($ACQ$115&gt;ZS80,ZS80&gt;$ACQ$114),ZS80=$ACQ$115),$ACO$115,
IF(OR(AND($ACQ$116&gt;ZS80,ZS80&gt;$ACQ$115),ZS80=$ACQ$116),$ACO$116,
IF(OR(AND($ACQ$117&gt;ZS80,ZS80&gt;$ACQ$116),ZS80=$ACQ$117),$ACO$117,
IF(OR(AND($ACQ$118&gt;ZS80,ZS80&gt;$ACQ$117),ZS80=$ACQ$118),$ACO$118,
IF(OR(AND($ACQ$119&gt;ZS80,ZS80&gt;$ACQ$118),ZS80=$ACQ$119),$ACO$119,
IF(OR(AND($ACQ$120&gt;ZS80,ZS80&gt;$ACQ$119),ZS80=$ACQ$120),$ACO$120,
IF(OR(AND($ACQ$121&gt;ZS80,ZS80&gt;$ACQ$120),ZS80=$ACQ$121),$ACO$121,
IF(OR(AND($ACQ$122&gt;ZS80,ZS80&gt;$ACQ$121),ZS80=$ACQ$122),$ACO$122,
IF(OR(AND($ACQ$123&gt;ZS80,ZS80&gt;$ACQ$122),ZS80=$ACQ$123),$ACO$123,
IF(OR(AND($ACQ$124&gt;ZS80,ZS80&gt;$ACQ$123),ZS80=$ACQ$124),$ACO$124,
IF(OR(AND($ACQ$125&gt;ZS80,ZS80&gt;$ACQ$124),ZS80=$ACQ$125),$ACO$125,
IF(OR(AND($ACQ$126&gt;ZS80,ZS80&gt;$ACQ$125),ZS80=$ACQ$126),$ACO$126,
IF(OR(AND($ACQ$127&gt;ZS80,ZS80&gt;$ACQ$126),ZS80=$ACQ$127),$ACO$127,
IF(OR(AND($ACQ$128&gt;ZS80,ZS80&gt;$ACQ$127),ZS80=$ACQ$128),$ACO$128,
IF(OR(AND($ACQ$129&gt;ZS80,ZS80&gt;$ACQ$128),ZS80=$ACQ$129),$ACO$129,
IF(OR(AND($ACQ$130&gt;ZS80,ZS80&gt;$ACQ$129),ZS80=$ACQ$130),$ACO$130,
IF(OR(AND($ACQ$131&gt;ZS80,ZS80&gt;$ACQ$130),ZS80=$ACQ$131),$ACO$131,
IF(OR(AND($ACQ$132&gt;ZS80,ZS80&gt;$ACQ$131),ZS80=$ACQ$132),$ACO$132,
IF(OR(AND($ACQ$133&gt;ZS80,ZS80&gt;$ACQ$132),ZS80=$ACQ$133),$ACO$133,
IF(OR(AND($ACQ$134&gt;ZS80,ZS80&gt;$ACQ$133),ZS80=$ACQ$134),$ACO$134,
"Y")))))))))))))))))))))))))))))))))))))))))))))))))))</f>
        <v>Y</v>
      </c>
      <c r="ZT90" s="693" t="str">
        <f t="shared" si="104"/>
        <v>Y</v>
      </c>
      <c r="ZU90" s="693" t="str">
        <f t="shared" si="104"/>
        <v>Y</v>
      </c>
      <c r="ZV90" s="693" t="str">
        <f t="shared" si="104"/>
        <v>Y</v>
      </c>
      <c r="ZW90" s="693" t="str">
        <f t="shared" si="104"/>
        <v>Y</v>
      </c>
      <c r="ZX90" s="693" t="str">
        <f t="shared" si="104"/>
        <v>Y</v>
      </c>
      <c r="ZY90" s="693" t="str">
        <f t="shared" si="104"/>
        <v>Y</v>
      </c>
      <c r="ZZ90" s="693" t="str">
        <f t="shared" si="104"/>
        <v>Y</v>
      </c>
      <c r="AAA90" s="693" t="str">
        <f t="shared" si="104"/>
        <v>Y</v>
      </c>
      <c r="AAB90" s="693" t="str">
        <f t="shared" si="104"/>
        <v>Y</v>
      </c>
      <c r="AAC90" s="693" t="str">
        <f t="shared" si="104"/>
        <v>Y</v>
      </c>
      <c r="AAD90" s="693" t="str">
        <f t="shared" si="104"/>
        <v>Y</v>
      </c>
      <c r="AAE90" s="693" t="str">
        <f t="shared" si="104"/>
        <v>Y</v>
      </c>
      <c r="AAF90" s="693" t="str">
        <f t="shared" si="104"/>
        <v>Y</v>
      </c>
      <c r="AAG90" s="693" t="str">
        <f t="shared" si="104"/>
        <v>Y</v>
      </c>
      <c r="AAH90" s="693" t="str">
        <f t="shared" si="104"/>
        <v>Y</v>
      </c>
      <c r="AAI90" s="693" t="str">
        <f t="shared" si="104"/>
        <v>Y</v>
      </c>
      <c r="AAJ90" s="693" t="str">
        <f t="shared" si="104"/>
        <v>Y</v>
      </c>
      <c r="AAK90" s="693" t="str">
        <f t="shared" si="104"/>
        <v>Y</v>
      </c>
      <c r="AAL90" s="693" t="str">
        <f t="shared" si="104"/>
        <v>Y</v>
      </c>
      <c r="AAM90" s="693" t="str">
        <f t="shared" si="104"/>
        <v>Y</v>
      </c>
      <c r="AAN90" s="693" t="str">
        <f t="shared" si="104"/>
        <v>Y</v>
      </c>
      <c r="AAO90" s="693" t="str">
        <f t="shared" si="104"/>
        <v>Y</v>
      </c>
      <c r="AAP90" s="693" t="str">
        <f t="shared" si="104"/>
        <v>Y</v>
      </c>
      <c r="AAQ90" s="693" t="str">
        <f t="shared" si="104"/>
        <v>Y</v>
      </c>
      <c r="AAR90" s="693" t="str">
        <f t="shared" si="104"/>
        <v>Y</v>
      </c>
      <c r="AAS90" s="693" t="str">
        <f t="shared" si="104"/>
        <v>Y</v>
      </c>
      <c r="AAT90" s="1005">
        <v>3</v>
      </c>
      <c r="AAU90" s="958"/>
      <c r="AAV90" s="1058"/>
      <c r="AAW90" s="1058"/>
      <c r="AAX90" s="1058"/>
      <c r="AAY90" s="1058"/>
      <c r="AAZ90" s="1058"/>
      <c r="ABA90" s="1058"/>
      <c r="ABB90" s="1058"/>
      <c r="ABC90" s="1058"/>
      <c r="ABD90" s="1058"/>
      <c r="ABE90" s="1058"/>
      <c r="ABF90" s="1058"/>
      <c r="ABG90" s="1058"/>
      <c r="ABH90" s="959"/>
      <c r="ABI90" s="158"/>
      <c r="ABJ90" s="158"/>
      <c r="ABK90" s="158"/>
      <c r="ABL90" s="158"/>
      <c r="ABM90" s="158"/>
      <c r="ABN90" s="158"/>
      <c r="ABO90" s="158"/>
      <c r="ABP90" s="163"/>
      <c r="ABT90" s="1527"/>
      <c r="ABU90" s="1527"/>
      <c r="ABV90" s="1527"/>
      <c r="ABW90" s="1527"/>
      <c r="ABX90" s="1527"/>
      <c r="ABY90" s="1527"/>
      <c r="ABZ90" s="1527"/>
      <c r="ACA90" s="1527"/>
      <c r="ACB90" s="1527"/>
      <c r="ACC90" s="1527"/>
      <c r="ACD90" s="1527"/>
      <c r="ACE90" s="1527"/>
      <c r="ACF90" s="1527"/>
      <c r="ACG90" s="1527"/>
      <c r="ACH90" s="1527"/>
      <c r="ACJ90" s="759">
        <v>0.25</v>
      </c>
      <c r="ACK90" s="760"/>
      <c r="ACL90" s="759">
        <v>-0.2</v>
      </c>
      <c r="ACM90" s="760"/>
      <c r="ACN90" s="592">
        <v>6</v>
      </c>
      <c r="ACO90" s="759">
        <f t="shared" si="91"/>
        <v>6.5000000000000002E-2</v>
      </c>
      <c r="ACP90" s="760"/>
      <c r="ACQ90" s="757">
        <f t="shared" si="82"/>
        <v>1.06</v>
      </c>
      <c r="ACR90" s="758"/>
      <c r="ACT90" s="759">
        <v>1</v>
      </c>
      <c r="ACU90" s="760"/>
      <c r="ACV90" s="759">
        <v>-1.2</v>
      </c>
      <c r="ACW90" s="760"/>
      <c r="ACX90" s="592">
        <v>56</v>
      </c>
      <c r="ACY90" s="759">
        <f t="shared" si="92"/>
        <v>0.3600000000000001</v>
      </c>
      <c r="ACZ90" s="760"/>
      <c r="ADA90" s="757">
        <f t="shared" si="83"/>
        <v>1.56</v>
      </c>
      <c r="ADB90" s="758"/>
      <c r="ADD90" s="759">
        <v>1.5454545454545501</v>
      </c>
      <c r="ADE90" s="760"/>
      <c r="ADF90" s="759">
        <v>-2.1818181818181799</v>
      </c>
      <c r="ADG90" s="760"/>
      <c r="ADH90" s="591">
        <v>105</v>
      </c>
      <c r="ADI90" s="759">
        <f t="shared" si="93"/>
        <v>0.98636363636364743</v>
      </c>
      <c r="ADJ90" s="760"/>
      <c r="ADK90" s="757">
        <f t="shared" si="84"/>
        <v>2.0499999999999998</v>
      </c>
      <c r="ADL90" s="758"/>
      <c r="ADN90" s="759">
        <v>1.5454545454545501</v>
      </c>
      <c r="ADO90" s="760"/>
      <c r="ADP90" s="759">
        <v>-2.1818181818181799</v>
      </c>
      <c r="ADQ90" s="760"/>
      <c r="ADR90" s="591">
        <v>155</v>
      </c>
      <c r="ADS90" s="759">
        <f t="shared" si="94"/>
        <v>1.7590909090909226</v>
      </c>
      <c r="ADT90" s="760"/>
      <c r="ADU90" s="757">
        <f t="shared" si="85"/>
        <v>2.5499999999999998</v>
      </c>
      <c r="ADV90" s="758"/>
      <c r="ADW90" s="653"/>
      <c r="ADX90" s="759">
        <v>1.5454545454545501</v>
      </c>
      <c r="ADY90" s="760"/>
      <c r="ADZ90" s="759">
        <v>-2.1818181818181799</v>
      </c>
      <c r="AEA90" s="760"/>
      <c r="AEB90" s="591">
        <v>205</v>
      </c>
      <c r="AEC90" s="759">
        <f t="shared" si="95"/>
        <v>2.5318181818181973</v>
      </c>
      <c r="AED90" s="760"/>
      <c r="AEE90" s="757">
        <f t="shared" si="86"/>
        <v>3.05</v>
      </c>
      <c r="AEF90" s="758"/>
      <c r="AEH90" s="759">
        <v>1.5454545454545501</v>
      </c>
      <c r="AEI90" s="760"/>
      <c r="AEJ90" s="759">
        <v>-2.1818181818181799</v>
      </c>
      <c r="AEK90" s="760"/>
      <c r="AEL90" s="591">
        <v>255</v>
      </c>
      <c r="AEM90" s="759">
        <f t="shared" si="101"/>
        <v>3.3045454545454733</v>
      </c>
      <c r="AEN90" s="760"/>
      <c r="AEO90" s="757">
        <f t="shared" si="87"/>
        <v>3.5500000000000003</v>
      </c>
      <c r="AEP90" s="758"/>
      <c r="AGN90" s="136"/>
      <c r="AGO90" s="1257" t="s">
        <v>1736</v>
      </c>
      <c r="AGP90" s="1257"/>
      <c r="AGQ90" s="136"/>
      <c r="AGR90" s="957" t="s">
        <v>128</v>
      </c>
      <c r="AGS90" s="957"/>
      <c r="AGT90" s="957"/>
      <c r="AGU90" s="957"/>
      <c r="AGV90" s="957"/>
      <c r="AGW90" s="957"/>
      <c r="AGX90" s="957"/>
      <c r="AGY90" s="957"/>
      <c r="AGZ90" s="957"/>
      <c r="AHA90" s="957"/>
      <c r="AHB90" s="957"/>
      <c r="AHC90" s="136"/>
      <c r="AHW90" s="130"/>
      <c r="AHX90" s="130"/>
      <c r="ANK90" s="130"/>
      <c r="ANL90" s="130"/>
      <c r="AQH90" s="903"/>
      <c r="AQI90" s="904"/>
      <c r="AQJ90" s="905"/>
      <c r="AQK90" s="851"/>
      <c r="AQL90" s="857"/>
      <c r="AQM90" s="857"/>
      <c r="AQN90" s="857"/>
      <c r="AQO90" s="857"/>
      <c r="AQP90" s="857"/>
      <c r="AQQ90" s="857"/>
      <c r="AQR90" s="857"/>
      <c r="AQS90" s="857"/>
      <c r="AQT90" s="857"/>
      <c r="AQU90" s="857"/>
      <c r="AQV90" s="857"/>
      <c r="AQW90" s="857"/>
      <c r="AQX90" s="857"/>
      <c r="AQY90" s="837"/>
      <c r="AQZ90" s="838"/>
      <c r="ARA90" s="777"/>
      <c r="ARB90" s="799"/>
      <c r="ARC90" s="842"/>
      <c r="ARD90" s="1173"/>
      <c r="ARE90" s="1175"/>
      <c r="ARF90" s="848"/>
      <c r="ARG90" s="653"/>
      <c r="ARH90" s="653"/>
      <c r="ARI90" s="653"/>
      <c r="ARJ90" s="653"/>
      <c r="ARK90" s="653"/>
      <c r="ARL90" s="653"/>
      <c r="ARM90" s="653"/>
      <c r="ARN90" s="653"/>
      <c r="ARO90" s="653"/>
      <c r="ATC90" s="130"/>
      <c r="ATD90" s="130"/>
      <c r="ATE90" s="130"/>
      <c r="ATF90" s="130"/>
      <c r="ATG90" s="130"/>
      <c r="ATH90" s="130"/>
      <c r="ATI90" s="130"/>
      <c r="ATJ90" s="130"/>
      <c r="ATN90" s="1507"/>
      <c r="ATO90" s="1508"/>
      <c r="ATP90" s="1509"/>
    </row>
    <row r="91" spans="4:908 1049:1212" ht="48" customHeight="1" thickBot="1">
      <c r="AI91" s="850"/>
      <c r="AJ91" s="768" t="s">
        <v>1838</v>
      </c>
      <c r="AK91" s="762"/>
      <c r="AL91" s="762"/>
      <c r="AM91" s="762"/>
      <c r="AN91" s="762"/>
      <c r="AO91" s="762"/>
      <c r="AP91" s="762"/>
      <c r="AQ91" s="762"/>
      <c r="AR91" s="762"/>
      <c r="AS91" s="762"/>
      <c r="AT91" s="1442">
        <f>(2*3.14*AN90)/60</f>
        <v>157</v>
      </c>
      <c r="AU91" s="1443"/>
      <c r="AV91" s="1563" t="s">
        <v>717</v>
      </c>
      <c r="AW91" s="1571"/>
      <c r="AX91" s="1564"/>
      <c r="AY91" s="841"/>
      <c r="AZ91" s="1148" t="s">
        <v>1545</v>
      </c>
      <c r="BA91" s="1149"/>
      <c r="BB91" s="847"/>
      <c r="BC91" s="68"/>
      <c r="BD91" s="64"/>
      <c r="BE91" s="65"/>
      <c r="BQ91" s="130"/>
      <c r="BR91" s="130"/>
      <c r="BS91" s="130"/>
      <c r="BT91" s="130"/>
      <c r="BX91" s="850"/>
      <c r="BY91" s="1681" t="s">
        <v>1068</v>
      </c>
      <c r="BZ91" s="1682"/>
      <c r="CA91" s="766">
        <f>$CL$71</f>
        <v>68</v>
      </c>
      <c r="CB91" s="766"/>
      <c r="CC91" s="810" t="s">
        <v>40</v>
      </c>
      <c r="CD91" s="770"/>
      <c r="CE91" s="770"/>
      <c r="CF91" s="770"/>
      <c r="CG91" s="770"/>
      <c r="CH91" s="770"/>
      <c r="CI91" s="770"/>
      <c r="CJ91" s="770"/>
      <c r="CK91" s="771"/>
      <c r="CL91" s="1168">
        <f>(AX70*AP7)/(4.44*CL71*CI79*AP8)</f>
        <v>1.4832006266367067E-2</v>
      </c>
      <c r="CM91" s="815"/>
      <c r="CN91" s="1253" t="s">
        <v>957</v>
      </c>
      <c r="CO91" s="1189"/>
      <c r="CP91" s="841"/>
      <c r="CQ91" s="1170" t="s">
        <v>763</v>
      </c>
      <c r="CR91" s="1172"/>
      <c r="CS91" s="847"/>
      <c r="CT91" s="1052"/>
      <c r="CU91" s="1052"/>
      <c r="CV91" s="1052"/>
      <c r="CW91" s="1052"/>
      <c r="CX91" s="1052"/>
      <c r="DL91" s="653"/>
      <c r="DM91" s="653"/>
      <c r="DN91" s="653"/>
      <c r="DO91" s="653"/>
      <c r="DY91" s="653"/>
      <c r="DZ91" s="653"/>
      <c r="EA91" s="653"/>
      <c r="EB91" s="653"/>
      <c r="EC91" s="653"/>
      <c r="ED91" s="653"/>
      <c r="EE91" s="653"/>
      <c r="EF91" s="653"/>
      <c r="EG91" s="653"/>
      <c r="EH91" s="653"/>
      <c r="EI91" s="653"/>
      <c r="EJ91" s="653"/>
      <c r="EO91" s="653"/>
      <c r="EP91" s="653"/>
      <c r="EQ91" s="653"/>
      <c r="ER91" s="653"/>
      <c r="ES91" s="653"/>
      <c r="ET91" s="653"/>
      <c r="EU91" s="653"/>
      <c r="EV91" s="653"/>
      <c r="EW91" s="653"/>
      <c r="EX91" s="653"/>
      <c r="EY91" s="653"/>
      <c r="EZ91" s="653"/>
      <c r="FA91" s="653"/>
      <c r="FB91" s="653"/>
      <c r="FC91" s="653"/>
      <c r="FD91" s="653"/>
      <c r="FE91" s="653"/>
      <c r="FF91" s="653"/>
      <c r="FG91" s="653"/>
      <c r="FH91" s="653"/>
      <c r="FI91" s="653"/>
      <c r="FJ91" s="653"/>
      <c r="GB91" s="130"/>
      <c r="GC91" s="130"/>
      <c r="GD91" s="130"/>
      <c r="GE91" s="130"/>
      <c r="GF91" s="1053"/>
      <c r="GG91" s="1164" t="s">
        <v>1081</v>
      </c>
      <c r="GH91" s="1164"/>
      <c r="GI91" s="1164"/>
      <c r="GJ91" s="804">
        <f>$GW$65</f>
        <v>0.3</v>
      </c>
      <c r="GK91" s="804"/>
      <c r="GL91" s="777"/>
      <c r="GM91" s="778"/>
      <c r="GN91" s="778"/>
      <c r="GO91" s="778"/>
      <c r="GP91" s="778"/>
      <c r="GQ91" s="778"/>
      <c r="GR91" s="778"/>
      <c r="GS91" s="778"/>
      <c r="GT91" s="778"/>
      <c r="GU91" s="799"/>
      <c r="GV91" s="812"/>
      <c r="GW91" s="813"/>
      <c r="GX91" s="813"/>
      <c r="GY91" s="813"/>
      <c r="GZ91" s="813"/>
      <c r="HA91" s="813"/>
      <c r="HB91" s="813"/>
      <c r="HC91" s="813"/>
      <c r="HD91" s="814"/>
      <c r="HE91" s="1053"/>
      <c r="HF91" s="1053"/>
      <c r="HG91" s="1053"/>
      <c r="HH91" s="1053"/>
      <c r="HI91" s="1053"/>
      <c r="HJ91" s="1053"/>
      <c r="HK91" s="1053"/>
      <c r="HL91" s="1053"/>
      <c r="HM91" s="1053"/>
      <c r="HN91" s="1053"/>
      <c r="HO91" s="1053"/>
      <c r="HP91" s="1053"/>
      <c r="HQ91" s="1053"/>
      <c r="HR91" s="220"/>
      <c r="HS91" s="220"/>
      <c r="HT91" s="220"/>
      <c r="HU91" s="220"/>
      <c r="HV91" s="220"/>
      <c r="HW91" s="220"/>
      <c r="HX91" s="220"/>
      <c r="HY91" s="220"/>
      <c r="HZ91" s="220"/>
      <c r="IA91" s="220"/>
      <c r="IB91" s="220"/>
      <c r="IC91" s="220"/>
      <c r="ID91" s="220"/>
      <c r="IE91" s="220"/>
      <c r="IF91" s="220"/>
      <c r="IG91" s="220"/>
      <c r="IH91" s="220"/>
      <c r="II91" s="220"/>
      <c r="IJ91" s="220"/>
      <c r="IN91" s="220"/>
      <c r="IO91" s="220"/>
      <c r="IP91" s="220"/>
      <c r="IR91" s="903"/>
      <c r="IS91" s="904"/>
      <c r="IT91" s="905"/>
      <c r="IU91" s="851"/>
      <c r="IV91" s="777"/>
      <c r="IW91" s="778"/>
      <c r="IX91" s="778"/>
      <c r="IY91" s="778"/>
      <c r="IZ91" s="778"/>
      <c r="JA91" s="778"/>
      <c r="JB91" s="778"/>
      <c r="JC91" s="778"/>
      <c r="JD91" s="778"/>
      <c r="JE91" s="778"/>
      <c r="JF91" s="778"/>
      <c r="JG91" s="1436"/>
      <c r="JH91" s="1437"/>
      <c r="JI91" s="1077"/>
      <c r="JJ91" s="1078"/>
      <c r="JK91" s="1067"/>
      <c r="JL91" s="845"/>
      <c r="JM91" s="846"/>
      <c r="JN91" s="848"/>
      <c r="JO91" s="734"/>
      <c r="JP91" s="250"/>
      <c r="JQ91" s="250"/>
      <c r="JR91" s="250"/>
      <c r="JS91" s="735"/>
      <c r="MB91" s="849"/>
      <c r="MC91" s="852" t="s">
        <v>416</v>
      </c>
      <c r="MD91" s="853"/>
      <c r="ME91" s="344"/>
      <c r="MF91" s="800" t="s">
        <v>1243</v>
      </c>
      <c r="MG91" s="801"/>
      <c r="MH91" s="937">
        <f>$MP$86</f>
        <v>8.0207023726710278E-2</v>
      </c>
      <c r="MI91" s="937"/>
      <c r="MJ91" s="78"/>
      <c r="MK91" s="78"/>
      <c r="ML91" s="344"/>
      <c r="MM91" s="76" t="s">
        <v>441</v>
      </c>
      <c r="MN91" s="854" t="s">
        <v>435</v>
      </c>
      <c r="MO91" s="855"/>
      <c r="MP91" s="920" t="s">
        <v>111</v>
      </c>
      <c r="MQ91" s="921"/>
      <c r="MR91" s="916" t="s">
        <v>704</v>
      </c>
      <c r="MS91" s="917"/>
      <c r="MT91" s="906" t="s">
        <v>447</v>
      </c>
      <c r="MU91" s="907"/>
      <c r="MV91" s="907"/>
      <c r="MW91" s="908"/>
      <c r="MX91" s="906" t="s">
        <v>436</v>
      </c>
      <c r="MY91" s="907"/>
      <c r="MZ91" s="907"/>
      <c r="NA91" s="907"/>
      <c r="NB91" s="908"/>
      <c r="OY91" s="130"/>
      <c r="OZ91" s="130"/>
      <c r="PA91" s="130"/>
      <c r="PB91" s="130"/>
      <c r="RE91" s="653"/>
      <c r="RF91" s="653"/>
      <c r="RG91" s="653"/>
      <c r="RH91" s="653"/>
      <c r="RI91" s="653"/>
      <c r="RJ91" s="653"/>
      <c r="RK91" s="653"/>
      <c r="RL91" s="653"/>
      <c r="RM91" s="653"/>
      <c r="RN91" s="653"/>
      <c r="RO91" s="653"/>
      <c r="RP91" s="653"/>
      <c r="RQ91" s="653"/>
      <c r="RR91" s="653"/>
      <c r="RS91" s="653"/>
      <c r="RT91" s="653"/>
      <c r="RU91" s="653"/>
      <c r="RV91" s="653"/>
      <c r="RW91" s="653"/>
      <c r="RX91" s="653"/>
      <c r="RY91" s="653"/>
      <c r="RZ91" s="653"/>
      <c r="SA91" s="653"/>
      <c r="SB91" s="653"/>
      <c r="SC91" s="653"/>
      <c r="SD91" s="653"/>
      <c r="SE91" s="653"/>
      <c r="SF91" s="653"/>
      <c r="SG91" s="653"/>
      <c r="SH91" s="653"/>
      <c r="SI91" s="653"/>
      <c r="SJ91" s="653"/>
      <c r="SK91" s="653"/>
      <c r="SL91" s="653"/>
      <c r="SM91" s="653"/>
      <c r="SN91" s="653"/>
      <c r="SO91" s="653"/>
      <c r="SP91" s="653"/>
      <c r="SQ91" s="653"/>
      <c r="SR91" s="653"/>
      <c r="SS91" s="653"/>
      <c r="ST91" s="653"/>
      <c r="SU91" s="653"/>
      <c r="SV91" s="653"/>
      <c r="SW91" s="653"/>
      <c r="SX91" s="653"/>
      <c r="SY91" s="653"/>
      <c r="SZ91" s="653"/>
      <c r="TA91" s="653"/>
      <c r="TB91" s="653"/>
      <c r="TC91" s="653"/>
      <c r="TD91" s="653"/>
      <c r="TE91" s="653"/>
      <c r="TF91" s="653"/>
      <c r="TG91" s="653"/>
      <c r="TH91" s="653"/>
      <c r="TI91" s="653"/>
      <c r="TJ91" s="653"/>
      <c r="TK91" s="653"/>
      <c r="TL91" s="653"/>
      <c r="TM91" s="653"/>
      <c r="TN91" s="653"/>
      <c r="TO91" s="653"/>
      <c r="TP91" s="653"/>
      <c r="TQ91" s="653"/>
      <c r="TR91" s="653"/>
      <c r="TS91" s="653"/>
      <c r="TT91" s="653"/>
      <c r="TU91" s="653"/>
      <c r="TV91" s="653"/>
      <c r="TW91" s="653"/>
      <c r="TX91" s="653"/>
      <c r="TY91" s="653"/>
      <c r="TZ91" s="653"/>
      <c r="UA91" s="653"/>
      <c r="UB91" s="653"/>
      <c r="UC91" s="653"/>
      <c r="UD91" s="653"/>
      <c r="UE91" s="653"/>
      <c r="UF91" s="653"/>
      <c r="UG91" s="653"/>
      <c r="UH91" s="653"/>
      <c r="UI91" s="653"/>
      <c r="UJ91" s="653"/>
      <c r="UK91" s="653"/>
      <c r="UL91" s="653"/>
      <c r="UM91" s="653"/>
      <c r="UN91" s="653"/>
      <c r="UO91" s="653"/>
      <c r="UP91" s="653"/>
      <c r="UQ91" s="653"/>
      <c r="UR91" s="653"/>
      <c r="US91" s="653"/>
      <c r="UT91" s="653"/>
      <c r="UU91" s="653"/>
      <c r="UV91" s="653"/>
      <c r="UW91" s="653"/>
      <c r="UX91" s="653"/>
      <c r="UY91" s="653"/>
      <c r="UZ91" s="653"/>
      <c r="VW91" s="653"/>
      <c r="VX91" s="653"/>
      <c r="VY91" s="653"/>
      <c r="VZ91" s="653"/>
      <c r="WE91" s="996"/>
      <c r="WF91" s="997"/>
      <c r="WG91" s="175"/>
      <c r="WH91" s="173"/>
      <c r="WI91" s="173"/>
      <c r="WJ91" s="173"/>
      <c r="WK91" s="173"/>
      <c r="WL91" s="173"/>
      <c r="WM91" s="173"/>
      <c r="WN91" s="173"/>
      <c r="WO91" s="173"/>
      <c r="WP91" s="173"/>
      <c r="WQ91" s="173"/>
      <c r="WR91" s="173"/>
      <c r="WS91" s="173"/>
      <c r="WT91" s="173"/>
      <c r="WU91" s="173"/>
      <c r="WV91" s="173"/>
      <c r="WW91" s="173"/>
      <c r="WX91" s="173"/>
      <c r="WY91" s="174"/>
      <c r="WZ91" s="1085"/>
      <c r="XA91" s="1085"/>
      <c r="XB91" s="175"/>
      <c r="XC91" s="173"/>
      <c r="XD91" s="173"/>
      <c r="XE91" s="173"/>
      <c r="XF91" s="174"/>
      <c r="XG91" s="693" t="str">
        <f t="shared" ref="XG91:YL91" si="105" xml:space="preserve">
IF($ADA$85&lt;1,"Ошибка",
IF(OR(AND($ADA$85&gt; XG80,XG80&gt;$ACQ$134),XG80 = $ADA$85),$ACY$85,
IF(OR(AND($ADA$86&gt; XG80,XG80&gt;$ADA$85), XG80 = $ADA$86),$ACY$86,
IF(OR(AND($ADA$87&gt; XG80,XG80&gt;$ADA$86), XG80 = $ADA$87),$ACY$87,
IF(OR(AND($ADA$88&gt; XG80,XG80&gt;$ADA$87), XG80 = $ADA$88),$ACY$88,
IF(OR(AND($ADA$89&gt; XG80,XG80&gt;$ADA$88), XG80 = $ADA$89),$ACY$89,
IF(OR(AND($ADA$90&gt; XG80,XG80&gt;$ADA$89), XG80 = $ADA$90),$ACY$90,
IF(OR(AND($ADA$91&gt; XG80,XG80&gt;$ADA$90), XG80 = $ADA$91),$ACY$91,
IF(OR(AND($ADA$92&gt; XG80,XG80&gt;$ADA$91), XG80 = $ADA$92),$ACY$92,
IF(OR(AND($ADA$93&gt; XG80,XG80&gt;$ADA$92), XG80 = $ADA$93),$ACY$93,
IF(OR(AND($ADA$94&gt; XG80,XG80&gt;$ADA$93), XG80 = $ADA$94),$ACY$94,
IF(OR(AND($ADA$95&gt; XG80,XG80&gt;$ADA$94), XG80 = $ADA$95),$ACY$95,
IF(OR(AND($ADA$96&gt; XG80,XG80&gt;$ADA$95), XG80 = $ADA$96),$ACY$96,
IF(OR(AND($ADA$97&gt; XG80,XG80&gt;$ADA$96), XG80 = $ADA$97),$ACY$97,
IF(OR(AND($ADA$98&gt; XG80,XG80&gt;$ADA$97), XG80 = $ADA$98),$ACY$98,
IF(OR(AND($ADA$99&gt; XG80,XG80&gt;$ADA$98), XG80 = $ADA$99),$ACY$99,
IF(OR(AND($ADA$100&gt;XG80,XG80&gt;$ADA$99), XG80 = $ADA$100),$ACY$100,
IF(OR(AND($ADA$101&gt;XG80,XG80&gt;$ADA$100),XG80 = $ADA$101),$ACY$101,
IF(OR(AND($ADA$102&gt;XG80,XG80&gt;$ADA$101),XG80 = $ADA$102),$ACY$102,
IF(OR(AND($ADA$103&gt;XG80,XG80&gt;$ADA$102),XG80 = $ADA$103),$ACY$103,
IF(OR(AND($ADA$104&gt;XG80,XG80&gt;$ADA$103),XG80 = $ADA$104),$ACY$104,
IF(OR(AND($ADA$105&gt;XG80,XG80&gt;$ADA$104),XG80 = $ADA$105),$ACY$105,
IF(OR(AND($ADA$106&gt;XG80,XG80&gt;$ADA$105),XG80 = $ADA$106),$ACY$106,
IF(OR(AND($ADA$107&gt;XG80,XG80&gt;$ADA$106),XG80 = $ADA$107),$ACY$107,
IF(OR(AND($ADA$108&gt;XG80,XG80&gt;$ADA$107),XG80 = $ADA$108),$ACY$108,
IF(OR(AND($ADA$109&gt;XG80,XG80&gt;$ADA$108),XG80 = $ADA$109),$ACY$109,
IF(OR(AND($ADA$110&gt;XG80,XG80&gt;$ADA$109),XG80 = $ADA$110),$ACY$110,
IF(OR(AND($ADA$111&gt;XG80,XG80&gt;$ADA$110),XG80 = $ADA$111),$ACY$111,
IF(OR(AND($ADA$112&gt;XG80,XG80&gt;$ADA$111),XG80 = $ADA$112),$ACY$112,
IF(OR(AND($ADA$113&gt;XG80,XG80&gt;$ADA$112),XG80 = $ADA$113),$ACY$113,
IF(OR(AND($ADA$114&gt;XG80,XG80&gt;$ADA$113),XG80 = $ADA$114),$ACY$114,
IF(OR(AND($ADA$115&gt;XG80,XG80&gt;$ADA$114),XG80 = $ADA$115),$ACY$115,
IF(OR(AND($ADA$116&gt;XG80,XG80&gt;$ADA$115),XG80 = $ADA$116),$ACY$116,
IF(OR(AND($ADA$117&gt;XG80,XG80&gt;$ADA$116),XG80 = $ADA$117),$ACY$117,
IF(OR(AND($ADA$118&gt;XG80,XG80&gt;$ADA$117),XG80 = $ADA$118),$ACY$118,
IF(OR(AND($ADA$119&gt;XG80,XG80&gt;$ADA$118),XG80 = $ADA$119),$ACY$119,
IF(OR(AND($ADA$120&gt;XG80,XG80&gt;$ADA$119),XG80 = $ADA$120),$ACY$120,
IF(OR(AND($ADA$121&gt;XG80,XG80&gt;$ADA$120),XG80 = $ADA$121),$ACY$121,
IF(OR(AND($ADA$122&gt;XG80,XG80&gt;$ADA$121),XG80 = $ADA$122),$ACY$122,
IF(OR(AND($ADA$123&gt;XG80,XG80&gt;$ADA$122),XG80 = $ADA$123),$ACY$123,
IF(OR(AND($ADA$124&gt;XG80,XG80&gt;$ADA$123),XG80 = $ADA$124),$ACY$124,
IF(OR(AND($ADA$125&gt;XG80,XG80&gt;$ADA$124),XG80 = $ADA$125),$ACY$125,
IF(OR(AND($ADA$126&gt;XG80,XG80&gt;$ADA$125),XG80 = $ADA$126),$ACY$126,
IF(OR(AND($ADA$127&gt;XG80,XG80&gt;$ADA$126),XG80 = $ADA$127),$ACY$127,
IF(OR(AND($ADA$128&gt;XG80,XG80&gt;$ADA$127),XG80 = $ADA$128),$ACY$128,
IF(OR(AND($ADA$129&gt;XG80,XG80&gt;$ADA$128),XG80 = $ADA$129),$ACY$129,
IF(OR(AND($ADA$130&gt;XG80,XG80&gt;$ADA$129),XG80 = $ADA$130),$ACY$130,
IF(OR(AND($ADA$131&gt;XG80,XG80&gt;$ADA$130),XG80 = $ADA$131),$ACY$131,
IF(OR(AND($ADA$132&gt;XG80,XG80&gt;$ADA$131),XG80 = $ADA$132),$ACY$132,
IF(OR(AND($ADA$133&gt;XG80,XG80&gt;$ADA$132),XG80 = $ADA$133),$ACY$133,
IF(OR(AND($ADA$134&gt;XG80,XG80&gt;$ADA$133),XG80 = $ADA$134),$ACY$134,
"Y")))))))))))))))))))))))))))))))))))))))))))))))))))</f>
        <v>Y</v>
      </c>
      <c r="XH91" s="693" t="str">
        <f t="shared" si="105"/>
        <v>Y</v>
      </c>
      <c r="XI91" s="693" t="str">
        <f t="shared" si="105"/>
        <v>Y</v>
      </c>
      <c r="XJ91" s="693" t="str">
        <f t="shared" si="105"/>
        <v>Y</v>
      </c>
      <c r="XK91" s="693" t="str">
        <f t="shared" si="105"/>
        <v>Y</v>
      </c>
      <c r="XL91" s="693" t="str">
        <f t="shared" si="105"/>
        <v>Y</v>
      </c>
      <c r="XM91" s="693" t="str">
        <f t="shared" si="105"/>
        <v>Y</v>
      </c>
      <c r="XN91" s="693" t="str">
        <f t="shared" si="105"/>
        <v>Y</v>
      </c>
      <c r="XO91" s="693" t="str">
        <f t="shared" si="105"/>
        <v>Y</v>
      </c>
      <c r="XP91" s="693" t="str">
        <f t="shared" si="105"/>
        <v>Y</v>
      </c>
      <c r="XQ91" s="693" t="str">
        <f t="shared" si="105"/>
        <v>Y</v>
      </c>
      <c r="XR91" s="693" t="str">
        <f t="shared" si="105"/>
        <v>Y</v>
      </c>
      <c r="XS91" s="693" t="str">
        <f t="shared" si="105"/>
        <v>Y</v>
      </c>
      <c r="XT91" s="693" t="str">
        <f t="shared" si="105"/>
        <v>Y</v>
      </c>
      <c r="XU91" s="693" t="str">
        <f t="shared" si="105"/>
        <v>Y</v>
      </c>
      <c r="XV91" s="693" t="str">
        <f t="shared" si="105"/>
        <v>Y</v>
      </c>
      <c r="XW91" s="693" t="str">
        <f t="shared" si="105"/>
        <v>Y</v>
      </c>
      <c r="XX91" s="693" t="str">
        <f t="shared" si="105"/>
        <v>Y</v>
      </c>
      <c r="XY91" s="693">
        <f t="shared" si="105"/>
        <v>0.33000000000000007</v>
      </c>
      <c r="XZ91" s="693">
        <f t="shared" si="105"/>
        <v>0.37000000000000011</v>
      </c>
      <c r="YA91" s="693">
        <f t="shared" si="105"/>
        <v>0.30636363636363617</v>
      </c>
      <c r="YB91" s="693">
        <f t="shared" si="105"/>
        <v>0.36818181818182749</v>
      </c>
      <c r="YC91" s="693">
        <f t="shared" si="105"/>
        <v>0.43000000000000949</v>
      </c>
      <c r="YD91" s="693">
        <f t="shared" si="105"/>
        <v>0.47636363636364631</v>
      </c>
      <c r="YE91" s="693">
        <f t="shared" si="105"/>
        <v>0.53818181818182831</v>
      </c>
      <c r="YF91" s="693">
        <f t="shared" si="105"/>
        <v>0.58454545454546469</v>
      </c>
      <c r="YG91" s="693">
        <f t="shared" si="105"/>
        <v>0.64636363636364669</v>
      </c>
      <c r="YH91" s="693">
        <f t="shared" si="105"/>
        <v>0.69272727272728307</v>
      </c>
      <c r="YI91" s="693">
        <f t="shared" si="105"/>
        <v>0.7390909090909199</v>
      </c>
      <c r="YJ91" s="693">
        <f t="shared" si="105"/>
        <v>0.8009090909091019</v>
      </c>
      <c r="YK91" s="693">
        <f t="shared" si="105"/>
        <v>0.84727272727273828</v>
      </c>
      <c r="YL91" s="693">
        <f t="shared" si="105"/>
        <v>0.89363636363637466</v>
      </c>
      <c r="YM91" s="693" t="str">
        <f t="shared" ref="YM91:ZR91" si="106" xml:space="preserve">
IF($ADA$85&lt;1,"Ошибка",
IF(OR(AND($ADA$85&gt; YM80,YM80&gt;$ACQ$134),YM80 = $ADA$85),$ACY$85,
IF(OR(AND($ADA$86&gt; YM80,YM80&gt;$ADA$85), YM80 = $ADA$86),$ACY$86,
IF(OR(AND($ADA$87&gt; YM80,YM80&gt;$ADA$86), YM80 = $ADA$87),$ACY$87,
IF(OR(AND($ADA$88&gt; YM80,YM80&gt;$ADA$87), YM80 = $ADA$88),$ACY$88,
IF(OR(AND($ADA$89&gt; YM80,YM80&gt;$ADA$88), YM80 = $ADA$89),$ACY$89,
IF(OR(AND($ADA$90&gt; YM80,YM80&gt;$ADA$89), YM80 = $ADA$90),$ACY$90,
IF(OR(AND($ADA$91&gt; YM80,YM80&gt;$ADA$90), YM80 = $ADA$91),$ACY$91,
IF(OR(AND($ADA$92&gt; YM80,YM80&gt;$ADA$91), YM80 = $ADA$92),$ACY$92,
IF(OR(AND($ADA$93&gt; YM80,YM80&gt;$ADA$92), YM80 = $ADA$93),$ACY$93,
IF(OR(AND($ADA$94&gt; YM80,YM80&gt;$ADA$93), YM80 = $ADA$94),$ACY$94,
IF(OR(AND($ADA$95&gt; YM80,YM80&gt;$ADA$94), YM80 = $ADA$95),$ACY$95,
IF(OR(AND($ADA$96&gt; YM80,YM80&gt;$ADA$95), YM80 = $ADA$96),$ACY$96,
IF(OR(AND($ADA$97&gt; YM80,YM80&gt;$ADA$96), YM80 = $ADA$97),$ACY$97,
IF(OR(AND($ADA$98&gt; YM80,YM80&gt;$ADA$97), YM80 = $ADA$98),$ACY$98,
IF(OR(AND($ADA$99&gt; YM80,YM80&gt;$ADA$98), YM80 = $ADA$99),$ACY$99,
IF(OR(AND($ADA$100&gt;YM80,YM80&gt;$ADA$99), YM80 = $ADA$100),$ACY$100,
IF(OR(AND($ADA$101&gt;YM80,YM80&gt;$ADA$100),YM80 = $ADA$101),$ACY$101,
IF(OR(AND($ADA$102&gt;YM80,YM80&gt;$ADA$101),YM80 = $ADA$102),$ACY$102,
IF(OR(AND($ADA$103&gt;YM80,YM80&gt;$ADA$102),YM80 = $ADA$103),$ACY$103,
IF(OR(AND($ADA$104&gt;YM80,YM80&gt;$ADA$103),YM80 = $ADA$104),$ACY$104,
IF(OR(AND($ADA$105&gt;YM80,YM80&gt;$ADA$104),YM80 = $ADA$105),$ACY$105,
IF(OR(AND($ADA$106&gt;YM80,YM80&gt;$ADA$105),YM80 = $ADA$106),$ACY$106,
IF(OR(AND($ADA$107&gt;YM80,YM80&gt;$ADA$106),YM80 = $ADA$107),$ACY$107,
IF(OR(AND($ADA$108&gt;YM80,YM80&gt;$ADA$107),YM80 = $ADA$108),$ACY$108,
IF(OR(AND($ADA$109&gt;YM80,YM80&gt;$ADA$108),YM80 = $ADA$109),$ACY$109,
IF(OR(AND($ADA$110&gt;YM80,YM80&gt;$ADA$109),YM80 = $ADA$110),$ACY$110,
IF(OR(AND($ADA$111&gt;YM80,YM80&gt;$ADA$110),YM80 = $ADA$111),$ACY$111,
IF(OR(AND($ADA$112&gt;YM80,YM80&gt;$ADA$111),YM80 = $ADA$112),$ACY$112,
IF(OR(AND($ADA$113&gt;YM80,YM80&gt;$ADA$112),YM80 = $ADA$113),$ACY$113,
IF(OR(AND($ADA$114&gt;YM80,YM80&gt;$ADA$113),YM80 = $ADA$114),$ACY$114,
IF(OR(AND($ADA$115&gt;YM80,YM80&gt;$ADA$114),YM80 = $ADA$115),$ACY$115,
IF(OR(AND($ADA$116&gt;YM80,YM80&gt;$ADA$115),YM80 = $ADA$116),$ACY$116,
IF(OR(AND($ADA$117&gt;YM80,YM80&gt;$ADA$116),YM80 = $ADA$117),$ACY$117,
IF(OR(AND($ADA$118&gt;YM80,YM80&gt;$ADA$117),YM80 = $ADA$118),$ACY$118,
IF(OR(AND($ADA$119&gt;YM80,YM80&gt;$ADA$118),YM80 = $ADA$119),$ACY$119,
IF(OR(AND($ADA$120&gt;YM80,YM80&gt;$ADA$119),YM80 = $ADA$120),$ACY$120,
IF(OR(AND($ADA$121&gt;YM80,YM80&gt;$ADA$120),YM80 = $ADA$121),$ACY$121,
IF(OR(AND($ADA$122&gt;YM80,YM80&gt;$ADA$121),YM80 = $ADA$122),$ACY$122,
IF(OR(AND($ADA$123&gt;YM80,YM80&gt;$ADA$122),YM80 = $ADA$123),$ACY$123,
IF(OR(AND($ADA$124&gt;YM80,YM80&gt;$ADA$123),YM80 = $ADA$124),$ACY$124,
IF(OR(AND($ADA$125&gt;YM80,YM80&gt;$ADA$124),YM80 = $ADA$125),$ACY$125,
IF(OR(AND($ADA$126&gt;YM80,YM80&gt;$ADA$125),YM80 = $ADA$126),$ACY$126,
IF(OR(AND($ADA$127&gt;YM80,YM80&gt;$ADA$126),YM80 = $ADA$127),$ACY$127,
IF(OR(AND($ADA$128&gt;YM80,YM80&gt;$ADA$127),YM80 = $ADA$128),$ACY$128,
IF(OR(AND($ADA$129&gt;YM80,YM80&gt;$ADA$128),YM80 = $ADA$129),$ACY$129,
IF(OR(AND($ADA$130&gt;YM80,YM80&gt;$ADA$129),YM80 = $ADA$130),$ACY$130,
IF(OR(AND($ADA$131&gt;YM80,YM80&gt;$ADA$130),YM80 = $ADA$131),$ACY$131,
IF(OR(AND($ADA$132&gt;YM80,YM80&gt;$ADA$131),YM80 = $ADA$132),$ACY$132,
IF(OR(AND($ADA$133&gt;YM80,YM80&gt;$ADA$132),YM80 = $ADA$133),$ACY$133,
IF(OR(AND($ADA$134&gt;YM80,YM80&gt;$ADA$133),YM80 = $ADA$134),$ACY$134,
"Y")))))))))))))))))))))))))))))))))))))))))))))))))))</f>
        <v>Y</v>
      </c>
      <c r="YN91" s="693" t="str">
        <f t="shared" si="106"/>
        <v>Y</v>
      </c>
      <c r="YO91" s="693" t="str">
        <f t="shared" si="106"/>
        <v>Y</v>
      </c>
      <c r="YP91" s="693" t="str">
        <f t="shared" si="106"/>
        <v>Y</v>
      </c>
      <c r="YQ91" s="693" t="str">
        <f t="shared" si="106"/>
        <v>Y</v>
      </c>
      <c r="YR91" s="693" t="str">
        <f t="shared" si="106"/>
        <v>Y</v>
      </c>
      <c r="YS91" s="693" t="str">
        <f t="shared" si="106"/>
        <v>Y</v>
      </c>
      <c r="YT91" s="693" t="str">
        <f t="shared" si="106"/>
        <v>Y</v>
      </c>
      <c r="YU91" s="693" t="str">
        <f t="shared" si="106"/>
        <v>Y</v>
      </c>
      <c r="YV91" s="693" t="str">
        <f t="shared" si="106"/>
        <v>Y</v>
      </c>
      <c r="YW91" s="693" t="str">
        <f t="shared" si="106"/>
        <v>Y</v>
      </c>
      <c r="YX91" s="693" t="str">
        <f t="shared" si="106"/>
        <v>Y</v>
      </c>
      <c r="YY91" s="693" t="str">
        <f t="shared" si="106"/>
        <v>Y</v>
      </c>
      <c r="YZ91" s="693" t="str">
        <f t="shared" si="106"/>
        <v>Y</v>
      </c>
      <c r="ZA91" s="693" t="str">
        <f t="shared" si="106"/>
        <v>Y</v>
      </c>
      <c r="ZB91" s="693" t="str">
        <f t="shared" si="106"/>
        <v>Y</v>
      </c>
      <c r="ZC91" s="693" t="str">
        <f t="shared" si="106"/>
        <v>Y</v>
      </c>
      <c r="ZD91" s="693" t="str">
        <f t="shared" si="106"/>
        <v>Y</v>
      </c>
      <c r="ZE91" s="693" t="str">
        <f t="shared" si="106"/>
        <v>Y</v>
      </c>
      <c r="ZF91" s="693" t="str">
        <f t="shared" si="106"/>
        <v>Y</v>
      </c>
      <c r="ZG91" s="693" t="str">
        <f t="shared" si="106"/>
        <v>Y</v>
      </c>
      <c r="ZH91" s="693" t="str">
        <f t="shared" si="106"/>
        <v>Y</v>
      </c>
      <c r="ZI91" s="693" t="str">
        <f t="shared" si="106"/>
        <v>Y</v>
      </c>
      <c r="ZJ91" s="693" t="str">
        <f t="shared" si="106"/>
        <v>Y</v>
      </c>
      <c r="ZK91" s="693" t="str">
        <f t="shared" si="106"/>
        <v>Y</v>
      </c>
      <c r="ZL91" s="693" t="str">
        <f t="shared" si="106"/>
        <v>Y</v>
      </c>
      <c r="ZM91" s="693" t="str">
        <f t="shared" si="106"/>
        <v>Y</v>
      </c>
      <c r="ZN91" s="693" t="str">
        <f t="shared" si="106"/>
        <v>Y</v>
      </c>
      <c r="ZO91" s="693" t="str">
        <f t="shared" si="106"/>
        <v>Y</v>
      </c>
      <c r="ZP91" s="693" t="str">
        <f t="shared" si="106"/>
        <v>Y</v>
      </c>
      <c r="ZQ91" s="693" t="str">
        <f t="shared" si="106"/>
        <v>Y</v>
      </c>
      <c r="ZR91" s="693" t="str">
        <f t="shared" si="106"/>
        <v>Y</v>
      </c>
      <c r="ZS91" s="693" t="str">
        <f t="shared" ref="ZS91:AAS91" si="107" xml:space="preserve">
IF($ADA$85&lt;1,"Ошибка",
IF(OR(AND($ADA$85&gt; ZS80,ZS80&gt;$ACQ$134),ZS80 = $ADA$85),$ACY$85,
IF(OR(AND($ADA$86&gt; ZS80,ZS80&gt;$ADA$85), ZS80 = $ADA$86),$ACY$86,
IF(OR(AND($ADA$87&gt; ZS80,ZS80&gt;$ADA$86), ZS80 = $ADA$87),$ACY$87,
IF(OR(AND($ADA$88&gt; ZS80,ZS80&gt;$ADA$87), ZS80 = $ADA$88),$ACY$88,
IF(OR(AND($ADA$89&gt; ZS80,ZS80&gt;$ADA$88), ZS80 = $ADA$89),$ACY$89,
IF(OR(AND($ADA$90&gt; ZS80,ZS80&gt;$ADA$89), ZS80 = $ADA$90),$ACY$90,
IF(OR(AND($ADA$91&gt; ZS80,ZS80&gt;$ADA$90), ZS80 = $ADA$91),$ACY$91,
IF(OR(AND($ADA$92&gt; ZS80,ZS80&gt;$ADA$91), ZS80 = $ADA$92),$ACY$92,
IF(OR(AND($ADA$93&gt; ZS80,ZS80&gt;$ADA$92), ZS80 = $ADA$93),$ACY$93,
IF(OR(AND($ADA$94&gt; ZS80,ZS80&gt;$ADA$93), ZS80 = $ADA$94),$ACY$94,
IF(OR(AND($ADA$95&gt; ZS80,ZS80&gt;$ADA$94), ZS80 = $ADA$95),$ACY$95,
IF(OR(AND($ADA$96&gt; ZS80,ZS80&gt;$ADA$95), ZS80 = $ADA$96),$ACY$96,
IF(OR(AND($ADA$97&gt; ZS80,ZS80&gt;$ADA$96), ZS80 = $ADA$97),$ACY$97,
IF(OR(AND($ADA$98&gt; ZS80,ZS80&gt;$ADA$97), ZS80 = $ADA$98),$ACY$98,
IF(OR(AND($ADA$99&gt; ZS80,ZS80&gt;$ADA$98), ZS80 = $ADA$99),$ACY$99,
IF(OR(AND($ADA$100&gt;ZS80,ZS80&gt;$ADA$99), ZS80 = $ADA$100),$ACY$100,
IF(OR(AND($ADA$101&gt;ZS80,ZS80&gt;$ADA$100),ZS80 = $ADA$101),$ACY$101,
IF(OR(AND($ADA$102&gt;ZS80,ZS80&gt;$ADA$101),ZS80 = $ADA$102),$ACY$102,
IF(OR(AND($ADA$103&gt;ZS80,ZS80&gt;$ADA$102),ZS80 = $ADA$103),$ACY$103,
IF(OR(AND($ADA$104&gt;ZS80,ZS80&gt;$ADA$103),ZS80 = $ADA$104),$ACY$104,
IF(OR(AND($ADA$105&gt;ZS80,ZS80&gt;$ADA$104),ZS80 = $ADA$105),$ACY$105,
IF(OR(AND($ADA$106&gt;ZS80,ZS80&gt;$ADA$105),ZS80 = $ADA$106),$ACY$106,
IF(OR(AND($ADA$107&gt;ZS80,ZS80&gt;$ADA$106),ZS80 = $ADA$107),$ACY$107,
IF(OR(AND($ADA$108&gt;ZS80,ZS80&gt;$ADA$107),ZS80 = $ADA$108),$ACY$108,
IF(OR(AND($ADA$109&gt;ZS80,ZS80&gt;$ADA$108),ZS80 = $ADA$109),$ACY$109,
IF(OR(AND($ADA$110&gt;ZS80,ZS80&gt;$ADA$109),ZS80 = $ADA$110),$ACY$110,
IF(OR(AND($ADA$111&gt;ZS80,ZS80&gt;$ADA$110),ZS80 = $ADA$111),$ACY$111,
IF(OR(AND($ADA$112&gt;ZS80,ZS80&gt;$ADA$111),ZS80 = $ADA$112),$ACY$112,
IF(OR(AND($ADA$113&gt;ZS80,ZS80&gt;$ADA$112),ZS80 = $ADA$113),$ACY$113,
IF(OR(AND($ADA$114&gt;ZS80,ZS80&gt;$ADA$113),ZS80 = $ADA$114),$ACY$114,
IF(OR(AND($ADA$115&gt;ZS80,ZS80&gt;$ADA$114),ZS80 = $ADA$115),$ACY$115,
IF(OR(AND($ADA$116&gt;ZS80,ZS80&gt;$ADA$115),ZS80 = $ADA$116),$ACY$116,
IF(OR(AND($ADA$117&gt;ZS80,ZS80&gt;$ADA$116),ZS80 = $ADA$117),$ACY$117,
IF(OR(AND($ADA$118&gt;ZS80,ZS80&gt;$ADA$117),ZS80 = $ADA$118),$ACY$118,
IF(OR(AND($ADA$119&gt;ZS80,ZS80&gt;$ADA$118),ZS80 = $ADA$119),$ACY$119,
IF(OR(AND($ADA$120&gt;ZS80,ZS80&gt;$ADA$119),ZS80 = $ADA$120),$ACY$120,
IF(OR(AND($ADA$121&gt;ZS80,ZS80&gt;$ADA$120),ZS80 = $ADA$121),$ACY$121,
IF(OR(AND($ADA$122&gt;ZS80,ZS80&gt;$ADA$121),ZS80 = $ADA$122),$ACY$122,
IF(OR(AND($ADA$123&gt;ZS80,ZS80&gt;$ADA$122),ZS80 = $ADA$123),$ACY$123,
IF(OR(AND($ADA$124&gt;ZS80,ZS80&gt;$ADA$123),ZS80 = $ADA$124),$ACY$124,
IF(OR(AND($ADA$125&gt;ZS80,ZS80&gt;$ADA$124),ZS80 = $ADA$125),$ACY$125,
IF(OR(AND($ADA$126&gt;ZS80,ZS80&gt;$ADA$125),ZS80 = $ADA$126),$ACY$126,
IF(OR(AND($ADA$127&gt;ZS80,ZS80&gt;$ADA$126),ZS80 = $ADA$127),$ACY$127,
IF(OR(AND($ADA$128&gt;ZS80,ZS80&gt;$ADA$127),ZS80 = $ADA$128),$ACY$128,
IF(OR(AND($ADA$129&gt;ZS80,ZS80&gt;$ADA$128),ZS80 = $ADA$129),$ACY$129,
IF(OR(AND($ADA$130&gt;ZS80,ZS80&gt;$ADA$129),ZS80 = $ADA$130),$ACY$130,
IF(OR(AND($ADA$131&gt;ZS80,ZS80&gt;$ADA$130),ZS80 = $ADA$131),$ACY$131,
IF(OR(AND($ADA$132&gt;ZS80,ZS80&gt;$ADA$131),ZS80 = $ADA$132),$ACY$132,
IF(OR(AND($ADA$133&gt;ZS80,ZS80&gt;$ADA$132),ZS80 = $ADA$133),$ACY$133,
IF(OR(AND($ADA$134&gt;ZS80,ZS80&gt;$ADA$133),ZS80 = $ADA$134),$ACY$134,
"Y")))))))))))))))))))))))))))))))))))))))))))))))))))</f>
        <v>Y</v>
      </c>
      <c r="ZT91" s="693" t="str">
        <f t="shared" si="107"/>
        <v>Y</v>
      </c>
      <c r="ZU91" s="693" t="str">
        <f t="shared" si="107"/>
        <v>Y</v>
      </c>
      <c r="ZV91" s="693" t="str">
        <f t="shared" si="107"/>
        <v>Y</v>
      </c>
      <c r="ZW91" s="693" t="str">
        <f t="shared" si="107"/>
        <v>Y</v>
      </c>
      <c r="ZX91" s="693" t="str">
        <f t="shared" si="107"/>
        <v>Y</v>
      </c>
      <c r="ZY91" s="693" t="str">
        <f t="shared" si="107"/>
        <v>Y</v>
      </c>
      <c r="ZZ91" s="693" t="str">
        <f t="shared" si="107"/>
        <v>Y</v>
      </c>
      <c r="AAA91" s="693" t="str">
        <f t="shared" si="107"/>
        <v>Y</v>
      </c>
      <c r="AAB91" s="693" t="str">
        <f t="shared" si="107"/>
        <v>Y</v>
      </c>
      <c r="AAC91" s="693" t="str">
        <f t="shared" si="107"/>
        <v>Y</v>
      </c>
      <c r="AAD91" s="693" t="str">
        <f t="shared" si="107"/>
        <v>Y</v>
      </c>
      <c r="AAE91" s="693" t="str">
        <f t="shared" si="107"/>
        <v>Y</v>
      </c>
      <c r="AAF91" s="693" t="str">
        <f t="shared" si="107"/>
        <v>Y</v>
      </c>
      <c r="AAG91" s="693" t="str">
        <f t="shared" si="107"/>
        <v>Y</v>
      </c>
      <c r="AAH91" s="693" t="str">
        <f t="shared" si="107"/>
        <v>Y</v>
      </c>
      <c r="AAI91" s="693" t="str">
        <f t="shared" si="107"/>
        <v>Y</v>
      </c>
      <c r="AAJ91" s="693" t="str">
        <f t="shared" si="107"/>
        <v>Y</v>
      </c>
      <c r="AAK91" s="693" t="str">
        <f t="shared" si="107"/>
        <v>Y</v>
      </c>
      <c r="AAL91" s="693" t="str">
        <f t="shared" si="107"/>
        <v>Y</v>
      </c>
      <c r="AAM91" s="693" t="str">
        <f t="shared" si="107"/>
        <v>Y</v>
      </c>
      <c r="AAN91" s="693" t="str">
        <f t="shared" si="107"/>
        <v>Y</v>
      </c>
      <c r="AAO91" s="693" t="str">
        <f t="shared" si="107"/>
        <v>Y</v>
      </c>
      <c r="AAP91" s="693" t="str">
        <f t="shared" si="107"/>
        <v>Y</v>
      </c>
      <c r="AAQ91" s="693" t="str">
        <f t="shared" si="107"/>
        <v>Y</v>
      </c>
      <c r="AAR91" s="693" t="str">
        <f t="shared" si="107"/>
        <v>Y</v>
      </c>
      <c r="AAS91" s="693" t="str">
        <f t="shared" si="107"/>
        <v>Y</v>
      </c>
      <c r="AAT91" s="1006"/>
      <c r="AAU91" s="960"/>
      <c r="AAV91" s="1101"/>
      <c r="AAW91" s="1101"/>
      <c r="AAX91" s="1101"/>
      <c r="AAY91" s="1101"/>
      <c r="AAZ91" s="1101"/>
      <c r="ABA91" s="1101"/>
      <c r="ABB91" s="1101"/>
      <c r="ABC91" s="1101"/>
      <c r="ABD91" s="1101"/>
      <c r="ABE91" s="1101"/>
      <c r="ABF91" s="1101"/>
      <c r="ABG91" s="1101"/>
      <c r="ABH91" s="961"/>
      <c r="ABI91" s="158"/>
      <c r="ABJ91" s="158"/>
      <c r="ABK91" s="158"/>
      <c r="ABL91" s="158"/>
      <c r="ABM91" s="158"/>
      <c r="ABN91" s="158"/>
      <c r="ABO91" s="158"/>
      <c r="ABP91" s="163"/>
      <c r="ABT91" s="1527"/>
      <c r="ABU91" s="1527"/>
      <c r="ABV91" s="1527"/>
      <c r="ABW91" s="1527"/>
      <c r="ABX91" s="1527"/>
      <c r="ABY91" s="1527"/>
      <c r="ABZ91" s="1527"/>
      <c r="ACA91" s="1527"/>
      <c r="ACB91" s="1527"/>
      <c r="ACC91" s="1527"/>
      <c r="ACD91" s="1527"/>
      <c r="ACE91" s="1527"/>
      <c r="ACF91" s="1527"/>
      <c r="ACG91" s="1527"/>
      <c r="ACH91" s="1527"/>
      <c r="ACJ91" s="759">
        <v>0.25</v>
      </c>
      <c r="ACK91" s="760"/>
      <c r="ACL91" s="759">
        <v>-0.2</v>
      </c>
      <c r="ACM91" s="760"/>
      <c r="ACN91" s="592">
        <v>7</v>
      </c>
      <c r="ACO91" s="759">
        <f t="shared" si="91"/>
        <v>6.7500000000000004E-2</v>
      </c>
      <c r="ACP91" s="760"/>
      <c r="ACQ91" s="757">
        <f t="shared" si="82"/>
        <v>1.07</v>
      </c>
      <c r="ACR91" s="758"/>
      <c r="ACT91" s="759">
        <v>1</v>
      </c>
      <c r="ACU91" s="760"/>
      <c r="ACV91" s="759">
        <v>-1.2</v>
      </c>
      <c r="ACW91" s="760"/>
      <c r="ACX91" s="592">
        <v>57</v>
      </c>
      <c r="ACY91" s="759">
        <f t="shared" si="92"/>
        <v>0.37000000000000011</v>
      </c>
      <c r="ACZ91" s="760"/>
      <c r="ADA91" s="757">
        <f t="shared" si="83"/>
        <v>1.57</v>
      </c>
      <c r="ADB91" s="758"/>
      <c r="ADD91" s="759">
        <v>1.5454545454545501</v>
      </c>
      <c r="ADE91" s="760"/>
      <c r="ADF91" s="759">
        <v>-2.1818181818181799</v>
      </c>
      <c r="ADG91" s="760"/>
      <c r="ADH91" s="591">
        <v>106</v>
      </c>
      <c r="ADI91" s="759">
        <f t="shared" si="93"/>
        <v>1.0018181818181935</v>
      </c>
      <c r="ADJ91" s="760"/>
      <c r="ADK91" s="757">
        <f t="shared" si="84"/>
        <v>2.06</v>
      </c>
      <c r="ADL91" s="758"/>
      <c r="ADN91" s="759">
        <v>1.5454545454545501</v>
      </c>
      <c r="ADO91" s="760"/>
      <c r="ADP91" s="759">
        <v>-2.1818181818181799</v>
      </c>
      <c r="ADQ91" s="760"/>
      <c r="ADR91" s="591">
        <v>156</v>
      </c>
      <c r="ADS91" s="759">
        <f t="shared" si="94"/>
        <v>1.7745454545454682</v>
      </c>
      <c r="ADT91" s="760"/>
      <c r="ADU91" s="757">
        <f t="shared" si="85"/>
        <v>2.56</v>
      </c>
      <c r="ADV91" s="758"/>
      <c r="ADW91" s="653"/>
      <c r="ADX91" s="759">
        <v>1.5454545454545501</v>
      </c>
      <c r="ADY91" s="760"/>
      <c r="ADZ91" s="759">
        <v>-2.1818181818181799</v>
      </c>
      <c r="AEA91" s="760"/>
      <c r="AEB91" s="591">
        <v>206</v>
      </c>
      <c r="AEC91" s="759">
        <f t="shared" si="95"/>
        <v>2.5472727272727438</v>
      </c>
      <c r="AED91" s="760"/>
      <c r="AEE91" s="757">
        <f t="shared" si="86"/>
        <v>3.06</v>
      </c>
      <c r="AEF91" s="758"/>
      <c r="AEH91" s="759">
        <v>1.5454545454545501</v>
      </c>
      <c r="AEI91" s="760"/>
      <c r="AEJ91" s="759">
        <v>-2.1818181818181799</v>
      </c>
      <c r="AEK91" s="760"/>
      <c r="AEL91" s="591">
        <v>256</v>
      </c>
      <c r="AEM91" s="759">
        <f t="shared" si="101"/>
        <v>3.320000000000018</v>
      </c>
      <c r="AEN91" s="760"/>
      <c r="AEO91" s="757">
        <f t="shared" si="87"/>
        <v>3.56</v>
      </c>
      <c r="AEP91" s="758"/>
      <c r="AHW91" s="130"/>
      <c r="AHX91" s="130"/>
      <c r="ARG91" s="653"/>
      <c r="ARH91" s="653"/>
      <c r="ARI91" s="653"/>
      <c r="ARJ91" s="653"/>
      <c r="ARK91" s="653"/>
      <c r="ARL91" s="653"/>
      <c r="ARM91" s="653"/>
      <c r="ARN91" s="653"/>
      <c r="ARO91" s="653"/>
      <c r="ARW91" s="199"/>
      <c r="ARX91" s="852" t="s">
        <v>871</v>
      </c>
      <c r="ARY91" s="923"/>
      <c r="ARZ91" s="199"/>
      <c r="ASA91" s="1117" t="s">
        <v>879</v>
      </c>
      <c r="ASB91" s="1118"/>
      <c r="ASC91" s="1118"/>
      <c r="ASD91" s="1118"/>
      <c r="ASE91" s="1118"/>
      <c r="ASF91" s="1118"/>
      <c r="ASG91" s="1118"/>
      <c r="ASH91" s="1118"/>
      <c r="ASI91" s="1118"/>
      <c r="ASJ91" s="1118"/>
      <c r="ASK91" s="1119"/>
      <c r="ASL91" s="199"/>
      <c r="ATC91" s="130"/>
      <c r="ATD91" s="130"/>
      <c r="ATE91" s="130"/>
      <c r="ATF91" s="130"/>
      <c r="ATG91" s="130"/>
      <c r="ATH91" s="130"/>
      <c r="ATI91" s="130"/>
      <c r="ATJ91" s="130"/>
      <c r="ATN91" s="1507"/>
      <c r="ATO91" s="1508"/>
      <c r="ATP91" s="1509"/>
    </row>
    <row r="92" spans="4:908 1049:1212" ht="48" customHeight="1" thickBot="1">
      <c r="AI92" s="851"/>
      <c r="AJ92" s="769"/>
      <c r="AK92" s="764"/>
      <c r="AL92" s="764"/>
      <c r="AM92" s="764"/>
      <c r="AN92" s="764"/>
      <c r="AO92" s="764"/>
      <c r="AP92" s="764"/>
      <c r="AQ92" s="764"/>
      <c r="AR92" s="764"/>
      <c r="AS92" s="764"/>
      <c r="AT92" s="1444"/>
      <c r="AU92" s="773"/>
      <c r="AV92" s="1565"/>
      <c r="AW92" s="1572"/>
      <c r="AX92" s="1566"/>
      <c r="AY92" s="842"/>
      <c r="AZ92" s="1150"/>
      <c r="BA92" s="1151"/>
      <c r="BB92" s="848"/>
      <c r="BC92" s="81"/>
      <c r="BD92" s="79"/>
      <c r="BE92" s="80"/>
      <c r="BQ92" s="130"/>
      <c r="BR92" s="130"/>
      <c r="BS92" s="130"/>
      <c r="BT92" s="130"/>
      <c r="BX92" s="851"/>
      <c r="BY92" s="802" t="s">
        <v>1216</v>
      </c>
      <c r="BZ92" s="803"/>
      <c r="CA92" s="879">
        <f>$AP$7</f>
        <v>220</v>
      </c>
      <c r="CB92" s="879"/>
      <c r="CC92" s="811"/>
      <c r="CD92" s="772"/>
      <c r="CE92" s="772"/>
      <c r="CF92" s="772"/>
      <c r="CG92" s="772"/>
      <c r="CH92" s="772"/>
      <c r="CI92" s="772"/>
      <c r="CJ92" s="772"/>
      <c r="CK92" s="773"/>
      <c r="CL92" s="1169"/>
      <c r="CM92" s="799"/>
      <c r="CN92" s="1254"/>
      <c r="CO92" s="1191"/>
      <c r="CP92" s="842"/>
      <c r="CQ92" s="1173"/>
      <c r="CR92" s="1175"/>
      <c r="CS92" s="848"/>
      <c r="CT92" s="1053"/>
      <c r="CU92" s="1053"/>
      <c r="CV92" s="1053"/>
      <c r="CW92" s="1053"/>
      <c r="CX92" s="1053"/>
      <c r="DY92" s="653"/>
      <c r="DZ92" s="849"/>
      <c r="EA92" s="852" t="s">
        <v>416</v>
      </c>
      <c r="EB92" s="853"/>
      <c r="EC92" s="138"/>
      <c r="ED92" s="861" t="s">
        <v>1564</v>
      </c>
      <c r="EE92" s="861"/>
      <c r="EF92" s="761">
        <f>$EK$49</f>
        <v>25.438111676802539</v>
      </c>
      <c r="EG92" s="761"/>
      <c r="EH92" s="138"/>
      <c r="EI92" s="76" t="s">
        <v>441</v>
      </c>
      <c r="EJ92" s="854" t="s">
        <v>435</v>
      </c>
      <c r="EK92" s="855"/>
      <c r="EL92" s="920" t="s">
        <v>111</v>
      </c>
      <c r="EM92" s="921"/>
      <c r="EN92" s="916" t="s">
        <v>704</v>
      </c>
      <c r="EO92" s="917"/>
      <c r="EP92" s="906" t="s">
        <v>447</v>
      </c>
      <c r="EQ92" s="907"/>
      <c r="ER92" s="907"/>
      <c r="ES92" s="908"/>
      <c r="ET92" s="1051" t="s">
        <v>436</v>
      </c>
      <c r="EU92" s="1051"/>
      <c r="EV92" s="1051"/>
      <c r="EW92" s="1051"/>
      <c r="EX92" s="1051"/>
      <c r="EY92" s="1051"/>
      <c r="EZ92" s="1051"/>
      <c r="FA92" s="1051"/>
      <c r="FB92" s="1051"/>
      <c r="FC92" s="1051"/>
      <c r="FD92" s="1051"/>
      <c r="FE92" s="1051"/>
      <c r="FH92" s="653"/>
      <c r="FI92" s="865" t="s">
        <v>911</v>
      </c>
      <c r="FJ92" s="809" t="s">
        <v>1766</v>
      </c>
      <c r="FK92" s="797"/>
      <c r="FL92" s="797"/>
      <c r="FM92" s="877"/>
      <c r="FT92" s="126"/>
      <c r="FU92" s="126"/>
      <c r="FV92" s="126"/>
      <c r="FW92" s="126"/>
      <c r="FX92" s="126"/>
      <c r="GB92" s="130"/>
      <c r="GC92" s="130"/>
      <c r="GD92" s="130"/>
      <c r="GE92" s="130"/>
      <c r="HR92" s="220"/>
      <c r="HS92" s="220"/>
      <c r="HT92" s="220"/>
      <c r="HU92" s="220"/>
      <c r="HV92" s="220"/>
      <c r="HW92" s="220"/>
      <c r="HX92" s="220"/>
      <c r="HY92" s="220"/>
      <c r="HZ92" s="220"/>
      <c r="IA92" s="220"/>
      <c r="IB92" s="220"/>
      <c r="IC92" s="220"/>
      <c r="ID92" s="220"/>
      <c r="IE92" s="220"/>
      <c r="IF92" s="220"/>
      <c r="IG92" s="220"/>
      <c r="IH92" s="220"/>
      <c r="II92" s="220"/>
      <c r="IJ92" s="220"/>
      <c r="IK92" s="220"/>
      <c r="IL92" s="220"/>
      <c r="IM92" s="220"/>
      <c r="IN92" s="220"/>
      <c r="IO92" s="220"/>
      <c r="IP92" s="220"/>
      <c r="JO92" s="653"/>
      <c r="JP92" s="653"/>
      <c r="JQ92" s="653"/>
      <c r="JR92" s="653"/>
      <c r="JS92" s="653"/>
      <c r="JX92" s="849"/>
      <c r="JY92" s="852" t="s">
        <v>416</v>
      </c>
      <c r="JZ92" s="853"/>
      <c r="KA92" s="142"/>
      <c r="KB92" s="321" t="s">
        <v>1166</v>
      </c>
      <c r="KC92" s="766">
        <f>$KL$87</f>
        <v>1357.5592856044307</v>
      </c>
      <c r="KD92" s="766"/>
      <c r="KE92" s="321" t="s">
        <v>1149</v>
      </c>
      <c r="KF92" s="926">
        <f>$KI$64</f>
        <v>1068.1926267519793</v>
      </c>
      <c r="KG92" s="926"/>
      <c r="KH92" s="142"/>
      <c r="KI92" s="76" t="s">
        <v>441</v>
      </c>
      <c r="KJ92" s="854" t="s">
        <v>435</v>
      </c>
      <c r="KK92" s="1111"/>
      <c r="KL92" s="924" t="s">
        <v>111</v>
      </c>
      <c r="KM92" s="925"/>
      <c r="KN92" s="916" t="s">
        <v>704</v>
      </c>
      <c r="KO92" s="917"/>
      <c r="KP92" s="906" t="s">
        <v>447</v>
      </c>
      <c r="KQ92" s="907"/>
      <c r="KR92" s="907"/>
      <c r="KS92" s="908"/>
      <c r="KT92" s="906" t="s">
        <v>436</v>
      </c>
      <c r="KU92" s="907"/>
      <c r="KV92" s="908"/>
      <c r="LQ92" s="130"/>
      <c r="LR92" s="130"/>
      <c r="LS92" s="130"/>
      <c r="LT92" s="130"/>
      <c r="LU92" s="130"/>
      <c r="LV92" s="130"/>
      <c r="LW92" s="130"/>
      <c r="LX92" s="130"/>
      <c r="LY92" s="130"/>
      <c r="MB92" s="850"/>
      <c r="MC92" s="348" t="s">
        <v>1078</v>
      </c>
      <c r="MD92" s="761">
        <f>$CN$54</f>
        <v>58.696468820435761</v>
      </c>
      <c r="ME92" s="761"/>
      <c r="MF92" s="775" t="s">
        <v>1242</v>
      </c>
      <c r="MG92" s="776"/>
      <c r="MH92" s="776"/>
      <c r="MI92" s="776"/>
      <c r="MJ92" s="797"/>
      <c r="MK92" s="797"/>
      <c r="ML92" s="797"/>
      <c r="MM92" s="797"/>
      <c r="MN92" s="797"/>
      <c r="MO92" s="798"/>
      <c r="MP92" s="835">
        <f>MH91*(MD92/MD93)</f>
        <v>2.1399404851612732E-2</v>
      </c>
      <c r="MQ92" s="836"/>
      <c r="MR92" s="1188" t="s">
        <v>392</v>
      </c>
      <c r="MS92" s="1189"/>
      <c r="MT92" s="1066"/>
      <c r="MU92" s="843" t="s">
        <v>1241</v>
      </c>
      <c r="MV92" s="844"/>
      <c r="MW92" s="847"/>
      <c r="MX92" s="826"/>
      <c r="MY92" s="945"/>
      <c r="MZ92" s="945"/>
      <c r="NA92" s="945"/>
      <c r="NB92" s="946"/>
      <c r="OY92" s="130"/>
      <c r="OZ92" s="130"/>
      <c r="PA92" s="130"/>
      <c r="PB92" s="130"/>
      <c r="PN92" s="466"/>
      <c r="PO92" s="852" t="s">
        <v>857</v>
      </c>
      <c r="PP92" s="923"/>
      <c r="PQ92" s="466"/>
      <c r="PR92" s="1069" t="s">
        <v>1524</v>
      </c>
      <c r="PS92" s="1070"/>
      <c r="PT92" s="1070"/>
      <c r="PU92" s="1070"/>
      <c r="PV92" s="1070"/>
      <c r="PW92" s="1070"/>
      <c r="PX92" s="1070"/>
      <c r="PY92" s="1070"/>
      <c r="PZ92" s="1070"/>
      <c r="QA92" s="1070"/>
      <c r="QB92" s="1071"/>
      <c r="QC92" s="466"/>
      <c r="RE92" s="653"/>
      <c r="RF92" s="653"/>
      <c r="RG92" s="653"/>
      <c r="RH92" s="653"/>
      <c r="RI92" s="653"/>
      <c r="RJ92" s="653"/>
      <c r="RK92" s="653"/>
      <c r="RL92" s="653"/>
      <c r="RM92" s="653"/>
      <c r="RN92" s="653"/>
      <c r="RO92" s="653"/>
      <c r="RP92" s="653"/>
      <c r="RQ92" s="653"/>
      <c r="RR92" s="653"/>
      <c r="RS92" s="653"/>
      <c r="RT92" s="653"/>
      <c r="RU92" s="653"/>
      <c r="RV92" s="653"/>
      <c r="RW92" s="653"/>
      <c r="RX92" s="653"/>
      <c r="RY92" s="653"/>
      <c r="RZ92" s="653"/>
      <c r="SA92" s="653"/>
      <c r="SB92" s="653"/>
      <c r="SC92" s="653"/>
      <c r="SD92" s="653"/>
      <c r="SE92" s="653"/>
      <c r="SF92" s="653"/>
      <c r="SG92" s="653"/>
      <c r="SH92" s="653"/>
      <c r="SI92" s="653"/>
      <c r="SJ92" s="653"/>
      <c r="SK92" s="653"/>
      <c r="SL92" s="653"/>
      <c r="SM92" s="653"/>
      <c r="SN92" s="653"/>
      <c r="SO92" s="653"/>
      <c r="SP92" s="653"/>
      <c r="SQ92" s="653"/>
      <c r="SR92" s="653"/>
      <c r="SS92" s="653"/>
      <c r="ST92" s="653"/>
      <c r="SU92" s="653"/>
      <c r="SV92" s="653"/>
      <c r="SW92" s="653"/>
      <c r="SX92" s="653"/>
      <c r="SY92" s="653"/>
      <c r="SZ92" s="653"/>
      <c r="TA92" s="653"/>
      <c r="TB92" s="653"/>
      <c r="TC92" s="653"/>
      <c r="TD92" s="653"/>
      <c r="TE92" s="653"/>
      <c r="TF92" s="653"/>
      <c r="TG92" s="653"/>
      <c r="TH92" s="653"/>
      <c r="TI92" s="653"/>
      <c r="TJ92" s="653"/>
      <c r="TK92" s="653"/>
      <c r="TL92" s="653"/>
      <c r="TM92" s="653"/>
      <c r="TN92" s="653"/>
      <c r="TO92" s="653"/>
      <c r="TP92" s="653"/>
      <c r="TQ92" s="653"/>
      <c r="TR92" s="653"/>
      <c r="TS92" s="653"/>
      <c r="TT92" s="653"/>
      <c r="TU92" s="653"/>
      <c r="TV92" s="653"/>
      <c r="TW92" s="653"/>
      <c r="TX92" s="653"/>
      <c r="TY92" s="653"/>
      <c r="TZ92" s="653"/>
      <c r="UA92" s="653"/>
      <c r="UB92" s="653"/>
      <c r="UC92" s="653"/>
      <c r="UD92" s="653"/>
      <c r="UE92" s="653"/>
      <c r="UF92" s="653"/>
      <c r="UG92" s="653"/>
      <c r="UH92" s="653"/>
      <c r="UI92" s="653"/>
      <c r="UJ92" s="653"/>
      <c r="UK92" s="653"/>
      <c r="UL92" s="653"/>
      <c r="UM92" s="653"/>
      <c r="UN92" s="653"/>
      <c r="UO92" s="653"/>
      <c r="UP92" s="653"/>
      <c r="UQ92" s="653"/>
      <c r="UR92" s="653"/>
      <c r="US92" s="653"/>
      <c r="UT92" s="653"/>
      <c r="UU92" s="653"/>
      <c r="UV92" s="653"/>
      <c r="UW92" s="653"/>
      <c r="UX92" s="653"/>
      <c r="UY92" s="653"/>
      <c r="UZ92" s="653"/>
      <c r="VW92" s="653"/>
      <c r="VX92" s="653"/>
      <c r="VY92" s="653"/>
      <c r="VZ92" s="653"/>
      <c r="WE92" s="996"/>
      <c r="WF92" s="997"/>
      <c r="WG92" s="175"/>
      <c r="WH92" s="173"/>
      <c r="WI92" s="173"/>
      <c r="WJ92" s="173"/>
      <c r="WK92" s="173"/>
      <c r="WL92" s="173"/>
      <c r="WM92" s="173"/>
      <c r="WN92" s="173"/>
      <c r="WO92" s="173"/>
      <c r="WP92" s="173"/>
      <c r="WQ92" s="173"/>
      <c r="WR92" s="173"/>
      <c r="WS92" s="173"/>
      <c r="WT92" s="173"/>
      <c r="WU92" s="173"/>
      <c r="WV92" s="173"/>
      <c r="WW92" s="173"/>
      <c r="WX92" s="173"/>
      <c r="WY92" s="174"/>
      <c r="WZ92" s="1085"/>
      <c r="XA92" s="1085"/>
      <c r="XB92" s="175"/>
      <c r="XC92" s="173"/>
      <c r="XD92" s="173"/>
      <c r="XE92" s="173"/>
      <c r="XF92" s="174"/>
      <c r="XG92" s="693" t="str">
        <f t="shared" ref="XG92:YL92" si="108" xml:space="preserve">
IF($ADK$85&lt;1,"Ошибка",
IF(OR(AND($ADK$85&gt;XG80,XG80&gt;$ADA$134),XG80 = $ADK$85),$ADI$85,
IF(OR(AND($ADK$86&gt;XG80,XG80&gt;$ADK$85),XG80 = $ADK$86),$ADI$86,
IF(OR(AND($ADK$87&gt;XG80,XG80&gt;$ADK$86),XG80 = $ADK$87),$ADI$87,
IF(OR(AND($ADK$88&gt;XG80,XG80&gt;$ADK$87),XG80 = $ADK$88),$ADI$88,
IF(OR(AND($ADK$89&gt;XG80,XG80&gt;$ADK$88),XG80 = $ADK$89),$ADI$89,
IF(OR(AND($ADK$90&gt;XG80,XG80&gt;$ADK$89),XG80 = $ADK$90),$ADI$90,
IF(OR(AND($ADK$91&gt;XG80,XG80&gt;$ADK$90),XG80 = $ADK$91),$ADI$91,
IF(OR(AND($ADK$92&gt;XG80,XG80&gt;$ADK$91),XG80 = $ADK$92),$ADI$92,
IF(OR(AND($ADK$93&gt;XG80,XG80&gt;$ADK$92),XG80 = $ADK$93),$ADI$93,
IF(OR(AND($ADK$94&gt;XG80,XG80&gt;$ADK$93),XG80 = $ADK$94),$ADI$94,
IF(OR(AND($ADK$95&gt;XG80,XG80&gt;$ADK$94),XG80 = $ADK$95),$ADI$95,
IF(OR(AND($ADK$96&gt;XG80,XG80&gt;$ADK$95),XG80 = $ADK$96),$ADI$96,
IF(OR(AND($ADK$97&gt;XG80,XG80&gt;$ADK$96),XG80 = $ADK$97),$ADI$97,
IF(OR(AND($ADK$98&gt;XG80,XG80&gt;$ADK$97),XG80 = $ADK$98),$ADI$98,
IF(OR(AND($ADK$99&gt;XG80,XG80&gt;$ADK$98),XG80 = $ADK$99),$ADI$99,
IF(OR(AND($ADK$100&gt;XG80,XG80&gt;$ADK$99),XG80= $ADK$100),$ADI$100,
IF(OR(AND($ADK$101&gt;XG80,XG80&gt;$ADK$100),XG80 = $ADK$101),$ADI$101,
IF(OR(AND($ADK$102&gt;XG80,XG80&gt;$ADK$101),XG80 = $ADK$102),$ADI$102,
IF(OR(AND($ADK$103&gt;XG80,XG80&gt;$ADK$102),XG80 = $ADK$103),$ADI$103,
IF(OR(AND($ADK$104&gt;XG80,XG80&gt;$ADK$103),XG80 = $ADK$104),$ADI$104,
IF(OR(AND($ADK$105&gt;XG80,XG80&gt;$ADK$104),XG80 = $ADK$105),$ADI$105,
IF(OR(AND($ADK$106&gt;XG80,XG80&gt;$ADK$105),XG80 = $ADK$106),$ADI$106,
IF(OR(AND($ADK$107&gt;XG80,XG80&gt;$ADK$106),XG80 = $ADK$107),$ADI$107,
IF(OR(AND($ADK$108&gt;XG80,XG80&gt;$ADK$107),XG80 = $ADK$108),$ADI$108,
IF(OR(AND($ADK$109&gt;XG80,XG80&gt;$ADK$108),XG80 = $ADK$109),$ADI$109,
IF(OR(AND($ADK$110&gt;XG80,XG80&gt;$ADK$109),XG80 = $ADK$110),$ADI$110,
IF(OR(AND($ADK$111&gt;XG80,XG80&gt;$ADK$110),XG80 = $ADK$111),$ADI$111,
IF(OR(AND($ADK$112&gt;XG80,XG80&gt;$ADK$111),XG80 = $ADK$112),$ADI$112,
IF(OR(AND($ADK$113&gt;XG80,XG80&gt;$ADK$112),XG80 = $ADK$113),$ADI$113,
IF(OR(AND($ADK$114&gt;XG80,XG80&gt;$ADK$113),XG80 = $ADK$114),$ADI$114,
IF(OR(AND($ADK$115&gt;XG80,XG80&gt;$ADK$114),XG80 = $ADK$115),$ADI$115,
IF(OR(AND($ADK$116&gt;XG80,XG80&gt;$ADK$115),XG80 = $ADK$116),$ADI$116,
IF(OR(AND($ADK$117&gt;XG80,XG80&gt;$ADK$116),XG80 = $ADK$117),$ADI$117,
IF(OR(AND($ADK$118&gt;XG80,XG80&gt;$ADK$117),XG80 = $ADK$118),$ADI$118,
IF(OR(AND($ADK$119&gt;XG80,XG80&gt;$ADK$118),XG80 = $ADK$119),$ADI$119,
IF(OR(AND($ADK$120&gt;XG80,XG80&gt;$ADK$119),XG80 = $ADK$120),$ADI$120,
IF(OR(AND($ADK$121&gt;XG80,XG80&gt;$ADK$120),XG80 = $ADK$121),$ADI$121,
IF(OR(AND($ADK$122&gt;XG80,XG80&gt;$ADK$121),XG80 = $ADK$122),$ADI$122,
IF(OR(AND($ADK$123&gt;XG80,XG80&gt;$ADK$122),XG80 = $ADK$123),$ADI$123,
IF(OR(AND($ADK$124&gt;XG80,XG80&gt;$ADK$123),XG80 = $ADK$124),$ADI$124,
IF(OR(AND($ADK$125&gt;XG80,XG80&gt;$ADK$124),XG80 = $ADK$125),$ADI$125,
IF(OR(AND($ADK$126&gt;XG80,XG80&gt;$ADK$125),XG80 = $ADK$126),$ADI$126,
IF(OR(AND($ADK$127&gt;XG80,XG80&gt;$ADK$126),XG80 = $ADK$127),$ADI$127,
IF(OR(AND($ADK$128&gt;XG80,XG80&gt;$ADK$127),XG80 = $ADK$128),$ADI$128,
IF(OR(AND($ADK$129&gt;XG80,XG80&gt;$ADK$128),XG80 = $ADK$129),$ADI$129,
IF(OR(AND($ADK$130&gt;XG80,XG80&gt;$ADK$129),XG80 = $ADK$130),$ADI$130,
IF(OR(AND($ADK$131&gt;XG80,XG80&gt;$ADK$130),XG80 = $ADK$131),$ADI$131,
IF(OR(AND($ADK$132&gt;XG80,XG80&gt;$ADK$131),XG80 = $ADK$132),$ADI$132,
IF(OR(AND($ADK$133&gt;XG80,XG80&gt;$ADK$132),XG80 = $ADK$133),$ADI$133,
IF(OR(AND($ADK$134&gt;XG80,XG80&gt;$ADK$133),XG80 = $ADK$134),$ADI$134,
"Y")))))))))))))))))))))))))))))))))))))))))))))))))))</f>
        <v>Y</v>
      </c>
      <c r="XH92" s="693" t="str">
        <f t="shared" si="108"/>
        <v>Y</v>
      </c>
      <c r="XI92" s="693" t="str">
        <f t="shared" si="108"/>
        <v>Y</v>
      </c>
      <c r="XJ92" s="693" t="str">
        <f t="shared" si="108"/>
        <v>Y</v>
      </c>
      <c r="XK92" s="693" t="str">
        <f t="shared" si="108"/>
        <v>Y</v>
      </c>
      <c r="XL92" s="693" t="str">
        <f t="shared" si="108"/>
        <v>Y</v>
      </c>
      <c r="XM92" s="693" t="str">
        <f t="shared" si="108"/>
        <v>Y</v>
      </c>
      <c r="XN92" s="693" t="str">
        <f t="shared" si="108"/>
        <v>Y</v>
      </c>
      <c r="XO92" s="693" t="str">
        <f t="shared" si="108"/>
        <v>Y</v>
      </c>
      <c r="XP92" s="693" t="str">
        <f t="shared" si="108"/>
        <v>Y</v>
      </c>
      <c r="XQ92" s="693" t="str">
        <f t="shared" si="108"/>
        <v>Y</v>
      </c>
      <c r="XR92" s="693" t="str">
        <f t="shared" si="108"/>
        <v>Y</v>
      </c>
      <c r="XS92" s="693" t="str">
        <f t="shared" si="108"/>
        <v>Y</v>
      </c>
      <c r="XT92" s="693" t="str">
        <f t="shared" si="108"/>
        <v>Y</v>
      </c>
      <c r="XU92" s="693" t="str">
        <f t="shared" si="108"/>
        <v>Y</v>
      </c>
      <c r="XV92" s="693" t="str">
        <f t="shared" si="108"/>
        <v>Y</v>
      </c>
      <c r="XW92" s="693" t="str">
        <f t="shared" si="108"/>
        <v>Y</v>
      </c>
      <c r="XX92" s="693" t="str">
        <f t="shared" si="108"/>
        <v>Y</v>
      </c>
      <c r="XY92" s="693" t="str">
        <f t="shared" si="108"/>
        <v>Y</v>
      </c>
      <c r="XZ92" s="693" t="str">
        <f t="shared" si="108"/>
        <v>Y</v>
      </c>
      <c r="YA92" s="693" t="str">
        <f t="shared" si="108"/>
        <v>Y</v>
      </c>
      <c r="YB92" s="693" t="str">
        <f t="shared" si="108"/>
        <v>Y</v>
      </c>
      <c r="YC92" s="693" t="str">
        <f t="shared" si="108"/>
        <v>Y</v>
      </c>
      <c r="YD92" s="693" t="str">
        <f t="shared" si="108"/>
        <v>Y</v>
      </c>
      <c r="YE92" s="693" t="str">
        <f t="shared" si="108"/>
        <v>Y</v>
      </c>
      <c r="YF92" s="693" t="str">
        <f t="shared" si="108"/>
        <v>Y</v>
      </c>
      <c r="YG92" s="693" t="str">
        <f t="shared" si="108"/>
        <v>Y</v>
      </c>
      <c r="YH92" s="693" t="str">
        <f t="shared" si="108"/>
        <v>Y</v>
      </c>
      <c r="YI92" s="693" t="str">
        <f t="shared" si="108"/>
        <v>Y</v>
      </c>
      <c r="YJ92" s="693" t="str">
        <f t="shared" si="108"/>
        <v>Y</v>
      </c>
      <c r="YK92" s="693" t="str">
        <f t="shared" si="108"/>
        <v>Y</v>
      </c>
      <c r="YL92" s="693" t="str">
        <f t="shared" si="108"/>
        <v>Y</v>
      </c>
      <c r="YM92" s="693">
        <f t="shared" ref="YM92:ZR92" si="109" xml:space="preserve">
IF($ADK$85&lt;1,"Ошибка",
IF(OR(AND($ADK$85&gt;YM80,YM80&gt;$ADA$134),YM80 = $ADK$85),$ADI$85,
IF(OR(AND($ADK$86&gt;YM80,YM80&gt;$ADK$85),YM80 = $ADK$86),$ADI$86,
IF(OR(AND($ADK$87&gt;YM80,YM80&gt;$ADK$86),YM80 = $ADK$87),$ADI$87,
IF(OR(AND($ADK$88&gt;YM80,YM80&gt;$ADK$87),YM80 = $ADK$88),$ADI$88,
IF(OR(AND($ADK$89&gt;YM80,YM80&gt;$ADK$88),YM80 = $ADK$89),$ADI$89,
IF(OR(AND($ADK$90&gt;YM80,YM80&gt;$ADK$89),YM80 = $ADK$90),$ADI$90,
IF(OR(AND($ADK$91&gt;YM80,YM80&gt;$ADK$90),YM80 = $ADK$91),$ADI$91,
IF(OR(AND($ADK$92&gt;YM80,YM80&gt;$ADK$91),YM80 = $ADK$92),$ADI$92,
IF(OR(AND($ADK$93&gt;YM80,YM80&gt;$ADK$92),YM80 = $ADK$93),$ADI$93,
IF(OR(AND($ADK$94&gt;YM80,YM80&gt;$ADK$93),YM80 = $ADK$94),$ADI$94,
IF(OR(AND($ADK$95&gt;YM80,YM80&gt;$ADK$94),YM80 = $ADK$95),$ADI$95,
IF(OR(AND($ADK$96&gt;YM80,YM80&gt;$ADK$95),YM80 = $ADK$96),$ADI$96,
IF(OR(AND($ADK$97&gt;YM80,YM80&gt;$ADK$96),YM80 = $ADK$97),$ADI$97,
IF(OR(AND($ADK$98&gt;YM80,YM80&gt;$ADK$97),YM80 = $ADK$98),$ADI$98,
IF(OR(AND($ADK$99&gt;YM80,YM80&gt;$ADK$98),YM80 = $ADK$99),$ADI$99,
IF(OR(AND($ADK$100&gt;YM80,YM80&gt;$ADK$99),YM80= $ADK$100),$ADI$100,
IF(OR(AND($ADK$101&gt;YM80,YM80&gt;$ADK$100),YM80 = $ADK$101),$ADI$101,
IF(OR(AND($ADK$102&gt;YM80,YM80&gt;$ADK$101),YM80 = $ADK$102),$ADI$102,
IF(OR(AND($ADK$103&gt;YM80,YM80&gt;$ADK$102),YM80 = $ADK$103),$ADI$103,
IF(OR(AND($ADK$104&gt;YM80,YM80&gt;$ADK$103),YM80 = $ADK$104),$ADI$104,
IF(OR(AND($ADK$105&gt;YM80,YM80&gt;$ADK$104),YM80 = $ADK$105),$ADI$105,
IF(OR(AND($ADK$106&gt;YM80,YM80&gt;$ADK$105),YM80 = $ADK$106),$ADI$106,
IF(OR(AND($ADK$107&gt;YM80,YM80&gt;$ADK$106),YM80 = $ADK$107),$ADI$107,
IF(OR(AND($ADK$108&gt;YM80,YM80&gt;$ADK$107),YM80 = $ADK$108),$ADI$108,
IF(OR(AND($ADK$109&gt;YM80,YM80&gt;$ADK$108),YM80 = $ADK$109),$ADI$109,
IF(OR(AND($ADK$110&gt;YM80,YM80&gt;$ADK$109),YM80 = $ADK$110),$ADI$110,
IF(OR(AND($ADK$111&gt;YM80,YM80&gt;$ADK$110),YM80 = $ADK$111),$ADI$111,
IF(OR(AND($ADK$112&gt;YM80,YM80&gt;$ADK$111),YM80 = $ADK$112),$ADI$112,
IF(OR(AND($ADK$113&gt;YM80,YM80&gt;$ADK$112),YM80 = $ADK$113),$ADI$113,
IF(OR(AND($ADK$114&gt;YM80,YM80&gt;$ADK$113),YM80 = $ADK$114),$ADI$114,
IF(OR(AND($ADK$115&gt;YM80,YM80&gt;$ADK$114),YM80 = $ADK$115),$ADI$115,
IF(OR(AND($ADK$116&gt;YM80,YM80&gt;$ADK$115),YM80 = $ADK$116),$ADI$116,
IF(OR(AND($ADK$117&gt;YM80,YM80&gt;$ADK$116),YM80 = $ADK$117),$ADI$117,
IF(OR(AND($ADK$118&gt;YM80,YM80&gt;$ADK$117),YM80 = $ADK$118),$ADI$118,
IF(OR(AND($ADK$119&gt;YM80,YM80&gt;$ADK$118),YM80 = $ADK$119),$ADI$119,
IF(OR(AND($ADK$120&gt;YM80,YM80&gt;$ADK$119),YM80 = $ADK$120),$ADI$120,
IF(OR(AND($ADK$121&gt;YM80,YM80&gt;$ADK$120),YM80 = $ADK$121),$ADI$121,
IF(OR(AND($ADK$122&gt;YM80,YM80&gt;$ADK$121),YM80 = $ADK$122),$ADI$122,
IF(OR(AND($ADK$123&gt;YM80,YM80&gt;$ADK$122),YM80 = $ADK$123),$ADI$123,
IF(OR(AND($ADK$124&gt;YM80,YM80&gt;$ADK$123),YM80 = $ADK$124),$ADI$124,
IF(OR(AND($ADK$125&gt;YM80,YM80&gt;$ADK$124),YM80 = $ADK$125),$ADI$125,
IF(OR(AND($ADK$126&gt;YM80,YM80&gt;$ADK$125),YM80 = $ADK$126),$ADI$126,
IF(OR(AND($ADK$127&gt;YM80,YM80&gt;$ADK$126),YM80 = $ADK$127),$ADI$127,
IF(OR(AND($ADK$128&gt;YM80,YM80&gt;$ADK$127),YM80 = $ADK$128),$ADI$128,
IF(OR(AND($ADK$129&gt;YM80,YM80&gt;$ADK$128),YM80 = $ADK$129),$ADI$129,
IF(OR(AND($ADK$130&gt;YM80,YM80&gt;$ADK$129),YM80 = $ADK$130),$ADI$130,
IF(OR(AND($ADK$131&gt;YM80,YM80&gt;$ADK$130),YM80 = $ADK$131),$ADI$131,
IF(OR(AND($ADK$132&gt;YM80,YM80&gt;$ADK$131),YM80 = $ADK$132),$ADI$132,
IF(OR(AND($ADK$133&gt;YM80,YM80&gt;$ADK$132),YM80 = $ADK$133),$ADI$133,
IF(OR(AND($ADK$134&gt;YM80,YM80&gt;$ADK$133),YM80 = $ADK$134),$ADI$134,
"Y")))))))))))))))))))))))))))))))))))))))))))))))))))</f>
        <v>0.94000000000001149</v>
      </c>
      <c r="YN92" s="693">
        <f t="shared" si="109"/>
        <v>0.98636363636364743</v>
      </c>
      <c r="YO92" s="693">
        <f t="shared" si="109"/>
        <v>1.0327272727272843</v>
      </c>
      <c r="YP92" s="693">
        <f t="shared" si="109"/>
        <v>1.0790909090909211</v>
      </c>
      <c r="YQ92" s="693">
        <f t="shared" si="109"/>
        <v>1.1254545454545575</v>
      </c>
      <c r="YR92" s="693">
        <f t="shared" si="109"/>
        <v>1.1718181818181939</v>
      </c>
      <c r="YS92" s="693">
        <f t="shared" si="109"/>
        <v>1.2181818181818307</v>
      </c>
      <c r="YT92" s="693">
        <f t="shared" si="109"/>
        <v>1.249090909090921</v>
      </c>
      <c r="YU92" s="693">
        <f t="shared" si="109"/>
        <v>1.2954545454545578</v>
      </c>
      <c r="YV92" s="693">
        <f t="shared" si="109"/>
        <v>1.3418181818181947</v>
      </c>
      <c r="YW92" s="693">
        <f t="shared" si="109"/>
        <v>1.3881818181818311</v>
      </c>
      <c r="YX92" s="693">
        <f t="shared" si="109"/>
        <v>1.4190909090909218</v>
      </c>
      <c r="YY92" s="693">
        <f t="shared" si="109"/>
        <v>1.4654545454545587</v>
      </c>
      <c r="YZ92" s="693">
        <f t="shared" si="109"/>
        <v>1.496363636363649</v>
      </c>
      <c r="ZA92" s="693">
        <f t="shared" si="109"/>
        <v>1.5427272727272858</v>
      </c>
      <c r="ZB92" s="693">
        <f t="shared" si="109"/>
        <v>1.5890909090909222</v>
      </c>
      <c r="ZC92" s="693">
        <f t="shared" si="109"/>
        <v>1.6200000000000134</v>
      </c>
      <c r="ZD92" s="693">
        <f t="shared" si="109"/>
        <v>1.6663636363636503</v>
      </c>
      <c r="ZE92" s="693" t="str">
        <f t="shared" si="109"/>
        <v>Y</v>
      </c>
      <c r="ZF92" s="693" t="str">
        <f t="shared" si="109"/>
        <v>Y</v>
      </c>
      <c r="ZG92" s="693" t="str">
        <f t="shared" si="109"/>
        <v>Y</v>
      </c>
      <c r="ZH92" s="693" t="str">
        <f t="shared" si="109"/>
        <v>Y</v>
      </c>
      <c r="ZI92" s="693" t="str">
        <f t="shared" si="109"/>
        <v>Y</v>
      </c>
      <c r="ZJ92" s="693" t="str">
        <f t="shared" si="109"/>
        <v>Y</v>
      </c>
      <c r="ZK92" s="693" t="str">
        <f t="shared" si="109"/>
        <v>Y</v>
      </c>
      <c r="ZL92" s="693" t="str">
        <f t="shared" si="109"/>
        <v>Y</v>
      </c>
      <c r="ZM92" s="693" t="str">
        <f t="shared" si="109"/>
        <v>Y</v>
      </c>
      <c r="ZN92" s="693" t="str">
        <f t="shared" si="109"/>
        <v>Y</v>
      </c>
      <c r="ZO92" s="693" t="str">
        <f t="shared" si="109"/>
        <v>Y</v>
      </c>
      <c r="ZP92" s="693" t="str">
        <f t="shared" si="109"/>
        <v>Y</v>
      </c>
      <c r="ZQ92" s="693" t="str">
        <f t="shared" si="109"/>
        <v>Y</v>
      </c>
      <c r="ZR92" s="693" t="str">
        <f t="shared" si="109"/>
        <v>Y</v>
      </c>
      <c r="ZS92" s="693" t="str">
        <f t="shared" ref="ZS92:AAS92" si="110" xml:space="preserve">
IF($ADK$85&lt;1,"Ошибка",
IF(OR(AND($ADK$85&gt;ZS80,ZS80&gt;$ADA$134),ZS80 = $ADK$85),$ADI$85,
IF(OR(AND($ADK$86&gt;ZS80,ZS80&gt;$ADK$85),ZS80 = $ADK$86),$ADI$86,
IF(OR(AND($ADK$87&gt;ZS80,ZS80&gt;$ADK$86),ZS80 = $ADK$87),$ADI$87,
IF(OR(AND($ADK$88&gt;ZS80,ZS80&gt;$ADK$87),ZS80 = $ADK$88),$ADI$88,
IF(OR(AND($ADK$89&gt;ZS80,ZS80&gt;$ADK$88),ZS80 = $ADK$89),$ADI$89,
IF(OR(AND($ADK$90&gt;ZS80,ZS80&gt;$ADK$89),ZS80 = $ADK$90),$ADI$90,
IF(OR(AND($ADK$91&gt;ZS80,ZS80&gt;$ADK$90),ZS80 = $ADK$91),$ADI$91,
IF(OR(AND($ADK$92&gt;ZS80,ZS80&gt;$ADK$91),ZS80 = $ADK$92),$ADI$92,
IF(OR(AND($ADK$93&gt;ZS80,ZS80&gt;$ADK$92),ZS80 = $ADK$93),$ADI$93,
IF(OR(AND($ADK$94&gt;ZS80,ZS80&gt;$ADK$93),ZS80 = $ADK$94),$ADI$94,
IF(OR(AND($ADK$95&gt;ZS80,ZS80&gt;$ADK$94),ZS80 = $ADK$95),$ADI$95,
IF(OR(AND($ADK$96&gt;ZS80,ZS80&gt;$ADK$95),ZS80 = $ADK$96),$ADI$96,
IF(OR(AND($ADK$97&gt;ZS80,ZS80&gt;$ADK$96),ZS80 = $ADK$97),$ADI$97,
IF(OR(AND($ADK$98&gt;ZS80,ZS80&gt;$ADK$97),ZS80 = $ADK$98),$ADI$98,
IF(OR(AND($ADK$99&gt;ZS80,ZS80&gt;$ADK$98),ZS80 = $ADK$99),$ADI$99,
IF(OR(AND($ADK$100&gt;ZS80,ZS80&gt;$ADK$99),ZS80= $ADK$100),$ADI$100,
IF(OR(AND($ADK$101&gt;ZS80,ZS80&gt;$ADK$100),ZS80 = $ADK$101),$ADI$101,
IF(OR(AND($ADK$102&gt;ZS80,ZS80&gt;$ADK$101),ZS80 = $ADK$102),$ADI$102,
IF(OR(AND($ADK$103&gt;ZS80,ZS80&gt;$ADK$102),ZS80 = $ADK$103),$ADI$103,
IF(OR(AND($ADK$104&gt;ZS80,ZS80&gt;$ADK$103),ZS80 = $ADK$104),$ADI$104,
IF(OR(AND($ADK$105&gt;ZS80,ZS80&gt;$ADK$104),ZS80 = $ADK$105),$ADI$105,
IF(OR(AND($ADK$106&gt;ZS80,ZS80&gt;$ADK$105),ZS80 = $ADK$106),$ADI$106,
IF(OR(AND($ADK$107&gt;ZS80,ZS80&gt;$ADK$106),ZS80 = $ADK$107),$ADI$107,
IF(OR(AND($ADK$108&gt;ZS80,ZS80&gt;$ADK$107),ZS80 = $ADK$108),$ADI$108,
IF(OR(AND($ADK$109&gt;ZS80,ZS80&gt;$ADK$108),ZS80 = $ADK$109),$ADI$109,
IF(OR(AND($ADK$110&gt;ZS80,ZS80&gt;$ADK$109),ZS80 = $ADK$110),$ADI$110,
IF(OR(AND($ADK$111&gt;ZS80,ZS80&gt;$ADK$110),ZS80 = $ADK$111),$ADI$111,
IF(OR(AND($ADK$112&gt;ZS80,ZS80&gt;$ADK$111),ZS80 = $ADK$112),$ADI$112,
IF(OR(AND($ADK$113&gt;ZS80,ZS80&gt;$ADK$112),ZS80 = $ADK$113),$ADI$113,
IF(OR(AND($ADK$114&gt;ZS80,ZS80&gt;$ADK$113),ZS80 = $ADK$114),$ADI$114,
IF(OR(AND($ADK$115&gt;ZS80,ZS80&gt;$ADK$114),ZS80 = $ADK$115),$ADI$115,
IF(OR(AND($ADK$116&gt;ZS80,ZS80&gt;$ADK$115),ZS80 = $ADK$116),$ADI$116,
IF(OR(AND($ADK$117&gt;ZS80,ZS80&gt;$ADK$116),ZS80 = $ADK$117),$ADI$117,
IF(OR(AND($ADK$118&gt;ZS80,ZS80&gt;$ADK$117),ZS80 = $ADK$118),$ADI$118,
IF(OR(AND($ADK$119&gt;ZS80,ZS80&gt;$ADK$118),ZS80 = $ADK$119),$ADI$119,
IF(OR(AND($ADK$120&gt;ZS80,ZS80&gt;$ADK$119),ZS80 = $ADK$120),$ADI$120,
IF(OR(AND($ADK$121&gt;ZS80,ZS80&gt;$ADK$120),ZS80 = $ADK$121),$ADI$121,
IF(OR(AND($ADK$122&gt;ZS80,ZS80&gt;$ADK$121),ZS80 = $ADK$122),$ADI$122,
IF(OR(AND($ADK$123&gt;ZS80,ZS80&gt;$ADK$122),ZS80 = $ADK$123),$ADI$123,
IF(OR(AND($ADK$124&gt;ZS80,ZS80&gt;$ADK$123),ZS80 = $ADK$124),$ADI$124,
IF(OR(AND($ADK$125&gt;ZS80,ZS80&gt;$ADK$124),ZS80 = $ADK$125),$ADI$125,
IF(OR(AND($ADK$126&gt;ZS80,ZS80&gt;$ADK$125),ZS80 = $ADK$126),$ADI$126,
IF(OR(AND($ADK$127&gt;ZS80,ZS80&gt;$ADK$126),ZS80 = $ADK$127),$ADI$127,
IF(OR(AND($ADK$128&gt;ZS80,ZS80&gt;$ADK$127),ZS80 = $ADK$128),$ADI$128,
IF(OR(AND($ADK$129&gt;ZS80,ZS80&gt;$ADK$128),ZS80 = $ADK$129),$ADI$129,
IF(OR(AND($ADK$130&gt;ZS80,ZS80&gt;$ADK$129),ZS80 = $ADK$130),$ADI$130,
IF(OR(AND($ADK$131&gt;ZS80,ZS80&gt;$ADK$130),ZS80 = $ADK$131),$ADI$131,
IF(OR(AND($ADK$132&gt;ZS80,ZS80&gt;$ADK$131),ZS80 = $ADK$132),$ADI$132,
IF(OR(AND($ADK$133&gt;ZS80,ZS80&gt;$ADK$132),ZS80 = $ADK$133),$ADI$133,
IF(OR(AND($ADK$134&gt;ZS80,ZS80&gt;$ADK$133),ZS80 = $ADK$134),$ADI$134,
"Y")))))))))))))))))))))))))))))))))))))))))))))))))))</f>
        <v>Y</v>
      </c>
      <c r="ZT92" s="693" t="str">
        <f t="shared" si="110"/>
        <v>Y</v>
      </c>
      <c r="ZU92" s="693" t="str">
        <f t="shared" si="110"/>
        <v>Y</v>
      </c>
      <c r="ZV92" s="693" t="str">
        <f t="shared" si="110"/>
        <v>Y</v>
      </c>
      <c r="ZW92" s="693" t="str">
        <f t="shared" si="110"/>
        <v>Y</v>
      </c>
      <c r="ZX92" s="693" t="str">
        <f t="shared" si="110"/>
        <v>Y</v>
      </c>
      <c r="ZY92" s="693" t="str">
        <f t="shared" si="110"/>
        <v>Y</v>
      </c>
      <c r="ZZ92" s="693" t="str">
        <f t="shared" si="110"/>
        <v>Y</v>
      </c>
      <c r="AAA92" s="693" t="str">
        <f t="shared" si="110"/>
        <v>Y</v>
      </c>
      <c r="AAB92" s="693" t="str">
        <f t="shared" si="110"/>
        <v>Y</v>
      </c>
      <c r="AAC92" s="693" t="str">
        <f t="shared" si="110"/>
        <v>Y</v>
      </c>
      <c r="AAD92" s="693" t="str">
        <f t="shared" si="110"/>
        <v>Y</v>
      </c>
      <c r="AAE92" s="693" t="str">
        <f t="shared" si="110"/>
        <v>Y</v>
      </c>
      <c r="AAF92" s="693" t="str">
        <f t="shared" si="110"/>
        <v>Y</v>
      </c>
      <c r="AAG92" s="693" t="str">
        <f t="shared" si="110"/>
        <v>Y</v>
      </c>
      <c r="AAH92" s="693" t="str">
        <f t="shared" si="110"/>
        <v>Y</v>
      </c>
      <c r="AAI92" s="693" t="str">
        <f t="shared" si="110"/>
        <v>Y</v>
      </c>
      <c r="AAJ92" s="693" t="str">
        <f t="shared" si="110"/>
        <v>Y</v>
      </c>
      <c r="AAK92" s="693" t="str">
        <f t="shared" si="110"/>
        <v>Y</v>
      </c>
      <c r="AAL92" s="693" t="str">
        <f t="shared" si="110"/>
        <v>Y</v>
      </c>
      <c r="AAM92" s="693" t="str">
        <f t="shared" si="110"/>
        <v>Y</v>
      </c>
      <c r="AAN92" s="693" t="str">
        <f t="shared" si="110"/>
        <v>Y</v>
      </c>
      <c r="AAO92" s="693" t="str">
        <f t="shared" si="110"/>
        <v>Y</v>
      </c>
      <c r="AAP92" s="693" t="str">
        <f t="shared" si="110"/>
        <v>Y</v>
      </c>
      <c r="AAQ92" s="693" t="str">
        <f t="shared" si="110"/>
        <v>Y</v>
      </c>
      <c r="AAR92" s="693" t="str">
        <f t="shared" si="110"/>
        <v>Y</v>
      </c>
      <c r="AAS92" s="693" t="str">
        <f t="shared" si="110"/>
        <v>Y</v>
      </c>
      <c r="AAT92" s="1006"/>
      <c r="AAU92" s="960"/>
      <c r="AAV92" s="1101"/>
      <c r="AAW92" s="1101"/>
      <c r="AAX92" s="1101"/>
      <c r="AAY92" s="1101"/>
      <c r="AAZ92" s="1101"/>
      <c r="ABA92" s="1101"/>
      <c r="ABB92" s="1101"/>
      <c r="ABC92" s="1101"/>
      <c r="ABD92" s="1101"/>
      <c r="ABE92" s="1101"/>
      <c r="ABF92" s="1101"/>
      <c r="ABG92" s="1101"/>
      <c r="ABH92" s="961"/>
      <c r="ABI92" s="158"/>
      <c r="ABJ92" s="158"/>
      <c r="ABK92" s="158"/>
      <c r="ABL92" s="158"/>
      <c r="ABM92" s="158"/>
      <c r="ABN92" s="158"/>
      <c r="ABO92" s="158"/>
      <c r="ABP92" s="163"/>
      <c r="ABT92" s="1527"/>
      <c r="ABU92" s="1527"/>
      <c r="ABV92" s="1527"/>
      <c r="ABW92" s="1527"/>
      <c r="ABX92" s="1527"/>
      <c r="ABY92" s="1527"/>
      <c r="ABZ92" s="1527"/>
      <c r="ACA92" s="1527"/>
      <c r="ACB92" s="1527"/>
      <c r="ACC92" s="1527"/>
      <c r="ACD92" s="1527"/>
      <c r="ACE92" s="1527"/>
      <c r="ACF92" s="1527"/>
      <c r="ACG92" s="1527"/>
      <c r="ACH92" s="1527"/>
      <c r="ACJ92" s="759">
        <v>0.25</v>
      </c>
      <c r="ACK92" s="760"/>
      <c r="ACL92" s="759">
        <v>-0.2</v>
      </c>
      <c r="ACM92" s="760"/>
      <c r="ACN92" s="592">
        <v>8</v>
      </c>
      <c r="ACO92" s="759">
        <f t="shared" si="91"/>
        <v>7.0000000000000007E-2</v>
      </c>
      <c r="ACP92" s="760"/>
      <c r="ACQ92" s="757">
        <f t="shared" si="82"/>
        <v>1.08</v>
      </c>
      <c r="ACR92" s="758"/>
      <c r="ACT92" s="759">
        <v>1</v>
      </c>
      <c r="ACU92" s="760"/>
      <c r="ACV92" s="759">
        <v>-1.2</v>
      </c>
      <c r="ACW92" s="760"/>
      <c r="ACX92" s="592">
        <v>58</v>
      </c>
      <c r="ACY92" s="759">
        <f t="shared" si="92"/>
        <v>0.38000000000000012</v>
      </c>
      <c r="ACZ92" s="760"/>
      <c r="ADA92" s="757">
        <f t="shared" si="83"/>
        <v>1.58</v>
      </c>
      <c r="ADB92" s="758"/>
      <c r="ADD92" s="759">
        <v>1.5454545454545501</v>
      </c>
      <c r="ADE92" s="760"/>
      <c r="ADF92" s="759">
        <v>-2.1818181818181799</v>
      </c>
      <c r="ADG92" s="760"/>
      <c r="ADH92" s="591">
        <v>107</v>
      </c>
      <c r="ADI92" s="759">
        <f t="shared" si="93"/>
        <v>1.0172727272727391</v>
      </c>
      <c r="ADJ92" s="760"/>
      <c r="ADK92" s="757">
        <f t="shared" si="84"/>
        <v>2.0700000000000003</v>
      </c>
      <c r="ADL92" s="758"/>
      <c r="ADN92" s="759">
        <v>1.5454545454545501</v>
      </c>
      <c r="ADO92" s="760"/>
      <c r="ADP92" s="759">
        <v>-2.1818181818181799</v>
      </c>
      <c r="ADQ92" s="760"/>
      <c r="ADR92" s="591">
        <v>157</v>
      </c>
      <c r="ADS92" s="759">
        <f t="shared" si="94"/>
        <v>1.7900000000000142</v>
      </c>
      <c r="ADT92" s="760"/>
      <c r="ADU92" s="757">
        <f t="shared" si="85"/>
        <v>2.5700000000000003</v>
      </c>
      <c r="ADV92" s="758"/>
      <c r="ADW92" s="653"/>
      <c r="ADX92" s="759">
        <v>1.5454545454545501</v>
      </c>
      <c r="ADY92" s="760"/>
      <c r="ADZ92" s="759">
        <v>-2.1818181818181799</v>
      </c>
      <c r="AEA92" s="760"/>
      <c r="AEB92" s="591">
        <v>207</v>
      </c>
      <c r="AEC92" s="759">
        <f t="shared" si="95"/>
        <v>2.5627272727272885</v>
      </c>
      <c r="AED92" s="760"/>
      <c r="AEE92" s="757">
        <f t="shared" si="86"/>
        <v>3.07</v>
      </c>
      <c r="AEF92" s="758"/>
      <c r="AEH92" s="759">
        <v>1.5454545454545501</v>
      </c>
      <c r="AEI92" s="760"/>
      <c r="AEJ92" s="759">
        <v>-2.1818181818181799</v>
      </c>
      <c r="AEK92" s="760"/>
      <c r="AEL92" s="591">
        <v>257</v>
      </c>
      <c r="AEM92" s="759">
        <f t="shared" si="101"/>
        <v>3.3354545454545637</v>
      </c>
      <c r="AEN92" s="760"/>
      <c r="AEO92" s="757">
        <f t="shared" si="87"/>
        <v>3.57</v>
      </c>
      <c r="AEP92" s="758"/>
      <c r="AGL92" s="849"/>
      <c r="AGM92" s="852" t="s">
        <v>416</v>
      </c>
      <c r="AGN92" s="853"/>
      <c r="AGO92" s="142"/>
      <c r="AGP92" s="78"/>
      <c r="AGQ92" s="78"/>
      <c r="AGR92" s="78"/>
      <c r="AGS92" s="78"/>
      <c r="AGT92" s="78"/>
      <c r="AGU92" s="78"/>
      <c r="AGV92" s="142"/>
      <c r="AGW92" s="76" t="s">
        <v>441</v>
      </c>
      <c r="AGX92" s="854" t="s">
        <v>435</v>
      </c>
      <c r="AGY92" s="1111"/>
      <c r="AGZ92" s="924" t="s">
        <v>111</v>
      </c>
      <c r="AHA92" s="925"/>
      <c r="AHB92" s="916" t="s">
        <v>704</v>
      </c>
      <c r="AHC92" s="922"/>
      <c r="AHD92" s="1051" t="s">
        <v>447</v>
      </c>
      <c r="AHE92" s="1051"/>
      <c r="AHF92" s="1051"/>
      <c r="AHG92" s="1051"/>
      <c r="AHH92" s="1051"/>
      <c r="AHI92" s="906" t="s">
        <v>436</v>
      </c>
      <c r="AHJ92" s="907"/>
      <c r="AHK92" s="907"/>
      <c r="AHL92" s="907"/>
      <c r="AHM92" s="907"/>
      <c r="AHN92" s="907"/>
      <c r="AHO92" s="908"/>
      <c r="AHW92" s="130"/>
      <c r="AHX92" s="130"/>
      <c r="ARG92" s="653"/>
      <c r="ARH92" s="653"/>
      <c r="ARI92" s="653"/>
      <c r="ARJ92" s="653"/>
      <c r="ARK92" s="653"/>
      <c r="ARL92" s="653"/>
      <c r="ARM92" s="653"/>
      <c r="ARN92" s="653"/>
      <c r="ARO92" s="653"/>
      <c r="ATB92" s="130"/>
      <c r="ATC92" s="130"/>
      <c r="ATD92" s="130"/>
      <c r="ATE92" s="130"/>
      <c r="ATF92" s="130"/>
      <c r="ATG92" s="130"/>
      <c r="ATH92" s="130"/>
      <c r="ATI92" s="130"/>
      <c r="ATJ92" s="130"/>
      <c r="ATN92" s="1510"/>
      <c r="ATO92" s="1511"/>
      <c r="ATP92" s="1512"/>
    </row>
    <row r="93" spans="4:908 1049:1212" ht="48" customHeight="1" thickBot="1">
      <c r="BQ93" s="130"/>
      <c r="DY93" s="653"/>
      <c r="DZ93" s="850"/>
      <c r="EA93" s="800" t="s">
        <v>1054</v>
      </c>
      <c r="EB93" s="801"/>
      <c r="EC93" s="883">
        <f>$EN$62</f>
        <v>8.9200941784447281</v>
      </c>
      <c r="ED93" s="884"/>
      <c r="EE93" s="791" t="s">
        <v>1765</v>
      </c>
      <c r="EF93" s="792"/>
      <c r="EG93" s="792"/>
      <c r="EH93" s="792"/>
      <c r="EI93" s="792"/>
      <c r="EJ93" s="792"/>
      <c r="EK93" s="792"/>
      <c r="EL93" s="835">
        <f>0.4*(2*EK49+EC94+EC93)</f>
        <v>28.647156840822699</v>
      </c>
      <c r="EM93" s="836"/>
      <c r="EN93" s="927" t="s">
        <v>755</v>
      </c>
      <c r="EO93" s="928"/>
      <c r="EP93" s="841"/>
      <c r="EQ93" s="1438" t="s">
        <v>1320</v>
      </c>
      <c r="ER93" s="1439"/>
      <c r="ES93" s="847"/>
      <c r="ET93" s="1052"/>
      <c r="EU93" s="1052"/>
      <c r="EV93" s="1052"/>
      <c r="EW93" s="1052"/>
      <c r="EX93" s="1052"/>
      <c r="EY93" s="1052"/>
      <c r="EZ93" s="1052"/>
      <c r="FA93" s="1052"/>
      <c r="FB93" s="1052"/>
      <c r="FC93" s="1052"/>
      <c r="FD93" s="1052"/>
      <c r="FE93" s="1052"/>
      <c r="FH93" s="653"/>
      <c r="FI93" s="1886"/>
      <c r="FJ93" s="777"/>
      <c r="FK93" s="778"/>
      <c r="FL93" s="778"/>
      <c r="FM93" s="878"/>
      <c r="GE93" s="130"/>
      <c r="HR93" s="220"/>
      <c r="HS93" s="220"/>
      <c r="HT93" s="220"/>
      <c r="HU93" s="220"/>
      <c r="HV93" s="220"/>
      <c r="HW93" s="220"/>
      <c r="HX93" s="220"/>
      <c r="HY93" s="220"/>
      <c r="HZ93" s="220"/>
      <c r="IA93" s="220"/>
      <c r="IB93" s="220"/>
      <c r="IC93" s="220"/>
      <c r="ID93" s="220"/>
      <c r="IE93" s="220"/>
      <c r="IF93" s="220"/>
      <c r="IO93" s="220"/>
      <c r="IP93" s="220"/>
      <c r="IQ93" s="220"/>
      <c r="IR93" s="220"/>
      <c r="IS93" s="220"/>
      <c r="IT93" s="220"/>
      <c r="IU93" s="220"/>
      <c r="IV93" s="220"/>
      <c r="IW93" s="220"/>
      <c r="IX93" s="220"/>
      <c r="IY93" s="220"/>
      <c r="IZ93" s="220"/>
      <c r="JA93" s="220"/>
      <c r="JB93" s="220"/>
      <c r="JC93" s="220"/>
      <c r="JD93" s="220"/>
      <c r="JE93" s="220"/>
      <c r="JF93" s="220"/>
      <c r="JG93" s="220"/>
      <c r="JH93" s="220"/>
      <c r="JI93" s="220"/>
      <c r="JJ93" s="220"/>
      <c r="JK93" s="220"/>
      <c r="JL93" s="220"/>
      <c r="JM93" s="220"/>
      <c r="JN93" s="220"/>
      <c r="JO93" s="220"/>
      <c r="JP93" s="220"/>
      <c r="JQ93" s="220"/>
      <c r="JR93" s="220"/>
      <c r="JS93" s="220"/>
      <c r="JT93" s="220"/>
      <c r="JU93" s="220"/>
      <c r="JX93" s="850"/>
      <c r="JY93" s="809" t="s">
        <v>67</v>
      </c>
      <c r="JZ93" s="797"/>
      <c r="KA93" s="797"/>
      <c r="KB93" s="797"/>
      <c r="KC93" s="797"/>
      <c r="KD93" s="797"/>
      <c r="KE93" s="797"/>
      <c r="KF93" s="797"/>
      <c r="KG93" s="797"/>
      <c r="KH93" s="797"/>
      <c r="KI93" s="797"/>
      <c r="KJ93" s="797"/>
      <c r="KK93" s="798"/>
      <c r="KL93" s="835">
        <f>KC92/KF92</f>
        <v>1.2708937055035847</v>
      </c>
      <c r="KM93" s="836"/>
      <c r="KN93" s="1183" t="s">
        <v>729</v>
      </c>
      <c r="KO93" s="1184"/>
      <c r="KP93" s="1066"/>
      <c r="KQ93" s="893" t="s">
        <v>1171</v>
      </c>
      <c r="KR93" s="894"/>
      <c r="KS93" s="847"/>
      <c r="KT93" s="826"/>
      <c r="KU93" s="945"/>
      <c r="KV93" s="946"/>
      <c r="LQ93" s="130"/>
      <c r="LR93" s="130"/>
      <c r="LS93" s="130"/>
      <c r="LT93" s="130"/>
      <c r="LU93" s="130"/>
      <c r="LV93" s="130"/>
      <c r="LW93" s="130"/>
      <c r="LX93" s="130"/>
      <c r="LY93" s="130"/>
      <c r="MB93" s="851"/>
      <c r="MC93" s="372" t="s">
        <v>1216</v>
      </c>
      <c r="MD93" s="879">
        <f>$AP$7</f>
        <v>220</v>
      </c>
      <c r="ME93" s="879"/>
      <c r="MF93" s="777"/>
      <c r="MG93" s="778"/>
      <c r="MH93" s="778"/>
      <c r="MI93" s="778"/>
      <c r="MJ93" s="778"/>
      <c r="MK93" s="778"/>
      <c r="ML93" s="778"/>
      <c r="MM93" s="778"/>
      <c r="MN93" s="778"/>
      <c r="MO93" s="799"/>
      <c r="MP93" s="837"/>
      <c r="MQ93" s="838"/>
      <c r="MR93" s="1190"/>
      <c r="MS93" s="1191"/>
      <c r="MT93" s="1067"/>
      <c r="MU93" s="845"/>
      <c r="MV93" s="846"/>
      <c r="MW93" s="848"/>
      <c r="MX93" s="828"/>
      <c r="MY93" s="949"/>
      <c r="MZ93" s="949"/>
      <c r="NA93" s="949"/>
      <c r="NB93" s="950"/>
      <c r="OY93" s="130"/>
      <c r="OZ93" s="130"/>
      <c r="PA93" s="130"/>
      <c r="PB93" s="130"/>
      <c r="RE93" s="653"/>
      <c r="RF93" s="653"/>
      <c r="RG93" s="653"/>
      <c r="RH93" s="653"/>
      <c r="RI93" s="653"/>
      <c r="RJ93" s="653"/>
      <c r="RK93" s="653"/>
      <c r="RL93" s="653"/>
      <c r="RM93" s="653"/>
      <c r="RN93" s="653"/>
      <c r="RO93" s="653"/>
      <c r="RP93" s="653"/>
      <c r="RQ93" s="653"/>
      <c r="RR93" s="653"/>
      <c r="RS93" s="653"/>
      <c r="RT93" s="653"/>
      <c r="RU93" s="653"/>
      <c r="RV93" s="653"/>
      <c r="RW93" s="653"/>
      <c r="RX93" s="653"/>
      <c r="RY93" s="653"/>
      <c r="RZ93" s="653"/>
      <c r="SA93" s="653"/>
      <c r="SB93" s="653"/>
      <c r="SC93" s="653"/>
      <c r="SD93" s="653"/>
      <c r="SE93" s="653"/>
      <c r="SF93" s="653"/>
      <c r="SG93" s="653"/>
      <c r="SH93" s="653"/>
      <c r="SI93" s="653"/>
      <c r="SJ93" s="653"/>
      <c r="SK93" s="653"/>
      <c r="SL93" s="653"/>
      <c r="SM93" s="653"/>
      <c r="SN93" s="653"/>
      <c r="SO93" s="653"/>
      <c r="SP93" s="653"/>
      <c r="SQ93" s="653"/>
      <c r="SR93" s="653"/>
      <c r="SS93" s="653"/>
      <c r="ST93" s="653"/>
      <c r="SU93" s="653"/>
      <c r="SV93" s="653"/>
      <c r="SW93" s="653"/>
      <c r="SX93" s="653"/>
      <c r="SY93" s="653"/>
      <c r="SZ93" s="653"/>
      <c r="TA93" s="653"/>
      <c r="TB93" s="653"/>
      <c r="TC93" s="653"/>
      <c r="TD93" s="653"/>
      <c r="TE93" s="653"/>
      <c r="TF93" s="653"/>
      <c r="TG93" s="653"/>
      <c r="TH93" s="653"/>
      <c r="TI93" s="653"/>
      <c r="TJ93" s="653"/>
      <c r="TK93" s="653"/>
      <c r="TL93" s="653"/>
      <c r="TM93" s="653"/>
      <c r="TN93" s="653"/>
      <c r="TO93" s="653"/>
      <c r="TP93" s="653"/>
      <c r="TQ93" s="653"/>
      <c r="TR93" s="653"/>
      <c r="TS93" s="653"/>
      <c r="TT93" s="653"/>
      <c r="TU93" s="653"/>
      <c r="TV93" s="653"/>
      <c r="TW93" s="653"/>
      <c r="TX93" s="653"/>
      <c r="TY93" s="653"/>
      <c r="TZ93" s="653"/>
      <c r="UA93" s="653"/>
      <c r="UB93" s="653"/>
      <c r="UC93" s="653"/>
      <c r="UD93" s="653"/>
      <c r="UE93" s="653"/>
      <c r="UF93" s="653"/>
      <c r="UG93" s="653"/>
      <c r="UH93" s="653"/>
      <c r="UI93" s="653"/>
      <c r="UJ93" s="653"/>
      <c r="UK93" s="653"/>
      <c r="UL93" s="653"/>
      <c r="UM93" s="653"/>
      <c r="UN93" s="653"/>
      <c r="UO93" s="653"/>
      <c r="UP93" s="653"/>
      <c r="UQ93" s="653"/>
      <c r="UR93" s="653"/>
      <c r="US93" s="653"/>
      <c r="UT93" s="653"/>
      <c r="UU93" s="653"/>
      <c r="UV93" s="653"/>
      <c r="UW93" s="653"/>
      <c r="UX93" s="653"/>
      <c r="UY93" s="653"/>
      <c r="UZ93" s="653"/>
      <c r="VW93" s="653"/>
      <c r="VX93" s="653"/>
      <c r="VY93" s="653"/>
      <c r="VZ93" s="653"/>
      <c r="WE93" s="996"/>
      <c r="WF93" s="997"/>
      <c r="WG93" s="175"/>
      <c r="WH93" s="173"/>
      <c r="WI93" s="173"/>
      <c r="WJ93" s="173"/>
      <c r="WK93" s="173"/>
      <c r="WL93" s="173"/>
      <c r="WM93" s="173"/>
      <c r="WN93" s="173"/>
      <c r="WO93" s="173"/>
      <c r="WP93" s="173"/>
      <c r="WQ93" s="173"/>
      <c r="WR93" s="173"/>
      <c r="WS93" s="173"/>
      <c r="WT93" s="173"/>
      <c r="WU93" s="173"/>
      <c r="WV93" s="173"/>
      <c r="WW93" s="173"/>
      <c r="WX93" s="173"/>
      <c r="WY93" s="174"/>
      <c r="WZ93" s="1085"/>
      <c r="XA93" s="1085"/>
      <c r="XB93" s="175"/>
      <c r="XC93" s="173"/>
      <c r="XD93" s="173"/>
      <c r="XE93" s="173"/>
      <c r="XF93" s="174"/>
      <c r="XG93" s="693" t="str">
        <f t="shared" ref="XG93:YL93" si="111">IF($ADU$85&lt;1,"Ошибка",
IF(OR(AND($ADU$85&gt;XG80,XG80&gt;$ADK$134),XG80 = $ADU$85),$ADS$85,
IF(OR(AND($ADU$86&gt;XG80,XG80&gt;$ADU$85),XG80 = $ADU$86),$ADS$86,
IF(OR(AND($ADU$87&gt;XG80,XG80&gt;$ADU$86),XG80 = $ADU$87),$ADS$87,
IF(OR(AND($ADU$88&gt;XG80,XG80&gt;$ADU$87),XG80 = $ADU$88),$ADS$88,
IF(OR(AND($ADU$89&gt;XG80,XG80&gt;$ADU$88),XG80 = $ADU$89),$ADS$89,
IF(OR(AND($ADU$90&gt;XG80,XG80&gt;$ADU$89),XG80 = $ADU$90),$ADS$90,
IF(OR(AND($ADU$91&gt;XG80,XG80&gt;$ADU$90),XG80 = $ADU$91),$ADS$91,
IF(OR(AND($ADU$92&gt;XG80,XG80&gt;$ADU$91),XG80 = $ADU$92),$ADS$92,
IF(OR(AND($ADU$93&gt;XG80,XG80&gt;$ADU$92),XG80 = $ADU$93),$ADS$93,
IF(OR(AND($ADU$94&gt;XG80,XG80&gt;$ADU$93),XG80 = $ADU$94),$ADS$94,
IF(OR(AND($ADU$95&gt;XG80,XG80&gt;$ADU$94),XG80 = $ADU$95),$ADS$95,
IF(OR(AND($ADU$96&gt;XG80,XG80&gt;$ADU$95),XG80 = $ADU$96),$ADS$96,
IF(OR(AND($ADU$97&gt;XG80,XG80&gt;$ADU$96),XG80 = $ADU$97),$ADS$97,
IF(OR(AND($ADU$98&gt;XG80,XG80&gt;$ADU$97),XG80 = $ADU$98),$ADS$98,
IF(OR(AND($ADU$99&gt;XG80,XG80&gt;$ADU$98),XG80 = $ADU$99),$ADS$99,
IF(OR(AND($ADU$100&gt;XG80,XG80&gt;$ADU$99),XG80 = $ADU$100),$ADS$100,
IF(OR(AND($ADU$101&gt;XG80,XG80&gt;$ADU$100),XG80 = $ADU$101),$ADS$101,
IF(OR(AND($ADU$102&gt;XG80,XG80&gt;$ADU$101),XG80 = $ADU$102),$ADS$102,
IF(OR(AND($ADU$103&gt;XG80,XG80&gt;$ADU$102),XG80 = $ADU$103),$ADS$103,
IF(OR(AND($ADU$104&gt;XG80,XG80&gt;$ADU$103),XG80 = $ADU$104),$ADS$104,
IF(OR(AND($ADU$105&gt;XG80,XG80&gt;$ADU$104),XG80 = $ADU$105),$ADS$105,
IF(OR(AND($ADU$106&gt;XG80,XG80&gt;$ADU$105),XG80 = $ADU$106),$ADS$106,
IF(OR(AND($ADU$107&gt;XG80,XG80&gt;$ADU$106),XG80 = $ADU$107),$ADS$107,
IF(OR(AND($ADU$108&gt;XG80,XG80&gt;$ADU$107),XG80 = $ADU$108),$ADS$108,
IF(OR(AND($ADU$109&gt;XG80,XG80&gt;$ADU$108),XG80 = $ADU$109),$ADS$109,
IF(OR(AND($ADU$110&gt;XG80,XG80&gt;$ADU$109),XG80 = $ADU$110),$ADS$110,
IF(OR(AND($ADU$111&gt;XG80,XG80&gt;$ADU$110),XG80 = $ADU$111),$ADS$111,
IF(OR(AND($ADU$112&gt;XG80,XG80&gt;$ADU$111),XG80 = $ADU$112),$ADS$112,
IF(OR(AND($ADU$113&gt;XG80,XG80&gt;$ADU$112),XG80 = $ADU$113),$ADS$113,
IF(OR(AND($ADU$114&gt;XG80,XG80&gt;$ADU$113),XG80 = $ADU$114),$ADS$114,
IF(OR(AND($ADU$115&gt;XG80,XG80&gt;$ADU$114),XG80 = $ADU$115),$ADS$115,
IF(OR(AND($ADU$116&gt;XG80,XG80&gt;$ADU$115),XG80 = $ADU$116),$ADS$116,
IF(OR(AND($ADU$117&gt;XG80,XG80&gt;$ADU$116),XG80 = $ADU$117),$ADS$117,
IF(OR(AND($ADU$118&gt;XG80,XG80&gt;$ADU$117),XG80 = $ADU$118),$ADS$118,
IF(OR(AND($ADU$119&gt;XG80,XG80&gt;$ADU$118),XG80 = $ADU$119),$ADS$119,
IF(OR(AND($ADU$120&gt;XG80,XG80&gt;$ADU$119),XG80 = $ADU$120),$ADS$120,
IF(OR(AND($ADU$121&gt;XG80,XG80&gt;$ADU$120),XG80 = $ADU$121),$ADS$121,
IF(OR(AND($ADU$122&gt;XG80,XG80&gt;$ADU$121),XG80 = $ADU$122),$ADS$122,
IF(OR(AND($ADU$123&gt;XG80,XG80&gt;$ADU$122),XG80 = $ADU$123),$ADS$123,
IF(OR(AND($ADU$124&gt;XG80,XG80&gt;$ADU$123),XG80 = $ADU$124),$ADS$124,
IF(OR(AND($ADU$125&gt;XG80,XG80&gt;$ADU$124),XG80 = $ADU$125),$ADS$125,
IF(OR(AND($ADU$126&gt;XG80,XG80&gt;$ADU$125),XG80 = $ADU$126),$ADS$126,
IF(OR(AND($ADU$127&gt;XG80,XG80&gt;$ADU$126),XG80 = $ADU$127),$ADS$127,
IF(OR(AND($ADU$128&gt;XG80,XG80&gt;$ADU$127),XG80 = $ADU$128),$ADS$128,
IF(OR(AND($ADU$129&gt;XG80,XG80&gt;$ADU$128),XG80 = $ADU$129),$ADS$129,
IF(OR(AND($ADU$130&gt;XG80,XG80&gt;$ADU$129),XG80 = $ADU$130),$ADS$130,
IF(OR(AND($ADU$131&gt;XG80,XG80&gt;$ADU$130),XG80 = $ADU$131),$ADS$131,
IF(OR(AND($ADU$132&gt;XG80,XG80&gt;$ADU$131),XG80 = $ADU$132),$ADS$132,
IF(OR(AND($ADU$133&gt;XG80,XG80&gt;$ADU$132),XG80 = $ADU$133),$ADS$133,
IF(OR(AND($ADU$134&gt;XG80,XG80&gt;$ADU$133),XG80 = $ADU$134),$ADS$134,
"Y")))))))))))))))))))))))))))))))))))))))))))))))))))</f>
        <v>Y</v>
      </c>
      <c r="XH93" s="693" t="str">
        <f t="shared" si="111"/>
        <v>Y</v>
      </c>
      <c r="XI93" s="693" t="str">
        <f t="shared" si="111"/>
        <v>Y</v>
      </c>
      <c r="XJ93" s="693" t="str">
        <f t="shared" si="111"/>
        <v>Y</v>
      </c>
      <c r="XK93" s="693" t="str">
        <f t="shared" si="111"/>
        <v>Y</v>
      </c>
      <c r="XL93" s="693" t="str">
        <f t="shared" si="111"/>
        <v>Y</v>
      </c>
      <c r="XM93" s="693" t="str">
        <f t="shared" si="111"/>
        <v>Y</v>
      </c>
      <c r="XN93" s="693" t="str">
        <f t="shared" si="111"/>
        <v>Y</v>
      </c>
      <c r="XO93" s="693" t="str">
        <f t="shared" si="111"/>
        <v>Y</v>
      </c>
      <c r="XP93" s="693" t="str">
        <f t="shared" si="111"/>
        <v>Y</v>
      </c>
      <c r="XQ93" s="693" t="str">
        <f t="shared" si="111"/>
        <v>Y</v>
      </c>
      <c r="XR93" s="693" t="str">
        <f t="shared" si="111"/>
        <v>Y</v>
      </c>
      <c r="XS93" s="693" t="str">
        <f t="shared" si="111"/>
        <v>Y</v>
      </c>
      <c r="XT93" s="693" t="str">
        <f t="shared" si="111"/>
        <v>Y</v>
      </c>
      <c r="XU93" s="693" t="str">
        <f t="shared" si="111"/>
        <v>Y</v>
      </c>
      <c r="XV93" s="693" t="str">
        <f t="shared" si="111"/>
        <v>Y</v>
      </c>
      <c r="XW93" s="693" t="str">
        <f t="shared" si="111"/>
        <v>Y</v>
      </c>
      <c r="XX93" s="693" t="str">
        <f t="shared" si="111"/>
        <v>Y</v>
      </c>
      <c r="XY93" s="693" t="str">
        <f t="shared" si="111"/>
        <v>Y</v>
      </c>
      <c r="XZ93" s="693" t="str">
        <f t="shared" si="111"/>
        <v>Y</v>
      </c>
      <c r="YA93" s="693" t="str">
        <f t="shared" si="111"/>
        <v>Y</v>
      </c>
      <c r="YB93" s="693" t="str">
        <f t="shared" si="111"/>
        <v>Y</v>
      </c>
      <c r="YC93" s="693" t="str">
        <f t="shared" si="111"/>
        <v>Y</v>
      </c>
      <c r="YD93" s="693" t="str">
        <f t="shared" si="111"/>
        <v>Y</v>
      </c>
      <c r="YE93" s="693" t="str">
        <f t="shared" si="111"/>
        <v>Y</v>
      </c>
      <c r="YF93" s="693" t="str">
        <f t="shared" si="111"/>
        <v>Y</v>
      </c>
      <c r="YG93" s="693" t="str">
        <f t="shared" si="111"/>
        <v>Y</v>
      </c>
      <c r="YH93" s="693" t="str">
        <f t="shared" si="111"/>
        <v>Y</v>
      </c>
      <c r="YI93" s="693" t="str">
        <f t="shared" si="111"/>
        <v>Y</v>
      </c>
      <c r="YJ93" s="693" t="str">
        <f t="shared" si="111"/>
        <v>Y</v>
      </c>
      <c r="YK93" s="693" t="str">
        <f t="shared" si="111"/>
        <v>Y</v>
      </c>
      <c r="YL93" s="693" t="str">
        <f t="shared" si="111"/>
        <v>Y</v>
      </c>
      <c r="YM93" s="693" t="str">
        <f t="shared" ref="YM93:ZR93" si="112">IF($ADU$85&lt;1,"Ошибка",
IF(OR(AND($ADU$85&gt;YM80,YM80&gt;$ADK$134),YM80 = $ADU$85),$ADS$85,
IF(OR(AND($ADU$86&gt;YM80,YM80&gt;$ADU$85),YM80 = $ADU$86),$ADS$86,
IF(OR(AND($ADU$87&gt;YM80,YM80&gt;$ADU$86),YM80 = $ADU$87),$ADS$87,
IF(OR(AND($ADU$88&gt;YM80,YM80&gt;$ADU$87),YM80 = $ADU$88),$ADS$88,
IF(OR(AND($ADU$89&gt;YM80,YM80&gt;$ADU$88),YM80 = $ADU$89),$ADS$89,
IF(OR(AND($ADU$90&gt;YM80,YM80&gt;$ADU$89),YM80 = $ADU$90),$ADS$90,
IF(OR(AND($ADU$91&gt;YM80,YM80&gt;$ADU$90),YM80 = $ADU$91),$ADS$91,
IF(OR(AND($ADU$92&gt;YM80,YM80&gt;$ADU$91),YM80 = $ADU$92),$ADS$92,
IF(OR(AND($ADU$93&gt;YM80,YM80&gt;$ADU$92),YM80 = $ADU$93),$ADS$93,
IF(OR(AND($ADU$94&gt;YM80,YM80&gt;$ADU$93),YM80 = $ADU$94),$ADS$94,
IF(OR(AND($ADU$95&gt;YM80,YM80&gt;$ADU$94),YM80 = $ADU$95),$ADS$95,
IF(OR(AND($ADU$96&gt;YM80,YM80&gt;$ADU$95),YM80 = $ADU$96),$ADS$96,
IF(OR(AND($ADU$97&gt;YM80,YM80&gt;$ADU$96),YM80 = $ADU$97),$ADS$97,
IF(OR(AND($ADU$98&gt;YM80,YM80&gt;$ADU$97),YM80 = $ADU$98),$ADS$98,
IF(OR(AND($ADU$99&gt;YM80,YM80&gt;$ADU$98),YM80 = $ADU$99),$ADS$99,
IF(OR(AND($ADU$100&gt;YM80,YM80&gt;$ADU$99),YM80 = $ADU$100),$ADS$100,
IF(OR(AND($ADU$101&gt;YM80,YM80&gt;$ADU$100),YM80 = $ADU$101),$ADS$101,
IF(OR(AND($ADU$102&gt;YM80,YM80&gt;$ADU$101),YM80 = $ADU$102),$ADS$102,
IF(OR(AND($ADU$103&gt;YM80,YM80&gt;$ADU$102),YM80 = $ADU$103),$ADS$103,
IF(OR(AND($ADU$104&gt;YM80,YM80&gt;$ADU$103),YM80 = $ADU$104),$ADS$104,
IF(OR(AND($ADU$105&gt;YM80,YM80&gt;$ADU$104),YM80 = $ADU$105),$ADS$105,
IF(OR(AND($ADU$106&gt;YM80,YM80&gt;$ADU$105),YM80 = $ADU$106),$ADS$106,
IF(OR(AND($ADU$107&gt;YM80,YM80&gt;$ADU$106),YM80 = $ADU$107),$ADS$107,
IF(OR(AND($ADU$108&gt;YM80,YM80&gt;$ADU$107),YM80 = $ADU$108),$ADS$108,
IF(OR(AND($ADU$109&gt;YM80,YM80&gt;$ADU$108),YM80 = $ADU$109),$ADS$109,
IF(OR(AND($ADU$110&gt;YM80,YM80&gt;$ADU$109),YM80 = $ADU$110),$ADS$110,
IF(OR(AND($ADU$111&gt;YM80,YM80&gt;$ADU$110),YM80 = $ADU$111),$ADS$111,
IF(OR(AND($ADU$112&gt;YM80,YM80&gt;$ADU$111),YM80 = $ADU$112),$ADS$112,
IF(OR(AND($ADU$113&gt;YM80,YM80&gt;$ADU$112),YM80 = $ADU$113),$ADS$113,
IF(OR(AND($ADU$114&gt;YM80,YM80&gt;$ADU$113),YM80 = $ADU$114),$ADS$114,
IF(OR(AND($ADU$115&gt;YM80,YM80&gt;$ADU$114),YM80 = $ADU$115),$ADS$115,
IF(OR(AND($ADU$116&gt;YM80,YM80&gt;$ADU$115),YM80 = $ADU$116),$ADS$116,
IF(OR(AND($ADU$117&gt;YM80,YM80&gt;$ADU$116),YM80 = $ADU$117),$ADS$117,
IF(OR(AND($ADU$118&gt;YM80,YM80&gt;$ADU$117),YM80 = $ADU$118),$ADS$118,
IF(OR(AND($ADU$119&gt;YM80,YM80&gt;$ADU$118),YM80 = $ADU$119),$ADS$119,
IF(OR(AND($ADU$120&gt;YM80,YM80&gt;$ADU$119),YM80 = $ADU$120),$ADS$120,
IF(OR(AND($ADU$121&gt;YM80,YM80&gt;$ADU$120),YM80 = $ADU$121),$ADS$121,
IF(OR(AND($ADU$122&gt;YM80,YM80&gt;$ADU$121),YM80 = $ADU$122),$ADS$122,
IF(OR(AND($ADU$123&gt;YM80,YM80&gt;$ADU$122),YM80 = $ADU$123),$ADS$123,
IF(OR(AND($ADU$124&gt;YM80,YM80&gt;$ADU$123),YM80 = $ADU$124),$ADS$124,
IF(OR(AND($ADU$125&gt;YM80,YM80&gt;$ADU$124),YM80 = $ADU$125),$ADS$125,
IF(OR(AND($ADU$126&gt;YM80,YM80&gt;$ADU$125),YM80 = $ADU$126),$ADS$126,
IF(OR(AND($ADU$127&gt;YM80,YM80&gt;$ADU$126),YM80 = $ADU$127),$ADS$127,
IF(OR(AND($ADU$128&gt;YM80,YM80&gt;$ADU$127),YM80 = $ADU$128),$ADS$128,
IF(OR(AND($ADU$129&gt;YM80,YM80&gt;$ADU$128),YM80 = $ADU$129),$ADS$129,
IF(OR(AND($ADU$130&gt;YM80,YM80&gt;$ADU$129),YM80 = $ADU$130),$ADS$130,
IF(OR(AND($ADU$131&gt;YM80,YM80&gt;$ADU$130),YM80 = $ADU$131),$ADS$131,
IF(OR(AND($ADU$132&gt;YM80,YM80&gt;$ADU$131),YM80 = $ADU$132),$ADS$132,
IF(OR(AND($ADU$133&gt;YM80,YM80&gt;$ADU$132),YM80 = $ADU$133),$ADS$133,
IF(OR(AND($ADU$134&gt;YM80,YM80&gt;$ADU$133),YM80 = $ADU$134),$ADS$134,
"Y")))))))))))))))))))))))))))))))))))))))))))))))))))</f>
        <v>Y</v>
      </c>
      <c r="YN93" s="693" t="str">
        <f t="shared" si="112"/>
        <v>Y</v>
      </c>
      <c r="YO93" s="693" t="str">
        <f t="shared" si="112"/>
        <v>Y</v>
      </c>
      <c r="YP93" s="693" t="str">
        <f t="shared" si="112"/>
        <v>Y</v>
      </c>
      <c r="YQ93" s="693" t="str">
        <f t="shared" si="112"/>
        <v>Y</v>
      </c>
      <c r="YR93" s="693" t="str">
        <f t="shared" si="112"/>
        <v>Y</v>
      </c>
      <c r="YS93" s="693" t="str">
        <f t="shared" si="112"/>
        <v>Y</v>
      </c>
      <c r="YT93" s="693" t="str">
        <f t="shared" si="112"/>
        <v>Y</v>
      </c>
      <c r="YU93" s="693" t="str">
        <f t="shared" si="112"/>
        <v>Y</v>
      </c>
      <c r="YV93" s="693" t="str">
        <f t="shared" si="112"/>
        <v>Y</v>
      </c>
      <c r="YW93" s="693" t="str">
        <f t="shared" si="112"/>
        <v>Y</v>
      </c>
      <c r="YX93" s="693" t="str">
        <f t="shared" si="112"/>
        <v>Y</v>
      </c>
      <c r="YY93" s="693" t="str">
        <f t="shared" si="112"/>
        <v>Y</v>
      </c>
      <c r="YZ93" s="693" t="str">
        <f t="shared" si="112"/>
        <v>Y</v>
      </c>
      <c r="ZA93" s="693" t="str">
        <f t="shared" si="112"/>
        <v>Y</v>
      </c>
      <c r="ZB93" s="693" t="str">
        <f t="shared" si="112"/>
        <v>Y</v>
      </c>
      <c r="ZC93" s="693" t="str">
        <f t="shared" si="112"/>
        <v>Y</v>
      </c>
      <c r="ZD93" s="693" t="str">
        <f t="shared" si="112"/>
        <v>Y</v>
      </c>
      <c r="ZE93" s="693">
        <f t="shared" si="112"/>
        <v>1.6972727272727268</v>
      </c>
      <c r="ZF93" s="693">
        <f t="shared" si="112"/>
        <v>1.7281818181818323</v>
      </c>
      <c r="ZG93" s="693">
        <f t="shared" si="112"/>
        <v>1.7745454545454682</v>
      </c>
      <c r="ZH93" s="693">
        <f t="shared" si="112"/>
        <v>1.8054545454545594</v>
      </c>
      <c r="ZI93" s="693">
        <f t="shared" si="112"/>
        <v>1.8518181818181967</v>
      </c>
      <c r="ZJ93" s="693">
        <f t="shared" si="112"/>
        <v>1.882727272727287</v>
      </c>
      <c r="ZK93" s="693">
        <f t="shared" si="112"/>
        <v>1.9136363636363782</v>
      </c>
      <c r="ZL93" s="693">
        <f t="shared" si="112"/>
        <v>1.9600000000000142</v>
      </c>
      <c r="ZM93" s="693">
        <f t="shared" si="112"/>
        <v>1.9909090909091054</v>
      </c>
      <c r="ZN93" s="693">
        <f t="shared" si="112"/>
        <v>2.0218181818181957</v>
      </c>
      <c r="ZO93" s="693">
        <f t="shared" si="112"/>
        <v>2.0527272727272878</v>
      </c>
      <c r="ZP93" s="693">
        <f t="shared" si="112"/>
        <v>2.0990909090909238</v>
      </c>
      <c r="ZQ93" s="693">
        <f t="shared" si="112"/>
        <v>2.130000000000015</v>
      </c>
      <c r="ZR93" s="693">
        <f t="shared" si="112"/>
        <v>2.1609090909091062</v>
      </c>
      <c r="ZS93" s="693">
        <f t="shared" ref="ZS93:AAS93" si="113">IF($ADU$85&lt;1,"Ошибка",
IF(OR(AND($ADU$85&gt;ZS80,ZS80&gt;$ADK$134),ZS80 = $ADU$85),$ADS$85,
IF(OR(AND($ADU$86&gt;ZS80,ZS80&gt;$ADU$85),ZS80 = $ADU$86),$ADS$86,
IF(OR(AND($ADU$87&gt;ZS80,ZS80&gt;$ADU$86),ZS80 = $ADU$87),$ADS$87,
IF(OR(AND($ADU$88&gt;ZS80,ZS80&gt;$ADU$87),ZS80 = $ADU$88),$ADS$88,
IF(OR(AND($ADU$89&gt;ZS80,ZS80&gt;$ADU$88),ZS80 = $ADU$89),$ADS$89,
IF(OR(AND($ADU$90&gt;ZS80,ZS80&gt;$ADU$89),ZS80 = $ADU$90),$ADS$90,
IF(OR(AND($ADU$91&gt;ZS80,ZS80&gt;$ADU$90),ZS80 = $ADU$91),$ADS$91,
IF(OR(AND($ADU$92&gt;ZS80,ZS80&gt;$ADU$91),ZS80 = $ADU$92),$ADS$92,
IF(OR(AND($ADU$93&gt;ZS80,ZS80&gt;$ADU$92),ZS80 = $ADU$93),$ADS$93,
IF(OR(AND($ADU$94&gt;ZS80,ZS80&gt;$ADU$93),ZS80 = $ADU$94),$ADS$94,
IF(OR(AND($ADU$95&gt;ZS80,ZS80&gt;$ADU$94),ZS80 = $ADU$95),$ADS$95,
IF(OR(AND($ADU$96&gt;ZS80,ZS80&gt;$ADU$95),ZS80 = $ADU$96),$ADS$96,
IF(OR(AND($ADU$97&gt;ZS80,ZS80&gt;$ADU$96),ZS80 = $ADU$97),$ADS$97,
IF(OR(AND($ADU$98&gt;ZS80,ZS80&gt;$ADU$97),ZS80 = $ADU$98),$ADS$98,
IF(OR(AND($ADU$99&gt;ZS80,ZS80&gt;$ADU$98),ZS80 = $ADU$99),$ADS$99,
IF(OR(AND($ADU$100&gt;ZS80,ZS80&gt;$ADU$99),ZS80 = $ADU$100),$ADS$100,
IF(OR(AND($ADU$101&gt;ZS80,ZS80&gt;$ADU$100),ZS80 = $ADU$101),$ADS$101,
IF(OR(AND($ADU$102&gt;ZS80,ZS80&gt;$ADU$101),ZS80 = $ADU$102),$ADS$102,
IF(OR(AND($ADU$103&gt;ZS80,ZS80&gt;$ADU$102),ZS80 = $ADU$103),$ADS$103,
IF(OR(AND($ADU$104&gt;ZS80,ZS80&gt;$ADU$103),ZS80 = $ADU$104),$ADS$104,
IF(OR(AND($ADU$105&gt;ZS80,ZS80&gt;$ADU$104),ZS80 = $ADU$105),$ADS$105,
IF(OR(AND($ADU$106&gt;ZS80,ZS80&gt;$ADU$105),ZS80 = $ADU$106),$ADS$106,
IF(OR(AND($ADU$107&gt;ZS80,ZS80&gt;$ADU$106),ZS80 = $ADU$107),$ADS$107,
IF(OR(AND($ADU$108&gt;ZS80,ZS80&gt;$ADU$107),ZS80 = $ADU$108),$ADS$108,
IF(OR(AND($ADU$109&gt;ZS80,ZS80&gt;$ADU$108),ZS80 = $ADU$109),$ADS$109,
IF(OR(AND($ADU$110&gt;ZS80,ZS80&gt;$ADU$109),ZS80 = $ADU$110),$ADS$110,
IF(OR(AND($ADU$111&gt;ZS80,ZS80&gt;$ADU$110),ZS80 = $ADU$111),$ADS$111,
IF(OR(AND($ADU$112&gt;ZS80,ZS80&gt;$ADU$111),ZS80 = $ADU$112),$ADS$112,
IF(OR(AND($ADU$113&gt;ZS80,ZS80&gt;$ADU$112),ZS80 = $ADU$113),$ADS$113,
IF(OR(AND($ADU$114&gt;ZS80,ZS80&gt;$ADU$113),ZS80 = $ADU$114),$ADS$114,
IF(OR(AND($ADU$115&gt;ZS80,ZS80&gt;$ADU$114),ZS80 = $ADU$115),$ADS$115,
IF(OR(AND($ADU$116&gt;ZS80,ZS80&gt;$ADU$115),ZS80 = $ADU$116),$ADS$116,
IF(OR(AND($ADU$117&gt;ZS80,ZS80&gt;$ADU$116),ZS80 = $ADU$117),$ADS$117,
IF(OR(AND($ADU$118&gt;ZS80,ZS80&gt;$ADU$117),ZS80 = $ADU$118),$ADS$118,
IF(OR(AND($ADU$119&gt;ZS80,ZS80&gt;$ADU$118),ZS80 = $ADU$119),$ADS$119,
IF(OR(AND($ADU$120&gt;ZS80,ZS80&gt;$ADU$119),ZS80 = $ADU$120),$ADS$120,
IF(OR(AND($ADU$121&gt;ZS80,ZS80&gt;$ADU$120),ZS80 = $ADU$121),$ADS$121,
IF(OR(AND($ADU$122&gt;ZS80,ZS80&gt;$ADU$121),ZS80 = $ADU$122),$ADS$122,
IF(OR(AND($ADU$123&gt;ZS80,ZS80&gt;$ADU$122),ZS80 = $ADU$123),$ADS$123,
IF(OR(AND($ADU$124&gt;ZS80,ZS80&gt;$ADU$123),ZS80 = $ADU$124),$ADS$124,
IF(OR(AND($ADU$125&gt;ZS80,ZS80&gt;$ADU$124),ZS80 = $ADU$125),$ADS$125,
IF(OR(AND($ADU$126&gt;ZS80,ZS80&gt;$ADU$125),ZS80 = $ADU$126),$ADS$126,
IF(OR(AND($ADU$127&gt;ZS80,ZS80&gt;$ADU$126),ZS80 = $ADU$127),$ADS$127,
IF(OR(AND($ADU$128&gt;ZS80,ZS80&gt;$ADU$127),ZS80 = $ADU$128),$ADS$128,
IF(OR(AND($ADU$129&gt;ZS80,ZS80&gt;$ADU$128),ZS80 = $ADU$129),$ADS$129,
IF(OR(AND($ADU$130&gt;ZS80,ZS80&gt;$ADU$129),ZS80 = $ADU$130),$ADS$130,
IF(OR(AND($ADU$131&gt;ZS80,ZS80&gt;$ADU$130),ZS80 = $ADU$131),$ADS$131,
IF(OR(AND($ADU$132&gt;ZS80,ZS80&gt;$ADU$131),ZS80 = $ADU$132),$ADS$132,
IF(OR(AND($ADU$133&gt;ZS80,ZS80&gt;$ADU$132),ZS80 = $ADU$133),$ADS$133,
IF(OR(AND($ADU$134&gt;ZS80,ZS80&gt;$ADU$133),ZS80 = $ADU$134),$ADS$134,
"Y")))))))))))))))))))))))))))))))))))))))))))))))))))</f>
        <v>2.1918181818181965</v>
      </c>
      <c r="ZT93" s="693">
        <f t="shared" si="113"/>
        <v>2.2227272727272878</v>
      </c>
      <c r="ZU93" s="693">
        <f t="shared" si="113"/>
        <v>2.2690909090909246</v>
      </c>
      <c r="ZV93" s="693">
        <f t="shared" si="113"/>
        <v>2.3000000000000158</v>
      </c>
      <c r="ZW93" s="693">
        <f t="shared" si="113"/>
        <v>2.3309090909091061</v>
      </c>
      <c r="ZX93" s="693">
        <f t="shared" si="113"/>
        <v>2.3618181818181974</v>
      </c>
      <c r="ZY93" s="693">
        <f t="shared" si="113"/>
        <v>2.3927272727272886</v>
      </c>
      <c r="ZZ93" s="693">
        <f t="shared" si="113"/>
        <v>2.4236363636363789</v>
      </c>
      <c r="AAA93" s="693" t="str">
        <f t="shared" si="113"/>
        <v>Y</v>
      </c>
      <c r="AAB93" s="693" t="str">
        <f t="shared" si="113"/>
        <v>Y</v>
      </c>
      <c r="AAC93" s="693" t="str">
        <f t="shared" si="113"/>
        <v>Y</v>
      </c>
      <c r="AAD93" s="693" t="str">
        <f t="shared" si="113"/>
        <v>Y</v>
      </c>
      <c r="AAE93" s="693" t="str">
        <f t="shared" si="113"/>
        <v>Y</v>
      </c>
      <c r="AAF93" s="693" t="str">
        <f t="shared" si="113"/>
        <v>Y</v>
      </c>
      <c r="AAG93" s="693" t="str">
        <f t="shared" si="113"/>
        <v>Y</v>
      </c>
      <c r="AAH93" s="693" t="str">
        <f t="shared" si="113"/>
        <v>Y</v>
      </c>
      <c r="AAI93" s="693" t="str">
        <f t="shared" si="113"/>
        <v>Y</v>
      </c>
      <c r="AAJ93" s="693" t="str">
        <f t="shared" si="113"/>
        <v>Y</v>
      </c>
      <c r="AAK93" s="693" t="str">
        <f t="shared" si="113"/>
        <v>Y</v>
      </c>
      <c r="AAL93" s="693" t="str">
        <f t="shared" si="113"/>
        <v>Y</v>
      </c>
      <c r="AAM93" s="693" t="str">
        <f t="shared" si="113"/>
        <v>Y</v>
      </c>
      <c r="AAN93" s="693" t="str">
        <f t="shared" si="113"/>
        <v>Y</v>
      </c>
      <c r="AAO93" s="693" t="str">
        <f t="shared" si="113"/>
        <v>Y</v>
      </c>
      <c r="AAP93" s="693" t="str">
        <f t="shared" si="113"/>
        <v>Y</v>
      </c>
      <c r="AAQ93" s="693" t="str">
        <f t="shared" si="113"/>
        <v>Y</v>
      </c>
      <c r="AAR93" s="693" t="str">
        <f t="shared" si="113"/>
        <v>Y</v>
      </c>
      <c r="AAS93" s="693" t="str">
        <f t="shared" si="113"/>
        <v>Y</v>
      </c>
      <c r="AAT93" s="1006"/>
      <c r="AAU93" s="960"/>
      <c r="AAV93" s="1101"/>
      <c r="AAW93" s="1101"/>
      <c r="AAX93" s="1101"/>
      <c r="AAY93" s="1101"/>
      <c r="AAZ93" s="1101"/>
      <c r="ABA93" s="1101"/>
      <c r="ABB93" s="1101"/>
      <c r="ABC93" s="1101"/>
      <c r="ABD93" s="1101"/>
      <c r="ABE93" s="1101"/>
      <c r="ABF93" s="1101"/>
      <c r="ABG93" s="1101"/>
      <c r="ABH93" s="961"/>
      <c r="ABI93" s="158"/>
      <c r="ABJ93" s="158"/>
      <c r="ABK93" s="158"/>
      <c r="ABL93" s="158"/>
      <c r="ABM93" s="158"/>
      <c r="ABN93" s="158"/>
      <c r="ABO93" s="158"/>
      <c r="ABP93" s="163"/>
      <c r="ABT93" s="1527"/>
      <c r="ABU93" s="1527"/>
      <c r="ABV93" s="1527"/>
      <c r="ABW93" s="1527"/>
      <c r="ABX93" s="1527"/>
      <c r="ABY93" s="1527"/>
      <c r="ABZ93" s="1527"/>
      <c r="ACA93" s="1527"/>
      <c r="ACB93" s="1527"/>
      <c r="ACC93" s="1527"/>
      <c r="ACD93" s="1527"/>
      <c r="ACE93" s="1527"/>
      <c r="ACF93" s="1527"/>
      <c r="ACG93" s="1527"/>
      <c r="ACH93" s="1527"/>
      <c r="ACJ93" s="759">
        <v>0.25</v>
      </c>
      <c r="ACK93" s="760"/>
      <c r="ACL93" s="759">
        <v>-0.2</v>
      </c>
      <c r="ACM93" s="760"/>
      <c r="ACN93" s="592">
        <v>9</v>
      </c>
      <c r="ACO93" s="759">
        <f t="shared" si="91"/>
        <v>7.2500000000000009E-2</v>
      </c>
      <c r="ACP93" s="760"/>
      <c r="ACQ93" s="757">
        <f t="shared" si="82"/>
        <v>1.0900000000000001</v>
      </c>
      <c r="ACR93" s="758"/>
      <c r="ACT93" s="759">
        <v>1</v>
      </c>
      <c r="ACU93" s="760"/>
      <c r="ACV93" s="759">
        <v>-1.2</v>
      </c>
      <c r="ACW93" s="760"/>
      <c r="ACX93" s="592">
        <v>59</v>
      </c>
      <c r="ACY93" s="759">
        <f t="shared" si="92"/>
        <v>0.3899999999999999</v>
      </c>
      <c r="ACZ93" s="760"/>
      <c r="ADA93" s="757">
        <f t="shared" si="83"/>
        <v>1.5899999999999999</v>
      </c>
      <c r="ADB93" s="758"/>
      <c r="ADD93" s="759">
        <v>1.5454545454545501</v>
      </c>
      <c r="ADE93" s="760"/>
      <c r="ADF93" s="759">
        <v>-2.1818181818181799</v>
      </c>
      <c r="ADG93" s="760"/>
      <c r="ADH93" s="591">
        <v>108</v>
      </c>
      <c r="ADI93" s="759">
        <f t="shared" si="93"/>
        <v>1.0327272727272843</v>
      </c>
      <c r="ADJ93" s="760"/>
      <c r="ADK93" s="757">
        <f t="shared" si="84"/>
        <v>2.08</v>
      </c>
      <c r="ADL93" s="758"/>
      <c r="ADN93" s="759">
        <v>1.5454545454545501</v>
      </c>
      <c r="ADO93" s="760"/>
      <c r="ADP93" s="759">
        <v>-2.1818181818181799</v>
      </c>
      <c r="ADQ93" s="760"/>
      <c r="ADR93" s="591">
        <v>158</v>
      </c>
      <c r="ADS93" s="759">
        <f t="shared" si="94"/>
        <v>1.8054545454545594</v>
      </c>
      <c r="ADT93" s="760"/>
      <c r="ADU93" s="757">
        <f t="shared" si="85"/>
        <v>2.58</v>
      </c>
      <c r="ADV93" s="758"/>
      <c r="ADW93" s="653"/>
      <c r="ADX93" s="759">
        <v>1.5454545454545501</v>
      </c>
      <c r="ADY93" s="760"/>
      <c r="ADZ93" s="759">
        <v>-2.1818181818181799</v>
      </c>
      <c r="AEA93" s="760"/>
      <c r="AEB93" s="591">
        <v>208</v>
      </c>
      <c r="AEC93" s="759">
        <f t="shared" si="95"/>
        <v>2.5781818181818341</v>
      </c>
      <c r="AED93" s="760"/>
      <c r="AEE93" s="757">
        <f t="shared" si="86"/>
        <v>3.08</v>
      </c>
      <c r="AEF93" s="758"/>
      <c r="AEH93" s="759">
        <v>1.5454545454545501</v>
      </c>
      <c r="AEI93" s="760"/>
      <c r="AEJ93" s="759">
        <v>-2.1818181818181799</v>
      </c>
      <c r="AEK93" s="760"/>
      <c r="AEL93" s="591">
        <v>258</v>
      </c>
      <c r="AEM93" s="759">
        <f t="shared" si="101"/>
        <v>3.3509090909091093</v>
      </c>
      <c r="AEN93" s="760"/>
      <c r="AEO93" s="757">
        <f t="shared" si="87"/>
        <v>3.58</v>
      </c>
      <c r="AEP93" s="758"/>
      <c r="AGL93" s="850"/>
      <c r="AGM93" s="861" t="s">
        <v>1243</v>
      </c>
      <c r="AGN93" s="861"/>
      <c r="AGO93" s="937">
        <f>$MP$86</f>
        <v>8.0207023726710278E-2</v>
      </c>
      <c r="AGP93" s="937"/>
      <c r="AGQ93" s="791" t="s">
        <v>128</v>
      </c>
      <c r="AGR93" s="792"/>
      <c r="AGS93" s="792"/>
      <c r="AGT93" s="792"/>
      <c r="AGU93" s="792"/>
      <c r="AGV93" s="792"/>
      <c r="AGW93" s="792"/>
      <c r="AGX93" s="792"/>
      <c r="AGY93" s="793"/>
      <c r="AGZ93" s="835">
        <f>AGZ86*MP86</f>
        <v>0.1099161577219142</v>
      </c>
      <c r="AHA93" s="836"/>
      <c r="AHB93" s="1188" t="s">
        <v>392</v>
      </c>
      <c r="AHC93" s="1189"/>
      <c r="AHD93" s="1289"/>
      <c r="AHE93" s="1283" t="s">
        <v>1706</v>
      </c>
      <c r="AHF93" s="1283"/>
      <c r="AHG93" s="1283"/>
      <c r="AHH93" s="1289"/>
      <c r="AHI93" s="826"/>
      <c r="AHJ93" s="945"/>
      <c r="AHK93" s="945"/>
      <c r="AHL93" s="945"/>
      <c r="AHM93" s="945"/>
      <c r="AHN93" s="945"/>
      <c r="AHO93" s="946"/>
      <c r="AHW93" s="130"/>
      <c r="AHX93" s="130"/>
      <c r="ARK93" s="653"/>
      <c r="ARL93" s="653"/>
      <c r="ATB93" s="130"/>
      <c r="ATC93" s="130"/>
      <c r="ATD93" s="130"/>
      <c r="ATE93" s="130"/>
      <c r="ATF93" s="130"/>
      <c r="ATG93" s="130"/>
      <c r="ATH93" s="130"/>
      <c r="ATI93" s="130"/>
      <c r="ATJ93" s="130"/>
    </row>
    <row r="94" spans="4:908 1049:1212" ht="48" customHeight="1" thickBot="1">
      <c r="AI94" s="76" t="s">
        <v>793</v>
      </c>
      <c r="AJ94" s="1257" t="s">
        <v>416</v>
      </c>
      <c r="AK94" s="1257"/>
      <c r="AL94" s="608"/>
      <c r="AM94" s="609" t="s">
        <v>851</v>
      </c>
      <c r="AN94" s="766">
        <f>$AX$78</f>
        <v>36000</v>
      </c>
      <c r="AO94" s="766"/>
      <c r="AP94" s="78"/>
      <c r="AQ94" s="78"/>
      <c r="AR94" s="78"/>
      <c r="AS94" s="608"/>
      <c r="AT94" s="76" t="s">
        <v>441</v>
      </c>
      <c r="AU94" s="854" t="s">
        <v>435</v>
      </c>
      <c r="AV94" s="855"/>
      <c r="AW94" s="920" t="s">
        <v>111</v>
      </c>
      <c r="AX94" s="921"/>
      <c r="AY94" s="916" t="s">
        <v>704</v>
      </c>
      <c r="AZ94" s="917"/>
      <c r="BA94" s="906" t="s">
        <v>447</v>
      </c>
      <c r="BB94" s="907"/>
      <c r="BC94" s="907"/>
      <c r="BD94" s="908"/>
      <c r="BE94" s="906" t="s">
        <v>1238</v>
      </c>
      <c r="BF94" s="907"/>
      <c r="BG94" s="907"/>
      <c r="BH94" s="907"/>
      <c r="BI94" s="1051" t="s">
        <v>446</v>
      </c>
      <c r="BJ94" s="1051"/>
      <c r="BK94" s="1051"/>
      <c r="BL94" s="1051"/>
      <c r="BM94" s="1051"/>
      <c r="BN94" s="1051"/>
      <c r="BO94" s="1051"/>
      <c r="BP94" s="1051"/>
      <c r="BQ94" s="130"/>
      <c r="BX94" s="849"/>
      <c r="BY94" s="852" t="s">
        <v>33</v>
      </c>
      <c r="BZ94" s="853"/>
      <c r="CA94" s="132"/>
      <c r="CB94" s="616" t="s">
        <v>448</v>
      </c>
      <c r="CC94" s="761">
        <f>$AP$16</f>
        <v>2</v>
      </c>
      <c r="CD94" s="761"/>
      <c r="CE94" s="612" t="s">
        <v>763</v>
      </c>
      <c r="CF94" s="890">
        <f>$CL$91</f>
        <v>1.4832006266367067E-2</v>
      </c>
      <c r="CG94" s="890"/>
      <c r="CH94" s="132"/>
      <c r="CI94" s="76" t="s">
        <v>441</v>
      </c>
      <c r="CJ94" s="854" t="s">
        <v>435</v>
      </c>
      <c r="CK94" s="855"/>
      <c r="CL94" s="1072" t="s">
        <v>111</v>
      </c>
      <c r="CM94" s="1074"/>
      <c r="CN94" s="916" t="s">
        <v>704</v>
      </c>
      <c r="CO94" s="917"/>
      <c r="CP94" s="906" t="s">
        <v>447</v>
      </c>
      <c r="CQ94" s="907"/>
      <c r="CR94" s="907"/>
      <c r="CS94" s="908"/>
      <c r="CT94" s="906" t="s">
        <v>436</v>
      </c>
      <c r="CU94" s="907"/>
      <c r="CV94" s="908"/>
      <c r="DD94" s="130"/>
      <c r="DY94" s="653"/>
      <c r="DZ94" s="851"/>
      <c r="EA94" s="802" t="s">
        <v>1055</v>
      </c>
      <c r="EB94" s="803"/>
      <c r="EC94" s="1333">
        <f>$EN$67</f>
        <v>11.821574570006934</v>
      </c>
      <c r="ED94" s="1334"/>
      <c r="EE94" s="794"/>
      <c r="EF94" s="795"/>
      <c r="EG94" s="795"/>
      <c r="EH94" s="795"/>
      <c r="EI94" s="795"/>
      <c r="EJ94" s="795"/>
      <c r="EK94" s="795"/>
      <c r="EL94" s="837"/>
      <c r="EM94" s="838"/>
      <c r="EN94" s="929"/>
      <c r="EO94" s="930"/>
      <c r="EP94" s="842"/>
      <c r="EQ94" s="1440"/>
      <c r="ER94" s="1441"/>
      <c r="ES94" s="848"/>
      <c r="ET94" s="1053"/>
      <c r="EU94" s="1053"/>
      <c r="EV94" s="1053"/>
      <c r="EW94" s="1053"/>
      <c r="EX94" s="1053"/>
      <c r="EY94" s="1053"/>
      <c r="EZ94" s="1053"/>
      <c r="FA94" s="1053"/>
      <c r="FB94" s="1053"/>
      <c r="FC94" s="1053"/>
      <c r="FD94" s="1053"/>
      <c r="FE94" s="1053"/>
      <c r="FH94" s="653"/>
      <c r="GC94" s="6"/>
      <c r="GD94" s="3"/>
      <c r="GE94" s="3"/>
      <c r="HR94" s="220"/>
      <c r="HS94" s="220"/>
      <c r="HT94" s="220"/>
      <c r="HU94" s="220"/>
      <c r="HV94" s="220"/>
      <c r="HW94" s="220"/>
      <c r="HX94" s="220"/>
      <c r="HY94" s="220"/>
      <c r="HZ94" s="220"/>
      <c r="IA94" s="220"/>
      <c r="IB94" s="220"/>
      <c r="IC94" s="220"/>
      <c r="ID94" s="220"/>
      <c r="IE94" s="220"/>
      <c r="IF94" s="220"/>
      <c r="IR94" s="897" t="s">
        <v>973</v>
      </c>
      <c r="IS94" s="898"/>
      <c r="IT94" s="899"/>
      <c r="IU94" s="849"/>
      <c r="IV94" s="852" t="s">
        <v>416</v>
      </c>
      <c r="IW94" s="923"/>
      <c r="IX94" s="724"/>
      <c r="IY94" s="806" t="s">
        <v>1806</v>
      </c>
      <c r="IZ94" s="807"/>
      <c r="JA94" s="808"/>
      <c r="JB94" s="75" t="s">
        <v>451</v>
      </c>
      <c r="JC94" s="185"/>
      <c r="JD94" s="76" t="s">
        <v>441</v>
      </c>
      <c r="JE94" s="854" t="s">
        <v>435</v>
      </c>
      <c r="JF94" s="1111"/>
      <c r="JG94" s="920" t="s">
        <v>111</v>
      </c>
      <c r="JH94" s="921"/>
      <c r="JI94" s="916" t="s">
        <v>704</v>
      </c>
      <c r="JJ94" s="917"/>
      <c r="JK94" s="906" t="s">
        <v>447</v>
      </c>
      <c r="JL94" s="907"/>
      <c r="JM94" s="907"/>
      <c r="JN94" s="908"/>
      <c r="JO94" s="159"/>
      <c r="JP94" s="470"/>
      <c r="JQ94" s="470"/>
      <c r="JR94" s="470"/>
      <c r="JS94" s="161"/>
      <c r="JX94" s="851"/>
      <c r="JY94" s="777"/>
      <c r="JZ94" s="778"/>
      <c r="KA94" s="778"/>
      <c r="KB94" s="778"/>
      <c r="KC94" s="778"/>
      <c r="KD94" s="778"/>
      <c r="KE94" s="778"/>
      <c r="KF94" s="778"/>
      <c r="KG94" s="778"/>
      <c r="KH94" s="778"/>
      <c r="KI94" s="778"/>
      <c r="KJ94" s="778"/>
      <c r="KK94" s="799"/>
      <c r="KL94" s="837"/>
      <c r="KM94" s="838"/>
      <c r="KN94" s="1185"/>
      <c r="KO94" s="1186"/>
      <c r="KP94" s="1067"/>
      <c r="KQ94" s="918"/>
      <c r="KR94" s="919"/>
      <c r="KS94" s="848"/>
      <c r="KT94" s="828"/>
      <c r="KU94" s="949"/>
      <c r="KV94" s="950"/>
      <c r="LQ94" s="130"/>
      <c r="LR94" s="130"/>
      <c r="LS94" s="130"/>
      <c r="LT94" s="130"/>
      <c r="LU94" s="130"/>
      <c r="LV94" s="130"/>
      <c r="LW94" s="130"/>
      <c r="LX94" s="130"/>
      <c r="LY94" s="130"/>
      <c r="RE94" s="653"/>
      <c r="RF94" s="653"/>
      <c r="RG94" s="653"/>
      <c r="RH94" s="653"/>
      <c r="RI94" s="653"/>
      <c r="RJ94" s="653"/>
      <c r="RK94" s="653"/>
      <c r="RL94" s="653"/>
      <c r="RM94" s="653"/>
      <c r="RN94" s="653"/>
      <c r="RO94" s="653"/>
      <c r="RP94" s="653"/>
      <c r="RQ94" s="653"/>
      <c r="RR94" s="653"/>
      <c r="RS94" s="653"/>
      <c r="RT94" s="653"/>
      <c r="RU94" s="653"/>
      <c r="RV94" s="653"/>
      <c r="RW94" s="653"/>
      <c r="RX94" s="653"/>
      <c r="RY94" s="653"/>
      <c r="RZ94" s="653"/>
      <c r="SA94" s="653"/>
      <c r="SB94" s="653"/>
      <c r="SC94" s="653"/>
      <c r="SD94" s="653"/>
      <c r="SE94" s="653"/>
      <c r="SF94" s="653"/>
      <c r="SG94" s="653"/>
      <c r="SH94" s="653"/>
      <c r="SI94" s="653"/>
      <c r="SJ94" s="653"/>
      <c r="SK94" s="653"/>
      <c r="SL94" s="653"/>
      <c r="SM94" s="653"/>
      <c r="SN94" s="653"/>
      <c r="SO94" s="653"/>
      <c r="SP94" s="653"/>
      <c r="SQ94" s="653"/>
      <c r="SR94" s="653"/>
      <c r="SS94" s="653"/>
      <c r="ST94" s="653"/>
      <c r="SU94" s="653"/>
      <c r="SV94" s="653"/>
      <c r="SW94" s="653"/>
      <c r="SX94" s="653"/>
      <c r="SY94" s="653"/>
      <c r="SZ94" s="653"/>
      <c r="TA94" s="653"/>
      <c r="TB94" s="653"/>
      <c r="TC94" s="653"/>
      <c r="TD94" s="653"/>
      <c r="TE94" s="653"/>
      <c r="TF94" s="653"/>
      <c r="TG94" s="653"/>
      <c r="TH94" s="653"/>
      <c r="TI94" s="653"/>
      <c r="TJ94" s="653"/>
      <c r="TK94" s="653"/>
      <c r="TL94" s="653"/>
      <c r="TM94" s="653"/>
      <c r="TN94" s="653"/>
      <c r="TO94" s="653"/>
      <c r="TP94" s="653"/>
      <c r="TQ94" s="653"/>
      <c r="TR94" s="653"/>
      <c r="TS94" s="653"/>
      <c r="TT94" s="653"/>
      <c r="TU94" s="653"/>
      <c r="TV94" s="653"/>
      <c r="TW94" s="653"/>
      <c r="TX94" s="653"/>
      <c r="TY94" s="653"/>
      <c r="TZ94" s="653"/>
      <c r="UA94" s="653"/>
      <c r="UB94" s="653"/>
      <c r="UC94" s="653"/>
      <c r="UD94" s="653"/>
      <c r="UE94" s="653"/>
      <c r="UF94" s="653"/>
      <c r="UG94" s="653"/>
      <c r="UH94" s="653"/>
      <c r="UI94" s="653"/>
      <c r="UJ94" s="653"/>
      <c r="UK94" s="653"/>
      <c r="UL94" s="653"/>
      <c r="UM94" s="653"/>
      <c r="UN94" s="653"/>
      <c r="UO94" s="653"/>
      <c r="UP94" s="653"/>
      <c r="UQ94" s="653"/>
      <c r="UR94" s="653"/>
      <c r="US94" s="653"/>
      <c r="UT94" s="653"/>
      <c r="UU94" s="653"/>
      <c r="UV94" s="653"/>
      <c r="UW94" s="653"/>
      <c r="UX94" s="653"/>
      <c r="UY94" s="653"/>
      <c r="UZ94" s="653"/>
      <c r="VW94" s="653"/>
      <c r="VX94" s="653"/>
      <c r="VY94" s="653"/>
      <c r="VZ94" s="653"/>
      <c r="WE94" s="996"/>
      <c r="WF94" s="997"/>
      <c r="WG94" s="175"/>
      <c r="WH94" s="173"/>
      <c r="WI94" s="173"/>
      <c r="WJ94" s="173"/>
      <c r="WK94" s="173"/>
      <c r="WL94" s="173"/>
      <c r="WM94" s="173"/>
      <c r="WN94" s="173"/>
      <c r="WO94" s="173"/>
      <c r="WP94" s="173"/>
      <c r="WQ94" s="173"/>
      <c r="WR94" s="173"/>
      <c r="WS94" s="173"/>
      <c r="WT94" s="173"/>
      <c r="WU94" s="173"/>
      <c r="WV94" s="173"/>
      <c r="WW94" s="173"/>
      <c r="WX94" s="173"/>
      <c r="WY94" s="174"/>
      <c r="WZ94" s="1085"/>
      <c r="XA94" s="1085"/>
      <c r="XB94" s="175"/>
      <c r="XC94" s="173"/>
      <c r="XD94" s="173"/>
      <c r="XE94" s="173"/>
      <c r="XF94" s="174"/>
      <c r="XG94" s="693" t="str">
        <f t="shared" ref="XG94:YL94" si="114" xml:space="preserve">
IF($AEE$85&lt;1,"Ошибка",
IF(OR(AND($AEE$85&gt;XG80,XG80&gt;$ADU$134),XG80 = $AEE$85),$AEC$85,
IF(OR(AND($AEE$86&gt;XG80,XG80&gt;$AEE$85),XG80 = $AEE$86),$AEC$86,
IF(OR(AND($AEE$87&gt;XG80,XG80&gt;$AEE$86),XG80 = $AEE$87),$AEC$87,
IF(OR(AND($AEE$88&gt;XG80,XG80&gt;$AEE$87),XG80 = $AEE$88),$AEC$88,
IF(OR(AND($AEE$89&gt;XG80,XG80&gt;$AEE$88),XG80 = $AEE$89),$AEC$89,
IF(OR(AND($AEE$90&gt;XG80,XG80&gt;$AEE$89),XG80 = $AEE$90),$AEC$90,
IF(OR(AND($AEE$91&gt;XG80,XG80&gt;$AEE$90),XG80 = $AEE$91),$AEC$91,
IF(OR(AND($AEE$92&gt;XG80,XG80&gt;$AEE$91),XG80 = $AEE$92),$AEC$92,
IF(OR(AND($AEE$93&gt;XG80,XG80&gt;$AEE$92),XG80 = $AEE$93),$AEC$93,
IF(OR(AND($AEE$94&gt;XG80,XG80&gt;$AEE$93),XG80 = $AEE$94),$AEC$94,
IF(OR(AND($AEE$95&gt;XG80,XG80&gt;$AEE$94),XG80 = $AEE$95),$AEC$95,
IF(OR(AND($AEE$96&gt;XG80,XG80&gt;$AEE$95),XG80 = $AEE$96),$AEC$96,
IF(OR(AND($AEE$97&gt;XG80,XG80&gt;$AEE$96),XG80 = $AEE$97),$AEC$97,
IF(OR(AND($AEE$98&gt;XG80,XG80&gt;$AEE$97),XG80 = $AEE$98),$AEC$98,
IF(OR(AND($AEE$99&gt;XG80,XG80&gt;$AEE$98),XG80 = $AEE$99),$AEC$99,
IF(OR(AND($AEE$100&gt;XG80,XG80&gt;$AEE$99),XG80 = $AEE$100),$AEC$100,
IF(OR(AND($AEE$101&gt;XG80,XG80&gt;$AEE$100),XG80 = $AEE$101),$AEC$101,
IF(OR(AND($AEE$102&gt;XG80,XG80&gt;$AEE$101),XG80 = $AEE$102),$AEC$102,
IF(OR(AND($AEE$103&gt;XG80,XG80&gt;$AEE$102),XG80 = $AEE$103),$AEC$103,
IF(OR(AND($AEE$104&gt;XG80,XG80&gt;$AEE$103),XG80 = $AEE$104),$AEC$104,
IF(OR(AND($AEE$105&gt;XG80,XG80&gt;$AEE$104),XG80 = $AEE$105),$AEC$105,
IF(OR(AND($AEE$106&gt;XG80,XG80&gt;$AEE$105),XG80 = $AEE$106),$AEC$106,
IF(OR(AND($AEE$107&gt;XG80,XG80&gt;$AEE$106),XG80 = $AEE$107),$AEC$107,
IF(OR(AND($AEE$108&gt;XG80,XG80&gt;$AEE$107),XG80 = $AEE$108),$AEC$108,
IF(OR(AND($AEE$109&gt;XG80,XG80&gt;$AEE$108),XG80 = $AEE$109),$AEC$109,
IF(OR(AND($AEE$110&gt;XG80,XG80&gt;$AEE$109),XG80 = $AEE$110),$AEC$110,
IF(OR(AND($AEE$111&gt;XG80,XG80&gt;$AEE$110),XG80 = $AEE$111),$AEC$111,
IF(OR(AND($AEE$112&gt;XG80,XG80&gt;$AEE$111),XG80 = $AEE$112),$AEC$112,
IF(OR(AND($AEE$113&gt;XG80,XG80&gt;$AEE$112),XG80 = $AEE$113),$AEC$113,
IF(OR(AND($AEE$114&gt;XG80,XG80&gt;$AEE$113),XG80 = $AEE$114),$AEC$114,
IF(OR(AND($AEE$115&gt;XG80,XG80&gt;$AEE$114),XG80 = $AEE$115),$AEC$115,
IF(OR(AND($AEE$116&gt;XG80,XG80&gt;$AEE$115),XG80 = $AEE$116),$AEC$116,
IF(OR(AND($AEE$117&gt;XG80,XG80&gt;$AEE$116),XG80 = $AEE$117),$AEC$117,
IF(OR(AND($AEE$118&gt;XG80,XG80&gt;$AEE$117),XG80 = $AEE$118),$AEC$118,
IF(OR(AND($AEE$119&gt;XG80,XG80&gt;$AEE$118),XG80 = $AEE$119),$AEC$119,
IF(OR(AND($AEE$120&gt;XG80,XG80&gt;$AEE$119),XG80 = $AEE$120),$AEC$120,
IF(OR(AND($AEE$121&gt;XG80,XG80&gt;$AEE$120),XG80 = $AEE$121),$AEC$121,
IF(OR(AND($AEE$122&gt;XG80,XG80&gt;$AEE$121),XG80 = $AEE$122),$AEC$122,
IF(OR(AND($AEE$123&gt;XG80,XG80&gt;$AEE$122),XG80 = $AEE$123),$AEC$123,
IF(OR(AND($AEE$124&gt;XG80,XG80&gt;$AEE$123),XG80 = $AEE$124),$AEC$124,
IF(OR(AND($AEE$125&gt;XG80,XG80&gt;$AEE$124),XG80 = $AEE$125),$AEC$125,
IF(OR(AND($AEE$126&gt;XG80,XG80&gt;$AEE$125),XG80 = $AEE$126),$AEC$126,
IF(OR(AND($AEE$127&gt;XG80,XG80&gt;$AEE$126),XG80 = $AEE$127),$AEC$127,
IF(OR(AND($AEE$128&gt;XG80,XG80&gt;$AEE$127),XG80 = $AEE$128),$AEC$128,
IF(OR(AND($AEE$129&gt;XG80,XG80&gt;$AEE$128),XG80 = $AEE$129),$AEC$129,
IF(OR(AND($AEE$130&gt;XG80,XG80&gt;$AEE$129),XG80 = $AEE$130),$AEC$130,
IF(OR(AND($AEE$131&gt;XG80,XG80&gt;$AEE$130),XG80 = $AEE$131),$AEC$131,
IF(OR(AND($AEE$132&gt;XG80,XG80&gt;$AEE$131),XG80 = $AEE$132),$AEC$132,
IF(OR(AND($AEE$133&gt;XG80,XG80&gt;$AEE$132),XG80 = $AEE$133),$AEC$133,
IF(OR(AND($AEE$134&gt;XG80,XG80&gt;$AEE$133),XG80 = $AEE$134),$AEC$134,
"Y")))))))))))))))))))))))))))))))))))))))))))))))))))</f>
        <v>Y</v>
      </c>
      <c r="XH94" s="693" t="str">
        <f t="shared" si="114"/>
        <v>Y</v>
      </c>
      <c r="XI94" s="693" t="str">
        <f t="shared" si="114"/>
        <v>Y</v>
      </c>
      <c r="XJ94" s="693" t="str">
        <f t="shared" si="114"/>
        <v>Y</v>
      </c>
      <c r="XK94" s="693" t="str">
        <f t="shared" si="114"/>
        <v>Y</v>
      </c>
      <c r="XL94" s="693" t="str">
        <f t="shared" si="114"/>
        <v>Y</v>
      </c>
      <c r="XM94" s="693" t="str">
        <f t="shared" si="114"/>
        <v>Y</v>
      </c>
      <c r="XN94" s="693" t="str">
        <f t="shared" si="114"/>
        <v>Y</v>
      </c>
      <c r="XO94" s="693" t="str">
        <f t="shared" si="114"/>
        <v>Y</v>
      </c>
      <c r="XP94" s="693" t="str">
        <f t="shared" si="114"/>
        <v>Y</v>
      </c>
      <c r="XQ94" s="693" t="str">
        <f t="shared" si="114"/>
        <v>Y</v>
      </c>
      <c r="XR94" s="693" t="str">
        <f t="shared" si="114"/>
        <v>Y</v>
      </c>
      <c r="XS94" s="693" t="str">
        <f t="shared" si="114"/>
        <v>Y</v>
      </c>
      <c r="XT94" s="693" t="str">
        <f t="shared" si="114"/>
        <v>Y</v>
      </c>
      <c r="XU94" s="693" t="str">
        <f t="shared" si="114"/>
        <v>Y</v>
      </c>
      <c r="XV94" s="693" t="str">
        <f t="shared" si="114"/>
        <v>Y</v>
      </c>
      <c r="XW94" s="693" t="str">
        <f t="shared" si="114"/>
        <v>Y</v>
      </c>
      <c r="XX94" s="693" t="str">
        <f t="shared" si="114"/>
        <v>Y</v>
      </c>
      <c r="XY94" s="693" t="str">
        <f t="shared" si="114"/>
        <v>Y</v>
      </c>
      <c r="XZ94" s="693" t="str">
        <f t="shared" si="114"/>
        <v>Y</v>
      </c>
      <c r="YA94" s="693" t="str">
        <f t="shared" si="114"/>
        <v>Y</v>
      </c>
      <c r="YB94" s="693" t="str">
        <f t="shared" si="114"/>
        <v>Y</v>
      </c>
      <c r="YC94" s="693" t="str">
        <f t="shared" si="114"/>
        <v>Y</v>
      </c>
      <c r="YD94" s="693" t="str">
        <f t="shared" si="114"/>
        <v>Y</v>
      </c>
      <c r="YE94" s="693" t="str">
        <f t="shared" si="114"/>
        <v>Y</v>
      </c>
      <c r="YF94" s="693" t="str">
        <f t="shared" si="114"/>
        <v>Y</v>
      </c>
      <c r="YG94" s="693" t="str">
        <f t="shared" si="114"/>
        <v>Y</v>
      </c>
      <c r="YH94" s="693" t="str">
        <f t="shared" si="114"/>
        <v>Y</v>
      </c>
      <c r="YI94" s="693" t="str">
        <f t="shared" si="114"/>
        <v>Y</v>
      </c>
      <c r="YJ94" s="693" t="str">
        <f t="shared" si="114"/>
        <v>Y</v>
      </c>
      <c r="YK94" s="693" t="str">
        <f t="shared" si="114"/>
        <v>Y</v>
      </c>
      <c r="YL94" s="693" t="str">
        <f t="shared" si="114"/>
        <v>Y</v>
      </c>
      <c r="YM94" s="693" t="str">
        <f t="shared" ref="YM94:ZR94" si="115" xml:space="preserve">
IF($AEE$85&lt;1,"Ошибка",
IF(OR(AND($AEE$85&gt;YM80,YM80&gt;$ADU$134),YM80 = $AEE$85),$AEC$85,
IF(OR(AND($AEE$86&gt;YM80,YM80&gt;$AEE$85),YM80 = $AEE$86),$AEC$86,
IF(OR(AND($AEE$87&gt;YM80,YM80&gt;$AEE$86),YM80 = $AEE$87),$AEC$87,
IF(OR(AND($AEE$88&gt;YM80,YM80&gt;$AEE$87),YM80 = $AEE$88),$AEC$88,
IF(OR(AND($AEE$89&gt;YM80,YM80&gt;$AEE$88),YM80 = $AEE$89),$AEC$89,
IF(OR(AND($AEE$90&gt;YM80,YM80&gt;$AEE$89),YM80 = $AEE$90),$AEC$90,
IF(OR(AND($AEE$91&gt;YM80,YM80&gt;$AEE$90),YM80 = $AEE$91),$AEC$91,
IF(OR(AND($AEE$92&gt;YM80,YM80&gt;$AEE$91),YM80 = $AEE$92),$AEC$92,
IF(OR(AND($AEE$93&gt;YM80,YM80&gt;$AEE$92),YM80 = $AEE$93),$AEC$93,
IF(OR(AND($AEE$94&gt;YM80,YM80&gt;$AEE$93),YM80 = $AEE$94),$AEC$94,
IF(OR(AND($AEE$95&gt;YM80,YM80&gt;$AEE$94),YM80 = $AEE$95),$AEC$95,
IF(OR(AND($AEE$96&gt;YM80,YM80&gt;$AEE$95),YM80 = $AEE$96),$AEC$96,
IF(OR(AND($AEE$97&gt;YM80,YM80&gt;$AEE$96),YM80 = $AEE$97),$AEC$97,
IF(OR(AND($AEE$98&gt;YM80,YM80&gt;$AEE$97),YM80 = $AEE$98),$AEC$98,
IF(OR(AND($AEE$99&gt;YM80,YM80&gt;$AEE$98),YM80 = $AEE$99),$AEC$99,
IF(OR(AND($AEE$100&gt;YM80,YM80&gt;$AEE$99),YM80 = $AEE$100),$AEC$100,
IF(OR(AND($AEE$101&gt;YM80,YM80&gt;$AEE$100),YM80 = $AEE$101),$AEC$101,
IF(OR(AND($AEE$102&gt;YM80,YM80&gt;$AEE$101),YM80 = $AEE$102),$AEC$102,
IF(OR(AND($AEE$103&gt;YM80,YM80&gt;$AEE$102),YM80 = $AEE$103),$AEC$103,
IF(OR(AND($AEE$104&gt;YM80,YM80&gt;$AEE$103),YM80 = $AEE$104),$AEC$104,
IF(OR(AND($AEE$105&gt;YM80,YM80&gt;$AEE$104),YM80 = $AEE$105),$AEC$105,
IF(OR(AND($AEE$106&gt;YM80,YM80&gt;$AEE$105),YM80 = $AEE$106),$AEC$106,
IF(OR(AND($AEE$107&gt;YM80,YM80&gt;$AEE$106),YM80 = $AEE$107),$AEC$107,
IF(OR(AND($AEE$108&gt;YM80,YM80&gt;$AEE$107),YM80 = $AEE$108),$AEC$108,
IF(OR(AND($AEE$109&gt;YM80,YM80&gt;$AEE$108),YM80 = $AEE$109),$AEC$109,
IF(OR(AND($AEE$110&gt;YM80,YM80&gt;$AEE$109),YM80 = $AEE$110),$AEC$110,
IF(OR(AND($AEE$111&gt;YM80,YM80&gt;$AEE$110),YM80 = $AEE$111),$AEC$111,
IF(OR(AND($AEE$112&gt;YM80,YM80&gt;$AEE$111),YM80 = $AEE$112),$AEC$112,
IF(OR(AND($AEE$113&gt;YM80,YM80&gt;$AEE$112),YM80 = $AEE$113),$AEC$113,
IF(OR(AND($AEE$114&gt;YM80,YM80&gt;$AEE$113),YM80 = $AEE$114),$AEC$114,
IF(OR(AND($AEE$115&gt;YM80,YM80&gt;$AEE$114),YM80 = $AEE$115),$AEC$115,
IF(OR(AND($AEE$116&gt;YM80,YM80&gt;$AEE$115),YM80 = $AEE$116),$AEC$116,
IF(OR(AND($AEE$117&gt;YM80,YM80&gt;$AEE$116),YM80 = $AEE$117),$AEC$117,
IF(OR(AND($AEE$118&gt;YM80,YM80&gt;$AEE$117),YM80 = $AEE$118),$AEC$118,
IF(OR(AND($AEE$119&gt;YM80,YM80&gt;$AEE$118),YM80 = $AEE$119),$AEC$119,
IF(OR(AND($AEE$120&gt;YM80,YM80&gt;$AEE$119),YM80 = $AEE$120),$AEC$120,
IF(OR(AND($AEE$121&gt;YM80,YM80&gt;$AEE$120),YM80 = $AEE$121),$AEC$121,
IF(OR(AND($AEE$122&gt;YM80,YM80&gt;$AEE$121),YM80 = $AEE$122),$AEC$122,
IF(OR(AND($AEE$123&gt;YM80,YM80&gt;$AEE$122),YM80 = $AEE$123),$AEC$123,
IF(OR(AND($AEE$124&gt;YM80,YM80&gt;$AEE$123),YM80 = $AEE$124),$AEC$124,
IF(OR(AND($AEE$125&gt;YM80,YM80&gt;$AEE$124),YM80 = $AEE$125),$AEC$125,
IF(OR(AND($AEE$126&gt;YM80,YM80&gt;$AEE$125),YM80 = $AEE$126),$AEC$126,
IF(OR(AND($AEE$127&gt;YM80,YM80&gt;$AEE$126),YM80 = $AEE$127),$AEC$127,
IF(OR(AND($AEE$128&gt;YM80,YM80&gt;$AEE$127),YM80 = $AEE$128),$AEC$128,
IF(OR(AND($AEE$129&gt;YM80,YM80&gt;$AEE$128),YM80 = $AEE$129),$AEC$129,
IF(OR(AND($AEE$130&gt;YM80,YM80&gt;$AEE$129),YM80 = $AEE$130),$AEC$130,
IF(OR(AND($AEE$131&gt;YM80,YM80&gt;$AEE$130),YM80 = $AEE$131),$AEC$131,
IF(OR(AND($AEE$132&gt;YM80,YM80&gt;$AEE$131),YM80 = $AEE$132),$AEC$132,
IF(OR(AND($AEE$133&gt;YM80,YM80&gt;$AEE$132),YM80 = $AEE$133),$AEC$133,
IF(OR(AND($AEE$134&gt;YM80,YM80&gt;$AEE$133),YM80 = $AEE$134),$AEC$134,
"Y")))))))))))))))))))))))))))))))))))))))))))))))))))</f>
        <v>Y</v>
      </c>
      <c r="YN94" s="693" t="str">
        <f t="shared" si="115"/>
        <v>Y</v>
      </c>
      <c r="YO94" s="693" t="str">
        <f t="shared" si="115"/>
        <v>Y</v>
      </c>
      <c r="YP94" s="693" t="str">
        <f t="shared" si="115"/>
        <v>Y</v>
      </c>
      <c r="YQ94" s="693" t="str">
        <f t="shared" si="115"/>
        <v>Y</v>
      </c>
      <c r="YR94" s="693" t="str">
        <f t="shared" si="115"/>
        <v>Y</v>
      </c>
      <c r="YS94" s="693" t="str">
        <f t="shared" si="115"/>
        <v>Y</v>
      </c>
      <c r="YT94" s="693" t="str">
        <f t="shared" si="115"/>
        <v>Y</v>
      </c>
      <c r="YU94" s="693" t="str">
        <f t="shared" si="115"/>
        <v>Y</v>
      </c>
      <c r="YV94" s="693" t="str">
        <f t="shared" si="115"/>
        <v>Y</v>
      </c>
      <c r="YW94" s="693" t="str">
        <f t="shared" si="115"/>
        <v>Y</v>
      </c>
      <c r="YX94" s="693" t="str">
        <f t="shared" si="115"/>
        <v>Y</v>
      </c>
      <c r="YY94" s="693" t="str">
        <f t="shared" si="115"/>
        <v>Y</v>
      </c>
      <c r="YZ94" s="693" t="str">
        <f t="shared" si="115"/>
        <v>Y</v>
      </c>
      <c r="ZA94" s="693" t="str">
        <f t="shared" si="115"/>
        <v>Y</v>
      </c>
      <c r="ZB94" s="693" t="str">
        <f t="shared" si="115"/>
        <v>Y</v>
      </c>
      <c r="ZC94" s="693" t="str">
        <f t="shared" si="115"/>
        <v>Y</v>
      </c>
      <c r="ZD94" s="693" t="str">
        <f t="shared" si="115"/>
        <v>Y</v>
      </c>
      <c r="ZE94" s="693" t="str">
        <f t="shared" si="115"/>
        <v>Y</v>
      </c>
      <c r="ZF94" s="693" t="str">
        <f t="shared" si="115"/>
        <v>Y</v>
      </c>
      <c r="ZG94" s="693" t="str">
        <f t="shared" si="115"/>
        <v>Y</v>
      </c>
      <c r="ZH94" s="693" t="str">
        <f t="shared" si="115"/>
        <v>Y</v>
      </c>
      <c r="ZI94" s="693" t="str">
        <f t="shared" si="115"/>
        <v>Y</v>
      </c>
      <c r="ZJ94" s="693" t="str">
        <f t="shared" si="115"/>
        <v>Y</v>
      </c>
      <c r="ZK94" s="693" t="str">
        <f t="shared" si="115"/>
        <v>Y</v>
      </c>
      <c r="ZL94" s="693" t="str">
        <f t="shared" si="115"/>
        <v>Y</v>
      </c>
      <c r="ZM94" s="693" t="str">
        <f t="shared" si="115"/>
        <v>Y</v>
      </c>
      <c r="ZN94" s="693" t="str">
        <f t="shared" si="115"/>
        <v>Y</v>
      </c>
      <c r="ZO94" s="693" t="str">
        <f t="shared" si="115"/>
        <v>Y</v>
      </c>
      <c r="ZP94" s="693" t="str">
        <f t="shared" si="115"/>
        <v>Y</v>
      </c>
      <c r="ZQ94" s="693" t="str">
        <f t="shared" si="115"/>
        <v>Y</v>
      </c>
      <c r="ZR94" s="693" t="str">
        <f t="shared" si="115"/>
        <v>Y</v>
      </c>
      <c r="ZS94" s="693" t="str">
        <f t="shared" ref="ZS94:AAS94" si="116" xml:space="preserve">
IF($AEE$85&lt;1,"Ошибка",
IF(OR(AND($AEE$85&gt;ZS80,ZS80&gt;$ADU$134),ZS80 = $AEE$85),$AEC$85,
IF(OR(AND($AEE$86&gt;ZS80,ZS80&gt;$AEE$85),ZS80 = $AEE$86),$AEC$86,
IF(OR(AND($AEE$87&gt;ZS80,ZS80&gt;$AEE$86),ZS80 = $AEE$87),$AEC$87,
IF(OR(AND($AEE$88&gt;ZS80,ZS80&gt;$AEE$87),ZS80 = $AEE$88),$AEC$88,
IF(OR(AND($AEE$89&gt;ZS80,ZS80&gt;$AEE$88),ZS80 = $AEE$89),$AEC$89,
IF(OR(AND($AEE$90&gt;ZS80,ZS80&gt;$AEE$89),ZS80 = $AEE$90),$AEC$90,
IF(OR(AND($AEE$91&gt;ZS80,ZS80&gt;$AEE$90),ZS80 = $AEE$91),$AEC$91,
IF(OR(AND($AEE$92&gt;ZS80,ZS80&gt;$AEE$91),ZS80 = $AEE$92),$AEC$92,
IF(OR(AND($AEE$93&gt;ZS80,ZS80&gt;$AEE$92),ZS80 = $AEE$93),$AEC$93,
IF(OR(AND($AEE$94&gt;ZS80,ZS80&gt;$AEE$93),ZS80 = $AEE$94),$AEC$94,
IF(OR(AND($AEE$95&gt;ZS80,ZS80&gt;$AEE$94),ZS80 = $AEE$95),$AEC$95,
IF(OR(AND($AEE$96&gt;ZS80,ZS80&gt;$AEE$95),ZS80 = $AEE$96),$AEC$96,
IF(OR(AND($AEE$97&gt;ZS80,ZS80&gt;$AEE$96),ZS80 = $AEE$97),$AEC$97,
IF(OR(AND($AEE$98&gt;ZS80,ZS80&gt;$AEE$97),ZS80 = $AEE$98),$AEC$98,
IF(OR(AND($AEE$99&gt;ZS80,ZS80&gt;$AEE$98),ZS80 = $AEE$99),$AEC$99,
IF(OR(AND($AEE$100&gt;ZS80,ZS80&gt;$AEE$99),ZS80 = $AEE$100),$AEC$100,
IF(OR(AND($AEE$101&gt;ZS80,ZS80&gt;$AEE$100),ZS80 = $AEE$101),$AEC$101,
IF(OR(AND($AEE$102&gt;ZS80,ZS80&gt;$AEE$101),ZS80 = $AEE$102),$AEC$102,
IF(OR(AND($AEE$103&gt;ZS80,ZS80&gt;$AEE$102),ZS80 = $AEE$103),$AEC$103,
IF(OR(AND($AEE$104&gt;ZS80,ZS80&gt;$AEE$103),ZS80 = $AEE$104),$AEC$104,
IF(OR(AND($AEE$105&gt;ZS80,ZS80&gt;$AEE$104),ZS80 = $AEE$105),$AEC$105,
IF(OR(AND($AEE$106&gt;ZS80,ZS80&gt;$AEE$105),ZS80 = $AEE$106),$AEC$106,
IF(OR(AND($AEE$107&gt;ZS80,ZS80&gt;$AEE$106),ZS80 = $AEE$107),$AEC$107,
IF(OR(AND($AEE$108&gt;ZS80,ZS80&gt;$AEE$107),ZS80 = $AEE$108),$AEC$108,
IF(OR(AND($AEE$109&gt;ZS80,ZS80&gt;$AEE$108),ZS80 = $AEE$109),$AEC$109,
IF(OR(AND($AEE$110&gt;ZS80,ZS80&gt;$AEE$109),ZS80 = $AEE$110),$AEC$110,
IF(OR(AND($AEE$111&gt;ZS80,ZS80&gt;$AEE$110),ZS80 = $AEE$111),$AEC$111,
IF(OR(AND($AEE$112&gt;ZS80,ZS80&gt;$AEE$111),ZS80 = $AEE$112),$AEC$112,
IF(OR(AND($AEE$113&gt;ZS80,ZS80&gt;$AEE$112),ZS80 = $AEE$113),$AEC$113,
IF(OR(AND($AEE$114&gt;ZS80,ZS80&gt;$AEE$113),ZS80 = $AEE$114),$AEC$114,
IF(OR(AND($AEE$115&gt;ZS80,ZS80&gt;$AEE$114),ZS80 = $AEE$115),$AEC$115,
IF(OR(AND($AEE$116&gt;ZS80,ZS80&gt;$AEE$115),ZS80 = $AEE$116),$AEC$116,
IF(OR(AND($AEE$117&gt;ZS80,ZS80&gt;$AEE$116),ZS80 = $AEE$117),$AEC$117,
IF(OR(AND($AEE$118&gt;ZS80,ZS80&gt;$AEE$117),ZS80 = $AEE$118),$AEC$118,
IF(OR(AND($AEE$119&gt;ZS80,ZS80&gt;$AEE$118),ZS80 = $AEE$119),$AEC$119,
IF(OR(AND($AEE$120&gt;ZS80,ZS80&gt;$AEE$119),ZS80 = $AEE$120),$AEC$120,
IF(OR(AND($AEE$121&gt;ZS80,ZS80&gt;$AEE$120),ZS80 = $AEE$121),$AEC$121,
IF(OR(AND($AEE$122&gt;ZS80,ZS80&gt;$AEE$121),ZS80 = $AEE$122),$AEC$122,
IF(OR(AND($AEE$123&gt;ZS80,ZS80&gt;$AEE$122),ZS80 = $AEE$123),$AEC$123,
IF(OR(AND($AEE$124&gt;ZS80,ZS80&gt;$AEE$123),ZS80 = $AEE$124),$AEC$124,
IF(OR(AND($AEE$125&gt;ZS80,ZS80&gt;$AEE$124),ZS80 = $AEE$125),$AEC$125,
IF(OR(AND($AEE$126&gt;ZS80,ZS80&gt;$AEE$125),ZS80 = $AEE$126),$AEC$126,
IF(OR(AND($AEE$127&gt;ZS80,ZS80&gt;$AEE$126),ZS80 = $AEE$127),$AEC$127,
IF(OR(AND($AEE$128&gt;ZS80,ZS80&gt;$AEE$127),ZS80 = $AEE$128),$AEC$128,
IF(OR(AND($AEE$129&gt;ZS80,ZS80&gt;$AEE$128),ZS80 = $AEE$129),$AEC$129,
IF(OR(AND($AEE$130&gt;ZS80,ZS80&gt;$AEE$129),ZS80 = $AEE$130),$AEC$130,
IF(OR(AND($AEE$131&gt;ZS80,ZS80&gt;$AEE$130),ZS80 = $AEE$131),$AEC$131,
IF(OR(AND($AEE$132&gt;ZS80,ZS80&gt;$AEE$131),ZS80 = $AEE$132),$AEC$132,
IF(OR(AND($AEE$133&gt;ZS80,ZS80&gt;$AEE$132),ZS80 = $AEE$133),$AEC$133,
IF(OR(AND($AEE$134&gt;ZS80,ZS80&gt;$AEE$133),ZS80 = $AEE$134),$AEC$134,
"Y")))))))))))))))))))))))))))))))))))))))))))))))))))</f>
        <v>Y</v>
      </c>
      <c r="ZT94" s="693" t="str">
        <f t="shared" si="116"/>
        <v>Y</v>
      </c>
      <c r="ZU94" s="693" t="str">
        <f t="shared" si="116"/>
        <v>Y</v>
      </c>
      <c r="ZV94" s="693" t="str">
        <f t="shared" si="116"/>
        <v>Y</v>
      </c>
      <c r="ZW94" s="693" t="str">
        <f t="shared" si="116"/>
        <v>Y</v>
      </c>
      <c r="ZX94" s="693" t="str">
        <f t="shared" si="116"/>
        <v>Y</v>
      </c>
      <c r="ZY94" s="693" t="str">
        <f t="shared" si="116"/>
        <v>Y</v>
      </c>
      <c r="ZZ94" s="693" t="str">
        <f t="shared" si="116"/>
        <v>Y</v>
      </c>
      <c r="AAA94" s="693">
        <f t="shared" si="116"/>
        <v>2.4545454545454701</v>
      </c>
      <c r="AAB94" s="693">
        <f t="shared" si="116"/>
        <v>2.4854545454545613</v>
      </c>
      <c r="AAC94" s="693">
        <f t="shared" si="116"/>
        <v>2.5163636363636526</v>
      </c>
      <c r="AAD94" s="693">
        <f t="shared" si="116"/>
        <v>2.5472727272727438</v>
      </c>
      <c r="AAE94" s="693">
        <f t="shared" si="116"/>
        <v>2.5781818181818341</v>
      </c>
      <c r="AAF94" s="693">
        <f t="shared" si="116"/>
        <v>2.6090909090909253</v>
      </c>
      <c r="AAG94" s="693">
        <f t="shared" si="116"/>
        <v>2.6400000000000166</v>
      </c>
      <c r="AAH94" s="693">
        <f t="shared" si="116"/>
        <v>2.6709090909091078</v>
      </c>
      <c r="AAI94" s="693">
        <f t="shared" si="116"/>
        <v>2.701818181818199</v>
      </c>
      <c r="AAJ94" s="693">
        <f t="shared" si="116"/>
        <v>2.7327272727272893</v>
      </c>
      <c r="AAK94" s="693">
        <f t="shared" si="116"/>
        <v>2.7636363636363805</v>
      </c>
      <c r="AAL94" s="693">
        <f t="shared" si="116"/>
        <v>2.7945454545454718</v>
      </c>
      <c r="AAM94" s="693">
        <f t="shared" si="116"/>
        <v>2.825454545454563</v>
      </c>
      <c r="AAN94" s="693">
        <f t="shared" si="116"/>
        <v>2.8563636363636533</v>
      </c>
      <c r="AAO94" s="693">
        <f t="shared" si="116"/>
        <v>2.8872727272727445</v>
      </c>
      <c r="AAP94" s="693">
        <f t="shared" si="116"/>
        <v>2.9181818181818358</v>
      </c>
      <c r="AAQ94" s="693">
        <f t="shared" si="116"/>
        <v>2.9336363636363814</v>
      </c>
      <c r="AAR94" s="693">
        <f t="shared" si="116"/>
        <v>2.9645454545454717</v>
      </c>
      <c r="AAS94" s="693">
        <f t="shared" si="116"/>
        <v>2.9954545454545629</v>
      </c>
      <c r="AAT94" s="1006"/>
      <c r="AAU94" s="960"/>
      <c r="AAV94" s="1101"/>
      <c r="AAW94" s="1101"/>
      <c r="AAX94" s="1101"/>
      <c r="AAY94" s="1101"/>
      <c r="AAZ94" s="1101"/>
      <c r="ABA94" s="1101"/>
      <c r="ABB94" s="1101"/>
      <c r="ABC94" s="1101"/>
      <c r="ABD94" s="1101"/>
      <c r="ABE94" s="1101"/>
      <c r="ABF94" s="1101"/>
      <c r="ABG94" s="1101"/>
      <c r="ABH94" s="961"/>
      <c r="ABI94" s="158"/>
      <c r="ABJ94" s="158"/>
      <c r="ABK94" s="158"/>
      <c r="ABL94" s="158"/>
      <c r="ABM94" s="158"/>
      <c r="ABN94" s="158"/>
      <c r="ABO94" s="158"/>
      <c r="ABP94" s="163"/>
      <c r="ABT94" s="1527"/>
      <c r="ABU94" s="1527"/>
      <c r="ABV94" s="1527"/>
      <c r="ABW94" s="1527"/>
      <c r="ABX94" s="1527"/>
      <c r="ABY94" s="1527"/>
      <c r="ABZ94" s="1527"/>
      <c r="ACA94" s="1527"/>
      <c r="ACB94" s="1527"/>
      <c r="ACC94" s="1527"/>
      <c r="ACD94" s="1527"/>
      <c r="ACE94" s="1527"/>
      <c r="ACF94" s="1527"/>
      <c r="ACG94" s="1527"/>
      <c r="ACH94" s="1527"/>
      <c r="ACJ94" s="759">
        <v>0.25</v>
      </c>
      <c r="ACK94" s="760"/>
      <c r="ACL94" s="759">
        <v>-0.2</v>
      </c>
      <c r="ACM94" s="760"/>
      <c r="ACN94" s="592">
        <v>10</v>
      </c>
      <c r="ACO94" s="759">
        <f t="shared" si="91"/>
        <v>7.5000000000000011E-2</v>
      </c>
      <c r="ACP94" s="760"/>
      <c r="ACQ94" s="757">
        <f t="shared" si="82"/>
        <v>1.1000000000000001</v>
      </c>
      <c r="ACR94" s="758"/>
      <c r="ACT94" s="759">
        <v>1</v>
      </c>
      <c r="ACU94" s="760"/>
      <c r="ACV94" s="759">
        <v>-1.2</v>
      </c>
      <c r="ACW94" s="760"/>
      <c r="ACX94" s="592">
        <v>60</v>
      </c>
      <c r="ACY94" s="759">
        <f t="shared" si="92"/>
        <v>0.40000000000000013</v>
      </c>
      <c r="ACZ94" s="760"/>
      <c r="ADA94" s="757">
        <f t="shared" si="83"/>
        <v>1.6</v>
      </c>
      <c r="ADB94" s="758"/>
      <c r="ADD94" s="759">
        <v>1.5454545454545501</v>
      </c>
      <c r="ADE94" s="760"/>
      <c r="ADF94" s="759">
        <v>-2.1818181818181799</v>
      </c>
      <c r="ADG94" s="760"/>
      <c r="ADH94" s="591">
        <v>109</v>
      </c>
      <c r="ADI94" s="759">
        <f t="shared" si="93"/>
        <v>1.0481818181818294</v>
      </c>
      <c r="ADJ94" s="760"/>
      <c r="ADK94" s="757">
        <f t="shared" si="84"/>
        <v>2.09</v>
      </c>
      <c r="ADL94" s="758"/>
      <c r="ADN94" s="759">
        <v>1.5454545454545501</v>
      </c>
      <c r="ADO94" s="760"/>
      <c r="ADP94" s="759">
        <v>-2.1818181818181799</v>
      </c>
      <c r="ADQ94" s="760"/>
      <c r="ADR94" s="591">
        <v>159</v>
      </c>
      <c r="ADS94" s="759">
        <f t="shared" si="94"/>
        <v>1.8209090909091046</v>
      </c>
      <c r="ADT94" s="760"/>
      <c r="ADU94" s="757">
        <f t="shared" si="85"/>
        <v>2.59</v>
      </c>
      <c r="ADV94" s="758"/>
      <c r="ADW94" s="653"/>
      <c r="ADX94" s="759">
        <v>1.5454545454545501</v>
      </c>
      <c r="ADY94" s="760"/>
      <c r="ADZ94" s="759">
        <v>-2.1818181818181799</v>
      </c>
      <c r="AEA94" s="760"/>
      <c r="AEB94" s="591">
        <v>209</v>
      </c>
      <c r="AEC94" s="759">
        <f t="shared" si="95"/>
        <v>2.5936363636363797</v>
      </c>
      <c r="AED94" s="760"/>
      <c r="AEE94" s="757">
        <f t="shared" si="86"/>
        <v>3.09</v>
      </c>
      <c r="AEF94" s="758"/>
      <c r="AEH94" s="759">
        <v>1.5454545454545501</v>
      </c>
      <c r="AEI94" s="760"/>
      <c r="AEJ94" s="759">
        <v>-2.1818181818181799</v>
      </c>
      <c r="AEK94" s="760"/>
      <c r="AEL94" s="591">
        <v>259</v>
      </c>
      <c r="AEM94" s="759">
        <f t="shared" si="101"/>
        <v>3.3663636363636549</v>
      </c>
      <c r="AEN94" s="760"/>
      <c r="AEO94" s="757">
        <f t="shared" si="87"/>
        <v>3.59</v>
      </c>
      <c r="AEP94" s="758"/>
      <c r="AGJ94" s="653"/>
      <c r="AGL94" s="851"/>
      <c r="AGM94" s="1163" t="s">
        <v>1456</v>
      </c>
      <c r="AGN94" s="1163"/>
      <c r="AGO94" s="1108">
        <f>$AGZ$86</f>
        <v>1.3704056404889424</v>
      </c>
      <c r="AGP94" s="1109"/>
      <c r="AGQ94" s="794"/>
      <c r="AGR94" s="795"/>
      <c r="AGS94" s="795"/>
      <c r="AGT94" s="795"/>
      <c r="AGU94" s="795"/>
      <c r="AGV94" s="795"/>
      <c r="AGW94" s="795"/>
      <c r="AGX94" s="795"/>
      <c r="AGY94" s="796"/>
      <c r="AGZ94" s="837"/>
      <c r="AHA94" s="838"/>
      <c r="AHB94" s="1190"/>
      <c r="AHC94" s="1191"/>
      <c r="AHD94" s="1290"/>
      <c r="AHE94" s="1284"/>
      <c r="AHF94" s="1284"/>
      <c r="AHG94" s="1284"/>
      <c r="AHH94" s="1290"/>
      <c r="AHI94" s="828"/>
      <c r="AHJ94" s="949"/>
      <c r="AHK94" s="949"/>
      <c r="AHL94" s="949"/>
      <c r="AHM94" s="949"/>
      <c r="AHN94" s="949"/>
      <c r="AHO94" s="950"/>
      <c r="AHW94" s="130"/>
      <c r="AHX94" s="130"/>
      <c r="ARN94" s="653"/>
      <c r="ARO94" s="653"/>
      <c r="ARP94" s="653"/>
      <c r="ARQ94" s="653"/>
      <c r="ARR94" s="653"/>
      <c r="ARS94" s="653"/>
      <c r="ATB94" s="130"/>
      <c r="ATC94" s="130"/>
      <c r="ATD94" s="130"/>
      <c r="ATE94" s="130"/>
      <c r="ATF94" s="130"/>
      <c r="ATG94" s="130"/>
      <c r="ATH94" s="130"/>
      <c r="ATI94" s="130"/>
      <c r="ATJ94" s="130"/>
    </row>
    <row r="95" spans="4:908 1049:1212" ht="48" customHeight="1">
      <c r="AI95" s="849"/>
      <c r="AJ95" s="800" t="s">
        <v>1069</v>
      </c>
      <c r="AK95" s="801"/>
      <c r="AL95" s="761">
        <f>$AZ$82</f>
        <v>0.91</v>
      </c>
      <c r="AM95" s="761"/>
      <c r="AN95" s="607" t="s">
        <v>1059</v>
      </c>
      <c r="AO95" s="1165">
        <f>$AY$74</f>
        <v>0.76</v>
      </c>
      <c r="AP95" s="1265"/>
      <c r="AQ95" s="768" t="s">
        <v>18</v>
      </c>
      <c r="AR95" s="762"/>
      <c r="AS95" s="762"/>
      <c r="AT95" s="762"/>
      <c r="AU95" s="762"/>
      <c r="AV95" s="762"/>
      <c r="AW95" s="1660">
        <f>AL96/(AL95*AO97^2*AO96*AO95*AL97*AN94)</f>
        <v>0.19391178434038603</v>
      </c>
      <c r="AX95" s="1661"/>
      <c r="AY95" s="1634" t="s">
        <v>706</v>
      </c>
      <c r="AZ95" s="1635"/>
      <c r="BA95" s="841"/>
      <c r="BB95" s="893" t="s">
        <v>730</v>
      </c>
      <c r="BC95" s="894"/>
      <c r="BD95" s="847"/>
      <c r="BE95" s="847"/>
      <c r="BF95" s="893" t="s">
        <v>1624</v>
      </c>
      <c r="BG95" s="894"/>
      <c r="BH95" s="1255"/>
      <c r="BI95" s="1052"/>
      <c r="BJ95" s="1052"/>
      <c r="BK95" s="1052"/>
      <c r="BL95" s="1052"/>
      <c r="BM95" s="1052"/>
      <c r="BN95" s="1052"/>
      <c r="BO95" s="1052"/>
      <c r="BP95" s="1052"/>
      <c r="BQ95" s="130"/>
      <c r="BX95" s="850"/>
      <c r="BY95" s="621" t="s">
        <v>444</v>
      </c>
      <c r="BZ95" s="937">
        <f>$AP$49</f>
        <v>0.21284000000000003</v>
      </c>
      <c r="CA95" s="937"/>
      <c r="CB95" s="810" t="s">
        <v>39</v>
      </c>
      <c r="CC95" s="770"/>
      <c r="CD95" s="770"/>
      <c r="CE95" s="770"/>
      <c r="CF95" s="770"/>
      <c r="CG95" s="770"/>
      <c r="CH95" s="770"/>
      <c r="CI95" s="770"/>
      <c r="CJ95" s="770"/>
      <c r="CK95" s="771"/>
      <c r="CL95" s="1168">
        <f>(CC94*CF94)/(BZ95*BZ96)</f>
        <v>0.71874103885740337</v>
      </c>
      <c r="CM95" s="815"/>
      <c r="CN95" s="1075" t="s">
        <v>17</v>
      </c>
      <c r="CO95" s="1076"/>
      <c r="CP95" s="841"/>
      <c r="CQ95" s="893" t="s">
        <v>747</v>
      </c>
      <c r="CR95" s="894"/>
      <c r="CS95" s="847"/>
      <c r="CT95" s="826"/>
      <c r="CU95" s="945"/>
      <c r="CV95" s="946"/>
      <c r="DF95" s="130"/>
      <c r="DG95" s="130"/>
      <c r="DH95" s="130"/>
      <c r="DI95" s="130"/>
      <c r="DJ95" s="130"/>
      <c r="DK95" s="130"/>
      <c r="DL95" s="130"/>
      <c r="DM95" s="130"/>
      <c r="DN95" s="130"/>
      <c r="DY95" s="653"/>
      <c r="ED95" s="675"/>
      <c r="EE95" s="675"/>
      <c r="EF95" s="675"/>
      <c r="EG95" s="675"/>
      <c r="EH95" s="675"/>
      <c r="EI95" s="675"/>
      <c r="EJ95" s="675"/>
      <c r="EK95" s="675"/>
      <c r="FE95" s="653"/>
      <c r="FF95" s="653"/>
      <c r="FG95" s="653"/>
      <c r="FH95" s="653"/>
      <c r="HR95" s="220"/>
      <c r="HS95" s="220"/>
      <c r="HT95" s="220"/>
      <c r="HU95" s="220"/>
      <c r="HV95" s="220"/>
      <c r="HW95" s="220"/>
      <c r="HX95" s="220"/>
      <c r="HY95" s="220"/>
      <c r="HZ95" s="220"/>
      <c r="IA95" s="220"/>
      <c r="IB95" s="220"/>
      <c r="IC95" s="220"/>
      <c r="ID95" s="220"/>
      <c r="IE95" s="220"/>
      <c r="IF95" s="220"/>
      <c r="IR95" s="900"/>
      <c r="IS95" s="901"/>
      <c r="IT95" s="902"/>
      <c r="IU95" s="850"/>
      <c r="IV95" s="809" t="s">
        <v>80</v>
      </c>
      <c r="IW95" s="797"/>
      <c r="IX95" s="797"/>
      <c r="IY95" s="797"/>
      <c r="IZ95" s="797"/>
      <c r="JA95" s="797"/>
      <c r="JB95" s="797"/>
      <c r="JC95" s="797"/>
      <c r="JD95" s="797"/>
      <c r="JE95" s="797"/>
      <c r="JF95" s="798"/>
      <c r="JG95" s="1434">
        <v>152</v>
      </c>
      <c r="JH95" s="1435"/>
      <c r="JI95" s="1075" t="s">
        <v>16</v>
      </c>
      <c r="JJ95" s="1076"/>
      <c r="JK95" s="1066"/>
      <c r="JL95" s="843" t="s">
        <v>1109</v>
      </c>
      <c r="JM95" s="844"/>
      <c r="JN95" s="847"/>
      <c r="JO95" s="162"/>
      <c r="JP95" s="725" t="s">
        <v>1605</v>
      </c>
      <c r="JQ95" s="890">
        <f>$KL$45</f>
        <v>0.83680148173449342</v>
      </c>
      <c r="JR95" s="890"/>
      <c r="JS95" s="163"/>
      <c r="LQ95" s="130"/>
      <c r="LR95" s="130"/>
      <c r="LS95" s="130"/>
      <c r="LT95" s="130"/>
      <c r="LU95" s="130"/>
      <c r="LV95" s="130"/>
      <c r="LW95" s="130"/>
      <c r="LX95" s="130"/>
      <c r="LY95" s="130"/>
      <c r="MD95" s="196"/>
      <c r="ME95" s="852" t="s">
        <v>834</v>
      </c>
      <c r="MF95" s="853"/>
      <c r="MG95" s="196"/>
      <c r="MH95" s="1069" t="s">
        <v>76</v>
      </c>
      <c r="MI95" s="1070"/>
      <c r="MJ95" s="1070"/>
      <c r="MK95" s="1070"/>
      <c r="ML95" s="1070"/>
      <c r="MM95" s="1070"/>
      <c r="MN95" s="1070"/>
      <c r="MO95" s="1070"/>
      <c r="MP95" s="1070"/>
      <c r="MQ95" s="1070"/>
      <c r="MR95" s="1071"/>
      <c r="MS95" s="196"/>
      <c r="RE95" s="653"/>
      <c r="RF95" s="653"/>
      <c r="RG95" s="653"/>
      <c r="RH95" s="653"/>
      <c r="RI95" s="653"/>
      <c r="RJ95" s="653"/>
      <c r="RK95" s="653"/>
      <c r="RL95" s="653"/>
      <c r="RM95" s="653"/>
      <c r="RN95" s="653"/>
      <c r="RO95" s="653"/>
      <c r="RP95" s="653"/>
      <c r="RQ95" s="653"/>
      <c r="RR95" s="653"/>
      <c r="RS95" s="653"/>
      <c r="RT95" s="653"/>
      <c r="RU95" s="653"/>
      <c r="RV95" s="653"/>
      <c r="RW95" s="653"/>
      <c r="RX95" s="653"/>
      <c r="RY95" s="653"/>
      <c r="RZ95" s="653"/>
      <c r="SA95" s="653"/>
      <c r="SB95" s="653"/>
      <c r="SC95" s="653"/>
      <c r="SD95" s="653"/>
      <c r="SE95" s="653"/>
      <c r="SF95" s="653"/>
      <c r="SG95" s="653"/>
      <c r="SH95" s="653"/>
      <c r="SI95" s="653"/>
      <c r="SJ95" s="653"/>
      <c r="SK95" s="653"/>
      <c r="SL95" s="653"/>
      <c r="SM95" s="653"/>
      <c r="SN95" s="653"/>
      <c r="SO95" s="653"/>
      <c r="SP95" s="653"/>
      <c r="SQ95" s="653"/>
      <c r="SR95" s="653"/>
      <c r="SS95" s="653"/>
      <c r="ST95" s="653"/>
      <c r="SU95" s="653"/>
      <c r="SV95" s="653"/>
      <c r="SW95" s="653"/>
      <c r="SX95" s="653"/>
      <c r="SY95" s="653"/>
      <c r="SZ95" s="653"/>
      <c r="TA95" s="653"/>
      <c r="TB95" s="653"/>
      <c r="TC95" s="653"/>
      <c r="TD95" s="653"/>
      <c r="TE95" s="653"/>
      <c r="TF95" s="653"/>
      <c r="TG95" s="653"/>
      <c r="TH95" s="653"/>
      <c r="TI95" s="653"/>
      <c r="TJ95" s="653"/>
      <c r="TK95" s="653"/>
      <c r="TL95" s="653"/>
      <c r="TM95" s="653"/>
      <c r="TN95" s="653"/>
      <c r="TO95" s="653"/>
      <c r="TP95" s="653"/>
      <c r="TQ95" s="653"/>
      <c r="TR95" s="653"/>
      <c r="TS95" s="653"/>
      <c r="TT95" s="653"/>
      <c r="TU95" s="653"/>
      <c r="TV95" s="653"/>
      <c r="TW95" s="653"/>
      <c r="TX95" s="653"/>
      <c r="TY95" s="653"/>
      <c r="TZ95" s="653"/>
      <c r="UA95" s="653"/>
      <c r="UB95" s="653"/>
      <c r="UC95" s="653"/>
      <c r="UD95" s="653"/>
      <c r="UE95" s="653"/>
      <c r="UF95" s="653"/>
      <c r="UG95" s="653"/>
      <c r="UH95" s="653"/>
      <c r="UI95" s="653"/>
      <c r="UJ95" s="653"/>
      <c r="UK95" s="653"/>
      <c r="UL95" s="653"/>
      <c r="UM95" s="653"/>
      <c r="UN95" s="653"/>
      <c r="UO95" s="653"/>
      <c r="UP95" s="653"/>
      <c r="UQ95" s="653"/>
      <c r="UR95" s="653"/>
      <c r="US95" s="653"/>
      <c r="UT95" s="653"/>
      <c r="UU95" s="653"/>
      <c r="UV95" s="653"/>
      <c r="UW95" s="653"/>
      <c r="UX95" s="653"/>
      <c r="UY95" s="653"/>
      <c r="UZ95" s="653"/>
      <c r="WC95" s="130"/>
      <c r="WD95" s="130"/>
      <c r="WE95" s="996"/>
      <c r="WF95" s="997"/>
      <c r="WG95" s="175"/>
      <c r="WH95" s="173"/>
      <c r="WI95" s="173"/>
      <c r="WJ95" s="173"/>
      <c r="WK95" s="173"/>
      <c r="WL95" s="173"/>
      <c r="WM95" s="173"/>
      <c r="WN95" s="173"/>
      <c r="WO95" s="173"/>
      <c r="WP95" s="173"/>
      <c r="WQ95" s="173"/>
      <c r="WR95" s="173"/>
      <c r="WS95" s="173"/>
      <c r="WT95" s="173"/>
      <c r="WU95" s="173"/>
      <c r="WV95" s="173"/>
      <c r="WW95" s="173"/>
      <c r="WX95" s="173"/>
      <c r="WY95" s="174"/>
      <c r="WZ95" s="1085"/>
      <c r="XA95" s="1085"/>
      <c r="XB95" s="175"/>
      <c r="XC95" s="173"/>
      <c r="XD95" s="173"/>
      <c r="XE95" s="173"/>
      <c r="XF95" s="174"/>
      <c r="XG95" s="693" t="str">
        <f t="shared" ref="XG95:YL95" si="117"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XH95" s="693" t="str">
        <f t="shared" si="117"/>
        <v>Y</v>
      </c>
      <c r="XI95" s="693" t="str">
        <f t="shared" si="117"/>
        <v>Y</v>
      </c>
      <c r="XJ95" s="693" t="str">
        <f t="shared" si="117"/>
        <v>Y</v>
      </c>
      <c r="XK95" s="693" t="str">
        <f t="shared" si="117"/>
        <v>Y</v>
      </c>
      <c r="XL95" s="693" t="str">
        <f t="shared" si="117"/>
        <v>Y</v>
      </c>
      <c r="XM95" s="693" t="str">
        <f t="shared" si="117"/>
        <v>Y</v>
      </c>
      <c r="XN95" s="693" t="str">
        <f t="shared" si="117"/>
        <v>Y</v>
      </c>
      <c r="XO95" s="693" t="str">
        <f t="shared" si="117"/>
        <v>Y</v>
      </c>
      <c r="XP95" s="693" t="str">
        <f t="shared" si="117"/>
        <v>Y</v>
      </c>
      <c r="XQ95" s="693" t="str">
        <f t="shared" si="117"/>
        <v>Y</v>
      </c>
      <c r="XR95" s="693" t="str">
        <f t="shared" si="117"/>
        <v>Y</v>
      </c>
      <c r="XS95" s="693" t="str">
        <f t="shared" si="117"/>
        <v>Y</v>
      </c>
      <c r="XT95" s="693" t="str">
        <f t="shared" si="117"/>
        <v>Y</v>
      </c>
      <c r="XU95" s="693" t="str">
        <f t="shared" si="117"/>
        <v>Y</v>
      </c>
      <c r="XV95" s="693" t="str">
        <f t="shared" si="117"/>
        <v>Y</v>
      </c>
      <c r="XW95" s="693" t="str">
        <f t="shared" si="117"/>
        <v>Y</v>
      </c>
      <c r="XX95" s="693" t="str">
        <f t="shared" si="117"/>
        <v>Y</v>
      </c>
      <c r="XY95" s="693" t="str">
        <f t="shared" si="117"/>
        <v>Y</v>
      </c>
      <c r="XZ95" s="693" t="str">
        <f t="shared" si="117"/>
        <v>Y</v>
      </c>
      <c r="YA95" s="693" t="str">
        <f t="shared" si="117"/>
        <v>Y</v>
      </c>
      <c r="YB95" s="693" t="str">
        <f t="shared" si="117"/>
        <v>Y</v>
      </c>
      <c r="YC95" s="693" t="str">
        <f t="shared" si="117"/>
        <v>Y</v>
      </c>
      <c r="YD95" s="693" t="str">
        <f t="shared" si="117"/>
        <v>Y</v>
      </c>
      <c r="YE95" s="693" t="str">
        <f t="shared" si="117"/>
        <v>Y</v>
      </c>
      <c r="YF95" s="693" t="str">
        <f t="shared" si="117"/>
        <v>Y</v>
      </c>
      <c r="YG95" s="693" t="str">
        <f t="shared" si="117"/>
        <v>Y</v>
      </c>
      <c r="YH95" s="693" t="str">
        <f t="shared" si="117"/>
        <v>Y</v>
      </c>
      <c r="YI95" s="693" t="str">
        <f t="shared" si="117"/>
        <v>Y</v>
      </c>
      <c r="YJ95" s="693" t="str">
        <f t="shared" si="117"/>
        <v>Y</v>
      </c>
      <c r="YK95" s="693" t="str">
        <f t="shared" si="117"/>
        <v>Y</v>
      </c>
      <c r="YL95" s="693" t="str">
        <f t="shared" si="117"/>
        <v>Y</v>
      </c>
      <c r="YM95" s="693" t="str">
        <f t="shared" ref="YM95:ZR95" si="118" xml:space="preserve">
IF($AEO$85&lt;1,"Ошибка",
IF(OR(AND($AEO$85 &gt;YM80,YM80&gt;$AEE$134),YM80 = $AEO$85),$AEM$85,
IF(OR(AND($AEO$86 &gt;YM80,YM80&gt;$AEO$85),YM80 = $AEO$86),$AEM$86,
IF(OR(AND($AEO$87 &gt;YM80,YM80&gt;$AEO$86),YM80 = $AEO$87),$AEM$87,
IF(OR(AND($AEO$88 &gt;YM80,YM80&gt;$AEO$87),YM80 = $AEO$88),$AEM$88,
IF(OR(AND($AEO$89 &gt;YM80,YM80&gt;$AEO$88),YM80 = $AEO$89),$AEM$89,
IF(OR(AND($AEO$90 &gt;YM80,YM80&gt;$AEO$89),YM80 = $AEO$90),$AEM$90,
IF(OR(AND($AEO$91 &gt;YM80,YM80&gt;$AEO$90),YM80 = $AEO$91),$AEM$91,
IF(OR(AND($AEO$92 &gt;YM80,YM80&gt;$AEO$91),YM80 = $AEO$92),$AEM$92,
IF(OR(AND($AEO$93 &gt;YM80,YM80&gt;$AEO$92),YM80 = $AEO$93),$AEM$93,
IF(OR(AND($AEO$94 &gt;YM80,YM80&gt;$AEO$93),YM80 = $AEO$94),$AEM$94,
IF(OR(AND($AEO$95 &gt;YM80,YM80&gt;$AEO$94),YM80 = $AEO$95),$AEM$95,
IF(OR(AND($AEO$96 &gt;YM80,YM80&gt;$AEO$95),YM80 = $AEO$96),$AEM$96,
IF(OR(AND($AEO$97 &gt;YM80,YM80&gt;$AEO$96),YM80 = $AEO$97),$AEM$97,
IF(OR(AND($AEO$98 &gt;YM80,YM80&gt;$AEO$97),YM80 = $AEO$98),$AEM$98,
IF(OR(AND($AEO$99 &gt;YM80,YM80&gt;$AEO$98),YM80 = $AEO$99),$AEM$99,
IF(OR(AND($AEO$100&gt;YM80,YM80&gt;$AEO$99),YM80 = $AEO$100),$AEM$100,
IF(OR(AND($AEO$101&gt;YM80,YM80&gt;$AEO$100),YM80 = $AEO$101),$AEM$101,
IF(OR(AND($AEO$102&gt;YM80,YM80&gt;$AEO$101),YM80 = $AEO$102),$AEM$102,
IF(OR(AND($AEO$103&gt;YM80,YM80&gt;$AEO$102),YM80 = $AEO$103),$AEM$103,
IF(OR(AND($AEO$104&gt;YM80,YM80&gt;$AEO$103),YM80 = $AEO$104),$AEM$104,
IF(OR(AND($AEO$105&gt;YM80,YM80&gt;$AEO$104),YM80 = $AEO$105),$AEM$105,
IF(OR(AND($AEO$106&gt;YM80,YM80&gt;$AEO$105),YM80 = $AEO$106),$AEM$106,
IF(OR(AND($AEO$107&gt;YM80,YM80&gt;$AEO$106),YM80 = $AEO$107),$AEM$107,
IF(OR(AND($AEO$108&gt;YM80,YM80&gt;$AEO$107),YM80 = $AEO$108),$AEM$108,
IF(OR(AND($AEO$109&gt;YM80,YM80&gt;$AEO$108),YM80 = $AEO$109),$AEM$109,
IF(OR(AND($AEO$110&gt;YM80,YM80&gt;$AEO$109),YM80 = $AEO$110),$AEM$110,
IF(OR(AND($AEO$111&gt;YM80,YM80&gt;$AEO$110),YM80 = $AEO$111),$AEM$111,
IF(OR(AND($AEO$112&gt;YM80,YM80&gt;$AEO$111),YM80 = $AEO$112),$AEM$112,
IF(OR(AND($AEO$113&gt;YM80,YM80&gt;$AEO$112),YM80 = $AEO$113),$AEM$113,
IF(OR(AND($AEO$114&gt;YM80,YM80&gt;$AEO$113),YM80 = $AEO$114),$AEM$114,
IF(OR(AND($AEO$115&gt;YM80,YM80&gt;$AEO$114),YM80 = $AEO$115),$AEM$115,
IF(OR(AND($AEO$116&gt;YM80,YM80&gt;$AEO$115),YM80 = $AEO$116),$AEM$116,
IF(OR(AND($AEO$117&gt;YM80,YM80&gt;$AEO$116),YM80 = $AEO$117),$AEM$117,
IF(OR(AND($AEO$118&gt;YM80,YM80&gt;$AEO$117),YM80 = $AEO$118),$AEM$118,
IF(OR(AND($AEO$119&gt;YM80,YM80&gt;$AEO$118),YM80 = $AEO$119),$AEM$119,
IF(OR(AND($AEO$120&gt;YM80,YM80&gt;$AEO$119),YM80 = $AEO$120),$AEM$120,
IF(OR(AND($AEO$121&gt;YM80,YM80&gt;$AEO$120),YM80 = $AEO$121),$AEM$121,
IF(OR(AND($AEO$122&gt;YM80,YM80&gt;$AEO$121),YM80 = $AEO$122),$AEM$122,
IF(OR(AND($AEO$123&gt;YM80,YM80&gt;$AEO$122),YM80 = $AEO$123),$AEM$123,
IF(OR(AND($AEO$124&gt;YM80,YM80&gt;$AEO$123),YM80 = $AEO$124),$AEM$124,
IF(OR(AND($AEO$125&gt;YM80,YM80&gt;$AEO$124),YM80 = $AEO$125),$AEM$125,
IF(OR(AND($AEO$126&gt;YM80,YM80&gt;$AEO$125),YM80 = $AEO$126),$AEM$126,
IF(OR(AND($AEO$127&gt;YM80,YM80&gt;$AEO$126),YM80 = $AEO$127),$AEM$127,
IF(OR(AND($AEO$128&gt;YM80,YM80&gt;$AEO$127),YM80 = $AEO$128),$AEM$128,
IF(OR(AND($AEO$129&gt;YM80,YM80&gt;$AEO$128),YM80 = $AEO$129),$AEM$129,
IF(OR(AND($AEO$130&gt;YM80,YM80&gt;$AEO$129),YM80 = $AEO$130),$AEM$130,
IF(OR(AND($AEO$131&gt;YM80,YM80&gt;$AEO$130),YM80 = $AEO$131),$AEM$131,
IF(OR(AND($AEO$132&gt;YM80,YM80&gt;$AEO$131),YM80 = $AEO$132),$AEM$132,
IF(OR(AND($AEO$133&gt;YM80,YM80&gt;$AEO$132),YM80 = $AEO$133),$AEM$133,
IF(OR(AND($AEO$134&gt;YM80,YM80&gt;$AEO$133),YM80 = $AEO$134),$AEM$134,
"Y")))))))))))))))))))))))))))))))))))))))))))))))))))</f>
        <v>Y</v>
      </c>
      <c r="YN95" s="693" t="str">
        <f t="shared" si="118"/>
        <v>Y</v>
      </c>
      <c r="YO95" s="693" t="str">
        <f t="shared" si="118"/>
        <v>Y</v>
      </c>
      <c r="YP95" s="693" t="str">
        <f t="shared" si="118"/>
        <v>Y</v>
      </c>
      <c r="YQ95" s="693" t="str">
        <f t="shared" si="118"/>
        <v>Y</v>
      </c>
      <c r="YR95" s="693" t="str">
        <f t="shared" si="118"/>
        <v>Y</v>
      </c>
      <c r="YS95" s="693" t="str">
        <f t="shared" si="118"/>
        <v>Y</v>
      </c>
      <c r="YT95" s="693" t="str">
        <f t="shared" si="118"/>
        <v>Y</v>
      </c>
      <c r="YU95" s="693" t="str">
        <f t="shared" si="118"/>
        <v>Y</v>
      </c>
      <c r="YV95" s="693" t="str">
        <f t="shared" si="118"/>
        <v>Y</v>
      </c>
      <c r="YW95" s="693" t="str">
        <f t="shared" si="118"/>
        <v>Y</v>
      </c>
      <c r="YX95" s="693" t="str">
        <f t="shared" si="118"/>
        <v>Y</v>
      </c>
      <c r="YY95" s="693" t="str">
        <f t="shared" si="118"/>
        <v>Y</v>
      </c>
      <c r="YZ95" s="693" t="str">
        <f t="shared" si="118"/>
        <v>Y</v>
      </c>
      <c r="ZA95" s="693" t="str">
        <f t="shared" si="118"/>
        <v>Y</v>
      </c>
      <c r="ZB95" s="693" t="str">
        <f t="shared" si="118"/>
        <v>Y</v>
      </c>
      <c r="ZC95" s="693" t="str">
        <f t="shared" si="118"/>
        <v>Y</v>
      </c>
      <c r="ZD95" s="693" t="str">
        <f t="shared" si="118"/>
        <v>Y</v>
      </c>
      <c r="ZE95" s="693" t="str">
        <f t="shared" si="118"/>
        <v>Y</v>
      </c>
      <c r="ZF95" s="693" t="str">
        <f t="shared" si="118"/>
        <v>Y</v>
      </c>
      <c r="ZG95" s="693" t="str">
        <f t="shared" si="118"/>
        <v>Y</v>
      </c>
      <c r="ZH95" s="693" t="str">
        <f t="shared" si="118"/>
        <v>Y</v>
      </c>
      <c r="ZI95" s="693" t="str">
        <f t="shared" si="118"/>
        <v>Y</v>
      </c>
      <c r="ZJ95" s="693" t="str">
        <f t="shared" si="118"/>
        <v>Y</v>
      </c>
      <c r="ZK95" s="693" t="str">
        <f t="shared" si="118"/>
        <v>Y</v>
      </c>
      <c r="ZL95" s="693" t="str">
        <f t="shared" si="118"/>
        <v>Y</v>
      </c>
      <c r="ZM95" s="693" t="str">
        <f t="shared" si="118"/>
        <v>Y</v>
      </c>
      <c r="ZN95" s="693" t="str">
        <f t="shared" si="118"/>
        <v>Y</v>
      </c>
      <c r="ZO95" s="693" t="str">
        <f t="shared" si="118"/>
        <v>Y</v>
      </c>
      <c r="ZP95" s="693" t="str">
        <f t="shared" si="118"/>
        <v>Y</v>
      </c>
      <c r="ZQ95" s="693" t="str">
        <f t="shared" si="118"/>
        <v>Y</v>
      </c>
      <c r="ZR95" s="693" t="str">
        <f t="shared" si="118"/>
        <v>Y</v>
      </c>
      <c r="ZS95" s="693" t="str">
        <f t="shared" ref="ZS95:AAS95" si="119" xml:space="preserve">
IF($AEO$85&lt;1,"Ошибка",
IF(OR(AND($AEO$85 &gt;ZS80,ZS80&gt;$AEE$134),ZS80 = $AEO$85),$AEM$85,
IF(OR(AND($AEO$86 &gt;ZS80,ZS80&gt;$AEO$85),ZS80 = $AEO$86),$AEM$86,
IF(OR(AND($AEO$87 &gt;ZS80,ZS80&gt;$AEO$86),ZS80 = $AEO$87),$AEM$87,
IF(OR(AND($AEO$88 &gt;ZS80,ZS80&gt;$AEO$87),ZS80 = $AEO$88),$AEM$88,
IF(OR(AND($AEO$89 &gt;ZS80,ZS80&gt;$AEO$88),ZS80 = $AEO$89),$AEM$89,
IF(OR(AND($AEO$90 &gt;ZS80,ZS80&gt;$AEO$89),ZS80 = $AEO$90),$AEM$90,
IF(OR(AND($AEO$91 &gt;ZS80,ZS80&gt;$AEO$90),ZS80 = $AEO$91),$AEM$91,
IF(OR(AND($AEO$92 &gt;ZS80,ZS80&gt;$AEO$91),ZS80 = $AEO$92),$AEM$92,
IF(OR(AND($AEO$93 &gt;ZS80,ZS80&gt;$AEO$92),ZS80 = $AEO$93),$AEM$93,
IF(OR(AND($AEO$94 &gt;ZS80,ZS80&gt;$AEO$93),ZS80 = $AEO$94),$AEM$94,
IF(OR(AND($AEO$95 &gt;ZS80,ZS80&gt;$AEO$94),ZS80 = $AEO$95),$AEM$95,
IF(OR(AND($AEO$96 &gt;ZS80,ZS80&gt;$AEO$95),ZS80 = $AEO$96),$AEM$96,
IF(OR(AND($AEO$97 &gt;ZS80,ZS80&gt;$AEO$96),ZS80 = $AEO$97),$AEM$97,
IF(OR(AND($AEO$98 &gt;ZS80,ZS80&gt;$AEO$97),ZS80 = $AEO$98),$AEM$98,
IF(OR(AND($AEO$99 &gt;ZS80,ZS80&gt;$AEO$98),ZS80 = $AEO$99),$AEM$99,
IF(OR(AND($AEO$100&gt;ZS80,ZS80&gt;$AEO$99),ZS80 = $AEO$100),$AEM$100,
IF(OR(AND($AEO$101&gt;ZS80,ZS80&gt;$AEO$100),ZS80 = $AEO$101),$AEM$101,
IF(OR(AND($AEO$102&gt;ZS80,ZS80&gt;$AEO$101),ZS80 = $AEO$102),$AEM$102,
IF(OR(AND($AEO$103&gt;ZS80,ZS80&gt;$AEO$102),ZS80 = $AEO$103),$AEM$103,
IF(OR(AND($AEO$104&gt;ZS80,ZS80&gt;$AEO$103),ZS80 = $AEO$104),$AEM$104,
IF(OR(AND($AEO$105&gt;ZS80,ZS80&gt;$AEO$104),ZS80 = $AEO$105),$AEM$105,
IF(OR(AND($AEO$106&gt;ZS80,ZS80&gt;$AEO$105),ZS80 = $AEO$106),$AEM$106,
IF(OR(AND($AEO$107&gt;ZS80,ZS80&gt;$AEO$106),ZS80 = $AEO$107),$AEM$107,
IF(OR(AND($AEO$108&gt;ZS80,ZS80&gt;$AEO$107),ZS80 = $AEO$108),$AEM$108,
IF(OR(AND($AEO$109&gt;ZS80,ZS80&gt;$AEO$108),ZS80 = $AEO$109),$AEM$109,
IF(OR(AND($AEO$110&gt;ZS80,ZS80&gt;$AEO$109),ZS80 = $AEO$110),$AEM$110,
IF(OR(AND($AEO$111&gt;ZS80,ZS80&gt;$AEO$110),ZS80 = $AEO$111),$AEM$111,
IF(OR(AND($AEO$112&gt;ZS80,ZS80&gt;$AEO$111),ZS80 = $AEO$112),$AEM$112,
IF(OR(AND($AEO$113&gt;ZS80,ZS80&gt;$AEO$112),ZS80 = $AEO$113),$AEM$113,
IF(OR(AND($AEO$114&gt;ZS80,ZS80&gt;$AEO$113),ZS80 = $AEO$114),$AEM$114,
IF(OR(AND($AEO$115&gt;ZS80,ZS80&gt;$AEO$114),ZS80 = $AEO$115),$AEM$115,
IF(OR(AND($AEO$116&gt;ZS80,ZS80&gt;$AEO$115),ZS80 = $AEO$116),$AEM$116,
IF(OR(AND($AEO$117&gt;ZS80,ZS80&gt;$AEO$116),ZS80 = $AEO$117),$AEM$117,
IF(OR(AND($AEO$118&gt;ZS80,ZS80&gt;$AEO$117),ZS80 = $AEO$118),$AEM$118,
IF(OR(AND($AEO$119&gt;ZS80,ZS80&gt;$AEO$118),ZS80 = $AEO$119),$AEM$119,
IF(OR(AND($AEO$120&gt;ZS80,ZS80&gt;$AEO$119),ZS80 = $AEO$120),$AEM$120,
IF(OR(AND($AEO$121&gt;ZS80,ZS80&gt;$AEO$120),ZS80 = $AEO$121),$AEM$121,
IF(OR(AND($AEO$122&gt;ZS80,ZS80&gt;$AEO$121),ZS80 = $AEO$122),$AEM$122,
IF(OR(AND($AEO$123&gt;ZS80,ZS80&gt;$AEO$122),ZS80 = $AEO$123),$AEM$123,
IF(OR(AND($AEO$124&gt;ZS80,ZS80&gt;$AEO$123),ZS80 = $AEO$124),$AEM$124,
IF(OR(AND($AEO$125&gt;ZS80,ZS80&gt;$AEO$124),ZS80 = $AEO$125),$AEM$125,
IF(OR(AND($AEO$126&gt;ZS80,ZS80&gt;$AEO$125),ZS80 = $AEO$126),$AEM$126,
IF(OR(AND($AEO$127&gt;ZS80,ZS80&gt;$AEO$126),ZS80 = $AEO$127),$AEM$127,
IF(OR(AND($AEO$128&gt;ZS80,ZS80&gt;$AEO$127),ZS80 = $AEO$128),$AEM$128,
IF(OR(AND($AEO$129&gt;ZS80,ZS80&gt;$AEO$128),ZS80 = $AEO$129),$AEM$129,
IF(OR(AND($AEO$130&gt;ZS80,ZS80&gt;$AEO$129),ZS80 = $AEO$130),$AEM$130,
IF(OR(AND($AEO$131&gt;ZS80,ZS80&gt;$AEO$130),ZS80 = $AEO$131),$AEM$131,
IF(OR(AND($AEO$132&gt;ZS80,ZS80&gt;$AEO$131),ZS80 = $AEO$132),$AEM$132,
IF(OR(AND($AEO$133&gt;ZS80,ZS80&gt;$AEO$132),ZS80 = $AEO$133),$AEM$133,
IF(OR(AND($AEO$134&gt;ZS80,ZS80&gt;$AEO$133),ZS80 = $AEO$134),$AEM$134,
"Y")))))))))))))))))))))))))))))))))))))))))))))))))))</f>
        <v>Y</v>
      </c>
      <c r="ZT95" s="693" t="str">
        <f t="shared" si="119"/>
        <v>Y</v>
      </c>
      <c r="ZU95" s="693" t="str">
        <f t="shared" si="119"/>
        <v>Y</v>
      </c>
      <c r="ZV95" s="693" t="str">
        <f t="shared" si="119"/>
        <v>Y</v>
      </c>
      <c r="ZW95" s="693" t="str">
        <f t="shared" si="119"/>
        <v>Y</v>
      </c>
      <c r="ZX95" s="693" t="str">
        <f t="shared" si="119"/>
        <v>Y</v>
      </c>
      <c r="ZY95" s="693" t="str">
        <f t="shared" si="119"/>
        <v>Y</v>
      </c>
      <c r="ZZ95" s="693" t="str">
        <f t="shared" si="119"/>
        <v>Y</v>
      </c>
      <c r="AAA95" s="693" t="str">
        <f t="shared" si="119"/>
        <v>Y</v>
      </c>
      <c r="AAB95" s="693" t="str">
        <f t="shared" si="119"/>
        <v>Y</v>
      </c>
      <c r="AAC95" s="693" t="str">
        <f t="shared" si="119"/>
        <v>Y</v>
      </c>
      <c r="AAD95" s="693" t="str">
        <f t="shared" si="119"/>
        <v>Y</v>
      </c>
      <c r="AAE95" s="693" t="str">
        <f t="shared" si="119"/>
        <v>Y</v>
      </c>
      <c r="AAF95" s="693" t="str">
        <f t="shared" si="119"/>
        <v>Y</v>
      </c>
      <c r="AAG95" s="693" t="str">
        <f t="shared" si="119"/>
        <v>Y</v>
      </c>
      <c r="AAH95" s="693" t="str">
        <f t="shared" si="119"/>
        <v>Y</v>
      </c>
      <c r="AAI95" s="693" t="str">
        <f t="shared" si="119"/>
        <v>Y</v>
      </c>
      <c r="AAJ95" s="693" t="str">
        <f t="shared" si="119"/>
        <v>Y</v>
      </c>
      <c r="AAK95" s="693" t="str">
        <f t="shared" si="119"/>
        <v>Y</v>
      </c>
      <c r="AAL95" s="693" t="str">
        <f t="shared" si="119"/>
        <v>Y</v>
      </c>
      <c r="AAM95" s="693" t="str">
        <f t="shared" si="119"/>
        <v>Y</v>
      </c>
      <c r="AAN95" s="693" t="str">
        <f t="shared" si="119"/>
        <v>Y</v>
      </c>
      <c r="AAO95" s="693" t="str">
        <f t="shared" si="119"/>
        <v>Y</v>
      </c>
      <c r="AAP95" s="693" t="str">
        <f t="shared" si="119"/>
        <v>Y</v>
      </c>
      <c r="AAQ95" s="693" t="str">
        <f t="shared" si="119"/>
        <v>Y</v>
      </c>
      <c r="AAR95" s="693" t="str">
        <f t="shared" si="119"/>
        <v>Y</v>
      </c>
      <c r="AAS95" s="693" t="str">
        <f t="shared" si="119"/>
        <v>Y</v>
      </c>
      <c r="AAT95" s="1006"/>
      <c r="AAU95" s="962"/>
      <c r="AAV95" s="1059"/>
      <c r="AAW95" s="1059"/>
      <c r="AAX95" s="1059"/>
      <c r="AAY95" s="1059"/>
      <c r="AAZ95" s="1059"/>
      <c r="ABA95" s="1059"/>
      <c r="ABB95" s="1059"/>
      <c r="ABC95" s="1059"/>
      <c r="ABD95" s="1059"/>
      <c r="ABE95" s="1059"/>
      <c r="ABF95" s="1059"/>
      <c r="ABG95" s="1059"/>
      <c r="ABH95" s="963"/>
      <c r="ABI95" s="158"/>
      <c r="ABJ95" s="158"/>
      <c r="ABK95" s="158"/>
      <c r="ABL95" s="158"/>
      <c r="ABM95" s="158"/>
      <c r="ABN95" s="158"/>
      <c r="ABO95" s="158"/>
      <c r="ABP95" s="163"/>
      <c r="ABT95" s="1527"/>
      <c r="ABU95" s="1527"/>
      <c r="ABV95" s="1527"/>
      <c r="ABW95" s="1527"/>
      <c r="ABX95" s="1527"/>
      <c r="ABY95" s="1527"/>
      <c r="ABZ95" s="1527"/>
      <c r="ACA95" s="1527"/>
      <c r="ACB95" s="1527"/>
      <c r="ACC95" s="1527"/>
      <c r="ACD95" s="1527"/>
      <c r="ACE95" s="1527"/>
      <c r="ACF95" s="1527"/>
      <c r="ACG95" s="1527"/>
      <c r="ACH95" s="1527"/>
      <c r="ACJ95" s="759">
        <v>0.25</v>
      </c>
      <c r="ACK95" s="760"/>
      <c r="ACL95" s="759">
        <v>-0.2</v>
      </c>
      <c r="ACM95" s="760"/>
      <c r="ACN95" s="592">
        <v>11</v>
      </c>
      <c r="ACO95" s="759">
        <f t="shared" si="91"/>
        <v>7.7500000000000013E-2</v>
      </c>
      <c r="ACP95" s="760"/>
      <c r="ACQ95" s="757">
        <f t="shared" si="82"/>
        <v>1.1100000000000001</v>
      </c>
      <c r="ACR95" s="758"/>
      <c r="ACT95" s="759">
        <v>1.5454545454545452</v>
      </c>
      <c r="ACU95" s="760"/>
      <c r="ACV95" s="759">
        <v>-2.1818181818181812</v>
      </c>
      <c r="ACW95" s="760"/>
      <c r="ACX95" s="591">
        <v>61</v>
      </c>
      <c r="ACY95" s="759">
        <f t="shared" si="92"/>
        <v>0.30636363636363617</v>
      </c>
      <c r="ACZ95" s="760"/>
      <c r="ADA95" s="757">
        <f t="shared" si="83"/>
        <v>1.6099999999999999</v>
      </c>
      <c r="ADB95" s="758"/>
      <c r="ADD95" s="759">
        <v>1.5454545454545501</v>
      </c>
      <c r="ADE95" s="760"/>
      <c r="ADF95" s="759">
        <v>-2.1818181818181799</v>
      </c>
      <c r="ADG95" s="760"/>
      <c r="ADH95" s="591">
        <v>110</v>
      </c>
      <c r="ADI95" s="759">
        <f t="shared" si="93"/>
        <v>1.0636363636363755</v>
      </c>
      <c r="ADJ95" s="760"/>
      <c r="ADK95" s="757">
        <f t="shared" si="84"/>
        <v>2.1</v>
      </c>
      <c r="ADL95" s="758"/>
      <c r="ADN95" s="759">
        <v>1.5454545454545501</v>
      </c>
      <c r="ADO95" s="760"/>
      <c r="ADP95" s="759">
        <v>-2.1818181818181799</v>
      </c>
      <c r="ADQ95" s="760"/>
      <c r="ADR95" s="591">
        <v>160</v>
      </c>
      <c r="ADS95" s="759">
        <f t="shared" si="94"/>
        <v>1.8363636363636502</v>
      </c>
      <c r="ADT95" s="760"/>
      <c r="ADU95" s="757">
        <f t="shared" si="85"/>
        <v>2.6</v>
      </c>
      <c r="ADV95" s="758"/>
      <c r="ADW95" s="653"/>
      <c r="ADX95" s="759">
        <v>1.5454545454545501</v>
      </c>
      <c r="ADY95" s="760"/>
      <c r="ADZ95" s="759">
        <v>-2.1818181818181799</v>
      </c>
      <c r="AEA95" s="760"/>
      <c r="AEB95" s="591">
        <v>210</v>
      </c>
      <c r="AEC95" s="759">
        <f t="shared" si="95"/>
        <v>2.6090909090909253</v>
      </c>
      <c r="AED95" s="760"/>
      <c r="AEE95" s="757">
        <f t="shared" si="86"/>
        <v>3.1</v>
      </c>
      <c r="AEF95" s="758"/>
      <c r="AEH95" s="759">
        <v>1.5454545454545501</v>
      </c>
      <c r="AEI95" s="760"/>
      <c r="AEJ95" s="759">
        <v>-2.1818181818181799</v>
      </c>
      <c r="AEK95" s="760"/>
      <c r="AEL95" s="591">
        <v>260</v>
      </c>
      <c r="AEM95" s="759">
        <f t="shared" si="101"/>
        <v>3.3818181818182005</v>
      </c>
      <c r="AEN95" s="760"/>
      <c r="AEO95" s="757">
        <f t="shared" si="87"/>
        <v>3.6</v>
      </c>
      <c r="AEP95" s="758"/>
      <c r="AGJ95" s="653"/>
      <c r="AHW95" s="130"/>
      <c r="AHX95" s="130"/>
      <c r="ARK95" s="653"/>
      <c r="ARL95" s="653"/>
      <c r="ARM95" s="653"/>
      <c r="ARN95" s="653"/>
      <c r="ARO95" s="653"/>
      <c r="ARP95" s="653"/>
      <c r="ARQ95" s="653"/>
      <c r="ARR95" s="653"/>
      <c r="ARS95" s="653"/>
      <c r="ATB95" s="130"/>
      <c r="ATC95" s="891"/>
      <c r="ATD95" s="891"/>
      <c r="ATE95" s="136"/>
      <c r="ATF95" s="130"/>
      <c r="ATG95" s="130"/>
      <c r="ATH95" s="130"/>
      <c r="ATI95" s="130"/>
      <c r="ATJ95" s="130"/>
    </row>
    <row r="96" spans="4:908 1049:1212" ht="48" customHeight="1" thickBot="1">
      <c r="AI96" s="850"/>
      <c r="AJ96" s="1657" t="s">
        <v>1659</v>
      </c>
      <c r="AK96" s="1657"/>
      <c r="AL96" s="766">
        <f>$AV$57</f>
        <v>37771.177685950417</v>
      </c>
      <c r="AM96" s="766"/>
      <c r="AN96" s="609" t="s">
        <v>1545</v>
      </c>
      <c r="AO96" s="766">
        <f>$AT$91</f>
        <v>157</v>
      </c>
      <c r="AP96" s="766"/>
      <c r="AQ96" s="880"/>
      <c r="AR96" s="881"/>
      <c r="AS96" s="881"/>
      <c r="AT96" s="881"/>
      <c r="AU96" s="881"/>
      <c r="AV96" s="881"/>
      <c r="AW96" s="1664"/>
      <c r="AX96" s="1665"/>
      <c r="AY96" s="1666"/>
      <c r="AZ96" s="1667"/>
      <c r="BA96" s="842"/>
      <c r="BB96" s="918"/>
      <c r="BC96" s="919"/>
      <c r="BD96" s="848"/>
      <c r="BE96" s="848"/>
      <c r="BF96" s="918"/>
      <c r="BG96" s="919"/>
      <c r="BH96" s="1256"/>
      <c r="BI96" s="1052"/>
      <c r="BJ96" s="1052"/>
      <c r="BK96" s="1052"/>
      <c r="BL96" s="1052"/>
      <c r="BM96" s="1052"/>
      <c r="BN96" s="1052"/>
      <c r="BO96" s="1052"/>
      <c r="BP96" s="1052"/>
      <c r="BX96" s="851"/>
      <c r="BY96" s="617" t="s">
        <v>1018</v>
      </c>
      <c r="BZ96" s="804">
        <f>$AW$95</f>
        <v>0.19391178434038603</v>
      </c>
      <c r="CA96" s="804"/>
      <c r="CB96" s="811"/>
      <c r="CC96" s="772"/>
      <c r="CD96" s="772"/>
      <c r="CE96" s="772"/>
      <c r="CF96" s="772"/>
      <c r="CG96" s="772"/>
      <c r="CH96" s="772"/>
      <c r="CI96" s="772"/>
      <c r="CJ96" s="772"/>
      <c r="CK96" s="773"/>
      <c r="CL96" s="1169"/>
      <c r="CM96" s="799"/>
      <c r="CN96" s="1077"/>
      <c r="CO96" s="1078"/>
      <c r="CP96" s="842"/>
      <c r="CQ96" s="918"/>
      <c r="CR96" s="919"/>
      <c r="CS96" s="848"/>
      <c r="CT96" s="828"/>
      <c r="CU96" s="949"/>
      <c r="CV96" s="950"/>
      <c r="DD96" s="130"/>
      <c r="DE96" s="130"/>
      <c r="DF96" s="130"/>
      <c r="DG96" s="130"/>
      <c r="DH96" s="130"/>
      <c r="DI96" s="130"/>
      <c r="DJ96" s="130"/>
      <c r="DK96" s="130"/>
      <c r="DL96" s="130"/>
      <c r="DM96" s="130"/>
      <c r="DN96" s="130"/>
      <c r="DY96" s="653"/>
      <c r="EH96" s="653"/>
      <c r="EI96" s="653"/>
      <c r="EJ96" s="653"/>
      <c r="EK96" s="653"/>
      <c r="EL96" s="653"/>
      <c r="EM96" s="653"/>
      <c r="EN96" s="653"/>
      <c r="EO96" s="653"/>
      <c r="EP96" s="653"/>
      <c r="EQ96" s="653"/>
      <c r="FE96" s="653"/>
      <c r="FF96" s="653"/>
      <c r="FG96" s="653"/>
      <c r="FH96" s="653"/>
      <c r="GC96" s="6"/>
      <c r="GD96" s="3"/>
      <c r="GE96" s="3"/>
      <c r="HP96" s="220"/>
      <c r="HQ96" s="220"/>
      <c r="HR96" s="220"/>
      <c r="HS96" s="220"/>
      <c r="HT96" s="220"/>
      <c r="HU96" s="220"/>
      <c r="HV96" s="220"/>
      <c r="HW96" s="220"/>
      <c r="HX96" s="220"/>
      <c r="HY96" s="220"/>
      <c r="HZ96" s="220"/>
      <c r="IA96" s="220"/>
      <c r="IB96" s="220"/>
      <c r="IC96" s="220"/>
      <c r="ID96" s="220"/>
      <c r="IE96" s="220"/>
      <c r="IF96" s="220"/>
      <c r="IG96" s="220"/>
      <c r="IH96" s="220"/>
      <c r="IR96" s="903"/>
      <c r="IS96" s="904"/>
      <c r="IT96" s="905"/>
      <c r="IU96" s="851"/>
      <c r="IV96" s="777"/>
      <c r="IW96" s="778"/>
      <c r="IX96" s="778"/>
      <c r="IY96" s="778"/>
      <c r="IZ96" s="778"/>
      <c r="JA96" s="778"/>
      <c r="JB96" s="778"/>
      <c r="JC96" s="778"/>
      <c r="JD96" s="778"/>
      <c r="JE96" s="778"/>
      <c r="JF96" s="799"/>
      <c r="JG96" s="1436"/>
      <c r="JH96" s="1437"/>
      <c r="JI96" s="1077"/>
      <c r="JJ96" s="1078"/>
      <c r="JK96" s="1067"/>
      <c r="JL96" s="845"/>
      <c r="JM96" s="846"/>
      <c r="JN96" s="848"/>
      <c r="JO96" s="164"/>
      <c r="JP96" s="470"/>
      <c r="JQ96" s="470"/>
      <c r="JR96" s="470"/>
      <c r="JS96" s="166"/>
      <c r="JU96" s="653"/>
      <c r="JV96" s="653"/>
      <c r="JW96" s="653"/>
      <c r="JZ96" s="185"/>
      <c r="KA96" s="852" t="s">
        <v>839</v>
      </c>
      <c r="KB96" s="923"/>
      <c r="KC96" s="185"/>
      <c r="KD96" s="1069" t="s">
        <v>68</v>
      </c>
      <c r="KE96" s="1070"/>
      <c r="KF96" s="1070"/>
      <c r="KG96" s="1070"/>
      <c r="KH96" s="1070"/>
      <c r="KI96" s="1070"/>
      <c r="KJ96" s="1070"/>
      <c r="KK96" s="1070"/>
      <c r="KL96" s="1070"/>
      <c r="KM96" s="1070"/>
      <c r="KN96" s="1071"/>
      <c r="KO96" s="185"/>
      <c r="LQ96" s="130"/>
      <c r="LR96" s="130"/>
      <c r="LS96" s="130"/>
      <c r="LT96" s="130"/>
      <c r="LU96" s="130"/>
      <c r="LV96" s="130"/>
      <c r="LW96" s="130"/>
      <c r="LX96" s="130"/>
      <c r="LY96" s="130"/>
      <c r="QR96" s="130"/>
      <c r="QS96" s="130"/>
      <c r="QT96" s="130"/>
      <c r="QU96" s="130"/>
      <c r="QV96" s="130"/>
      <c r="QW96" s="130"/>
      <c r="RE96" s="653"/>
      <c r="RF96" s="653"/>
      <c r="RG96" s="653"/>
      <c r="RH96" s="653"/>
      <c r="RI96" s="653"/>
      <c r="RJ96" s="653"/>
      <c r="RK96" s="653"/>
      <c r="RL96" s="653"/>
      <c r="RM96" s="653"/>
      <c r="RN96" s="653"/>
      <c r="RO96" s="653"/>
      <c r="RP96" s="653"/>
      <c r="RQ96" s="653"/>
      <c r="RR96" s="653"/>
      <c r="RS96" s="653"/>
      <c r="RT96" s="653"/>
      <c r="RU96" s="653"/>
      <c r="RV96" s="653"/>
      <c r="RW96" s="653"/>
      <c r="RX96" s="653"/>
      <c r="RY96" s="653"/>
      <c r="RZ96" s="653"/>
      <c r="SA96" s="653"/>
      <c r="SB96" s="653"/>
      <c r="SC96" s="653"/>
      <c r="SD96" s="653"/>
      <c r="SE96" s="653"/>
      <c r="SF96" s="653"/>
      <c r="SG96" s="653"/>
      <c r="SH96" s="653"/>
      <c r="SI96" s="653"/>
      <c r="SJ96" s="653"/>
      <c r="SK96" s="653"/>
      <c r="SL96" s="653"/>
      <c r="SM96" s="653"/>
      <c r="SN96" s="653"/>
      <c r="SO96" s="653"/>
      <c r="SP96" s="653"/>
      <c r="SQ96" s="653"/>
      <c r="SR96" s="653"/>
      <c r="SS96" s="653"/>
      <c r="ST96" s="653"/>
      <c r="SU96" s="653"/>
      <c r="SV96" s="653"/>
      <c r="SW96" s="653"/>
      <c r="SX96" s="653"/>
      <c r="SY96" s="653"/>
      <c r="SZ96" s="653"/>
      <c r="TA96" s="653"/>
      <c r="TB96" s="653"/>
      <c r="TC96" s="653"/>
      <c r="TD96" s="653"/>
      <c r="TE96" s="653"/>
      <c r="TF96" s="653"/>
      <c r="TG96" s="653"/>
      <c r="TH96" s="653"/>
      <c r="TI96" s="653"/>
      <c r="TJ96" s="653"/>
      <c r="TK96" s="653"/>
      <c r="TL96" s="653"/>
      <c r="TM96" s="653"/>
      <c r="TN96" s="653"/>
      <c r="TO96" s="653"/>
      <c r="TP96" s="653"/>
      <c r="TQ96" s="653"/>
      <c r="TR96" s="653"/>
      <c r="TS96" s="653"/>
      <c r="TT96" s="653"/>
      <c r="TU96" s="653"/>
      <c r="TV96" s="653"/>
      <c r="TW96" s="653"/>
      <c r="TX96" s="653"/>
      <c r="TY96" s="653"/>
      <c r="TZ96" s="653"/>
      <c r="UA96" s="653"/>
      <c r="UB96" s="653"/>
      <c r="UC96" s="653"/>
      <c r="UD96" s="653"/>
      <c r="UE96" s="653"/>
      <c r="UF96" s="653"/>
      <c r="UG96" s="653"/>
      <c r="UH96" s="653"/>
      <c r="UI96" s="653"/>
      <c r="UJ96" s="653"/>
      <c r="UK96" s="653"/>
      <c r="UL96" s="653"/>
      <c r="UM96" s="653"/>
      <c r="UN96" s="653"/>
      <c r="UO96" s="653"/>
      <c r="UP96" s="653"/>
      <c r="UQ96" s="653"/>
      <c r="UR96" s="653"/>
      <c r="US96" s="653"/>
      <c r="UT96" s="653"/>
      <c r="UU96" s="653"/>
      <c r="UV96" s="653"/>
      <c r="UW96" s="653"/>
      <c r="UX96" s="653"/>
      <c r="UY96" s="653"/>
      <c r="UZ96" s="653"/>
      <c r="WC96" s="653"/>
      <c r="WD96" s="653"/>
      <c r="WE96" s="996"/>
      <c r="WF96" s="997"/>
      <c r="WG96" s="175"/>
      <c r="WH96" s="173"/>
      <c r="WI96" s="173"/>
      <c r="WJ96" s="173"/>
      <c r="WK96" s="173"/>
      <c r="WL96" s="173"/>
      <c r="WM96" s="173"/>
      <c r="WN96" s="173"/>
      <c r="WO96" s="173"/>
      <c r="WP96" s="173"/>
      <c r="WQ96" s="173"/>
      <c r="WR96" s="173"/>
      <c r="WS96" s="173"/>
      <c r="WT96" s="173"/>
      <c r="WU96" s="173"/>
      <c r="WV96" s="173"/>
      <c r="WW96" s="173"/>
      <c r="WX96" s="1203" t="s">
        <v>1654</v>
      </c>
      <c r="WY96" s="1204"/>
      <c r="WZ96" s="1135" t="s">
        <v>729</v>
      </c>
      <c r="XA96" s="1135"/>
      <c r="XB96" s="175"/>
      <c r="XC96" s="173"/>
      <c r="XD96" s="173"/>
      <c r="XE96" s="173"/>
      <c r="XF96" s="174"/>
      <c r="XG96" s="1042">
        <f>IF(XG90="Y",
IF(XG91="Y",
IF(XG92="Y",
IF(XG93="Y",
IF(XG94="Y",
IF(XG95="Y",
IF(AND(XG90="Y",XG91="Y",XG92 = "Y",XG93= "Y",XG94= "Y",XG95= "Y"),$WH$90,"Ошибка редактироввания"),
XG95),
XG94),
XG93),
XG92),
XG91),
XG90)</f>
        <v>0.06</v>
      </c>
      <c r="XH96" s="1042">
        <f t="shared" ref="XH96:ZS96" si="120">IF(XH90="Y",
IF(XH91="Y",
IF(XH92="Y",
IF(XH93="Y",
IF(XH94="Y",
IF(XH95="Y",
IF(AND(XH90="Y",XH91="Y",XH92 = "Y",XH93= "Y",XH94= "Y",XH95= "Y"),$WH$90,"Ошибка редактироввания"),
XH95),
XH94),
XH93),
XH92),
XH91),
XH90)</f>
        <v>0.06</v>
      </c>
      <c r="XI96" s="1042">
        <f t="shared" si="120"/>
        <v>0.06</v>
      </c>
      <c r="XJ96" s="1042">
        <f t="shared" si="120"/>
        <v>0.06</v>
      </c>
      <c r="XK96" s="1042">
        <f t="shared" si="120"/>
        <v>0.06</v>
      </c>
      <c r="XL96" s="1042">
        <f t="shared" si="120"/>
        <v>0.06</v>
      </c>
      <c r="XM96" s="1042">
        <f t="shared" si="120"/>
        <v>0.06</v>
      </c>
      <c r="XN96" s="1042">
        <f t="shared" si="120"/>
        <v>0.06</v>
      </c>
      <c r="XO96" s="1042">
        <f t="shared" si="120"/>
        <v>6.5000000000000002E-2</v>
      </c>
      <c r="XP96" s="1042">
        <f t="shared" si="120"/>
        <v>7.7500000000000013E-2</v>
      </c>
      <c r="XQ96" s="1042">
        <f t="shared" si="120"/>
        <v>8.4999999999999964E-2</v>
      </c>
      <c r="XR96" s="1042">
        <f t="shared" si="120"/>
        <v>0.10999999999999999</v>
      </c>
      <c r="XS96" s="1042">
        <f t="shared" si="120"/>
        <v>0.13500000000000001</v>
      </c>
      <c r="XT96" s="1042">
        <f t="shared" si="120"/>
        <v>0.12000000000000011</v>
      </c>
      <c r="XU96" s="1042">
        <f t="shared" si="120"/>
        <v>0.15999999999999992</v>
      </c>
      <c r="XV96" s="1042">
        <f t="shared" si="120"/>
        <v>0.21000000000000019</v>
      </c>
      <c r="XW96" s="1042">
        <f t="shared" si="120"/>
        <v>0.25</v>
      </c>
      <c r="XX96" s="1042">
        <f t="shared" si="120"/>
        <v>0.29000000000000004</v>
      </c>
      <c r="XY96" s="1042">
        <f t="shared" si="120"/>
        <v>0.33000000000000007</v>
      </c>
      <c r="XZ96" s="1042">
        <f t="shared" si="120"/>
        <v>0.37000000000000011</v>
      </c>
      <c r="YA96" s="1042">
        <f t="shared" si="120"/>
        <v>0.30636363636363617</v>
      </c>
      <c r="YB96" s="1042">
        <f t="shared" si="120"/>
        <v>0.36818181818182749</v>
      </c>
      <c r="YC96" s="1042">
        <f t="shared" si="120"/>
        <v>0.43000000000000949</v>
      </c>
      <c r="YD96" s="1042">
        <f t="shared" si="120"/>
        <v>0.47636363636364631</v>
      </c>
      <c r="YE96" s="1042">
        <f t="shared" si="120"/>
        <v>0.53818181818182831</v>
      </c>
      <c r="YF96" s="1042">
        <f t="shared" si="120"/>
        <v>0.58454545454546469</v>
      </c>
      <c r="YG96" s="1042">
        <f t="shared" si="120"/>
        <v>0.64636363636364669</v>
      </c>
      <c r="YH96" s="1042">
        <f t="shared" si="120"/>
        <v>0.69272727272728307</v>
      </c>
      <c r="YI96" s="1042">
        <f t="shared" si="120"/>
        <v>0.7390909090909199</v>
      </c>
      <c r="YJ96" s="1042">
        <f t="shared" si="120"/>
        <v>0.8009090909091019</v>
      </c>
      <c r="YK96" s="1042">
        <f t="shared" si="120"/>
        <v>0.84727272727273828</v>
      </c>
      <c r="YL96" s="1042">
        <f t="shared" si="120"/>
        <v>0.89363636363637466</v>
      </c>
      <c r="YM96" s="1042">
        <f t="shared" si="120"/>
        <v>0.94000000000001149</v>
      </c>
      <c r="YN96" s="1042">
        <f t="shared" si="120"/>
        <v>0.98636363636364743</v>
      </c>
      <c r="YO96" s="1042">
        <f t="shared" si="120"/>
        <v>1.0327272727272843</v>
      </c>
      <c r="YP96" s="1042">
        <f t="shared" si="120"/>
        <v>1.0790909090909211</v>
      </c>
      <c r="YQ96" s="1042">
        <f t="shared" si="120"/>
        <v>1.1254545454545575</v>
      </c>
      <c r="YR96" s="1042">
        <f t="shared" si="120"/>
        <v>1.1718181818181939</v>
      </c>
      <c r="YS96" s="1042">
        <f t="shared" si="120"/>
        <v>1.2181818181818307</v>
      </c>
      <c r="YT96" s="1042">
        <f t="shared" si="120"/>
        <v>1.249090909090921</v>
      </c>
      <c r="YU96" s="1042">
        <f t="shared" si="120"/>
        <v>1.2954545454545578</v>
      </c>
      <c r="YV96" s="1042">
        <f t="shared" si="120"/>
        <v>1.3418181818181947</v>
      </c>
      <c r="YW96" s="1042">
        <f t="shared" si="120"/>
        <v>1.3881818181818311</v>
      </c>
      <c r="YX96" s="1042">
        <f t="shared" si="120"/>
        <v>1.4190909090909218</v>
      </c>
      <c r="YY96" s="1042">
        <f t="shared" si="120"/>
        <v>1.4654545454545587</v>
      </c>
      <c r="YZ96" s="1042">
        <f t="shared" si="120"/>
        <v>1.496363636363649</v>
      </c>
      <c r="ZA96" s="1042">
        <f t="shared" si="120"/>
        <v>1.5427272727272858</v>
      </c>
      <c r="ZB96" s="1042">
        <f t="shared" si="120"/>
        <v>1.5890909090909222</v>
      </c>
      <c r="ZC96" s="1042">
        <f t="shared" si="120"/>
        <v>1.6200000000000134</v>
      </c>
      <c r="ZD96" s="1042">
        <f t="shared" si="120"/>
        <v>1.6663636363636503</v>
      </c>
      <c r="ZE96" s="1042">
        <f t="shared" si="120"/>
        <v>1.6972727272727268</v>
      </c>
      <c r="ZF96" s="1042">
        <f t="shared" si="120"/>
        <v>1.7281818181818323</v>
      </c>
      <c r="ZG96" s="1042">
        <f t="shared" si="120"/>
        <v>1.7745454545454682</v>
      </c>
      <c r="ZH96" s="1042">
        <f t="shared" si="120"/>
        <v>1.8054545454545594</v>
      </c>
      <c r="ZI96" s="1042">
        <f t="shared" si="120"/>
        <v>1.8518181818181967</v>
      </c>
      <c r="ZJ96" s="1042">
        <f t="shared" si="120"/>
        <v>1.882727272727287</v>
      </c>
      <c r="ZK96" s="1042">
        <f t="shared" si="120"/>
        <v>1.9136363636363782</v>
      </c>
      <c r="ZL96" s="1042">
        <f t="shared" si="120"/>
        <v>1.9600000000000142</v>
      </c>
      <c r="ZM96" s="1042">
        <f t="shared" si="120"/>
        <v>1.9909090909091054</v>
      </c>
      <c r="ZN96" s="1042">
        <f t="shared" si="120"/>
        <v>2.0218181818181957</v>
      </c>
      <c r="ZO96" s="1042">
        <f t="shared" si="120"/>
        <v>2.0527272727272878</v>
      </c>
      <c r="ZP96" s="1042">
        <f t="shared" si="120"/>
        <v>2.0990909090909238</v>
      </c>
      <c r="ZQ96" s="1042">
        <f t="shared" si="120"/>
        <v>2.130000000000015</v>
      </c>
      <c r="ZR96" s="1042">
        <f t="shared" si="120"/>
        <v>2.1609090909091062</v>
      </c>
      <c r="ZS96" s="1042">
        <f t="shared" si="120"/>
        <v>2.1918181818181965</v>
      </c>
      <c r="ZT96" s="1042">
        <f t="shared" ref="ZT96:AAS96" si="121">IF(ZT90="Y",
IF(ZT91="Y",
IF(ZT92="Y",
IF(ZT93="Y",
IF(ZT94="Y",
IF(ZT95="Y",
IF(AND(ZT90="Y",ZT91="Y",ZT92 = "Y",ZT93= "Y",ZT94= "Y",ZT95= "Y"),$WH$90,"Ошибка редактироввания"),
ZT95),
ZT94),
ZT93),
ZT92),
ZT91),
ZT90)</f>
        <v>2.2227272727272878</v>
      </c>
      <c r="ZU96" s="1042">
        <f t="shared" si="121"/>
        <v>2.2690909090909246</v>
      </c>
      <c r="ZV96" s="1042">
        <f t="shared" si="121"/>
        <v>2.3000000000000158</v>
      </c>
      <c r="ZW96" s="1042">
        <f t="shared" si="121"/>
        <v>2.3309090909091061</v>
      </c>
      <c r="ZX96" s="1042">
        <f t="shared" si="121"/>
        <v>2.3618181818181974</v>
      </c>
      <c r="ZY96" s="1042">
        <f t="shared" si="121"/>
        <v>2.3927272727272886</v>
      </c>
      <c r="ZZ96" s="1042">
        <f t="shared" si="121"/>
        <v>2.4236363636363789</v>
      </c>
      <c r="AAA96" s="1042">
        <f t="shared" si="121"/>
        <v>2.4545454545454701</v>
      </c>
      <c r="AAB96" s="1042">
        <f t="shared" si="121"/>
        <v>2.4854545454545613</v>
      </c>
      <c r="AAC96" s="1042">
        <f t="shared" si="121"/>
        <v>2.5163636363636526</v>
      </c>
      <c r="AAD96" s="1042">
        <f t="shared" si="121"/>
        <v>2.5472727272727438</v>
      </c>
      <c r="AAE96" s="1042">
        <f t="shared" si="121"/>
        <v>2.5781818181818341</v>
      </c>
      <c r="AAF96" s="1042">
        <f t="shared" si="121"/>
        <v>2.6090909090909253</v>
      </c>
      <c r="AAG96" s="1042">
        <f t="shared" si="121"/>
        <v>2.6400000000000166</v>
      </c>
      <c r="AAH96" s="1042">
        <f t="shared" si="121"/>
        <v>2.6709090909091078</v>
      </c>
      <c r="AAI96" s="1042">
        <f t="shared" si="121"/>
        <v>2.701818181818199</v>
      </c>
      <c r="AAJ96" s="1042">
        <f t="shared" si="121"/>
        <v>2.7327272727272893</v>
      </c>
      <c r="AAK96" s="1042">
        <f t="shared" si="121"/>
        <v>2.7636363636363805</v>
      </c>
      <c r="AAL96" s="1042">
        <f t="shared" si="121"/>
        <v>2.7945454545454718</v>
      </c>
      <c r="AAM96" s="1042">
        <f t="shared" si="121"/>
        <v>2.825454545454563</v>
      </c>
      <c r="AAN96" s="1042">
        <f t="shared" si="121"/>
        <v>2.8563636363636533</v>
      </c>
      <c r="AAO96" s="1042">
        <f t="shared" si="121"/>
        <v>2.8872727272727445</v>
      </c>
      <c r="AAP96" s="1042">
        <f t="shared" si="121"/>
        <v>2.9181818181818358</v>
      </c>
      <c r="AAQ96" s="1042">
        <f t="shared" si="121"/>
        <v>2.9336363636363814</v>
      </c>
      <c r="AAR96" s="1042">
        <f t="shared" si="121"/>
        <v>2.9645454545454717</v>
      </c>
      <c r="AAS96" s="1042">
        <f t="shared" si="121"/>
        <v>2.9954545454545629</v>
      </c>
      <c r="AAT96" s="1006"/>
      <c r="AAU96" s="960"/>
      <c r="AAV96" s="1101"/>
      <c r="AAW96" s="1101"/>
      <c r="AAX96" s="1101"/>
      <c r="AAY96" s="961"/>
      <c r="AAZ96" s="162"/>
      <c r="ABA96" s="158"/>
      <c r="ABB96" s="158"/>
      <c r="ABC96" s="158"/>
      <c r="ABD96" s="158"/>
      <c r="ABE96" s="158"/>
      <c r="ABF96" s="158"/>
      <c r="ABG96" s="158"/>
      <c r="ABH96" s="158"/>
      <c r="ABI96" s="158"/>
      <c r="ABJ96" s="158"/>
      <c r="ABK96" s="158"/>
      <c r="ABL96" s="158"/>
      <c r="ABM96" s="158"/>
      <c r="ABN96" s="158"/>
      <c r="ABO96" s="158"/>
      <c r="ABP96" s="163"/>
      <c r="ABT96" s="1527"/>
      <c r="ABU96" s="1527"/>
      <c r="ABV96" s="1527"/>
      <c r="ABW96" s="1527"/>
      <c r="ABX96" s="1527"/>
      <c r="ABY96" s="1527"/>
      <c r="ABZ96" s="1527"/>
      <c r="ACA96" s="1527"/>
      <c r="ACB96" s="1527"/>
      <c r="ACC96" s="1527"/>
      <c r="ACD96" s="1527"/>
      <c r="ACE96" s="1527"/>
      <c r="ACF96" s="1527"/>
      <c r="ACG96" s="1527"/>
      <c r="ACH96" s="1527"/>
      <c r="ACJ96" s="759">
        <v>0.25</v>
      </c>
      <c r="ACK96" s="760"/>
      <c r="ACL96" s="759">
        <v>-0.2</v>
      </c>
      <c r="ACM96" s="760"/>
      <c r="ACN96" s="592">
        <v>12</v>
      </c>
      <c r="ACO96" s="759">
        <f t="shared" si="91"/>
        <v>8.0000000000000016E-2</v>
      </c>
      <c r="ACP96" s="760"/>
      <c r="ACQ96" s="757">
        <f t="shared" si="82"/>
        <v>1.1200000000000001</v>
      </c>
      <c r="ACR96" s="758"/>
      <c r="ACT96" s="759">
        <v>1.5454545454545452</v>
      </c>
      <c r="ACU96" s="760"/>
      <c r="ACV96" s="759">
        <v>-2.1818181818181812</v>
      </c>
      <c r="ACW96" s="760"/>
      <c r="ACX96" s="591">
        <v>62</v>
      </c>
      <c r="ACY96" s="759">
        <f t="shared" si="92"/>
        <v>0.32181818181818223</v>
      </c>
      <c r="ACZ96" s="760"/>
      <c r="ADA96" s="757">
        <f t="shared" si="83"/>
        <v>1.62</v>
      </c>
      <c r="ADB96" s="758"/>
      <c r="ADD96" s="759">
        <v>1.5454545454545501</v>
      </c>
      <c r="ADE96" s="760"/>
      <c r="ADF96" s="759">
        <v>-2.1818181818181799</v>
      </c>
      <c r="ADG96" s="760"/>
      <c r="ADH96" s="591">
        <v>111</v>
      </c>
      <c r="ADI96" s="759">
        <f t="shared" si="93"/>
        <v>1.0790909090909211</v>
      </c>
      <c r="ADJ96" s="760"/>
      <c r="ADK96" s="757">
        <f t="shared" si="84"/>
        <v>2.1100000000000003</v>
      </c>
      <c r="ADL96" s="758"/>
      <c r="ADN96" s="759">
        <v>1.5454545454545501</v>
      </c>
      <c r="ADO96" s="760"/>
      <c r="ADP96" s="759">
        <v>-2.1818181818181799</v>
      </c>
      <c r="ADQ96" s="760"/>
      <c r="ADR96" s="591">
        <v>161</v>
      </c>
      <c r="ADS96" s="759">
        <f t="shared" si="94"/>
        <v>1.8518181818181967</v>
      </c>
      <c r="ADT96" s="760"/>
      <c r="ADU96" s="757">
        <f t="shared" si="85"/>
        <v>2.6100000000000003</v>
      </c>
      <c r="ADV96" s="758"/>
      <c r="ADW96" s="653"/>
      <c r="ADX96" s="759">
        <v>1.5454545454545501</v>
      </c>
      <c r="ADY96" s="760"/>
      <c r="ADZ96" s="759">
        <v>-2.1818181818181799</v>
      </c>
      <c r="AEA96" s="760"/>
      <c r="AEB96" s="591">
        <v>211</v>
      </c>
      <c r="AEC96" s="759">
        <f t="shared" si="95"/>
        <v>2.6245454545454709</v>
      </c>
      <c r="AED96" s="760"/>
      <c r="AEE96" s="757">
        <f t="shared" si="86"/>
        <v>3.11</v>
      </c>
      <c r="AEF96" s="758"/>
      <c r="AEH96" s="759">
        <v>1.5454545454545501</v>
      </c>
      <c r="AEI96" s="760"/>
      <c r="AEJ96" s="759">
        <v>-2.1818181818181799</v>
      </c>
      <c r="AEK96" s="760"/>
      <c r="AEL96" s="591">
        <v>261</v>
      </c>
      <c r="AEM96" s="759">
        <f t="shared" si="101"/>
        <v>3.3972727272727461</v>
      </c>
      <c r="AEN96" s="760"/>
      <c r="AEO96" s="757">
        <f t="shared" si="87"/>
        <v>3.61</v>
      </c>
      <c r="AEP96" s="758"/>
      <c r="AGJ96" s="653"/>
      <c r="AGN96" s="849"/>
      <c r="AGO96" s="1575" t="s">
        <v>1738</v>
      </c>
      <c r="AGP96" s="1576"/>
      <c r="AGQ96" s="849"/>
      <c r="AGR96" s="791" t="s">
        <v>1407</v>
      </c>
      <c r="AGS96" s="792"/>
      <c r="AGT96" s="792"/>
      <c r="AGU96" s="792"/>
      <c r="AGV96" s="792"/>
      <c r="AGW96" s="792"/>
      <c r="AGX96" s="792"/>
      <c r="AGY96" s="792"/>
      <c r="AGZ96" s="792"/>
      <c r="AHA96" s="792"/>
      <c r="AHB96" s="938"/>
      <c r="AHC96" s="849"/>
      <c r="ARK96" s="653"/>
      <c r="ARL96" s="653"/>
      <c r="ARM96" s="653"/>
      <c r="ARN96" s="653"/>
      <c r="ARO96" s="653"/>
      <c r="ARP96" s="653"/>
      <c r="ARQ96" s="653"/>
      <c r="ARR96" s="653"/>
      <c r="ARS96" s="653"/>
      <c r="ATB96" s="130"/>
      <c r="ATC96" s="379"/>
      <c r="ATD96" s="379"/>
      <c r="ATE96" s="382" t="s">
        <v>1298</v>
      </c>
      <c r="ATF96" s="130"/>
      <c r="ATG96" s="130"/>
      <c r="ATH96" s="130"/>
      <c r="ATI96" s="130"/>
      <c r="ATJ96" s="130"/>
    </row>
    <row r="97" spans="34:904 1133:1201" ht="48" customHeight="1" thickBot="1">
      <c r="AI97" s="851"/>
      <c r="AJ97" s="802" t="s">
        <v>1660</v>
      </c>
      <c r="AK97" s="803"/>
      <c r="AL97" s="774">
        <f>$AQ$87</f>
        <v>1.1000000000000001</v>
      </c>
      <c r="AM97" s="774"/>
      <c r="AN97" s="610" t="s">
        <v>444</v>
      </c>
      <c r="AO97" s="1187">
        <f>$AP$49</f>
        <v>0.21284000000000003</v>
      </c>
      <c r="AP97" s="1187"/>
      <c r="AQ97" s="769"/>
      <c r="AR97" s="764"/>
      <c r="AS97" s="764"/>
      <c r="AT97" s="764"/>
      <c r="AU97" s="764"/>
      <c r="AV97" s="764"/>
      <c r="AW97" s="1662"/>
      <c r="AX97" s="1663"/>
      <c r="AY97" s="1636"/>
      <c r="AZ97" s="1637"/>
      <c r="BA97" s="943"/>
      <c r="BB97" s="943"/>
      <c r="BC97" s="943"/>
      <c r="BD97" s="943"/>
      <c r="BE97" s="943"/>
      <c r="BF97" s="943"/>
      <c r="BG97" s="943"/>
      <c r="BH97" s="943"/>
      <c r="BI97" s="1053"/>
      <c r="BJ97" s="1053"/>
      <c r="BK97" s="1053"/>
      <c r="BL97" s="1053"/>
      <c r="BM97" s="1053"/>
      <c r="BN97" s="1053"/>
      <c r="BO97" s="1053"/>
      <c r="BP97" s="1053"/>
      <c r="BQ97" s="130"/>
      <c r="BR97" s="130"/>
      <c r="BS97" s="130"/>
      <c r="DD97" s="130"/>
      <c r="DE97" s="130"/>
      <c r="DF97" s="130"/>
      <c r="DG97" s="130"/>
      <c r="DH97" s="130"/>
      <c r="DI97" s="130"/>
      <c r="DJ97" s="130"/>
      <c r="DK97" s="130"/>
      <c r="DL97" s="130"/>
      <c r="DM97" s="130"/>
      <c r="DN97" s="130"/>
      <c r="EH97" s="653"/>
      <c r="EI97" s="653"/>
      <c r="EJ97" s="653"/>
      <c r="EK97" s="653"/>
      <c r="EL97" s="653"/>
      <c r="EM97" s="653"/>
      <c r="EN97" s="653"/>
      <c r="EO97" s="653"/>
      <c r="EP97" s="653"/>
      <c r="EQ97" s="653"/>
      <c r="FE97" s="653"/>
      <c r="FF97" s="653"/>
      <c r="FG97" s="653"/>
      <c r="FH97" s="653"/>
      <c r="GF97" s="129"/>
      <c r="GG97" s="852" t="s">
        <v>416</v>
      </c>
      <c r="GH97" s="923"/>
      <c r="GI97" s="239"/>
      <c r="GJ97" s="78"/>
      <c r="GK97" s="78"/>
      <c r="GL97" s="78"/>
      <c r="GM97" s="78"/>
      <c r="GN97" s="78"/>
      <c r="GO97" s="78"/>
      <c r="GP97" s="136"/>
      <c r="GQ97" s="76" t="s">
        <v>441</v>
      </c>
      <c r="GR97" s="854" t="s">
        <v>435</v>
      </c>
      <c r="GS97" s="855"/>
      <c r="GT97" s="924" t="s">
        <v>111</v>
      </c>
      <c r="GU97" s="925"/>
      <c r="GV97" s="916" t="s">
        <v>704</v>
      </c>
      <c r="GW97" s="917"/>
      <c r="GX97" s="906" t="s">
        <v>447</v>
      </c>
      <c r="GY97" s="907"/>
      <c r="GZ97" s="907"/>
      <c r="HA97" s="907"/>
      <c r="HB97" s="908"/>
      <c r="HC97" s="1051" t="s">
        <v>436</v>
      </c>
      <c r="HD97" s="1051"/>
      <c r="HE97" s="1051"/>
      <c r="HF97" s="1051"/>
      <c r="HG97" s="1051"/>
      <c r="HH97" s="1051"/>
      <c r="HI97" s="1051"/>
      <c r="HJ97" s="1051"/>
      <c r="HK97" s="1051"/>
      <c r="HL97" s="1051"/>
      <c r="HM97" s="1051"/>
      <c r="HN97" s="1051"/>
      <c r="HO97" s="1051"/>
      <c r="HP97" s="220"/>
      <c r="HQ97" s="220"/>
      <c r="HR97" s="220"/>
      <c r="HS97" s="220"/>
      <c r="HT97" s="220"/>
      <c r="HU97" s="220"/>
      <c r="HV97" s="220"/>
      <c r="HW97" s="220"/>
      <c r="HX97" s="220"/>
      <c r="HY97" s="220"/>
      <c r="HZ97" s="220"/>
      <c r="IA97" s="220"/>
      <c r="IB97" s="220"/>
      <c r="IC97" s="220"/>
      <c r="ID97" s="220"/>
      <c r="IE97" s="220"/>
      <c r="IF97" s="220"/>
      <c r="IG97" s="220"/>
      <c r="IH97" s="220"/>
      <c r="JU97" s="653"/>
      <c r="JV97" s="653"/>
      <c r="JW97" s="653"/>
      <c r="LQ97" s="130"/>
      <c r="LR97" s="130"/>
      <c r="LS97" s="130"/>
      <c r="LT97" s="130"/>
      <c r="LU97" s="130"/>
      <c r="LV97" s="130"/>
      <c r="LW97" s="130"/>
      <c r="LX97" s="130"/>
      <c r="LY97" s="130"/>
      <c r="MB97" s="849"/>
      <c r="MC97" s="852" t="s">
        <v>416</v>
      </c>
      <c r="MD97" s="853"/>
      <c r="ME97" s="359"/>
      <c r="MF97" s="360"/>
      <c r="MG97" s="861" t="s">
        <v>1247</v>
      </c>
      <c r="MH97" s="861"/>
      <c r="MI97" s="937">
        <f>$MS$171</f>
        <v>1.42</v>
      </c>
      <c r="MJ97" s="937"/>
      <c r="MK97" s="359"/>
      <c r="ML97" s="360"/>
      <c r="MM97" s="76" t="s">
        <v>441</v>
      </c>
      <c r="MN97" s="854" t="s">
        <v>435</v>
      </c>
      <c r="MO97" s="1111"/>
      <c r="MP97" s="924" t="s">
        <v>111</v>
      </c>
      <c r="MQ97" s="925"/>
      <c r="MR97" s="916" t="s">
        <v>704</v>
      </c>
      <c r="MS97" s="917"/>
      <c r="MT97" s="906" t="s">
        <v>447</v>
      </c>
      <c r="MU97" s="907"/>
      <c r="MV97" s="907"/>
      <c r="MW97" s="908"/>
      <c r="QT97" s="130"/>
      <c r="QU97" s="130"/>
      <c r="QV97" s="130"/>
      <c r="QW97" s="130"/>
      <c r="RE97" s="653"/>
      <c r="RF97" s="653"/>
      <c r="RG97" s="653"/>
      <c r="RH97" s="653"/>
      <c r="RI97" s="653"/>
      <c r="RJ97" s="653"/>
      <c r="RK97" s="653"/>
      <c r="RL97" s="653"/>
      <c r="RM97" s="653"/>
      <c r="RN97" s="653"/>
      <c r="RO97" s="653"/>
      <c r="RP97" s="653"/>
      <c r="RQ97" s="653"/>
      <c r="RR97" s="653"/>
      <c r="RS97" s="653"/>
      <c r="RT97" s="653"/>
      <c r="RU97" s="653"/>
      <c r="RV97" s="653"/>
      <c r="RW97" s="653"/>
      <c r="RX97" s="653"/>
      <c r="RY97" s="653"/>
      <c r="RZ97" s="653"/>
      <c r="SA97" s="653"/>
      <c r="SB97" s="653"/>
      <c r="SC97" s="653"/>
      <c r="SD97" s="653"/>
      <c r="SE97" s="653"/>
      <c r="SF97" s="653"/>
      <c r="SG97" s="653"/>
      <c r="SH97" s="653"/>
      <c r="SI97" s="653"/>
      <c r="SJ97" s="653"/>
      <c r="SK97" s="653"/>
      <c r="SL97" s="653"/>
      <c r="SM97" s="653"/>
      <c r="SN97" s="653"/>
      <c r="SO97" s="653"/>
      <c r="SP97" s="653"/>
      <c r="SQ97" s="653"/>
      <c r="SR97" s="653"/>
      <c r="SS97" s="653"/>
      <c r="ST97" s="653"/>
      <c r="SU97" s="653"/>
      <c r="SV97" s="653"/>
      <c r="SW97" s="653"/>
      <c r="SX97" s="653"/>
      <c r="SY97" s="653"/>
      <c r="SZ97" s="653"/>
      <c r="TA97" s="653"/>
      <c r="TB97" s="653"/>
      <c r="TC97" s="653"/>
      <c r="TD97" s="653"/>
      <c r="TE97" s="653"/>
      <c r="TF97" s="653"/>
      <c r="TG97" s="653"/>
      <c r="TH97" s="653"/>
      <c r="TI97" s="653"/>
      <c r="TJ97" s="653"/>
      <c r="TK97" s="653"/>
      <c r="TL97" s="653"/>
      <c r="TM97" s="653"/>
      <c r="TN97" s="653"/>
      <c r="TO97" s="653"/>
      <c r="TP97" s="653"/>
      <c r="TQ97" s="653"/>
      <c r="TR97" s="653"/>
      <c r="TS97" s="653"/>
      <c r="TT97" s="653"/>
      <c r="TU97" s="653"/>
      <c r="TV97" s="653"/>
      <c r="TW97" s="653"/>
      <c r="TX97" s="653"/>
      <c r="TY97" s="653"/>
      <c r="TZ97" s="653"/>
      <c r="UA97" s="653"/>
      <c r="UB97" s="653"/>
      <c r="UC97" s="653"/>
      <c r="UD97" s="653"/>
      <c r="UE97" s="653"/>
      <c r="UF97" s="653"/>
      <c r="UG97" s="653"/>
      <c r="UH97" s="653"/>
      <c r="UI97" s="653"/>
      <c r="UJ97" s="653"/>
      <c r="UK97" s="653"/>
      <c r="UL97" s="653"/>
      <c r="UM97" s="653"/>
      <c r="UN97" s="653"/>
      <c r="UO97" s="653"/>
      <c r="UP97" s="653"/>
      <c r="UQ97" s="653"/>
      <c r="UR97" s="653"/>
      <c r="US97" s="653"/>
      <c r="UT97" s="653"/>
      <c r="UU97" s="653"/>
      <c r="UV97" s="653"/>
      <c r="UW97" s="653"/>
      <c r="UX97" s="653"/>
      <c r="UY97" s="653"/>
      <c r="UZ97" s="653"/>
      <c r="WC97" s="653"/>
      <c r="WD97" s="653"/>
      <c r="WE97" s="754"/>
      <c r="WF97" s="755"/>
      <c r="WG97" s="175"/>
      <c r="WH97" s="173"/>
      <c r="WI97" s="173"/>
      <c r="WJ97" s="173"/>
      <c r="WK97" s="173"/>
      <c r="WL97" s="173"/>
      <c r="WM97" s="173"/>
      <c r="WN97" s="173"/>
      <c r="WO97" s="173"/>
      <c r="WP97" s="173"/>
      <c r="WQ97" s="173"/>
      <c r="WR97" s="173"/>
      <c r="WS97" s="173"/>
      <c r="WT97" s="173"/>
      <c r="WU97" s="173"/>
      <c r="WV97" s="173"/>
      <c r="WW97" s="173"/>
      <c r="WX97" s="1205"/>
      <c r="WY97" s="1206"/>
      <c r="WZ97" s="1135"/>
      <c r="XA97" s="1135"/>
      <c r="XB97" s="169"/>
      <c r="XC97" s="170"/>
      <c r="XD97" s="170"/>
      <c r="XE97" s="170"/>
      <c r="XF97" s="172"/>
      <c r="XG97" s="1043"/>
      <c r="XH97" s="1043"/>
      <c r="XI97" s="1043"/>
      <c r="XJ97" s="1043"/>
      <c r="XK97" s="1043"/>
      <c r="XL97" s="1043"/>
      <c r="XM97" s="1043"/>
      <c r="XN97" s="1043"/>
      <c r="XO97" s="1043"/>
      <c r="XP97" s="1043"/>
      <c r="XQ97" s="1043"/>
      <c r="XR97" s="1043"/>
      <c r="XS97" s="1043"/>
      <c r="XT97" s="1043"/>
      <c r="XU97" s="1043"/>
      <c r="XV97" s="1043"/>
      <c r="XW97" s="1043"/>
      <c r="XX97" s="1043"/>
      <c r="XY97" s="1043"/>
      <c r="XZ97" s="1043"/>
      <c r="YA97" s="1043"/>
      <c r="YB97" s="1043"/>
      <c r="YC97" s="1043"/>
      <c r="YD97" s="1043"/>
      <c r="YE97" s="1043"/>
      <c r="YF97" s="1043"/>
      <c r="YG97" s="1043"/>
      <c r="YH97" s="1043"/>
      <c r="YI97" s="1043"/>
      <c r="YJ97" s="1043"/>
      <c r="YK97" s="1043"/>
      <c r="YL97" s="1043"/>
      <c r="YM97" s="1043"/>
      <c r="YN97" s="1043"/>
      <c r="YO97" s="1043"/>
      <c r="YP97" s="1043"/>
      <c r="YQ97" s="1043"/>
      <c r="YR97" s="1043"/>
      <c r="YS97" s="1043"/>
      <c r="YT97" s="1043"/>
      <c r="YU97" s="1043"/>
      <c r="YV97" s="1043"/>
      <c r="YW97" s="1043"/>
      <c r="YX97" s="1043"/>
      <c r="YY97" s="1043"/>
      <c r="YZ97" s="1043"/>
      <c r="ZA97" s="1043"/>
      <c r="ZB97" s="1043"/>
      <c r="ZC97" s="1043"/>
      <c r="ZD97" s="1043"/>
      <c r="ZE97" s="1043"/>
      <c r="ZF97" s="1043"/>
      <c r="ZG97" s="1043"/>
      <c r="ZH97" s="1043"/>
      <c r="ZI97" s="1043"/>
      <c r="ZJ97" s="1043"/>
      <c r="ZK97" s="1043"/>
      <c r="ZL97" s="1043"/>
      <c r="ZM97" s="1043"/>
      <c r="ZN97" s="1043"/>
      <c r="ZO97" s="1043"/>
      <c r="ZP97" s="1043"/>
      <c r="ZQ97" s="1043"/>
      <c r="ZR97" s="1043"/>
      <c r="ZS97" s="1043"/>
      <c r="ZT97" s="1043"/>
      <c r="ZU97" s="1043"/>
      <c r="ZV97" s="1043"/>
      <c r="ZW97" s="1043"/>
      <c r="ZX97" s="1043"/>
      <c r="ZY97" s="1043"/>
      <c r="ZZ97" s="1043"/>
      <c r="AAA97" s="1043"/>
      <c r="AAB97" s="1043"/>
      <c r="AAC97" s="1043"/>
      <c r="AAD97" s="1043"/>
      <c r="AAE97" s="1043"/>
      <c r="AAF97" s="1043"/>
      <c r="AAG97" s="1043"/>
      <c r="AAH97" s="1043"/>
      <c r="AAI97" s="1043"/>
      <c r="AAJ97" s="1043"/>
      <c r="AAK97" s="1043"/>
      <c r="AAL97" s="1043"/>
      <c r="AAM97" s="1043"/>
      <c r="AAN97" s="1043"/>
      <c r="AAO97" s="1043"/>
      <c r="AAP97" s="1043"/>
      <c r="AAQ97" s="1043"/>
      <c r="AAR97" s="1043"/>
      <c r="AAS97" s="1043"/>
      <c r="AAT97" s="1007"/>
      <c r="AAU97" s="962"/>
      <c r="AAV97" s="1059"/>
      <c r="AAW97" s="1059"/>
      <c r="AAX97" s="1059"/>
      <c r="AAY97" s="963"/>
      <c r="AAZ97" s="162"/>
      <c r="ABA97" s="158"/>
      <c r="ABB97" s="158"/>
      <c r="ABC97" s="158"/>
      <c r="ABD97" s="158"/>
      <c r="ABE97" s="158"/>
      <c r="ABF97" s="158"/>
      <c r="ABG97" s="158"/>
      <c r="ABH97" s="158"/>
      <c r="ABI97" s="158"/>
      <c r="ABJ97" s="158"/>
      <c r="ABK97" s="158"/>
      <c r="ABL97" s="158"/>
      <c r="ABM97" s="158"/>
      <c r="ABN97" s="158"/>
      <c r="ABO97" s="158"/>
      <c r="ABP97" s="163"/>
      <c r="ABT97" s="1527"/>
      <c r="ABU97" s="1527"/>
      <c r="ABV97" s="1527"/>
      <c r="ABW97" s="1527"/>
      <c r="ABX97" s="1527"/>
      <c r="ABY97" s="1527"/>
      <c r="ABZ97" s="1527"/>
      <c r="ACA97" s="1527"/>
      <c r="ACB97" s="1527"/>
      <c r="ACC97" s="1527"/>
      <c r="ACD97" s="1527"/>
      <c r="ACE97" s="1527"/>
      <c r="ACF97" s="1527"/>
      <c r="ACG97" s="1527"/>
      <c r="ACH97" s="1527"/>
      <c r="ACJ97" s="759">
        <v>0.25</v>
      </c>
      <c r="ACK97" s="760"/>
      <c r="ACL97" s="759">
        <v>-0.2</v>
      </c>
      <c r="ACM97" s="760"/>
      <c r="ACN97" s="592">
        <v>13</v>
      </c>
      <c r="ACO97" s="759">
        <f t="shared" si="91"/>
        <v>8.2499999999999962E-2</v>
      </c>
      <c r="ACP97" s="760"/>
      <c r="ACQ97" s="757">
        <f t="shared" si="82"/>
        <v>1.1299999999999999</v>
      </c>
      <c r="ACR97" s="758"/>
      <c r="ACT97" s="759">
        <v>1.5454545454545501</v>
      </c>
      <c r="ACU97" s="760"/>
      <c r="ACV97" s="759">
        <v>-2.1818181818181799</v>
      </c>
      <c r="ACW97" s="760"/>
      <c r="ACX97" s="591">
        <v>63</v>
      </c>
      <c r="ACY97" s="759">
        <f t="shared" si="92"/>
        <v>0.33727272727273672</v>
      </c>
      <c r="ACZ97" s="760"/>
      <c r="ADA97" s="757">
        <f t="shared" si="83"/>
        <v>1.63</v>
      </c>
      <c r="ADB97" s="758"/>
      <c r="ADD97" s="759">
        <v>1.5454545454545501</v>
      </c>
      <c r="ADE97" s="760"/>
      <c r="ADF97" s="759">
        <v>-2.1818181818181799</v>
      </c>
      <c r="ADG97" s="760"/>
      <c r="ADH97" s="591">
        <v>112</v>
      </c>
      <c r="ADI97" s="759">
        <f t="shared" si="93"/>
        <v>1.0945454545454663</v>
      </c>
      <c r="ADJ97" s="760"/>
      <c r="ADK97" s="757">
        <f t="shared" si="84"/>
        <v>2.12</v>
      </c>
      <c r="ADL97" s="758"/>
      <c r="ADN97" s="759">
        <v>1.5454545454545501</v>
      </c>
      <c r="ADO97" s="760"/>
      <c r="ADP97" s="759">
        <v>-2.1818181818181799</v>
      </c>
      <c r="ADQ97" s="760"/>
      <c r="ADR97" s="591">
        <v>162</v>
      </c>
      <c r="ADS97" s="759">
        <f t="shared" si="94"/>
        <v>1.8672727272727414</v>
      </c>
      <c r="ADT97" s="760"/>
      <c r="ADU97" s="757">
        <f t="shared" si="85"/>
        <v>2.62</v>
      </c>
      <c r="ADV97" s="758"/>
      <c r="ADW97" s="653"/>
      <c r="ADX97" s="759">
        <v>1.5454545454545501</v>
      </c>
      <c r="ADY97" s="760"/>
      <c r="ADZ97" s="759">
        <v>-2.1818181818181799</v>
      </c>
      <c r="AEA97" s="760"/>
      <c r="AEB97" s="591">
        <v>212</v>
      </c>
      <c r="AEC97" s="759">
        <f t="shared" si="95"/>
        <v>2.6400000000000166</v>
      </c>
      <c r="AED97" s="760"/>
      <c r="AEE97" s="757">
        <f t="shared" si="86"/>
        <v>3.12</v>
      </c>
      <c r="AEF97" s="758"/>
      <c r="AEH97" s="759">
        <v>1.5454545454545501</v>
      </c>
      <c r="AEI97" s="760"/>
      <c r="AEJ97" s="759">
        <v>-2.1818181818181799</v>
      </c>
      <c r="AEK97" s="760"/>
      <c r="AEL97" s="591">
        <v>262</v>
      </c>
      <c r="AEM97" s="759">
        <f t="shared" si="101"/>
        <v>3.4127272727272917</v>
      </c>
      <c r="AEN97" s="760"/>
      <c r="AEO97" s="757">
        <f t="shared" si="87"/>
        <v>3.62</v>
      </c>
      <c r="AEP97" s="758"/>
      <c r="AGJ97" s="653"/>
      <c r="AGN97" s="876"/>
      <c r="AGO97" s="1577"/>
      <c r="AGP97" s="1578"/>
      <c r="AGQ97" s="876"/>
      <c r="AGR97" s="909"/>
      <c r="AGS97" s="910"/>
      <c r="AGT97" s="910"/>
      <c r="AGU97" s="910"/>
      <c r="AGV97" s="910"/>
      <c r="AGW97" s="910"/>
      <c r="AGX97" s="910"/>
      <c r="AGY97" s="910"/>
      <c r="AGZ97" s="910"/>
      <c r="AHA97" s="910"/>
      <c r="AHB97" s="1239"/>
      <c r="AHC97" s="876"/>
      <c r="ARN97" s="653"/>
      <c r="ARO97" s="653"/>
      <c r="ARP97" s="653"/>
      <c r="ARQ97" s="653"/>
      <c r="ARR97" s="653"/>
      <c r="ARS97" s="653"/>
      <c r="ATC97" s="373"/>
      <c r="ATD97" s="373"/>
      <c r="ATE97" s="381" t="s">
        <v>1297</v>
      </c>
    </row>
    <row r="98" spans="34:904 1133:1201" ht="48" customHeight="1" thickBot="1">
      <c r="BP98" s="130"/>
      <c r="BQ98" s="130"/>
      <c r="BR98" s="130"/>
      <c r="BS98" s="130"/>
      <c r="BZ98" s="849"/>
      <c r="CA98" s="852" t="s">
        <v>35</v>
      </c>
      <c r="CB98" s="853"/>
      <c r="CC98" s="132"/>
      <c r="CD98" s="800" t="s">
        <v>1622</v>
      </c>
      <c r="CE98" s="982"/>
      <c r="CF98" s="801"/>
      <c r="CG98" s="1762">
        <f>$BH$134</f>
        <v>180000000000</v>
      </c>
      <c r="CH98" s="1763"/>
      <c r="CI98" s="1764"/>
      <c r="CJ98" s="132"/>
      <c r="CK98" s="76" t="s">
        <v>441</v>
      </c>
      <c r="CL98" s="854" t="s">
        <v>435</v>
      </c>
      <c r="CM98" s="855"/>
      <c r="CN98" s="1072" t="s">
        <v>111</v>
      </c>
      <c r="CO98" s="1073"/>
      <c r="CP98" s="1074"/>
      <c r="CQ98" s="916" t="s">
        <v>704</v>
      </c>
      <c r="CR98" s="917"/>
      <c r="CS98" s="906" t="s">
        <v>447</v>
      </c>
      <c r="CT98" s="907"/>
      <c r="CU98" s="907"/>
      <c r="CV98" s="908"/>
      <c r="CW98" s="1051" t="s">
        <v>436</v>
      </c>
      <c r="CX98" s="1051"/>
      <c r="CY98" s="1051"/>
      <c r="CZ98" s="1051"/>
      <c r="DH98" s="130"/>
      <c r="DI98" s="130"/>
      <c r="DJ98" s="130"/>
      <c r="DK98" s="130"/>
      <c r="DL98" s="130"/>
      <c r="DM98" s="130"/>
      <c r="DN98" s="130"/>
      <c r="DU98" s="715"/>
      <c r="DV98" s="891"/>
      <c r="DW98" s="891"/>
      <c r="DX98" s="891"/>
      <c r="DY98" s="891"/>
      <c r="DZ98" s="891"/>
      <c r="EA98" s="891"/>
      <c r="EB98" s="891"/>
      <c r="EC98" s="891"/>
      <c r="ED98" s="891"/>
      <c r="EE98" s="891"/>
      <c r="EF98" s="891"/>
      <c r="EG98" s="891"/>
      <c r="EH98" s="891"/>
      <c r="EI98" s="891"/>
      <c r="EJ98" s="891"/>
      <c r="EK98" s="891"/>
      <c r="EL98" s="891"/>
      <c r="EM98" s="891"/>
      <c r="EN98" s="891"/>
      <c r="EO98" s="891"/>
      <c r="EP98" s="891"/>
      <c r="EQ98" s="891"/>
      <c r="ER98" s="891"/>
      <c r="ES98" s="891"/>
      <c r="ET98" s="891"/>
      <c r="EU98" s="891"/>
      <c r="EV98" s="891"/>
      <c r="EW98" s="891"/>
      <c r="EX98" s="891"/>
      <c r="EY98" s="891"/>
      <c r="EZ98" s="891"/>
      <c r="FA98" s="891"/>
      <c r="FB98" s="891"/>
      <c r="FC98" s="891"/>
      <c r="FD98" s="891"/>
      <c r="FE98" s="891"/>
      <c r="FF98" s="715"/>
      <c r="FG98" s="653"/>
      <c r="FH98" s="653"/>
      <c r="GF98" s="121"/>
      <c r="GG98" s="935" t="s">
        <v>1074</v>
      </c>
      <c r="GH98" s="936"/>
      <c r="GI98" s="926">
        <f>$GT$73</f>
        <v>7.9639464327648497</v>
      </c>
      <c r="GJ98" s="926"/>
      <c r="GK98" s="809" t="s">
        <v>52</v>
      </c>
      <c r="GL98" s="797"/>
      <c r="GM98" s="797"/>
      <c r="GN98" s="797"/>
      <c r="GO98" s="797"/>
      <c r="GP98" s="797"/>
      <c r="GQ98" s="797"/>
      <c r="GR98" s="797"/>
      <c r="GS98" s="798"/>
      <c r="GT98" s="1167">
        <f>(3.14/8)*(GI98^2+GI99^2)+0.5*(GI98+GI99)*GI100</f>
        <v>180.34671544768563</v>
      </c>
      <c r="GU98" s="840"/>
      <c r="GV98" s="927" t="s">
        <v>757</v>
      </c>
      <c r="GW98" s="928"/>
      <c r="GX98" s="1066"/>
      <c r="GY98" s="893" t="s">
        <v>1337</v>
      </c>
      <c r="GZ98" s="1081"/>
      <c r="HA98" s="894"/>
      <c r="HB98" s="847"/>
      <c r="HC98" s="1052"/>
      <c r="HD98" s="1052"/>
      <c r="HE98" s="1052"/>
      <c r="HF98" s="1052"/>
      <c r="HG98" s="1052"/>
      <c r="HH98" s="1052"/>
      <c r="HI98" s="1052"/>
      <c r="HJ98" s="1052"/>
      <c r="HK98" s="1052"/>
      <c r="HL98" s="1052"/>
      <c r="HM98" s="1052"/>
      <c r="HN98" s="1052"/>
      <c r="HO98" s="1052"/>
      <c r="HP98" s="220"/>
      <c r="HQ98" s="220"/>
      <c r="HR98" s="220"/>
      <c r="HS98" s="220"/>
      <c r="HT98" s="220"/>
      <c r="HU98" s="220"/>
      <c r="HV98" s="220"/>
      <c r="HW98" s="220"/>
      <c r="HX98" s="220"/>
      <c r="HY98" s="220"/>
      <c r="HZ98" s="220"/>
      <c r="IA98" s="220"/>
      <c r="IB98" s="220"/>
      <c r="IC98" s="220"/>
      <c r="ID98" s="220"/>
      <c r="IE98" s="220"/>
      <c r="IF98" s="220"/>
      <c r="IG98" s="220"/>
      <c r="IH98" s="220"/>
      <c r="II98" s="220"/>
      <c r="IJ98" s="220"/>
      <c r="IK98" s="220"/>
      <c r="IL98" s="220"/>
      <c r="IM98" s="220"/>
      <c r="IN98" s="220"/>
      <c r="IO98" s="220"/>
      <c r="IP98" s="220"/>
      <c r="IR98" s="849"/>
      <c r="IS98" s="852" t="s">
        <v>416</v>
      </c>
      <c r="IT98" s="853"/>
      <c r="IU98" s="320"/>
      <c r="IV98" s="78"/>
      <c r="IW98" s="78"/>
      <c r="IX98" s="78"/>
      <c r="IY98" s="320"/>
      <c r="IZ98" s="76" t="s">
        <v>441</v>
      </c>
      <c r="JA98" s="854" t="s">
        <v>435</v>
      </c>
      <c r="JB98" s="1111"/>
      <c r="JC98" s="924" t="s">
        <v>111</v>
      </c>
      <c r="JD98" s="925"/>
      <c r="JE98" s="916" t="s">
        <v>704</v>
      </c>
      <c r="JF98" s="917"/>
      <c r="JG98" s="906" t="s">
        <v>447</v>
      </c>
      <c r="JH98" s="907"/>
      <c r="JI98" s="907"/>
      <c r="JJ98" s="908"/>
      <c r="JK98" s="1051" t="s">
        <v>436</v>
      </c>
      <c r="JL98" s="1051"/>
      <c r="JM98" s="1051"/>
      <c r="JN98" s="1051"/>
      <c r="JO98" s="1051"/>
      <c r="JP98" s="1051"/>
      <c r="JQ98" s="1051"/>
      <c r="JU98" s="653"/>
      <c r="JV98" s="653"/>
      <c r="JW98" s="653"/>
      <c r="JX98" s="849"/>
      <c r="JY98" s="852" t="s">
        <v>416</v>
      </c>
      <c r="JZ98" s="923"/>
      <c r="KA98" s="142"/>
      <c r="KB98" s="332" t="s">
        <v>816</v>
      </c>
      <c r="KC98" s="766">
        <f>$AP$9</f>
        <v>3</v>
      </c>
      <c r="KD98" s="766"/>
      <c r="KE98" s="320"/>
      <c r="KF98" s="78"/>
      <c r="KG98" s="78"/>
      <c r="KH98" s="142"/>
      <c r="KI98" s="76" t="s">
        <v>441</v>
      </c>
      <c r="KJ98" s="854" t="s">
        <v>435</v>
      </c>
      <c r="KK98" s="1111"/>
      <c r="KL98" s="920" t="s">
        <v>111</v>
      </c>
      <c r="KM98" s="921"/>
      <c r="KN98" s="916" t="s">
        <v>704</v>
      </c>
      <c r="KO98" s="917"/>
      <c r="KP98" s="906" t="s">
        <v>447</v>
      </c>
      <c r="KQ98" s="907"/>
      <c r="KR98" s="907"/>
      <c r="KS98" s="908"/>
      <c r="KT98" s="1051" t="s">
        <v>436</v>
      </c>
      <c r="KU98" s="1051"/>
      <c r="KV98" s="1051"/>
      <c r="KW98" s="1051"/>
      <c r="KX98" s="1051"/>
      <c r="LQ98" s="130"/>
      <c r="LR98" s="130"/>
      <c r="LS98" s="130"/>
      <c r="LT98" s="130"/>
      <c r="LU98" s="130"/>
      <c r="LV98" s="130"/>
      <c r="LW98" s="130"/>
      <c r="LX98" s="130"/>
      <c r="LY98" s="130"/>
      <c r="MB98" s="850"/>
      <c r="MC98" s="861" t="s">
        <v>1244</v>
      </c>
      <c r="MD98" s="861"/>
      <c r="ME98" s="766">
        <f>$AP$8</f>
        <v>50</v>
      </c>
      <c r="MF98" s="766"/>
      <c r="MG98" s="861" t="s">
        <v>1248</v>
      </c>
      <c r="MH98" s="861"/>
      <c r="MI98" s="937">
        <f>$MQ$137</f>
        <v>1.0957328694424708</v>
      </c>
      <c r="MJ98" s="937"/>
      <c r="MK98" s="791" t="s">
        <v>76</v>
      </c>
      <c r="ML98" s="792"/>
      <c r="MM98" s="792"/>
      <c r="MN98" s="792"/>
      <c r="MO98" s="793"/>
      <c r="MP98" s="835">
        <f>15.8*(ME98/100)*((ME99/100)^2)*(ME100/(ME101*ME102))*(MI97+MI98+MI99)</f>
        <v>0.38958741854614803</v>
      </c>
      <c r="MQ98" s="836"/>
      <c r="MR98" s="1188" t="s">
        <v>392</v>
      </c>
      <c r="MS98" s="1189"/>
      <c r="MT98" s="1066"/>
      <c r="MU98" s="1170" t="s">
        <v>1334</v>
      </c>
      <c r="MV98" s="1172"/>
      <c r="MW98" s="847"/>
      <c r="MZ98" s="130"/>
      <c r="NA98" s="130"/>
      <c r="NB98" s="130"/>
      <c r="NC98" s="130"/>
      <c r="ND98" s="130"/>
      <c r="NE98" s="130"/>
      <c r="PL98" s="849"/>
      <c r="PM98" s="1257" t="s">
        <v>416</v>
      </c>
      <c r="PN98" s="1257"/>
      <c r="PO98" s="468"/>
      <c r="PP98" s="498" t="s">
        <v>1570</v>
      </c>
      <c r="PQ98" s="766">
        <f>$AP$6</f>
        <v>1500</v>
      </c>
      <c r="PR98" s="766"/>
      <c r="PS98" s="468"/>
      <c r="PT98" s="76" t="s">
        <v>441</v>
      </c>
      <c r="PU98" s="854" t="s">
        <v>435</v>
      </c>
      <c r="PV98" s="855"/>
      <c r="PW98" s="920" t="s">
        <v>111</v>
      </c>
      <c r="PX98" s="921"/>
      <c r="PY98" s="916" t="s">
        <v>704</v>
      </c>
      <c r="PZ98" s="917"/>
      <c r="QA98" s="906" t="s">
        <v>447</v>
      </c>
      <c r="QB98" s="907"/>
      <c r="QC98" s="907"/>
      <c r="QD98" s="907"/>
      <c r="QE98" s="908"/>
      <c r="QF98" s="906" t="s">
        <v>436</v>
      </c>
      <c r="QG98" s="907"/>
      <c r="QH98" s="907"/>
      <c r="QI98" s="907"/>
      <c r="QJ98" s="907"/>
      <c r="QK98" s="907"/>
      <c r="QL98" s="907"/>
      <c r="QM98" s="907"/>
      <c r="QN98" s="907"/>
      <c r="QO98" s="907"/>
      <c r="QP98" s="907"/>
      <c r="QQ98" s="908"/>
      <c r="QU98" s="130"/>
      <c r="QV98" s="130"/>
      <c r="QW98" s="130"/>
      <c r="RE98" s="653"/>
      <c r="RF98" s="653"/>
      <c r="RG98" s="653"/>
      <c r="RH98" s="653"/>
      <c r="RI98" s="653"/>
      <c r="RJ98" s="653"/>
      <c r="RK98" s="653"/>
      <c r="RL98" s="653"/>
      <c r="RM98" s="653"/>
      <c r="RN98" s="653"/>
      <c r="RO98" s="653"/>
      <c r="RP98" s="653"/>
      <c r="RQ98" s="653"/>
      <c r="RR98" s="653"/>
      <c r="RS98" s="653"/>
      <c r="RT98" s="653"/>
      <c r="RU98" s="653"/>
      <c r="RV98" s="653"/>
      <c r="RW98" s="653"/>
      <c r="RX98" s="653"/>
      <c r="RY98" s="653"/>
      <c r="RZ98" s="653"/>
      <c r="SA98" s="653"/>
      <c r="SB98" s="653"/>
      <c r="SC98" s="653"/>
      <c r="SD98" s="653"/>
      <c r="SE98" s="653"/>
      <c r="SF98" s="653"/>
      <c r="SG98" s="653"/>
      <c r="SH98" s="653"/>
      <c r="SI98" s="653"/>
      <c r="SJ98" s="653"/>
      <c r="SK98" s="653"/>
      <c r="SL98" s="653"/>
      <c r="SM98" s="653"/>
      <c r="SN98" s="653"/>
      <c r="SO98" s="653"/>
      <c r="SP98" s="653"/>
      <c r="SQ98" s="653"/>
      <c r="SR98" s="653"/>
      <c r="SS98" s="653"/>
      <c r="ST98" s="653"/>
      <c r="SU98" s="653"/>
      <c r="SV98" s="653"/>
      <c r="SW98" s="653"/>
      <c r="SX98" s="653"/>
      <c r="SY98" s="653"/>
      <c r="SZ98" s="653"/>
      <c r="TA98" s="653"/>
      <c r="TB98" s="653"/>
      <c r="TC98" s="653"/>
      <c r="TD98" s="653"/>
      <c r="TE98" s="653"/>
      <c r="TF98" s="653"/>
      <c r="TG98" s="653"/>
      <c r="TH98" s="653"/>
      <c r="TI98" s="653"/>
      <c r="TJ98" s="653"/>
      <c r="TK98" s="653"/>
      <c r="TL98" s="653"/>
      <c r="TM98" s="653"/>
      <c r="TN98" s="653"/>
      <c r="TO98" s="653"/>
      <c r="TP98" s="653"/>
      <c r="TQ98" s="653"/>
      <c r="TR98" s="653"/>
      <c r="TS98" s="653"/>
      <c r="TT98" s="653"/>
      <c r="TU98" s="653"/>
      <c r="TV98" s="653"/>
      <c r="TW98" s="653"/>
      <c r="TX98" s="653"/>
      <c r="TY98" s="653"/>
      <c r="TZ98" s="653"/>
      <c r="UA98" s="653"/>
      <c r="UB98" s="653"/>
      <c r="UC98" s="653"/>
      <c r="UD98" s="653"/>
      <c r="UE98" s="653"/>
      <c r="UF98" s="653"/>
      <c r="UG98" s="653"/>
      <c r="UH98" s="653"/>
      <c r="UI98" s="653"/>
      <c r="UJ98" s="653"/>
      <c r="UK98" s="653"/>
      <c r="UL98" s="653"/>
      <c r="UM98" s="653"/>
      <c r="UN98" s="653"/>
      <c r="UO98" s="653"/>
      <c r="UP98" s="653"/>
      <c r="UQ98" s="653"/>
      <c r="UR98" s="653"/>
      <c r="US98" s="653"/>
      <c r="UT98" s="653"/>
      <c r="UU98" s="653"/>
      <c r="UV98" s="653"/>
      <c r="UW98" s="653"/>
      <c r="UX98" s="653"/>
      <c r="UY98" s="653"/>
      <c r="UZ98" s="653"/>
      <c r="WC98" s="653"/>
      <c r="WD98" s="653"/>
      <c r="WE98" s="752">
        <v>4</v>
      </c>
      <c r="WF98" s="753"/>
      <c r="WG98" s="861" t="s">
        <v>1463</v>
      </c>
      <c r="WH98" s="861"/>
      <c r="WI98" s="861"/>
      <c r="WJ98" s="861"/>
      <c r="WK98" s="951">
        <f>$AHB$21</f>
        <v>2.923385945848388E-2</v>
      </c>
      <c r="WL98" s="952"/>
      <c r="WM98" s="168"/>
      <c r="WN98" s="168"/>
      <c r="WO98" s="168"/>
      <c r="WP98" s="168"/>
      <c r="WQ98" s="168"/>
      <c r="WR98" s="168"/>
      <c r="WS98" s="168"/>
      <c r="WT98" s="168"/>
      <c r="WU98" s="168"/>
      <c r="WV98" s="168"/>
      <c r="WW98" s="168"/>
      <c r="WX98" s="168"/>
      <c r="WY98" s="171"/>
      <c r="WZ98" s="1004" t="s">
        <v>45</v>
      </c>
      <c r="XA98" s="1004"/>
      <c r="XB98" s="167"/>
      <c r="XC98" s="168"/>
      <c r="XD98" s="168"/>
      <c r="XE98" s="168"/>
      <c r="XF98" s="171"/>
      <c r="XG98" s="1004">
        <f t="shared" ref="XG98:YL98" si="122">$WK$98/(1+XG88)</f>
        <v>2.8944415305429586E-2</v>
      </c>
      <c r="XH98" s="1004">
        <f t="shared" si="122"/>
        <v>2.8944415305429586E-2</v>
      </c>
      <c r="XI98" s="1004">
        <f t="shared" si="122"/>
        <v>2.8944415305429586E-2</v>
      </c>
      <c r="XJ98" s="1004">
        <f t="shared" si="122"/>
        <v>2.8944415305429586E-2</v>
      </c>
      <c r="XK98" s="1004">
        <f t="shared" si="122"/>
        <v>2.8944415305429586E-2</v>
      </c>
      <c r="XL98" s="1004">
        <f t="shared" si="122"/>
        <v>2.8944415305429586E-2</v>
      </c>
      <c r="XM98" s="1004">
        <f t="shared" si="122"/>
        <v>2.8944415305429586E-2</v>
      </c>
      <c r="XN98" s="1004">
        <f t="shared" si="122"/>
        <v>2.8944415305429586E-2</v>
      </c>
      <c r="XO98" s="1004">
        <f t="shared" si="122"/>
        <v>2.6101660231255278E-2</v>
      </c>
      <c r="XP98" s="1004">
        <f t="shared" si="122"/>
        <v>2.5718937940844785E-2</v>
      </c>
      <c r="XQ98" s="1004">
        <f t="shared" si="122"/>
        <v>2.5274230080619093E-2</v>
      </c>
      <c r="XR98" s="1004">
        <f t="shared" si="122"/>
        <v>2.4915221130946873E-2</v>
      </c>
      <c r="XS98" s="1004">
        <f t="shared" si="122"/>
        <v>2.4566268454365416E-2</v>
      </c>
      <c r="XT98" s="1004">
        <f t="shared" si="122"/>
        <v>2.4093840210918024E-2</v>
      </c>
      <c r="XU98" s="1004">
        <f t="shared" si="122"/>
        <v>2.3575693109399033E-2</v>
      </c>
      <c r="XV98" s="1004">
        <f t="shared" si="122"/>
        <v>2.2958528368072943E-2</v>
      </c>
      <c r="XW98" s="1004">
        <f t="shared" si="122"/>
        <v>2.2487584196239037E-2</v>
      </c>
      <c r="XX98" s="1004">
        <f t="shared" si="122"/>
        <v>2.2035572453430706E-2</v>
      </c>
      <c r="XY98" s="1004">
        <f t="shared" si="122"/>
        <v>2.1601373981281504E-2</v>
      </c>
      <c r="XZ98" s="1004">
        <f t="shared" si="122"/>
        <v>2.1183956126419514E-2</v>
      </c>
      <c r="YA98" s="1004">
        <f t="shared" si="122"/>
        <v>2.073323365849921E-2</v>
      </c>
      <c r="YB98" s="1004">
        <f t="shared" si="122"/>
        <v>2.0161282385161298E-2</v>
      </c>
      <c r="YC98" s="1004">
        <f t="shared" si="122"/>
        <v>1.962003990502274E-2</v>
      </c>
      <c r="YD98" s="1004">
        <f t="shared" si="122"/>
        <v>1.9232802275318341E-2</v>
      </c>
      <c r="YE98" s="1004">
        <f t="shared" si="122"/>
        <v>1.8739653499028126E-2</v>
      </c>
      <c r="YF98" s="1004">
        <f t="shared" si="122"/>
        <v>1.8386075131121938E-2</v>
      </c>
      <c r="YG98" s="1004">
        <f t="shared" si="122"/>
        <v>1.7934883103364344E-2</v>
      </c>
      <c r="YH98" s="1004">
        <f t="shared" si="122"/>
        <v>1.7610758709930049E-2</v>
      </c>
      <c r="YI98" s="1004">
        <f t="shared" si="122"/>
        <v>1.7298141691410578E-2</v>
      </c>
      <c r="YJ98" s="1004">
        <f t="shared" si="122"/>
        <v>1.6898184658083164E-2</v>
      </c>
      <c r="YK98" s="1004">
        <f t="shared" si="122"/>
        <v>1.6610147419593112E-2</v>
      </c>
      <c r="YL98" s="1004">
        <f t="shared" si="122"/>
        <v>1.6331765060605519E-2</v>
      </c>
      <c r="YM98" s="1004">
        <f t="shared" ref="YM98:ZR98" si="123">$WK$98/(1+YM88)</f>
        <v>1.6062560142024108E-2</v>
      </c>
      <c r="YN98" s="1004">
        <f t="shared" si="123"/>
        <v>1.5802086193775072E-2</v>
      </c>
      <c r="YO98" s="1004">
        <f t="shared" si="123"/>
        <v>1.5549925243874404E-2</v>
      </c>
      <c r="YP98" s="1004">
        <f t="shared" si="123"/>
        <v>1.5297255018209685E-2</v>
      </c>
      <c r="YQ98" s="1004">
        <f t="shared" si="123"/>
        <v>1.50363651789711E-2</v>
      </c>
      <c r="YR98" s="1004">
        <f t="shared" si="123"/>
        <v>1.4784224905807627E-2</v>
      </c>
      <c r="YS98" s="1004">
        <f t="shared" si="123"/>
        <v>1.4540401301340117E-2</v>
      </c>
      <c r="YT98" s="1004">
        <f t="shared" si="123"/>
        <v>1.4382271613443619E-2</v>
      </c>
      <c r="YU98" s="1004">
        <f t="shared" si="123"/>
        <v>1.4151422413024013E-2</v>
      </c>
      <c r="YV98" s="1004">
        <f t="shared" si="123"/>
        <v>1.392786684330974E-2</v>
      </c>
      <c r="YW98" s="1004">
        <f t="shared" si="123"/>
        <v>1.3711264618888977E-2</v>
      </c>
      <c r="YX98" s="1004">
        <f t="shared" si="123"/>
        <v>1.3570567547304971E-2</v>
      </c>
      <c r="YY98" s="1004">
        <f t="shared" si="123"/>
        <v>1.3364853939152849E-2</v>
      </c>
      <c r="YZ98" s="1004">
        <f t="shared" si="123"/>
        <v>1.3231141727279478E-2</v>
      </c>
      <c r="ZA98" s="1004">
        <f t="shared" si="123"/>
        <v>1.3035515834573864E-2</v>
      </c>
      <c r="ZB98" s="1004">
        <f t="shared" si="123"/>
        <v>1.2845590418852741E-2</v>
      </c>
      <c r="ZC98" s="1004">
        <f t="shared" si="123"/>
        <v>1.2722018545835833E-2</v>
      </c>
      <c r="ZD98" s="1004">
        <f t="shared" si="123"/>
        <v>1.2541055084921933E-2</v>
      </c>
      <c r="ZE98" s="1004">
        <f t="shared" si="123"/>
        <v>1.2423246022116521E-2</v>
      </c>
      <c r="ZF98" s="1004">
        <f t="shared" si="123"/>
        <v>1.2307629728537949E-2</v>
      </c>
      <c r="ZG98" s="1004">
        <f t="shared" si="123"/>
        <v>1.2138184651421476E-2</v>
      </c>
      <c r="ZH98" s="1004">
        <f t="shared" si="123"/>
        <v>1.2027789728218512E-2</v>
      </c>
      <c r="ZI98" s="1004">
        <f t="shared" si="123"/>
        <v>1.1865911763496136E-2</v>
      </c>
      <c r="ZJ98" s="1004">
        <f t="shared" si="123"/>
        <v>1.1760392327955423E-2</v>
      </c>
      <c r="ZK98" s="1004">
        <f t="shared" si="123"/>
        <v>1.1656733046157681E-2</v>
      </c>
      <c r="ZL98" s="1004">
        <f t="shared" si="123"/>
        <v>1.150462571767874E-2</v>
      </c>
      <c r="ZM98" s="1004">
        <f t="shared" si="123"/>
        <v>1.1405407179663346E-2</v>
      </c>
      <c r="ZN98" s="1004">
        <f t="shared" si="123"/>
        <v>1.1307885375604223E-2</v>
      </c>
      <c r="ZO98" s="1004">
        <f t="shared" si="123"/>
        <v>1.1212017150782242E-2</v>
      </c>
      <c r="ZP98" s="1004">
        <f t="shared" si="123"/>
        <v>1.1071224429935413E-2</v>
      </c>
      <c r="ZQ98" s="1004">
        <f t="shared" si="123"/>
        <v>1.0979310726426756E-2</v>
      </c>
      <c r="ZR98" s="1004">
        <f t="shared" si="123"/>
        <v>1.0888910598902147E-2</v>
      </c>
      <c r="ZS98" s="1004">
        <f t="shared" ref="ZS98:AAS98" si="124">$WK$98/(1+ZS88)</f>
        <v>1.0799986965780018E-2</v>
      </c>
      <c r="ZT98" s="1004">
        <f t="shared" si="124"/>
        <v>1.0712503946964954E-2</v>
      </c>
      <c r="ZU98" s="1004">
        <f t="shared" si="124"/>
        <v>1.058390490949373E-2</v>
      </c>
      <c r="ZV98" s="1004">
        <f t="shared" si="124"/>
        <v>1.0499873906432795E-2</v>
      </c>
      <c r="ZW98" s="1004">
        <f t="shared" si="124"/>
        <v>1.0417166722624868E-2</v>
      </c>
      <c r="ZX98" s="1004">
        <f t="shared" si="124"/>
        <v>1.0335752319509117E-2</v>
      </c>
      <c r="ZY98" s="1004">
        <f t="shared" si="124"/>
        <v>1.025560062131612E-2</v>
      </c>
      <c r="ZZ98" s="1004">
        <f t="shared" si="124"/>
        <v>1.0176682478023839E-2</v>
      </c>
      <c r="AAA98" s="1004">
        <f t="shared" si="124"/>
        <v>1.0098969630010916E-2</v>
      </c>
      <c r="AAB98" s="1004">
        <f t="shared" si="124"/>
        <v>1.0022434674317191E-2</v>
      </c>
      <c r="AAC98" s="1004">
        <f t="shared" si="124"/>
        <v>9.9470510324268634E-3</v>
      </c>
      <c r="AAD98" s="1004">
        <f t="shared" si="124"/>
        <v>9.8727929194947148E-3</v>
      </c>
      <c r="AAE98" s="1004">
        <f t="shared" si="124"/>
        <v>9.7996353149405156E-3</v>
      </c>
      <c r="AAF98" s="1004">
        <f t="shared" si="124"/>
        <v>9.7275539343412137E-3</v>
      </c>
      <c r="AAG98" s="1004">
        <f t="shared" si="124"/>
        <v>9.6565252025545435E-3</v>
      </c>
      <c r="AAH98" s="1004">
        <f t="shared" si="124"/>
        <v>9.5865262280115764E-3</v>
      </c>
      <c r="AAI98" s="1004">
        <f t="shared" si="124"/>
        <v>9.5175347781193166E-3</v>
      </c>
      <c r="AAJ98" s="1004">
        <f t="shared" si="124"/>
        <v>9.4495292557178479E-3</v>
      </c>
      <c r="AAK98" s="1004">
        <f t="shared" si="124"/>
        <v>9.3824886765396312E-3</v>
      </c>
      <c r="AAL98" s="1004">
        <f t="shared" si="124"/>
        <v>9.3163926476215447E-3</v>
      </c>
      <c r="AAM98" s="1004">
        <f t="shared" si="124"/>
        <v>9.2512213466230207E-3</v>
      </c>
      <c r="AAN98" s="1004">
        <f t="shared" si="124"/>
        <v>9.1869555020062041E-3</v>
      </c>
      <c r="AAO98" s="1004">
        <f t="shared" si="124"/>
        <v>9.1235763740365218E-3</v>
      </c>
      <c r="AAP98" s="1004">
        <f t="shared" si="124"/>
        <v>9.0610657365642923E-3</v>
      </c>
      <c r="AAQ98" s="1004">
        <f t="shared" si="124"/>
        <v>9.0301305422112611E-3</v>
      </c>
      <c r="AAR98" s="1004">
        <f t="shared" si="124"/>
        <v>8.9688895470928683E-3</v>
      </c>
      <c r="AAS98" s="1004">
        <f t="shared" si="124"/>
        <v>8.9084736110907354E-3</v>
      </c>
      <c r="AAT98" s="1005">
        <v>4</v>
      </c>
      <c r="AAU98" s="958"/>
      <c r="AAV98" s="1058"/>
      <c r="AAW98" s="1058"/>
      <c r="AAX98" s="1058"/>
      <c r="AAY98" s="959"/>
      <c r="AAZ98" s="162"/>
      <c r="ABA98" s="158"/>
      <c r="ABB98" s="158"/>
      <c r="ABC98" s="158"/>
      <c r="ABD98" s="158"/>
      <c r="ABE98" s="158"/>
      <c r="ABF98" s="158"/>
      <c r="ABG98" s="158"/>
      <c r="ABH98" s="158"/>
      <c r="ABI98" s="158"/>
      <c r="ABJ98" s="158"/>
      <c r="ABK98" s="158"/>
      <c r="ABL98" s="158"/>
      <c r="ABM98" s="158"/>
      <c r="ABN98" s="158"/>
      <c r="ABO98" s="158"/>
      <c r="ABP98" s="163"/>
      <c r="ABT98" s="1527"/>
      <c r="ABU98" s="1527"/>
      <c r="ABV98" s="1527"/>
      <c r="ABW98" s="1527"/>
      <c r="ABX98" s="1527"/>
      <c r="ABY98" s="1527"/>
      <c r="ABZ98" s="1527"/>
      <c r="ACA98" s="1527"/>
      <c r="ACB98" s="1527"/>
      <c r="ACC98" s="1527"/>
      <c r="ACD98" s="1527"/>
      <c r="ACE98" s="1527"/>
      <c r="ACF98" s="1527"/>
      <c r="ACG98" s="1527"/>
      <c r="ACH98" s="1527"/>
      <c r="ACJ98" s="759">
        <v>0.25</v>
      </c>
      <c r="ACK98" s="760"/>
      <c r="ACL98" s="759">
        <v>-0.2</v>
      </c>
      <c r="ACM98" s="760"/>
      <c r="ACN98" s="592">
        <v>14</v>
      </c>
      <c r="ACO98" s="759">
        <f t="shared" si="91"/>
        <v>8.500000000000002E-2</v>
      </c>
      <c r="ACP98" s="760"/>
      <c r="ACQ98" s="757">
        <f t="shared" si="82"/>
        <v>1.1400000000000001</v>
      </c>
      <c r="ACR98" s="758"/>
      <c r="ACT98" s="759">
        <v>1.5454545454545501</v>
      </c>
      <c r="ACU98" s="760"/>
      <c r="ACV98" s="759">
        <v>-2.1818181818181799</v>
      </c>
      <c r="ACW98" s="760"/>
      <c r="ACX98" s="591">
        <v>64</v>
      </c>
      <c r="ACY98" s="759">
        <f t="shared" si="92"/>
        <v>0.35272727272728233</v>
      </c>
      <c r="ACZ98" s="760"/>
      <c r="ADA98" s="757">
        <f t="shared" si="83"/>
        <v>1.6400000000000001</v>
      </c>
      <c r="ADB98" s="758"/>
      <c r="ADD98" s="759">
        <v>1.5454545454545501</v>
      </c>
      <c r="ADE98" s="760"/>
      <c r="ADF98" s="759">
        <v>-2.1818181818181799</v>
      </c>
      <c r="ADG98" s="760"/>
      <c r="ADH98" s="591">
        <v>113</v>
      </c>
      <c r="ADI98" s="759">
        <f t="shared" si="93"/>
        <v>1.1100000000000114</v>
      </c>
      <c r="ADJ98" s="760"/>
      <c r="ADK98" s="757">
        <f t="shared" si="84"/>
        <v>2.13</v>
      </c>
      <c r="ADL98" s="758"/>
      <c r="ADN98" s="759">
        <v>1.5454545454545501</v>
      </c>
      <c r="ADO98" s="760"/>
      <c r="ADP98" s="759">
        <v>-2.1818181818181799</v>
      </c>
      <c r="ADQ98" s="760"/>
      <c r="ADR98" s="591">
        <v>163</v>
      </c>
      <c r="ADS98" s="759">
        <f t="shared" si="94"/>
        <v>1.882727272727287</v>
      </c>
      <c r="ADT98" s="760"/>
      <c r="ADU98" s="757">
        <f t="shared" si="85"/>
        <v>2.63</v>
      </c>
      <c r="ADV98" s="758"/>
      <c r="ADW98" s="653"/>
      <c r="ADX98" s="759">
        <v>1.5454545454545501</v>
      </c>
      <c r="ADY98" s="760"/>
      <c r="ADZ98" s="759">
        <v>-2.1818181818181799</v>
      </c>
      <c r="AEA98" s="760"/>
      <c r="AEB98" s="591">
        <v>213</v>
      </c>
      <c r="AEC98" s="759">
        <f t="shared" si="95"/>
        <v>2.6554545454545613</v>
      </c>
      <c r="AED98" s="760"/>
      <c r="AEE98" s="757">
        <f t="shared" si="86"/>
        <v>3.13</v>
      </c>
      <c r="AEF98" s="758"/>
      <c r="AEH98" s="759">
        <v>1.5454545454545501</v>
      </c>
      <c r="AEI98" s="760"/>
      <c r="AEJ98" s="759">
        <v>-2.1818181818181799</v>
      </c>
      <c r="AEK98" s="760"/>
      <c r="AEL98" s="591">
        <v>263</v>
      </c>
      <c r="AEM98" s="759">
        <f t="shared" si="101"/>
        <v>3.4281818181818364</v>
      </c>
      <c r="AEN98" s="760"/>
      <c r="AEO98" s="757">
        <f t="shared" si="87"/>
        <v>3.63</v>
      </c>
      <c r="AEP98" s="758"/>
      <c r="AFI98" s="653"/>
      <c r="AFJ98" s="653"/>
      <c r="AFK98" s="653"/>
      <c r="AFL98" s="653"/>
      <c r="AFM98" s="653"/>
      <c r="AFN98" s="653"/>
      <c r="AFO98" s="653"/>
      <c r="AFP98" s="653"/>
      <c r="AFQ98" s="653"/>
      <c r="AFR98" s="653"/>
      <c r="AFS98" s="653"/>
      <c r="AFT98" s="653"/>
      <c r="AFU98" s="653"/>
      <c r="AFV98" s="653"/>
      <c r="AFW98" s="653"/>
      <c r="AFX98" s="653"/>
      <c r="AFY98" s="653"/>
      <c r="AFZ98" s="653"/>
      <c r="AGA98" s="653"/>
      <c r="AGB98" s="653"/>
      <c r="AGC98" s="653"/>
      <c r="AGD98" s="653"/>
      <c r="AGE98" s="653"/>
      <c r="AGF98" s="653"/>
      <c r="AGG98" s="653"/>
      <c r="AGH98" s="653"/>
      <c r="AGI98" s="653"/>
      <c r="AGJ98" s="653"/>
      <c r="ARU98" s="849"/>
      <c r="ARV98" s="852" t="s">
        <v>416</v>
      </c>
      <c r="ARW98" s="853"/>
      <c r="ARX98" s="142"/>
      <c r="ARY98" s="78"/>
      <c r="ARZ98" s="78"/>
      <c r="ASA98" s="78"/>
      <c r="ASB98" s="78"/>
      <c r="ASC98" s="78"/>
      <c r="ASD98" s="78"/>
      <c r="ASE98" s="142"/>
      <c r="ASF98" s="76" t="s">
        <v>441</v>
      </c>
      <c r="ASG98" s="854" t="s">
        <v>435</v>
      </c>
      <c r="ASH98" s="1111"/>
      <c r="ASI98" s="924" t="s">
        <v>111</v>
      </c>
      <c r="ASJ98" s="925"/>
      <c r="ASK98" s="916" t="s">
        <v>704</v>
      </c>
      <c r="ASL98" s="917"/>
      <c r="ASM98" s="906" t="s">
        <v>447</v>
      </c>
      <c r="ASN98" s="907"/>
      <c r="ASO98" s="907"/>
      <c r="ASP98" s="908"/>
      <c r="ATC98" s="653"/>
      <c r="ATD98" s="653"/>
      <c r="ATE98" s="382" t="s">
        <v>798</v>
      </c>
    </row>
    <row r="99" spans="34:904 1133:1201" ht="48" customHeight="1" thickBot="1">
      <c r="AH99" s="653"/>
      <c r="AI99" s="849"/>
      <c r="AJ99" s="1257" t="s">
        <v>416</v>
      </c>
      <c r="AK99" s="1257"/>
      <c r="AL99" s="123"/>
      <c r="AM99" s="779" t="s">
        <v>1820</v>
      </c>
      <c r="AN99" s="780"/>
      <c r="AO99" s="781"/>
      <c r="AP99" s="652" t="s">
        <v>702</v>
      </c>
      <c r="AQ99" s="123"/>
      <c r="AR99" s="76" t="s">
        <v>441</v>
      </c>
      <c r="AS99" s="854" t="s">
        <v>435</v>
      </c>
      <c r="AT99" s="855"/>
      <c r="AU99" s="920" t="s">
        <v>111</v>
      </c>
      <c r="AV99" s="921"/>
      <c r="AW99" s="916" t="s">
        <v>704</v>
      </c>
      <c r="AX99" s="917"/>
      <c r="AY99" s="906" t="s">
        <v>447</v>
      </c>
      <c r="AZ99" s="907"/>
      <c r="BA99" s="907"/>
      <c r="BB99" s="908"/>
      <c r="BC99" s="906" t="s">
        <v>446</v>
      </c>
      <c r="BD99" s="907"/>
      <c r="BE99" s="908"/>
      <c r="BF99" s="653"/>
      <c r="BP99" s="130"/>
      <c r="BQ99" s="130"/>
      <c r="BR99" s="130"/>
      <c r="BS99" s="130"/>
      <c r="BX99" s="54"/>
      <c r="BY99" s="54"/>
      <c r="BZ99" s="850"/>
      <c r="CA99" s="810" t="s">
        <v>41</v>
      </c>
      <c r="CB99" s="770"/>
      <c r="CC99" s="770"/>
      <c r="CD99" s="1162"/>
      <c r="CE99" s="1162"/>
      <c r="CF99" s="1162"/>
      <c r="CG99" s="1162"/>
      <c r="CH99" s="1162"/>
      <c r="CI99" s="1162"/>
      <c r="CJ99" s="770"/>
      <c r="CK99" s="770"/>
      <c r="CL99" s="770"/>
      <c r="CM99" s="771"/>
      <c r="CN99" s="1158">
        <f>CG98/CE75/1000000</f>
        <v>5.0232323328000019</v>
      </c>
      <c r="CO99" s="1159"/>
      <c r="CP99" s="1160"/>
      <c r="CQ99" s="1075" t="s">
        <v>1629</v>
      </c>
      <c r="CR99" s="1076"/>
      <c r="CS99" s="841"/>
      <c r="CT99" s="1148" t="s">
        <v>1631</v>
      </c>
      <c r="CU99" s="1149"/>
      <c r="CV99" s="847"/>
      <c r="CW99" s="1052"/>
      <c r="CX99" s="1052"/>
      <c r="CY99" s="1052"/>
      <c r="CZ99" s="1052"/>
      <c r="DH99" s="130"/>
      <c r="DI99" s="130"/>
      <c r="DJ99" s="130"/>
      <c r="DK99" s="130"/>
      <c r="DL99" s="130"/>
      <c r="DM99" s="130"/>
      <c r="DN99" s="130"/>
      <c r="DU99" s="159"/>
      <c r="DV99" s="160"/>
      <c r="DW99" s="160"/>
      <c r="DX99" s="160"/>
      <c r="DY99" s="160"/>
      <c r="DZ99" s="160"/>
      <c r="EA99" s="160"/>
      <c r="EB99" s="160"/>
      <c r="EC99" s="160"/>
      <c r="ED99" s="160"/>
      <c r="EE99" s="160"/>
      <c r="EF99" s="160"/>
      <c r="EG99" s="160"/>
      <c r="EH99" s="160"/>
      <c r="EI99" s="160"/>
      <c r="EJ99" s="160"/>
      <c r="EK99" s="160"/>
      <c r="EL99" s="160"/>
      <c r="EM99" s="160"/>
      <c r="EN99" s="160"/>
      <c r="EO99" s="160"/>
      <c r="EP99" s="160"/>
      <c r="EQ99" s="160"/>
      <c r="ER99" s="160"/>
      <c r="ES99" s="160"/>
      <c r="ET99" s="160"/>
      <c r="EU99" s="160"/>
      <c r="EV99" s="160"/>
      <c r="EW99" s="160"/>
      <c r="EX99" s="160"/>
      <c r="EY99" s="160"/>
      <c r="EZ99" s="160"/>
      <c r="FA99" s="160"/>
      <c r="FB99" s="160"/>
      <c r="FC99" s="160"/>
      <c r="FD99" s="160"/>
      <c r="FE99" s="160"/>
      <c r="FF99" s="382" t="s">
        <v>1298</v>
      </c>
      <c r="FG99" s="653"/>
      <c r="FH99" s="653"/>
      <c r="GF99" s="121"/>
      <c r="GG99" s="935" t="s">
        <v>1090</v>
      </c>
      <c r="GH99" s="936"/>
      <c r="GI99" s="937">
        <f>$GQ$78</f>
        <v>4.847402946961874</v>
      </c>
      <c r="GJ99" s="937"/>
      <c r="GK99" s="775"/>
      <c r="GL99" s="776"/>
      <c r="GM99" s="776"/>
      <c r="GN99" s="776"/>
      <c r="GO99" s="776"/>
      <c r="GP99" s="776"/>
      <c r="GQ99" s="776"/>
      <c r="GR99" s="776"/>
      <c r="GS99" s="815"/>
      <c r="GT99" s="1169"/>
      <c r="GU99" s="799"/>
      <c r="GV99" s="929"/>
      <c r="GW99" s="930"/>
      <c r="GX99" s="1067"/>
      <c r="GY99" s="918"/>
      <c r="GZ99" s="1082"/>
      <c r="HA99" s="919"/>
      <c r="HB99" s="848"/>
      <c r="HC99" s="1052"/>
      <c r="HD99" s="1052"/>
      <c r="HE99" s="1052"/>
      <c r="HF99" s="1052"/>
      <c r="HG99" s="1052"/>
      <c r="HH99" s="1052"/>
      <c r="HI99" s="1052"/>
      <c r="HJ99" s="1052"/>
      <c r="HK99" s="1052"/>
      <c r="HL99" s="1052"/>
      <c r="HM99" s="1052"/>
      <c r="HN99" s="1052"/>
      <c r="HO99" s="1052"/>
      <c r="IR99" s="850"/>
      <c r="IS99" s="861" t="s">
        <v>1076</v>
      </c>
      <c r="IT99" s="861"/>
      <c r="IU99" s="890">
        <f>$GM$20</f>
        <v>0.21124000000000004</v>
      </c>
      <c r="IV99" s="890"/>
      <c r="IW99" s="791" t="s">
        <v>1860</v>
      </c>
      <c r="IX99" s="792"/>
      <c r="IY99" s="792"/>
      <c r="IZ99" s="792"/>
      <c r="JA99" s="792"/>
      <c r="JB99" s="792"/>
      <c r="JC99" s="885">
        <f>(((IU99-IU100)/2)*1000)-IU101</f>
        <v>39.391140541516137</v>
      </c>
      <c r="JD99" s="886"/>
      <c r="JE99" s="1075" t="s">
        <v>45</v>
      </c>
      <c r="JF99" s="1076"/>
      <c r="JG99" s="1066"/>
      <c r="JH99" s="893" t="s">
        <v>844</v>
      </c>
      <c r="JI99" s="894"/>
      <c r="JJ99" s="847"/>
      <c r="JK99" s="1052"/>
      <c r="JL99" s="1052"/>
      <c r="JM99" s="1052"/>
      <c r="JN99" s="1052"/>
      <c r="JO99" s="1052"/>
      <c r="JP99" s="1052"/>
      <c r="JQ99" s="1052"/>
      <c r="JU99" s="653"/>
      <c r="JV99" s="653"/>
      <c r="JW99" s="653"/>
      <c r="JX99" s="850"/>
      <c r="JY99" s="332" t="s">
        <v>448</v>
      </c>
      <c r="JZ99" s="766">
        <f>$AP$16</f>
        <v>2</v>
      </c>
      <c r="KA99" s="766"/>
      <c r="KB99" s="332" t="s">
        <v>1068</v>
      </c>
      <c r="KC99" s="766">
        <f>$CL$71</f>
        <v>68</v>
      </c>
      <c r="KD99" s="766"/>
      <c r="KE99" s="809" t="s">
        <v>68</v>
      </c>
      <c r="KF99" s="797"/>
      <c r="KG99" s="797"/>
      <c r="KH99" s="797"/>
      <c r="KI99" s="797"/>
      <c r="KJ99" s="797"/>
      <c r="KK99" s="798"/>
      <c r="KL99" s="835">
        <f>((AP16*KL87)/(0.9*AP9*CL71*AZ82))</f>
        <v>16.250799463770147</v>
      </c>
      <c r="KM99" s="836"/>
      <c r="KN99" s="931" t="s">
        <v>32</v>
      </c>
      <c r="KO99" s="932"/>
      <c r="KP99" s="1066"/>
      <c r="KQ99" s="893" t="s">
        <v>887</v>
      </c>
      <c r="KR99" s="894"/>
      <c r="KS99" s="847"/>
      <c r="KT99" s="1052"/>
      <c r="KU99" s="1052"/>
      <c r="KV99" s="1052"/>
      <c r="KW99" s="1052"/>
      <c r="KX99" s="1052"/>
      <c r="LQ99" s="130"/>
      <c r="LR99" s="130"/>
      <c r="LS99" s="130"/>
      <c r="LT99" s="130"/>
      <c r="LU99" s="130"/>
      <c r="LV99" s="130"/>
      <c r="LW99" s="130"/>
      <c r="LX99" s="130"/>
      <c r="LY99" s="130"/>
      <c r="MB99" s="850"/>
      <c r="MC99" s="861" t="s">
        <v>1068</v>
      </c>
      <c r="MD99" s="861"/>
      <c r="ME99" s="766">
        <f>$CL$71</f>
        <v>68</v>
      </c>
      <c r="MF99" s="766"/>
      <c r="MG99" s="861" t="s">
        <v>1249</v>
      </c>
      <c r="MH99" s="861"/>
      <c r="MI99" s="937">
        <f>$MP$142</f>
        <v>1.8841973697362955</v>
      </c>
      <c r="MJ99" s="937"/>
      <c r="MK99" s="823"/>
      <c r="ML99" s="824"/>
      <c r="MM99" s="824"/>
      <c r="MN99" s="824"/>
      <c r="MO99" s="1049"/>
      <c r="MP99" s="1396"/>
      <c r="MQ99" s="1397"/>
      <c r="MR99" s="1190"/>
      <c r="MS99" s="1191"/>
      <c r="MT99" s="1067"/>
      <c r="MU99" s="1173"/>
      <c r="MV99" s="1175"/>
      <c r="MW99" s="848"/>
      <c r="MZ99" s="130"/>
      <c r="NA99" s="130"/>
      <c r="NB99" s="130"/>
      <c r="NC99" s="130"/>
      <c r="ND99" s="130"/>
      <c r="NE99" s="130"/>
      <c r="NF99" s="130"/>
      <c r="PL99" s="850"/>
      <c r="PM99" s="800" t="s">
        <v>1596</v>
      </c>
      <c r="PN99" s="982"/>
      <c r="PO99" s="801"/>
      <c r="PP99" s="890">
        <f>$PZ$109</f>
        <v>11.595231884147621</v>
      </c>
      <c r="PQ99" s="890"/>
      <c r="PR99" s="791" t="s">
        <v>1855</v>
      </c>
      <c r="PS99" s="792"/>
      <c r="PT99" s="792"/>
      <c r="PU99" s="792"/>
      <c r="PV99" s="792"/>
      <c r="PW99" s="835">
        <f>0.11*(((PP101*PQ98/1000)*PP100)^2)*PP99</f>
        <v>108.83901997733224</v>
      </c>
      <c r="PX99" s="836"/>
      <c r="PY99" s="1075" t="s">
        <v>3</v>
      </c>
      <c r="PZ99" s="1076"/>
      <c r="QA99" s="841"/>
      <c r="QB99" s="1170" t="s">
        <v>1574</v>
      </c>
      <c r="QC99" s="1171"/>
      <c r="QD99" s="1172"/>
      <c r="QE99" s="847"/>
      <c r="QF99" s="826"/>
      <c r="QG99" s="945"/>
      <c r="QH99" s="945"/>
      <c r="QI99" s="945"/>
      <c r="QJ99" s="945"/>
      <c r="QK99" s="945"/>
      <c r="QL99" s="945"/>
      <c r="QM99" s="945"/>
      <c r="QN99" s="945"/>
      <c r="QO99" s="945"/>
      <c r="QP99" s="945"/>
      <c r="QQ99" s="946"/>
      <c r="QU99" s="130"/>
      <c r="QV99" s="130"/>
      <c r="QW99" s="130"/>
      <c r="RE99" s="653"/>
      <c r="RF99" s="653"/>
      <c r="RG99" s="653"/>
      <c r="RH99" s="653"/>
      <c r="RI99" s="653"/>
      <c r="RJ99" s="653"/>
      <c r="RK99" s="653"/>
      <c r="RL99" s="653"/>
      <c r="RM99" s="653"/>
      <c r="RN99" s="653"/>
      <c r="RO99" s="653"/>
      <c r="RP99" s="653"/>
      <c r="RQ99" s="653"/>
      <c r="RR99" s="653"/>
      <c r="RS99" s="653"/>
      <c r="RT99" s="653"/>
      <c r="RU99" s="653"/>
      <c r="RV99" s="653"/>
      <c r="RW99" s="653"/>
      <c r="RX99" s="653"/>
      <c r="RY99" s="653"/>
      <c r="RZ99" s="653"/>
      <c r="SA99" s="653"/>
      <c r="SB99" s="653"/>
      <c r="SC99" s="653"/>
      <c r="SD99" s="653"/>
      <c r="SE99" s="653"/>
      <c r="SF99" s="653"/>
      <c r="SG99" s="653"/>
      <c r="SH99" s="653"/>
      <c r="SI99" s="653"/>
      <c r="SJ99" s="653"/>
      <c r="SK99" s="653"/>
      <c r="SL99" s="653"/>
      <c r="SM99" s="653"/>
      <c r="SN99" s="653"/>
      <c r="SO99" s="653"/>
      <c r="SP99" s="653"/>
      <c r="SQ99" s="653"/>
      <c r="SR99" s="653"/>
      <c r="SS99" s="653"/>
      <c r="ST99" s="653"/>
      <c r="SU99" s="653"/>
      <c r="SV99" s="653"/>
      <c r="SW99" s="653"/>
      <c r="SX99" s="653"/>
      <c r="SY99" s="653"/>
      <c r="SZ99" s="653"/>
      <c r="TA99" s="653"/>
      <c r="TB99" s="653"/>
      <c r="TC99" s="653"/>
      <c r="TD99" s="653"/>
      <c r="TE99" s="653"/>
      <c r="TF99" s="653"/>
      <c r="TG99" s="653"/>
      <c r="TH99" s="653"/>
      <c r="TI99" s="653"/>
      <c r="TJ99" s="653"/>
      <c r="TK99" s="653"/>
      <c r="TL99" s="653"/>
      <c r="TM99" s="653"/>
      <c r="TN99" s="653"/>
      <c r="TO99" s="653"/>
      <c r="TP99" s="653"/>
      <c r="TQ99" s="653"/>
      <c r="TR99" s="653"/>
      <c r="TS99" s="653"/>
      <c r="TT99" s="653"/>
      <c r="TU99" s="653"/>
      <c r="TV99" s="653"/>
      <c r="TW99" s="653"/>
      <c r="TX99" s="653"/>
      <c r="TY99" s="653"/>
      <c r="TZ99" s="653"/>
      <c r="UA99" s="653"/>
      <c r="UB99" s="653"/>
      <c r="UC99" s="653"/>
      <c r="UD99" s="653"/>
      <c r="UE99" s="653"/>
      <c r="UF99" s="653"/>
      <c r="UG99" s="653"/>
      <c r="UH99" s="653"/>
      <c r="UI99" s="653"/>
      <c r="UJ99" s="653"/>
      <c r="UK99" s="653"/>
      <c r="UL99" s="653"/>
      <c r="UM99" s="653"/>
      <c r="UN99" s="653"/>
      <c r="UO99" s="653"/>
      <c r="UP99" s="653"/>
      <c r="UQ99" s="653"/>
      <c r="UR99" s="653"/>
      <c r="US99" s="653"/>
      <c r="UT99" s="653"/>
      <c r="UU99" s="653"/>
      <c r="UV99" s="653"/>
      <c r="UW99" s="653"/>
      <c r="UX99" s="653"/>
      <c r="UY99" s="653"/>
      <c r="UZ99" s="653"/>
      <c r="WC99" s="653"/>
      <c r="WD99" s="653"/>
      <c r="WE99" s="996"/>
      <c r="WF99" s="997"/>
      <c r="WG99" s="175"/>
      <c r="WH99" s="173"/>
      <c r="WI99" s="173"/>
      <c r="WJ99" s="173"/>
      <c r="WK99" s="173"/>
      <c r="WL99" s="173"/>
      <c r="WM99" s="173"/>
      <c r="WN99" s="173"/>
      <c r="WO99" s="173"/>
      <c r="WP99" s="173"/>
      <c r="WQ99" s="173"/>
      <c r="WR99" s="173"/>
      <c r="WS99" s="173"/>
      <c r="WT99" s="173"/>
      <c r="WU99" s="173"/>
      <c r="WV99" s="173"/>
      <c r="WW99" s="173"/>
      <c r="WX99" s="173"/>
      <c r="WY99" s="174"/>
      <c r="WZ99" s="1004"/>
      <c r="XA99" s="1004"/>
      <c r="XB99" s="175"/>
      <c r="XC99" s="173"/>
      <c r="XD99" s="173"/>
      <c r="XE99" s="173"/>
      <c r="XF99" s="17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6"/>
      <c r="AAU99" s="960"/>
      <c r="AAV99" s="1101"/>
      <c r="AAW99" s="1101"/>
      <c r="AAX99" s="1101"/>
      <c r="AAY99" s="961"/>
      <c r="AAZ99" s="162"/>
      <c r="ABA99" s="158"/>
      <c r="ABB99" s="158"/>
      <c r="ABC99" s="158"/>
      <c r="ABD99" s="158"/>
      <c r="ABE99" s="158"/>
      <c r="ABF99" s="158"/>
      <c r="ABG99" s="158"/>
      <c r="ABH99" s="158"/>
      <c r="ABI99" s="158"/>
      <c r="ABJ99" s="158"/>
      <c r="ABK99" s="158"/>
      <c r="ABL99" s="158"/>
      <c r="ABM99" s="158"/>
      <c r="ABN99" s="158"/>
      <c r="ABO99" s="158"/>
      <c r="ABP99" s="163"/>
      <c r="ABT99" s="1527"/>
      <c r="ABU99" s="1527"/>
      <c r="ABV99" s="1527"/>
      <c r="ABW99" s="1527"/>
      <c r="ABX99" s="1527"/>
      <c r="ABY99" s="1527"/>
      <c r="ABZ99" s="1527"/>
      <c r="ACA99" s="1527"/>
      <c r="ACB99" s="1527"/>
      <c r="ACC99" s="1527"/>
      <c r="ACD99" s="1527"/>
      <c r="ACE99" s="1527"/>
      <c r="ACF99" s="1527"/>
      <c r="ACG99" s="1527"/>
      <c r="ACH99" s="1527"/>
      <c r="ACJ99" s="759">
        <v>0.25</v>
      </c>
      <c r="ACK99" s="760"/>
      <c r="ACL99" s="759">
        <v>-0.2</v>
      </c>
      <c r="ACM99" s="760"/>
      <c r="ACN99" s="592">
        <v>15</v>
      </c>
      <c r="ACO99" s="759">
        <f t="shared" si="91"/>
        <v>8.7499999999999967E-2</v>
      </c>
      <c r="ACP99" s="760"/>
      <c r="ACQ99" s="757">
        <f t="shared" si="82"/>
        <v>1.1499999999999999</v>
      </c>
      <c r="ACR99" s="758"/>
      <c r="ACT99" s="759">
        <v>1.5454545454545501</v>
      </c>
      <c r="ACU99" s="760"/>
      <c r="ACV99" s="759">
        <v>-2.1818181818181799</v>
      </c>
      <c r="ACW99" s="760"/>
      <c r="ACX99" s="591">
        <v>65</v>
      </c>
      <c r="ACY99" s="759">
        <f t="shared" si="92"/>
        <v>0.36818181818182749</v>
      </c>
      <c r="ACZ99" s="760"/>
      <c r="ADA99" s="757">
        <f t="shared" si="83"/>
        <v>1.65</v>
      </c>
      <c r="ADB99" s="758"/>
      <c r="ADD99" s="759">
        <v>1.5454545454545501</v>
      </c>
      <c r="ADE99" s="760"/>
      <c r="ADF99" s="759">
        <v>-2.1818181818181799</v>
      </c>
      <c r="ADG99" s="760"/>
      <c r="ADH99" s="591">
        <v>114</v>
      </c>
      <c r="ADI99" s="759">
        <f t="shared" si="93"/>
        <v>1.1254545454545575</v>
      </c>
      <c r="ADJ99" s="760"/>
      <c r="ADK99" s="757">
        <f t="shared" si="84"/>
        <v>2.14</v>
      </c>
      <c r="ADL99" s="758"/>
      <c r="ADN99" s="759">
        <v>1.5454545454545501</v>
      </c>
      <c r="ADO99" s="760"/>
      <c r="ADP99" s="759">
        <v>-2.1818181818181799</v>
      </c>
      <c r="ADQ99" s="760"/>
      <c r="ADR99" s="591">
        <v>164</v>
      </c>
      <c r="ADS99" s="759">
        <f t="shared" si="94"/>
        <v>1.8981818181818326</v>
      </c>
      <c r="ADT99" s="760"/>
      <c r="ADU99" s="757">
        <f t="shared" si="85"/>
        <v>2.64</v>
      </c>
      <c r="ADV99" s="758"/>
      <c r="ADW99" s="653"/>
      <c r="ADX99" s="759">
        <v>1.5454545454545501</v>
      </c>
      <c r="ADY99" s="760"/>
      <c r="ADZ99" s="759">
        <v>-2.1818181818181799</v>
      </c>
      <c r="AEA99" s="760"/>
      <c r="AEB99" s="591">
        <v>214</v>
      </c>
      <c r="AEC99" s="759">
        <f t="shared" si="95"/>
        <v>2.6709090909091078</v>
      </c>
      <c r="AED99" s="760"/>
      <c r="AEE99" s="757">
        <f t="shared" si="86"/>
        <v>3.14</v>
      </c>
      <c r="AEF99" s="758"/>
      <c r="AEH99" s="759">
        <v>1.5454545454545501</v>
      </c>
      <c r="AEI99" s="760"/>
      <c r="AEJ99" s="759">
        <v>-2.1818181818181799</v>
      </c>
      <c r="AEK99" s="760"/>
      <c r="AEL99" s="591">
        <v>264</v>
      </c>
      <c r="AEM99" s="759">
        <f t="shared" si="101"/>
        <v>3.4436363636363829</v>
      </c>
      <c r="AEN99" s="760"/>
      <c r="AEO99" s="757">
        <f t="shared" si="87"/>
        <v>3.64</v>
      </c>
      <c r="AEP99" s="758"/>
      <c r="AFI99" s="653"/>
      <c r="AFJ99" s="653"/>
      <c r="AFK99" s="653"/>
      <c r="AFL99" s="653"/>
      <c r="AFM99" s="653"/>
      <c r="AFN99" s="653"/>
      <c r="AFO99" s="653"/>
      <c r="AFP99" s="653"/>
      <c r="AFQ99" s="653"/>
      <c r="AFR99" s="653"/>
      <c r="AFS99" s="653"/>
      <c r="AFT99" s="653"/>
      <c r="AFU99" s="653"/>
      <c r="AFV99" s="653"/>
      <c r="AFW99" s="653"/>
      <c r="AFX99" s="653"/>
      <c r="AFY99" s="653"/>
      <c r="AFZ99" s="653"/>
      <c r="AGA99" s="653"/>
      <c r="AGB99" s="653"/>
      <c r="AGC99" s="653"/>
      <c r="AGD99" s="653"/>
      <c r="AGE99" s="653"/>
      <c r="AGF99" s="653"/>
      <c r="AGG99" s="653"/>
      <c r="AGH99" s="653"/>
      <c r="AGI99" s="653"/>
      <c r="AGJ99" s="653"/>
      <c r="AGL99" s="849"/>
      <c r="AGM99" s="852" t="s">
        <v>416</v>
      </c>
      <c r="AGN99" s="853"/>
      <c r="AGO99" s="422"/>
      <c r="AGP99" s="78"/>
      <c r="AGQ99" s="78"/>
      <c r="AGR99" s="78"/>
      <c r="AGS99" s="78"/>
      <c r="AGT99" s="78"/>
      <c r="AGU99" s="78"/>
      <c r="AGV99" s="422"/>
      <c r="AGW99" s="76" t="s">
        <v>441</v>
      </c>
      <c r="AGX99" s="854" t="s">
        <v>435</v>
      </c>
      <c r="AGY99" s="855"/>
      <c r="AGZ99" s="920" t="s">
        <v>111</v>
      </c>
      <c r="AHA99" s="921"/>
      <c r="AHB99" s="916" t="s">
        <v>704</v>
      </c>
      <c r="AHC99" s="922"/>
      <c r="AHD99" s="1051" t="s">
        <v>447</v>
      </c>
      <c r="AHE99" s="1051"/>
      <c r="AHF99" s="1051"/>
      <c r="AHG99" s="1051"/>
      <c r="AHH99" s="1051"/>
      <c r="AHI99" s="1051" t="s">
        <v>436</v>
      </c>
      <c r="AHJ99" s="1051"/>
      <c r="AHK99" s="1051"/>
      <c r="AHL99" s="1051"/>
      <c r="AHM99" s="1051"/>
      <c r="AHN99" s="1051"/>
      <c r="AHO99" s="1051"/>
      <c r="ARU99" s="850"/>
      <c r="ARV99" s="856" t="s">
        <v>144</v>
      </c>
      <c r="ARW99" s="856"/>
      <c r="ARX99" s="856"/>
      <c r="ARY99" s="856"/>
      <c r="ARZ99" s="856"/>
      <c r="ASA99" s="856"/>
      <c r="ASB99" s="856"/>
      <c r="ASC99" s="856"/>
      <c r="ASD99" s="856"/>
      <c r="ASE99" s="856"/>
      <c r="ASF99" s="856"/>
      <c r="ASG99" s="856"/>
      <c r="ASH99" s="856"/>
      <c r="ASI99" s="835">
        <f>(ASJ20*ARC101)/(2*3.14*AP49*ASI103)</f>
        <v>0</v>
      </c>
      <c r="ASJ99" s="836"/>
      <c r="ASK99" s="1475" t="s">
        <v>923</v>
      </c>
      <c r="ASL99" s="1330"/>
      <c r="ASM99" s="1066"/>
      <c r="ASN99" s="843" t="s">
        <v>902</v>
      </c>
      <c r="ASO99" s="844"/>
      <c r="ASP99" s="847"/>
      <c r="ATE99" s="382" t="s">
        <v>1583</v>
      </c>
    </row>
    <row r="100" spans="34:904 1133:1201" ht="48" customHeight="1" thickBot="1">
      <c r="AH100" s="653"/>
      <c r="AI100" s="850"/>
      <c r="AJ100" s="745" t="s">
        <v>1018</v>
      </c>
      <c r="AK100" s="761">
        <f>$AW$95</f>
        <v>0.19391178434038603</v>
      </c>
      <c r="AL100" s="761"/>
      <c r="AM100" s="762" t="s">
        <v>1871</v>
      </c>
      <c r="AN100" s="762"/>
      <c r="AO100" s="762"/>
      <c r="AP100" s="762"/>
      <c r="AQ100" s="762"/>
      <c r="AR100" s="762"/>
      <c r="AS100" s="762"/>
      <c r="AT100" s="763"/>
      <c r="AU100" s="1167">
        <f>AW95/AP53</f>
        <v>1.1605966046106582</v>
      </c>
      <c r="AV100" s="840"/>
      <c r="AW100" s="1183" t="s">
        <v>729</v>
      </c>
      <c r="AX100" s="1184"/>
      <c r="AY100" s="841"/>
      <c r="AZ100" s="1653" t="s">
        <v>433</v>
      </c>
      <c r="BA100" s="1654"/>
      <c r="BB100" s="847"/>
      <c r="BC100" s="68"/>
      <c r="BD100" s="64"/>
      <c r="BE100" s="65"/>
      <c r="BF100" s="653"/>
      <c r="BP100" s="130"/>
      <c r="BQ100" s="130"/>
      <c r="BR100" s="130"/>
      <c r="BS100" s="130"/>
      <c r="BX100" s="54"/>
      <c r="BZ100" s="851"/>
      <c r="CA100" s="811"/>
      <c r="CB100" s="772"/>
      <c r="CC100" s="772"/>
      <c r="CD100" s="772"/>
      <c r="CE100" s="772"/>
      <c r="CF100" s="772"/>
      <c r="CG100" s="772"/>
      <c r="CH100" s="772"/>
      <c r="CI100" s="772"/>
      <c r="CJ100" s="772"/>
      <c r="CK100" s="772"/>
      <c r="CL100" s="772"/>
      <c r="CM100" s="773"/>
      <c r="CN100" s="1161"/>
      <c r="CO100" s="764"/>
      <c r="CP100" s="765"/>
      <c r="CQ100" s="1077"/>
      <c r="CR100" s="1078"/>
      <c r="CS100" s="842"/>
      <c r="CT100" s="1150"/>
      <c r="CU100" s="1151"/>
      <c r="CV100" s="848"/>
      <c r="CW100" s="1053"/>
      <c r="CX100" s="1053"/>
      <c r="CY100" s="1053"/>
      <c r="CZ100" s="1053"/>
      <c r="DH100" s="130"/>
      <c r="DI100" s="130"/>
      <c r="DJ100" s="130"/>
      <c r="DK100" s="130"/>
      <c r="DL100" s="130"/>
      <c r="DM100" s="130"/>
      <c r="DN100" s="130"/>
      <c r="DU100" s="162"/>
      <c r="DV100" s="158"/>
      <c r="DW100" s="158"/>
      <c r="DX100" s="158"/>
      <c r="DY100" s="158"/>
      <c r="DZ100" s="76" t="s">
        <v>1654</v>
      </c>
      <c r="EA100" s="852" t="s">
        <v>416</v>
      </c>
      <c r="EB100" s="853"/>
      <c r="EC100" s="715"/>
      <c r="ED100" s="78"/>
      <c r="EE100" s="78"/>
      <c r="EF100" s="78"/>
      <c r="EG100" s="78"/>
      <c r="EH100" s="715"/>
      <c r="EI100" s="76" t="s">
        <v>441</v>
      </c>
      <c r="EJ100" s="854" t="s">
        <v>435</v>
      </c>
      <c r="EK100" s="855"/>
      <c r="EL100" s="920" t="s">
        <v>111</v>
      </c>
      <c r="EM100" s="921"/>
      <c r="EN100" s="916" t="s">
        <v>704</v>
      </c>
      <c r="EO100" s="917"/>
      <c r="EP100" s="906" t="s">
        <v>447</v>
      </c>
      <c r="EQ100" s="907"/>
      <c r="ER100" s="907"/>
      <c r="ES100" s="908"/>
      <c r="ET100" s="1051" t="s">
        <v>436</v>
      </c>
      <c r="EU100" s="1051"/>
      <c r="EV100" s="1051"/>
      <c r="EW100" s="1051"/>
      <c r="EX100" s="1051"/>
      <c r="EY100" s="1051"/>
      <c r="EZ100" s="1051"/>
      <c r="FA100" s="1051"/>
      <c r="FB100" s="158"/>
      <c r="FC100" s="158"/>
      <c r="FD100" s="158"/>
      <c r="FE100" s="158"/>
      <c r="FF100" s="381" t="s">
        <v>1297</v>
      </c>
      <c r="FG100" s="653"/>
      <c r="FH100" s="653"/>
      <c r="GC100" s="7"/>
      <c r="GD100" s="4"/>
      <c r="GE100" s="4"/>
      <c r="GF100" s="122"/>
      <c r="GG100" s="802" t="s">
        <v>1102</v>
      </c>
      <c r="GH100" s="803"/>
      <c r="GI100" s="804">
        <f>$GQ$84</f>
        <v>22.82818476862052</v>
      </c>
      <c r="GJ100" s="804"/>
      <c r="GK100" s="777"/>
      <c r="GL100" s="778"/>
      <c r="GM100" s="778"/>
      <c r="GN100" s="778"/>
      <c r="GO100" s="778"/>
      <c r="GP100" s="778"/>
      <c r="GQ100" s="778"/>
      <c r="GR100" s="778"/>
      <c r="GS100" s="799"/>
      <c r="GT100" s="812"/>
      <c r="GU100" s="813"/>
      <c r="GV100" s="813"/>
      <c r="GW100" s="813"/>
      <c r="GX100" s="813"/>
      <c r="GY100" s="813"/>
      <c r="GZ100" s="813"/>
      <c r="HA100" s="813"/>
      <c r="HB100" s="814"/>
      <c r="HC100" s="1053"/>
      <c r="HD100" s="1053"/>
      <c r="HE100" s="1053"/>
      <c r="HF100" s="1053"/>
      <c r="HG100" s="1053"/>
      <c r="HH100" s="1053"/>
      <c r="HI100" s="1053"/>
      <c r="HJ100" s="1053"/>
      <c r="HK100" s="1053"/>
      <c r="HL100" s="1053"/>
      <c r="HM100" s="1053"/>
      <c r="HN100" s="1053"/>
      <c r="HO100" s="1053"/>
      <c r="IR100" s="850"/>
      <c r="IS100" s="861" t="s">
        <v>1172</v>
      </c>
      <c r="IT100" s="861"/>
      <c r="IU100" s="761">
        <f>$GM$28</f>
        <v>7.1989999999999998E-2</v>
      </c>
      <c r="IV100" s="761"/>
      <c r="IW100" s="823"/>
      <c r="IX100" s="824"/>
      <c r="IY100" s="824"/>
      <c r="IZ100" s="824"/>
      <c r="JA100" s="824"/>
      <c r="JB100" s="824"/>
      <c r="JC100" s="887"/>
      <c r="JD100" s="888"/>
      <c r="JE100" s="1077"/>
      <c r="JF100" s="1078"/>
      <c r="JG100" s="1067"/>
      <c r="JH100" s="918"/>
      <c r="JI100" s="919"/>
      <c r="JJ100" s="848"/>
      <c r="JK100" s="1052"/>
      <c r="JL100" s="1052"/>
      <c r="JM100" s="1052"/>
      <c r="JN100" s="1052"/>
      <c r="JO100" s="1052"/>
      <c r="JP100" s="1052"/>
      <c r="JQ100" s="1052"/>
      <c r="JU100" s="653"/>
      <c r="JV100" s="653"/>
      <c r="JW100" s="653"/>
      <c r="JX100" s="851"/>
      <c r="JY100" s="323" t="s">
        <v>1166</v>
      </c>
      <c r="JZ100" s="879">
        <f>$KL$87</f>
        <v>1357.5592856044307</v>
      </c>
      <c r="KA100" s="879"/>
      <c r="KB100" s="333" t="s">
        <v>1069</v>
      </c>
      <c r="KC100" s="774">
        <f>$CI$79</f>
        <v>0.95799999999999996</v>
      </c>
      <c r="KD100" s="774"/>
      <c r="KE100" s="777"/>
      <c r="KF100" s="778"/>
      <c r="KG100" s="778"/>
      <c r="KH100" s="778"/>
      <c r="KI100" s="778"/>
      <c r="KJ100" s="778"/>
      <c r="KK100" s="799"/>
      <c r="KL100" s="837"/>
      <c r="KM100" s="838"/>
      <c r="KN100" s="933"/>
      <c r="KO100" s="934"/>
      <c r="KP100" s="1067"/>
      <c r="KQ100" s="918"/>
      <c r="KR100" s="919"/>
      <c r="KS100" s="848"/>
      <c r="KT100" s="1053"/>
      <c r="KU100" s="1053"/>
      <c r="KV100" s="1053"/>
      <c r="KW100" s="1053"/>
      <c r="KX100" s="1053"/>
      <c r="LQ100" s="130"/>
      <c r="LR100" s="130"/>
      <c r="LS100" s="130"/>
      <c r="LT100" s="130"/>
      <c r="LU100" s="130"/>
      <c r="LV100" s="130"/>
      <c r="LW100" s="130"/>
      <c r="LX100" s="130"/>
      <c r="LY100" s="130"/>
      <c r="MB100" s="850"/>
      <c r="MC100" s="861" t="s">
        <v>1018</v>
      </c>
      <c r="MD100" s="861"/>
      <c r="ME100" s="890">
        <f>$AW$95</f>
        <v>0.19391178434038603</v>
      </c>
      <c r="MF100" s="890"/>
      <c r="MG100" s="1034"/>
      <c r="MH100" s="1035"/>
      <c r="MI100" s="1035"/>
      <c r="MJ100" s="1035"/>
      <c r="MK100" s="1824" t="s">
        <v>436</v>
      </c>
      <c r="ML100" s="1825"/>
      <c r="MM100" s="1825"/>
      <c r="MN100" s="1825"/>
      <c r="MO100" s="1825"/>
      <c r="MP100" s="1825"/>
      <c r="MQ100" s="1825"/>
      <c r="MR100" s="1825"/>
      <c r="MS100" s="1825"/>
      <c r="MT100" s="1793"/>
      <c r="MU100" s="1793"/>
      <c r="MV100" s="1793"/>
      <c r="MW100" s="1794"/>
      <c r="MZ100" s="130"/>
      <c r="NA100" s="130"/>
      <c r="PL100" s="850"/>
      <c r="PM100" s="800" t="s">
        <v>1597</v>
      </c>
      <c r="PN100" s="982"/>
      <c r="PO100" s="801"/>
      <c r="PP100" s="890">
        <f>$PW$104</f>
        <v>0.12829914234058643</v>
      </c>
      <c r="PQ100" s="890"/>
      <c r="PR100" s="823"/>
      <c r="PS100" s="824"/>
      <c r="PT100" s="824"/>
      <c r="PU100" s="824"/>
      <c r="PV100" s="824"/>
      <c r="PW100" s="837"/>
      <c r="PX100" s="838"/>
      <c r="PY100" s="1077"/>
      <c r="PZ100" s="1078"/>
      <c r="QA100" s="842"/>
      <c r="QB100" s="1173"/>
      <c r="QC100" s="1174"/>
      <c r="QD100" s="1175"/>
      <c r="QE100" s="848"/>
      <c r="QF100" s="827"/>
      <c r="QG100" s="947"/>
      <c r="QH100" s="947"/>
      <c r="QI100" s="947"/>
      <c r="QJ100" s="947"/>
      <c r="QK100" s="947"/>
      <c r="QL100" s="947"/>
      <c r="QM100" s="947"/>
      <c r="QN100" s="947"/>
      <c r="QO100" s="947"/>
      <c r="QP100" s="947"/>
      <c r="QQ100" s="948"/>
      <c r="QU100" s="130"/>
      <c r="QV100" s="130"/>
      <c r="QW100" s="130"/>
      <c r="RE100" s="653"/>
      <c r="RF100" s="653"/>
      <c r="RG100" s="653"/>
      <c r="RH100" s="653"/>
      <c r="RI100" s="653"/>
      <c r="RJ100" s="653"/>
      <c r="RK100" s="653"/>
      <c r="RL100" s="653"/>
      <c r="RM100" s="653"/>
      <c r="RN100" s="653"/>
      <c r="RO100" s="653"/>
      <c r="RP100" s="653"/>
      <c r="RQ100" s="653"/>
      <c r="RR100" s="653"/>
      <c r="RS100" s="653"/>
      <c r="RT100" s="653"/>
      <c r="RU100" s="653"/>
      <c r="RV100" s="653"/>
      <c r="RW100" s="653"/>
      <c r="RX100" s="653"/>
      <c r="RY100" s="653"/>
      <c r="RZ100" s="653"/>
      <c r="SA100" s="653"/>
      <c r="SB100" s="653"/>
      <c r="SC100" s="653"/>
      <c r="SD100" s="653"/>
      <c r="SE100" s="653"/>
      <c r="SF100" s="653"/>
      <c r="SG100" s="653"/>
      <c r="SH100" s="653"/>
      <c r="SI100" s="653"/>
      <c r="SJ100" s="653"/>
      <c r="SK100" s="653"/>
      <c r="SL100" s="653"/>
      <c r="SM100" s="653"/>
      <c r="SN100" s="653"/>
      <c r="SO100" s="653"/>
      <c r="SP100" s="653"/>
      <c r="SQ100" s="653"/>
      <c r="SR100" s="653"/>
      <c r="SS100" s="653"/>
      <c r="ST100" s="653"/>
      <c r="SU100" s="653"/>
      <c r="SV100" s="653"/>
      <c r="SW100" s="653"/>
      <c r="SX100" s="653"/>
      <c r="SY100" s="653"/>
      <c r="SZ100" s="653"/>
      <c r="TA100" s="653"/>
      <c r="TB100" s="653"/>
      <c r="TC100" s="653"/>
      <c r="TD100" s="653"/>
      <c r="TE100" s="653"/>
      <c r="TF100" s="653"/>
      <c r="TG100" s="653"/>
      <c r="TH100" s="653"/>
      <c r="TI100" s="653"/>
      <c r="TJ100" s="653"/>
      <c r="TK100" s="653"/>
      <c r="TL100" s="653"/>
      <c r="TM100" s="653"/>
      <c r="TN100" s="653"/>
      <c r="TO100" s="653"/>
      <c r="TP100" s="653"/>
      <c r="TQ100" s="653"/>
      <c r="TR100" s="653"/>
      <c r="TS100" s="653"/>
      <c r="TT100" s="653"/>
      <c r="TU100" s="653"/>
      <c r="TV100" s="653"/>
      <c r="TW100" s="653"/>
      <c r="TX100" s="653"/>
      <c r="TY100" s="653"/>
      <c r="TZ100" s="653"/>
      <c r="UA100" s="653"/>
      <c r="UB100" s="653"/>
      <c r="UC100" s="653"/>
      <c r="UD100" s="653"/>
      <c r="UE100" s="653"/>
      <c r="UF100" s="653"/>
      <c r="UG100" s="653"/>
      <c r="UH100" s="653"/>
      <c r="UI100" s="653"/>
      <c r="UJ100" s="653"/>
      <c r="UK100" s="653"/>
      <c r="UL100" s="653"/>
      <c r="UM100" s="653"/>
      <c r="UN100" s="653"/>
      <c r="UO100" s="653"/>
      <c r="UP100" s="653"/>
      <c r="UQ100" s="653"/>
      <c r="UR100" s="653"/>
      <c r="US100" s="653"/>
      <c r="UT100" s="653"/>
      <c r="UU100" s="653"/>
      <c r="UV100" s="653"/>
      <c r="UW100" s="653"/>
      <c r="UX100" s="653"/>
      <c r="UY100" s="653"/>
      <c r="UZ100" s="653"/>
      <c r="WC100" s="653"/>
      <c r="WD100" s="653"/>
      <c r="WE100" s="754"/>
      <c r="WF100" s="755"/>
      <c r="WG100" s="169"/>
      <c r="WH100" s="170"/>
      <c r="WI100" s="170"/>
      <c r="WJ100" s="170"/>
      <c r="WK100" s="170"/>
      <c r="WL100" s="170"/>
      <c r="WM100" s="170"/>
      <c r="WN100" s="170"/>
      <c r="WO100" s="170"/>
      <c r="WP100" s="170"/>
      <c r="WQ100" s="170"/>
      <c r="WR100" s="170"/>
      <c r="WS100" s="170"/>
      <c r="WT100" s="170"/>
      <c r="WU100" s="170"/>
      <c r="WV100" s="170"/>
      <c r="WW100" s="170"/>
      <c r="WX100" s="170"/>
      <c r="WY100" s="172"/>
      <c r="WZ100" s="1004"/>
      <c r="XA100" s="1004"/>
      <c r="XB100" s="169"/>
      <c r="XC100" s="170"/>
      <c r="XD100" s="170"/>
      <c r="XE100" s="170"/>
      <c r="XF100" s="172"/>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7"/>
      <c r="AAU100" s="960"/>
      <c r="AAV100" s="1101"/>
      <c r="AAW100" s="1101"/>
      <c r="AAX100" s="1101"/>
      <c r="AAY100" s="961"/>
      <c r="AAZ100" s="162"/>
      <c r="ABA100" s="158"/>
      <c r="ABB100" s="158"/>
      <c r="ABC100" s="158"/>
      <c r="ABD100" s="158"/>
      <c r="ABE100" s="158"/>
      <c r="ABF100" s="158"/>
      <c r="ABG100" s="158"/>
      <c r="ABH100" s="158"/>
      <c r="ABI100" s="158"/>
      <c r="ABJ100" s="158"/>
      <c r="ABK100" s="158"/>
      <c r="ABL100" s="158"/>
      <c r="ABM100" s="158"/>
      <c r="ABN100" s="158"/>
      <c r="ABO100" s="158"/>
      <c r="ABP100" s="163"/>
      <c r="ABT100" s="1527"/>
      <c r="ABU100" s="1527"/>
      <c r="ABV100" s="1527"/>
      <c r="ABW100" s="1527"/>
      <c r="ABX100" s="1527"/>
      <c r="ABY100" s="1527"/>
      <c r="ABZ100" s="1527"/>
      <c r="ACA100" s="1527"/>
      <c r="ACB100" s="1527"/>
      <c r="ACC100" s="1527"/>
      <c r="ACD100" s="1527"/>
      <c r="ACE100" s="1527"/>
      <c r="ACF100" s="1527"/>
      <c r="ACG100" s="1527"/>
      <c r="ACH100" s="1527"/>
      <c r="ACJ100" s="759">
        <v>0.50000000000000011</v>
      </c>
      <c r="ACK100" s="760"/>
      <c r="ACL100" s="759">
        <v>-0.50000000000000011</v>
      </c>
      <c r="ACM100" s="760"/>
      <c r="ACN100" s="591">
        <v>16</v>
      </c>
      <c r="ACO100" s="759">
        <f t="shared" si="91"/>
        <v>7.999999999999996E-2</v>
      </c>
      <c r="ACP100" s="760"/>
      <c r="ACQ100" s="757">
        <f t="shared" si="82"/>
        <v>1.1599999999999999</v>
      </c>
      <c r="ACR100" s="758"/>
      <c r="ACT100" s="759">
        <v>1.5454545454545501</v>
      </c>
      <c r="ACU100" s="760"/>
      <c r="ACV100" s="759">
        <v>-2.1818181818181799</v>
      </c>
      <c r="ACW100" s="760"/>
      <c r="ACX100" s="591">
        <v>66</v>
      </c>
      <c r="ACY100" s="759">
        <f t="shared" si="92"/>
        <v>0.38363636363637355</v>
      </c>
      <c r="ACZ100" s="760"/>
      <c r="ADA100" s="757">
        <f t="shared" si="83"/>
        <v>1.6600000000000001</v>
      </c>
      <c r="ADB100" s="758"/>
      <c r="ADD100" s="759">
        <v>1.5454545454545501</v>
      </c>
      <c r="ADE100" s="760"/>
      <c r="ADF100" s="759">
        <v>-2.1818181818181799</v>
      </c>
      <c r="ADG100" s="760"/>
      <c r="ADH100" s="591">
        <v>115</v>
      </c>
      <c r="ADI100" s="759">
        <f t="shared" si="93"/>
        <v>1.1409090909091035</v>
      </c>
      <c r="ADJ100" s="760"/>
      <c r="ADK100" s="757">
        <f t="shared" si="84"/>
        <v>2.1500000000000004</v>
      </c>
      <c r="ADL100" s="758"/>
      <c r="ADN100" s="759">
        <v>1.5454545454545501</v>
      </c>
      <c r="ADO100" s="760"/>
      <c r="ADP100" s="759">
        <v>-2.1818181818181799</v>
      </c>
      <c r="ADQ100" s="760"/>
      <c r="ADR100" s="591">
        <v>165</v>
      </c>
      <c r="ADS100" s="759">
        <f t="shared" si="94"/>
        <v>1.9136363636363782</v>
      </c>
      <c r="ADT100" s="760"/>
      <c r="ADU100" s="757">
        <f t="shared" si="85"/>
        <v>2.6500000000000004</v>
      </c>
      <c r="ADV100" s="758"/>
      <c r="ADW100" s="653"/>
      <c r="ADX100" s="759">
        <v>1.5454545454545501</v>
      </c>
      <c r="ADY100" s="760"/>
      <c r="ADZ100" s="759">
        <v>-2.1818181818181799</v>
      </c>
      <c r="AEA100" s="760"/>
      <c r="AEB100" s="591">
        <v>215</v>
      </c>
      <c r="AEC100" s="759">
        <f t="shared" si="95"/>
        <v>2.6863636363636525</v>
      </c>
      <c r="AED100" s="760"/>
      <c r="AEE100" s="757">
        <f t="shared" si="86"/>
        <v>3.15</v>
      </c>
      <c r="AEF100" s="758"/>
      <c r="AEH100" s="759">
        <v>1.5454545454545501</v>
      </c>
      <c r="AEI100" s="760"/>
      <c r="AEJ100" s="759">
        <v>-2.1818181818181799</v>
      </c>
      <c r="AEK100" s="760"/>
      <c r="AEL100" s="591">
        <v>265</v>
      </c>
      <c r="AEM100" s="759">
        <f t="shared" si="101"/>
        <v>3.4590909090909276</v>
      </c>
      <c r="AEN100" s="760"/>
      <c r="AEO100" s="757">
        <f t="shared" si="87"/>
        <v>3.65</v>
      </c>
      <c r="AEP100" s="758"/>
      <c r="AFI100" s="653"/>
      <c r="AFJ100" s="653"/>
      <c r="AFK100" s="653"/>
      <c r="AFL100" s="653"/>
      <c r="AFM100" s="653"/>
      <c r="AFN100" s="653"/>
      <c r="AFO100" s="653"/>
      <c r="AFP100" s="653"/>
      <c r="AFQ100" s="653"/>
      <c r="AFR100" s="653"/>
      <c r="AFS100" s="653"/>
      <c r="AFT100" s="653"/>
      <c r="AFU100" s="653"/>
      <c r="AFV100" s="653"/>
      <c r="AFW100" s="653"/>
      <c r="AFX100" s="653"/>
      <c r="AFY100" s="653"/>
      <c r="AFZ100" s="653"/>
      <c r="AGA100" s="653"/>
      <c r="AGB100" s="653"/>
      <c r="AGC100" s="653"/>
      <c r="AGD100" s="653"/>
      <c r="AGE100" s="653"/>
      <c r="AGF100" s="653"/>
      <c r="AGG100" s="653"/>
      <c r="AGH100" s="653"/>
      <c r="AGI100" s="653"/>
      <c r="AGJ100" s="653"/>
      <c r="AGL100" s="850"/>
      <c r="AGM100" s="861" t="s">
        <v>1264</v>
      </c>
      <c r="AGN100" s="861"/>
      <c r="AGO100" s="937">
        <f>$MQ$212</f>
        <v>2.5479278737632125</v>
      </c>
      <c r="AGP100" s="937"/>
      <c r="AGQ100" s="791" t="s">
        <v>1408</v>
      </c>
      <c r="AGR100" s="792"/>
      <c r="AGS100" s="792"/>
      <c r="AGT100" s="792"/>
      <c r="AGU100" s="792"/>
      <c r="AGV100" s="792"/>
      <c r="AGW100" s="792"/>
      <c r="AGX100" s="792"/>
      <c r="AGY100" s="793"/>
      <c r="AGZ100" s="835">
        <f>(AEY76/(3*AEV81)*(1-((3.14*AEV81^2)/(8*AEV77)))+0.66-(AEV79/(2*AEV81)))*(1-AHA104)</f>
        <v>0.27728031839696238</v>
      </c>
      <c r="AHA100" s="836"/>
      <c r="AHB100" s="1183" t="s">
        <v>729</v>
      </c>
      <c r="AHC100" s="1184"/>
      <c r="AHD100" s="1248"/>
      <c r="AHE100" s="1323" t="s">
        <v>1471</v>
      </c>
      <c r="AHF100" s="1323"/>
      <c r="AHG100" s="1323"/>
      <c r="AHH100" s="1289"/>
      <c r="AHI100" s="1052"/>
      <c r="AHJ100" s="1052"/>
      <c r="AHK100" s="1052"/>
      <c r="AHL100" s="1052"/>
      <c r="AHM100" s="1052"/>
      <c r="AHN100" s="1052"/>
      <c r="AHO100" s="1052"/>
      <c r="AQO100" s="849"/>
      <c r="AQP100" s="852" t="s">
        <v>416</v>
      </c>
      <c r="AQQ100" s="853"/>
      <c r="AQR100" s="142"/>
      <c r="AQS100" s="78"/>
      <c r="AQT100" s="78"/>
      <c r="AQU100" s="78"/>
      <c r="AQV100" s="78"/>
      <c r="AQW100" s="78"/>
      <c r="AQX100" s="78"/>
      <c r="AQY100" s="142"/>
      <c r="AQZ100" s="76" t="s">
        <v>441</v>
      </c>
      <c r="ARA100" s="854" t="s">
        <v>435</v>
      </c>
      <c r="ARB100" s="855"/>
      <c r="ARC100" s="920" t="s">
        <v>111</v>
      </c>
      <c r="ARD100" s="921"/>
      <c r="ARE100" s="916" t="s">
        <v>704</v>
      </c>
      <c r="ARF100" s="917"/>
      <c r="ARG100" s="906" t="s">
        <v>447</v>
      </c>
      <c r="ARH100" s="907"/>
      <c r="ARI100" s="907"/>
      <c r="ARJ100" s="908"/>
      <c r="ARU100" s="851"/>
      <c r="ARV100" s="857"/>
      <c r="ARW100" s="857"/>
      <c r="ARX100" s="857"/>
      <c r="ARY100" s="857"/>
      <c r="ARZ100" s="857"/>
      <c r="ASA100" s="857"/>
      <c r="ASB100" s="857"/>
      <c r="ASC100" s="857"/>
      <c r="ASD100" s="857"/>
      <c r="ASE100" s="857"/>
      <c r="ASF100" s="857"/>
      <c r="ASG100" s="857"/>
      <c r="ASH100" s="857"/>
      <c r="ASI100" s="837"/>
      <c r="ASJ100" s="838"/>
      <c r="ASK100" s="1476"/>
      <c r="ASL100" s="1332"/>
      <c r="ASM100" s="1067"/>
      <c r="ASN100" s="845"/>
      <c r="ASO100" s="846"/>
      <c r="ASP100" s="848"/>
    </row>
    <row r="101" spans="34:904 1133:1201" ht="48" customHeight="1" thickBot="1">
      <c r="AH101" s="653"/>
      <c r="AI101" s="851"/>
      <c r="AJ101" s="748" t="s">
        <v>430</v>
      </c>
      <c r="AK101" s="1187">
        <f>$AP$53</f>
        <v>0.16707940000000002</v>
      </c>
      <c r="AL101" s="1187"/>
      <c r="AM101" s="764"/>
      <c r="AN101" s="764"/>
      <c r="AO101" s="764"/>
      <c r="AP101" s="764"/>
      <c r="AQ101" s="764"/>
      <c r="AR101" s="764"/>
      <c r="AS101" s="764"/>
      <c r="AT101" s="765"/>
      <c r="AU101" s="1169"/>
      <c r="AV101" s="799"/>
      <c r="AW101" s="1185"/>
      <c r="AX101" s="1186"/>
      <c r="AY101" s="842"/>
      <c r="AZ101" s="1655"/>
      <c r="BA101" s="1656"/>
      <c r="BB101" s="848"/>
      <c r="BC101" s="81"/>
      <c r="BD101" s="79"/>
      <c r="BE101" s="80"/>
      <c r="BF101" s="653"/>
      <c r="BP101" s="130"/>
      <c r="BQ101" s="130"/>
      <c r="BR101" s="130"/>
      <c r="BS101" s="130"/>
      <c r="BX101" s="54"/>
      <c r="DH101" s="130"/>
      <c r="DI101" s="130"/>
      <c r="DJ101" s="130"/>
      <c r="DK101" s="130"/>
      <c r="DL101" s="130"/>
      <c r="DM101" s="130"/>
      <c r="DN101" s="130"/>
      <c r="DU101" s="162"/>
      <c r="DV101" s="158"/>
      <c r="DW101" s="54"/>
      <c r="DX101" s="54"/>
      <c r="DY101" s="381" t="s">
        <v>1297</v>
      </c>
      <c r="DZ101" s="849"/>
      <c r="EA101" s="800" t="s">
        <v>1054</v>
      </c>
      <c r="EB101" s="801"/>
      <c r="EC101" s="883">
        <f>$EN$62</f>
        <v>8.9200941784447281</v>
      </c>
      <c r="ED101" s="884"/>
      <c r="EE101" s="809" t="s">
        <v>1776</v>
      </c>
      <c r="EF101" s="797"/>
      <c r="EG101" s="797"/>
      <c r="EH101" s="797"/>
      <c r="EI101" s="797"/>
      <c r="EJ101" s="797"/>
      <c r="EK101" s="798"/>
      <c r="EL101" s="835">
        <f>0.6*(EC105+EC106)</f>
        <v>12.445001249070996</v>
      </c>
      <c r="EM101" s="836"/>
      <c r="EN101" s="927" t="s">
        <v>757</v>
      </c>
      <c r="EO101" s="928"/>
      <c r="EP101" s="841"/>
      <c r="EQ101" s="1438" t="s">
        <v>1319</v>
      </c>
      <c r="ER101" s="1439"/>
      <c r="ES101" s="847"/>
      <c r="ET101" s="1052"/>
      <c r="EU101" s="1052"/>
      <c r="EV101" s="1052"/>
      <c r="EW101" s="1052"/>
      <c r="EX101" s="1052"/>
      <c r="EY101" s="1052"/>
      <c r="EZ101" s="1052"/>
      <c r="FA101" s="1052"/>
      <c r="FB101" s="158"/>
      <c r="FC101" s="158"/>
      <c r="FD101" s="158"/>
      <c r="FE101" s="158"/>
      <c r="FF101" s="382" t="s">
        <v>798</v>
      </c>
      <c r="IR101" s="851"/>
      <c r="IS101" s="1163" t="s">
        <v>1446</v>
      </c>
      <c r="IT101" s="1163"/>
      <c r="IU101" s="1050">
        <f>$GV$89</f>
        <v>30.233859458483881</v>
      </c>
      <c r="IV101" s="1050"/>
      <c r="IW101" s="794"/>
      <c r="IX101" s="795"/>
      <c r="IY101" s="795"/>
      <c r="IZ101" s="795"/>
      <c r="JA101" s="795"/>
      <c r="JB101" s="795"/>
      <c r="JC101" s="812"/>
      <c r="JD101" s="813"/>
      <c r="JE101" s="813"/>
      <c r="JF101" s="813"/>
      <c r="JG101" s="813"/>
      <c r="JH101" s="813"/>
      <c r="JI101" s="813"/>
      <c r="JJ101" s="814"/>
      <c r="JK101" s="1053"/>
      <c r="JL101" s="1053"/>
      <c r="JM101" s="1053"/>
      <c r="JN101" s="1053"/>
      <c r="JO101" s="1053"/>
      <c r="JP101" s="1053"/>
      <c r="JQ101" s="1053"/>
      <c r="JU101" s="653"/>
      <c r="JV101" s="653"/>
      <c r="JW101" s="653"/>
      <c r="LQ101" s="130"/>
      <c r="LR101" s="130"/>
      <c r="LS101" s="130"/>
      <c r="LT101" s="130"/>
      <c r="LU101" s="130"/>
      <c r="LV101" s="130"/>
      <c r="LW101" s="130"/>
      <c r="LX101" s="130"/>
      <c r="LY101" s="130"/>
      <c r="MB101" s="850"/>
      <c r="MC101" s="861" t="s">
        <v>448</v>
      </c>
      <c r="MD101" s="861"/>
      <c r="ME101" s="761">
        <f>$AP$16</f>
        <v>2</v>
      </c>
      <c r="MF101" s="761"/>
      <c r="MG101" s="1079"/>
      <c r="MH101" s="1080"/>
      <c r="MI101" s="1080"/>
      <c r="MJ101" s="1080"/>
      <c r="MK101" s="1246"/>
      <c r="ML101" s="945"/>
      <c r="MM101" s="945"/>
      <c r="MN101" s="945"/>
      <c r="MO101" s="945"/>
      <c r="MP101" s="945"/>
      <c r="MQ101" s="945"/>
      <c r="MR101" s="945"/>
      <c r="MS101" s="945"/>
      <c r="MT101" s="945"/>
      <c r="MU101" s="945"/>
      <c r="MV101" s="945"/>
      <c r="MW101" s="946"/>
      <c r="MZ101" s="130"/>
      <c r="NA101" s="130"/>
      <c r="NB101" s="130"/>
      <c r="NC101" s="130"/>
      <c r="ND101" s="130"/>
      <c r="NI101" s="130"/>
      <c r="NJ101" s="130"/>
      <c r="PL101" s="851"/>
      <c r="PM101" s="1550" t="s">
        <v>1106</v>
      </c>
      <c r="PN101" s="1862"/>
      <c r="PO101" s="1551"/>
      <c r="PP101" s="1050">
        <f>$CO$28</f>
        <v>48</v>
      </c>
      <c r="PQ101" s="1050"/>
      <c r="PR101" s="794"/>
      <c r="PS101" s="795"/>
      <c r="PT101" s="795"/>
      <c r="PU101" s="795"/>
      <c r="PV101" s="795"/>
      <c r="PW101" s="942"/>
      <c r="PX101" s="943"/>
      <c r="PY101" s="943"/>
      <c r="PZ101" s="943"/>
      <c r="QA101" s="943"/>
      <c r="QB101" s="943"/>
      <c r="QC101" s="943"/>
      <c r="QD101" s="943"/>
      <c r="QE101" s="944"/>
      <c r="QF101" s="828"/>
      <c r="QG101" s="949"/>
      <c r="QH101" s="949"/>
      <c r="QI101" s="949"/>
      <c r="QJ101" s="949"/>
      <c r="QK101" s="949"/>
      <c r="QL101" s="949"/>
      <c r="QM101" s="949"/>
      <c r="QN101" s="949"/>
      <c r="QO101" s="949"/>
      <c r="QP101" s="949"/>
      <c r="QQ101" s="950"/>
      <c r="QU101" s="130"/>
      <c r="QV101" s="130"/>
      <c r="QW101" s="130"/>
      <c r="RE101" s="653"/>
      <c r="RF101" s="653"/>
      <c r="RG101" s="653"/>
      <c r="RH101" s="653"/>
      <c r="RI101" s="653"/>
      <c r="RJ101" s="653"/>
      <c r="RK101" s="653"/>
      <c r="RL101" s="653"/>
      <c r="RM101" s="653"/>
      <c r="RN101" s="653"/>
      <c r="RO101" s="653"/>
      <c r="RP101" s="653"/>
      <c r="RQ101" s="653"/>
      <c r="RR101" s="653"/>
      <c r="RS101" s="653"/>
      <c r="RT101" s="653"/>
      <c r="RU101" s="653"/>
      <c r="RV101" s="653"/>
      <c r="RW101" s="653"/>
      <c r="RX101" s="653"/>
      <c r="RY101" s="653"/>
      <c r="RZ101" s="653"/>
      <c r="SA101" s="653"/>
      <c r="SB101" s="653"/>
      <c r="SC101" s="653"/>
      <c r="SD101" s="653"/>
      <c r="SE101" s="653"/>
      <c r="SF101" s="653"/>
      <c r="SG101" s="653"/>
      <c r="SH101" s="653"/>
      <c r="SI101" s="653"/>
      <c r="SJ101" s="653"/>
      <c r="SK101" s="653"/>
      <c r="SL101" s="653"/>
      <c r="SM101" s="653"/>
      <c r="SN101" s="653"/>
      <c r="SO101" s="653"/>
      <c r="SP101" s="653"/>
      <c r="SQ101" s="653"/>
      <c r="SR101" s="653"/>
      <c r="SS101" s="653"/>
      <c r="ST101" s="653"/>
      <c r="SU101" s="653"/>
      <c r="SV101" s="653"/>
      <c r="SW101" s="653"/>
      <c r="SX101" s="653"/>
      <c r="SY101" s="653"/>
      <c r="SZ101" s="653"/>
      <c r="TA101" s="653"/>
      <c r="TB101" s="653"/>
      <c r="TC101" s="653"/>
      <c r="TD101" s="653"/>
      <c r="TE101" s="653"/>
      <c r="TF101" s="653"/>
      <c r="TG101" s="653"/>
      <c r="TH101" s="653"/>
      <c r="TI101" s="653"/>
      <c r="TJ101" s="653"/>
      <c r="TK101" s="653"/>
      <c r="TL101" s="653"/>
      <c r="TM101" s="653"/>
      <c r="TN101" s="653"/>
      <c r="TO101" s="653"/>
      <c r="TP101" s="653"/>
      <c r="TQ101" s="653"/>
      <c r="TR101" s="653"/>
      <c r="TS101" s="653"/>
      <c r="TT101" s="653"/>
      <c r="TU101" s="653"/>
      <c r="TV101" s="653"/>
      <c r="TW101" s="653"/>
      <c r="TX101" s="653"/>
      <c r="TY101" s="653"/>
      <c r="TZ101" s="653"/>
      <c r="UA101" s="653"/>
      <c r="UB101" s="653"/>
      <c r="UC101" s="653"/>
      <c r="UD101" s="653"/>
      <c r="UE101" s="653"/>
      <c r="UF101" s="653"/>
      <c r="UG101" s="653"/>
      <c r="UH101" s="653"/>
      <c r="UI101" s="653"/>
      <c r="UJ101" s="653"/>
      <c r="UK101" s="653"/>
      <c r="UL101" s="653"/>
      <c r="UM101" s="653"/>
      <c r="UN101" s="653"/>
      <c r="UO101" s="653"/>
      <c r="UP101" s="653"/>
      <c r="UQ101" s="653"/>
      <c r="UR101" s="653"/>
      <c r="US101" s="653"/>
      <c r="UT101" s="653"/>
      <c r="UU101" s="653"/>
      <c r="UV101" s="653"/>
      <c r="UW101" s="653"/>
      <c r="UX101" s="653"/>
      <c r="UY101" s="653"/>
      <c r="UZ101" s="653"/>
      <c r="WC101" s="653"/>
      <c r="WD101" s="653"/>
      <c r="WE101" s="752">
        <v>5</v>
      </c>
      <c r="WF101" s="753"/>
      <c r="WG101" s="861" t="s">
        <v>1344</v>
      </c>
      <c r="WH101" s="861"/>
      <c r="WI101" s="861"/>
      <c r="WJ101" s="861"/>
      <c r="WK101" s="890">
        <f>$GT$98</f>
        <v>180.34671544768563</v>
      </c>
      <c r="WL101" s="890"/>
      <c r="WM101" s="861" t="s">
        <v>1090</v>
      </c>
      <c r="WN101" s="861"/>
      <c r="WO101" s="937">
        <f>$GQ$78</f>
        <v>4.847402946961874</v>
      </c>
      <c r="WP101" s="937"/>
      <c r="WQ101" s="168"/>
      <c r="WR101" s="168"/>
      <c r="WS101" s="168"/>
      <c r="WT101" s="168"/>
      <c r="WU101" s="168"/>
      <c r="WV101" s="168"/>
      <c r="WW101" s="168"/>
      <c r="WX101" s="168"/>
      <c r="WY101" s="171"/>
      <c r="WZ101" s="1135" t="s">
        <v>729</v>
      </c>
      <c r="XA101" s="1135"/>
      <c r="XB101" s="167"/>
      <c r="XC101" s="168"/>
      <c r="XD101" s="168"/>
      <c r="XE101" s="168"/>
      <c r="XF101" s="171"/>
      <c r="XG101" s="1004">
        <f>$WK$102*(3.14*$WO$101^2*(XG96+1))^-1</f>
        <v>2.305974384715253</v>
      </c>
      <c r="XH101" s="1004">
        <f t="shared" ref="XH101:ZS101" si="125">$WK$102*(3.14*$WO$101^2*(XH96+1))^-1</f>
        <v>2.305974384715253</v>
      </c>
      <c r="XI101" s="1004">
        <f t="shared" si="125"/>
        <v>2.305974384715253</v>
      </c>
      <c r="XJ101" s="1004">
        <f t="shared" si="125"/>
        <v>2.305974384715253</v>
      </c>
      <c r="XK101" s="1004">
        <f t="shared" si="125"/>
        <v>2.305974384715253</v>
      </c>
      <c r="XL101" s="1004">
        <f t="shared" si="125"/>
        <v>2.305974384715253</v>
      </c>
      <c r="XM101" s="1004">
        <f t="shared" si="125"/>
        <v>2.305974384715253</v>
      </c>
      <c r="XN101" s="1004">
        <f t="shared" si="125"/>
        <v>2.305974384715253</v>
      </c>
      <c r="XO101" s="1004">
        <f t="shared" si="125"/>
        <v>2.2951482138949939</v>
      </c>
      <c r="XP101" s="1004">
        <f t="shared" si="125"/>
        <v>2.2685223645458636</v>
      </c>
      <c r="XQ101" s="1004">
        <f t="shared" si="125"/>
        <v>2.2528413343761922</v>
      </c>
      <c r="XR101" s="1004">
        <f t="shared" si="125"/>
        <v>2.2021016646830351</v>
      </c>
      <c r="XS101" s="1004">
        <f t="shared" si="125"/>
        <v>2.1535972227296636</v>
      </c>
      <c r="XT101" s="1004">
        <f t="shared" si="125"/>
        <v>2.1824400426769359</v>
      </c>
      <c r="XU101" s="1004">
        <f t="shared" si="125"/>
        <v>2.1071834894811796</v>
      </c>
      <c r="XV101" s="1004">
        <f t="shared" si="125"/>
        <v>2.0201097915687343</v>
      </c>
      <c r="XW101" s="1004">
        <f t="shared" si="125"/>
        <v>1.9554662782385346</v>
      </c>
      <c r="XX101" s="1004">
        <f t="shared" si="125"/>
        <v>1.8948316649598207</v>
      </c>
      <c r="XY101" s="1004">
        <f t="shared" si="125"/>
        <v>1.8378442464647882</v>
      </c>
      <c r="XZ101" s="1004">
        <f t="shared" si="125"/>
        <v>1.7841845604366191</v>
      </c>
      <c r="YA101" s="1004">
        <f t="shared" si="125"/>
        <v>1.8710968215574013</v>
      </c>
      <c r="YB101" s="1004">
        <f t="shared" si="125"/>
        <v>1.7865555698192472</v>
      </c>
      <c r="YC101" s="1004">
        <f t="shared" si="125"/>
        <v>1.7093236697889178</v>
      </c>
      <c r="YD101" s="1004">
        <f t="shared" si="125"/>
        <v>1.65564417030663</v>
      </c>
      <c r="YE101" s="1004">
        <f t="shared" si="125"/>
        <v>1.5891052793013993</v>
      </c>
      <c r="YF101" s="1004">
        <f t="shared" si="125"/>
        <v>1.5426082229362985</v>
      </c>
      <c r="YG101" s="1004">
        <f t="shared" si="125"/>
        <v>1.4846858821523845</v>
      </c>
      <c r="YH101" s="1004">
        <f t="shared" si="125"/>
        <v>1.4440204793651821</v>
      </c>
      <c r="YI101" s="1004">
        <f t="shared" si="125"/>
        <v>1.4055233311960109</v>
      </c>
      <c r="YJ101" s="1004">
        <f t="shared" si="125"/>
        <v>1.3572771996860016</v>
      </c>
      <c r="YK101" s="1004">
        <f t="shared" si="125"/>
        <v>1.3232116794182922</v>
      </c>
      <c r="YL101" s="1004">
        <f t="shared" si="125"/>
        <v>1.2908142739212527</v>
      </c>
      <c r="YM101" s="1004">
        <f t="shared" si="125"/>
        <v>1.259965385462966</v>
      </c>
      <c r="YN101" s="1004">
        <f t="shared" si="125"/>
        <v>1.2305565824155471</v>
      </c>
      <c r="YO101" s="1004">
        <f t="shared" si="125"/>
        <v>1.2024893258398794</v>
      </c>
      <c r="YP101" s="1004">
        <f t="shared" si="125"/>
        <v>1.175673866452982</v>
      </c>
      <c r="YQ101" s="1004">
        <f t="shared" si="125"/>
        <v>1.1500282859614928</v>
      </c>
      <c r="YR101" s="1004">
        <f t="shared" si="125"/>
        <v>1.1254776611879322</v>
      </c>
      <c r="YS101" s="1004">
        <f t="shared" si="125"/>
        <v>1.1019533330237583</v>
      </c>
      <c r="YT101" s="1004">
        <f t="shared" si="125"/>
        <v>1.0868092694332947</v>
      </c>
      <c r="YU101" s="1004">
        <f t="shared" si="125"/>
        <v>1.0648578742883053</v>
      </c>
      <c r="YV101" s="1004">
        <f t="shared" si="125"/>
        <v>1.0437756725846159</v>
      </c>
      <c r="YW101" s="1004">
        <f t="shared" si="125"/>
        <v>1.0235120413315459</v>
      </c>
      <c r="YX101" s="1004">
        <f t="shared" si="125"/>
        <v>1.0104344729718044</v>
      </c>
      <c r="YY101" s="1004">
        <f t="shared" si="125"/>
        <v>0.99143293974113977</v>
      </c>
      <c r="YZ101" s="1004">
        <f t="shared" si="125"/>
        <v>0.97915736801819808</v>
      </c>
      <c r="ZA101" s="1004">
        <f t="shared" si="125"/>
        <v>0.96130358690667561</v>
      </c>
      <c r="ZB101" s="1004">
        <f t="shared" si="125"/>
        <v>0.94408923194451244</v>
      </c>
      <c r="ZC101" s="1004">
        <f t="shared" si="125"/>
        <v>0.93295146862525047</v>
      </c>
      <c r="ZD101" s="1004">
        <f t="shared" si="125"/>
        <v>0.91672899167336219</v>
      </c>
      <c r="ZE101" s="1004">
        <f t="shared" si="125"/>
        <v>0.90622383976339249</v>
      </c>
      <c r="ZF101" s="1004">
        <f t="shared" si="125"/>
        <v>0.89595672528422909</v>
      </c>
      <c r="ZG101" s="1004">
        <f t="shared" si="125"/>
        <v>0.88098497135582321</v>
      </c>
      <c r="ZH101" s="1004">
        <f t="shared" si="125"/>
        <v>0.87127872086130009</v>
      </c>
      <c r="ZI101" s="1004">
        <f t="shared" si="125"/>
        <v>0.85711384525915557</v>
      </c>
      <c r="ZJ101" s="1004">
        <f t="shared" si="125"/>
        <v>0.84792372519015202</v>
      </c>
      <c r="ZK101" s="1004">
        <f t="shared" si="125"/>
        <v>0.83892859050794755</v>
      </c>
      <c r="ZL101" s="1004">
        <f t="shared" si="125"/>
        <v>0.82578812425613413</v>
      </c>
      <c r="ZM101" s="1004">
        <f t="shared" si="125"/>
        <v>0.81725414364072102</v>
      </c>
      <c r="ZN101" s="1004">
        <f t="shared" si="125"/>
        <v>0.80889474505955872</v>
      </c>
      <c r="ZO101" s="1004">
        <f t="shared" si="125"/>
        <v>0.80070462554436328</v>
      </c>
      <c r="ZP101" s="1004">
        <f t="shared" si="125"/>
        <v>0.78872576490993629</v>
      </c>
      <c r="ZQ101" s="1004">
        <f t="shared" si="125"/>
        <v>0.78093701207608834</v>
      </c>
      <c r="ZR101" s="1004">
        <f t="shared" si="125"/>
        <v>0.7733005845780766</v>
      </c>
      <c r="ZS101" s="1004">
        <f t="shared" si="125"/>
        <v>0.76581205712844569</v>
      </c>
      <c r="ZT101" s="1004">
        <f t="shared" ref="ZT101:AAS101" si="126">$WK$102*(3.14*$WO$101^2*(ZT96+1))^-1</f>
        <v>0.75846717421099374</v>
      </c>
      <c r="ZU101" s="1004">
        <f t="shared" si="126"/>
        <v>0.7477102704610602</v>
      </c>
      <c r="ZV101" s="1004">
        <f t="shared" si="126"/>
        <v>0.74070692357519896</v>
      </c>
      <c r="ZW101" s="1004">
        <f t="shared" si="126"/>
        <v>0.73383355146778739</v>
      </c>
      <c r="ZX101" s="1004">
        <f t="shared" si="126"/>
        <v>0.72708656911248593</v>
      </c>
      <c r="ZY101" s="1004">
        <f t="shared" si="126"/>
        <v>0.72046252212700246</v>
      </c>
      <c r="ZZ101" s="1004">
        <f t="shared" si="126"/>
        <v>0.71395808087572321</v>
      </c>
      <c r="AAA101" s="1004">
        <f t="shared" si="126"/>
        <v>0.70757003488894032</v>
      </c>
      <c r="AAB101" s="1004">
        <f t="shared" si="126"/>
        <v>0.70129528757902271</v>
      </c>
      <c r="AAC101" s="1004">
        <f t="shared" si="126"/>
        <v>0.69513085123525675</v>
      </c>
      <c r="AAD101" s="1004">
        <f t="shared" si="126"/>
        <v>0.68907384228036206</v>
      </c>
      <c r="AAE101" s="1004">
        <f t="shared" si="126"/>
        <v>0.68312147677285906</v>
      </c>
      <c r="AAF101" s="1004">
        <f t="shared" si="126"/>
        <v>0.67727106614054744</v>
      </c>
      <c r="AAG101" s="1004">
        <f t="shared" si="126"/>
        <v>0.67152001313136189</v>
      </c>
      <c r="AAH101" s="1004">
        <f t="shared" si="126"/>
        <v>0.6658658079687898</v>
      </c>
      <c r="AAI101" s="1004">
        <f t="shared" si="126"/>
        <v>0.66030602469989508</v>
      </c>
      <c r="AAJ101" s="1004">
        <f t="shared" si="126"/>
        <v>0.65483831772478651</v>
      </c>
      <c r="AAK101" s="1004">
        <f t="shared" si="126"/>
        <v>0.64946041849709502</v>
      </c>
      <c r="AAL101" s="1004">
        <f t="shared" si="126"/>
        <v>0.64417013238571474</v>
      </c>
      <c r="AAM101" s="1004">
        <f t="shared" si="126"/>
        <v>0.63896533568868186</v>
      </c>
      <c r="AAN101" s="1004">
        <f t="shared" si="126"/>
        <v>0.63384397279065852</v>
      </c>
      <c r="AAO101" s="1004">
        <f t="shared" si="126"/>
        <v>0.62880405345602752</v>
      </c>
      <c r="AAP101" s="1004">
        <f t="shared" si="126"/>
        <v>0.62384365025010979</v>
      </c>
      <c r="AAQ101" s="1004">
        <f t="shared" si="126"/>
        <v>0.6213926814370172</v>
      </c>
      <c r="AAR101" s="1004">
        <f t="shared" si="126"/>
        <v>0.61654806984131483</v>
      </c>
      <c r="AAS101" s="1004">
        <f t="shared" si="126"/>
        <v>0.61177841469350935</v>
      </c>
      <c r="AAT101" s="1005">
        <v>5</v>
      </c>
      <c r="AAU101" s="981"/>
      <c r="AAV101" s="981"/>
      <c r="AAW101" s="981"/>
      <c r="AAX101" s="981"/>
      <c r="AAY101" s="981"/>
      <c r="AAZ101" s="981"/>
      <c r="ABA101" s="981"/>
      <c r="ABB101" s="981"/>
      <c r="ABC101" s="158"/>
      <c r="ABD101" s="158"/>
      <c r="ABE101" s="158"/>
      <c r="ABF101" s="158"/>
      <c r="ABG101" s="158"/>
      <c r="ABH101" s="158"/>
      <c r="ABI101" s="158"/>
      <c r="ABJ101" s="158"/>
      <c r="ABK101" s="158"/>
      <c r="ABL101" s="158"/>
      <c r="ABM101" s="158"/>
      <c r="ABN101" s="158"/>
      <c r="ABO101" s="158"/>
      <c r="ABP101" s="163"/>
      <c r="ABT101" s="1527"/>
      <c r="ABU101" s="1527"/>
      <c r="ABV101" s="1527"/>
      <c r="ABW101" s="1527"/>
      <c r="ABX101" s="1527"/>
      <c r="ABY101" s="1527"/>
      <c r="ABZ101" s="1527"/>
      <c r="ACA101" s="1527"/>
      <c r="ACB101" s="1527"/>
      <c r="ACC101" s="1527"/>
      <c r="ACD101" s="1527"/>
      <c r="ACE101" s="1527"/>
      <c r="ACF101" s="1527"/>
      <c r="ACG101" s="1527"/>
      <c r="ACH101" s="1527"/>
      <c r="ACJ101" s="759">
        <v>0.50000000000000011</v>
      </c>
      <c r="ACK101" s="760"/>
      <c r="ACL101" s="759">
        <v>-0.50000000000000011</v>
      </c>
      <c r="ACM101" s="760"/>
      <c r="ACN101" s="591">
        <v>17</v>
      </c>
      <c r="ACO101" s="759">
        <f t="shared" si="91"/>
        <v>8.4999999999999964E-2</v>
      </c>
      <c r="ACP101" s="760"/>
      <c r="ACQ101" s="757">
        <f t="shared" si="82"/>
        <v>1.17</v>
      </c>
      <c r="ACR101" s="758"/>
      <c r="ACT101" s="759">
        <v>1.5454545454545501</v>
      </c>
      <c r="ACU101" s="760"/>
      <c r="ACV101" s="759">
        <v>-2.1818181818181799</v>
      </c>
      <c r="ACW101" s="760"/>
      <c r="ACX101" s="591">
        <v>67</v>
      </c>
      <c r="ACY101" s="759">
        <f t="shared" si="92"/>
        <v>0.39909090909091871</v>
      </c>
      <c r="ACZ101" s="760"/>
      <c r="ADA101" s="757">
        <f t="shared" si="83"/>
        <v>1.67</v>
      </c>
      <c r="ADB101" s="758"/>
      <c r="ADD101" s="759">
        <v>1.5454545454545501</v>
      </c>
      <c r="ADE101" s="760"/>
      <c r="ADF101" s="759">
        <v>-2.1818181818181799</v>
      </c>
      <c r="ADG101" s="760"/>
      <c r="ADH101" s="591">
        <v>116</v>
      </c>
      <c r="ADI101" s="759">
        <f t="shared" si="93"/>
        <v>1.1563636363636487</v>
      </c>
      <c r="ADJ101" s="760"/>
      <c r="ADK101" s="757">
        <f t="shared" si="84"/>
        <v>2.16</v>
      </c>
      <c r="ADL101" s="758"/>
      <c r="ADN101" s="759">
        <v>1.5454545454545501</v>
      </c>
      <c r="ADO101" s="760"/>
      <c r="ADP101" s="759">
        <v>-2.1818181818181799</v>
      </c>
      <c r="ADQ101" s="760"/>
      <c r="ADR101" s="591">
        <v>166</v>
      </c>
      <c r="ADS101" s="759">
        <f t="shared" si="94"/>
        <v>1.9290909090909238</v>
      </c>
      <c r="ADT101" s="760"/>
      <c r="ADU101" s="757">
        <f t="shared" si="85"/>
        <v>2.66</v>
      </c>
      <c r="ADV101" s="758"/>
      <c r="ADW101" s="653"/>
      <c r="ADX101" s="759">
        <v>1.5454545454545501</v>
      </c>
      <c r="ADY101" s="760"/>
      <c r="ADZ101" s="759">
        <v>-2.1818181818181799</v>
      </c>
      <c r="AEA101" s="760"/>
      <c r="AEB101" s="591">
        <v>216</v>
      </c>
      <c r="AEC101" s="759">
        <f t="shared" si="95"/>
        <v>2.701818181818199</v>
      </c>
      <c r="AED101" s="760"/>
      <c r="AEE101" s="757">
        <f t="shared" si="86"/>
        <v>3.16</v>
      </c>
      <c r="AEF101" s="758"/>
      <c r="AEH101" s="759">
        <v>1.5454545454545501</v>
      </c>
      <c r="AEI101" s="760"/>
      <c r="AEJ101" s="759">
        <v>-2.1818181818181799</v>
      </c>
      <c r="AEK101" s="760"/>
      <c r="AEL101" s="591">
        <v>266</v>
      </c>
      <c r="AEM101" s="759">
        <f t="shared" si="101"/>
        <v>3.4745454545454733</v>
      </c>
      <c r="AEN101" s="760"/>
      <c r="AEO101" s="757">
        <f t="shared" si="87"/>
        <v>3.66</v>
      </c>
      <c r="AEP101" s="758"/>
      <c r="AFI101" s="653"/>
      <c r="AFJ101" s="653"/>
      <c r="AFK101" s="653"/>
      <c r="AFL101" s="653"/>
      <c r="AFM101" s="653"/>
      <c r="AFN101" s="653"/>
      <c r="AFO101" s="653"/>
      <c r="AFP101" s="653"/>
      <c r="AFQ101" s="653"/>
      <c r="AFR101" s="653"/>
      <c r="AFS101" s="653"/>
      <c r="AFT101" s="653"/>
      <c r="AFU101" s="653"/>
      <c r="AFV101" s="653"/>
      <c r="AFW101" s="653"/>
      <c r="AFX101" s="653"/>
      <c r="AFY101" s="653"/>
      <c r="AFZ101" s="653"/>
      <c r="AGA101" s="653"/>
      <c r="AGB101" s="653"/>
      <c r="AGC101" s="653"/>
      <c r="AGD101" s="653"/>
      <c r="AGE101" s="653"/>
      <c r="AGF101" s="653"/>
      <c r="AGG101" s="653"/>
      <c r="AGH101" s="653"/>
      <c r="AGI101" s="653"/>
      <c r="AGJ101" s="653"/>
      <c r="AGL101" s="851"/>
      <c r="AGM101" s="802" t="s">
        <v>1347</v>
      </c>
      <c r="AGN101" s="803"/>
      <c r="AGO101" s="804">
        <f>$AHA$104</f>
        <v>0.81</v>
      </c>
      <c r="AGP101" s="804"/>
      <c r="AGQ101" s="794"/>
      <c r="AGR101" s="795"/>
      <c r="AGS101" s="795"/>
      <c r="AGT101" s="795"/>
      <c r="AGU101" s="795"/>
      <c r="AGV101" s="795"/>
      <c r="AGW101" s="795"/>
      <c r="AGX101" s="795"/>
      <c r="AGY101" s="796"/>
      <c r="AGZ101" s="837"/>
      <c r="AHA101" s="838"/>
      <c r="AHB101" s="1185"/>
      <c r="AHC101" s="1186"/>
      <c r="AHD101" s="1249"/>
      <c r="AHE101" s="1324"/>
      <c r="AHF101" s="1324"/>
      <c r="AHG101" s="1324"/>
      <c r="AHH101" s="1290"/>
      <c r="AHI101" s="1053"/>
      <c r="AHJ101" s="1053"/>
      <c r="AHK101" s="1053"/>
      <c r="AHL101" s="1053"/>
      <c r="AHM101" s="1053"/>
      <c r="AHN101" s="1053"/>
      <c r="AHO101" s="1053"/>
      <c r="AQO101" s="850"/>
      <c r="AQP101" s="856"/>
      <c r="AQQ101" s="856"/>
      <c r="AQR101" s="856"/>
      <c r="AQS101" s="856"/>
      <c r="AQT101" s="856"/>
      <c r="AQU101" s="856"/>
      <c r="AQV101" s="856"/>
      <c r="AQW101" s="856"/>
      <c r="AQX101" s="856"/>
      <c r="AQY101" s="856"/>
      <c r="AQZ101" s="856"/>
      <c r="ARA101" s="856"/>
      <c r="ARB101" s="856"/>
      <c r="ARC101" s="835"/>
      <c r="ARD101" s="836"/>
      <c r="ARE101" s="839"/>
      <c r="ARF101" s="840"/>
      <c r="ARG101" s="841"/>
      <c r="ARH101" s="843"/>
      <c r="ARI101" s="844"/>
      <c r="ARJ101" s="847"/>
    </row>
    <row r="102" spans="34:904 1133:1201" ht="48" customHeight="1" thickBot="1">
      <c r="BP102" s="130"/>
      <c r="BQ102" s="130"/>
      <c r="BR102" s="130"/>
      <c r="BS102" s="130"/>
      <c r="BX102" s="54"/>
      <c r="BZ102" s="849"/>
      <c r="CA102" s="852" t="s">
        <v>38</v>
      </c>
      <c r="CB102" s="853"/>
      <c r="CC102" s="132"/>
      <c r="CD102" s="516" t="s">
        <v>1632</v>
      </c>
      <c r="CE102" s="766">
        <f>$CM$59</f>
        <v>2</v>
      </c>
      <c r="CF102" s="889"/>
      <c r="CG102" s="612" t="s">
        <v>1626</v>
      </c>
      <c r="CH102" s="766">
        <f>$CJ$131</f>
        <v>6</v>
      </c>
      <c r="CI102" s="766"/>
      <c r="CJ102" s="132"/>
      <c r="CK102" s="76" t="s">
        <v>441</v>
      </c>
      <c r="CL102" s="854" t="s">
        <v>435</v>
      </c>
      <c r="CM102" s="855"/>
      <c r="CN102" s="920" t="s">
        <v>111</v>
      </c>
      <c r="CO102" s="921"/>
      <c r="CP102" s="1445" t="s">
        <v>704</v>
      </c>
      <c r="CQ102" s="1446"/>
      <c r="CR102" s="1447"/>
      <c r="CS102" s="906" t="s">
        <v>447</v>
      </c>
      <c r="CT102" s="907"/>
      <c r="CU102" s="907"/>
      <c r="CV102" s="908"/>
      <c r="CW102" s="906" t="s">
        <v>436</v>
      </c>
      <c r="CX102" s="907"/>
      <c r="CY102" s="907"/>
      <c r="CZ102" s="908"/>
      <c r="DH102" s="130"/>
      <c r="DI102" s="130"/>
      <c r="DJ102" s="130"/>
      <c r="DK102" s="130"/>
      <c r="DL102" s="130"/>
      <c r="DM102" s="130"/>
      <c r="DU102" s="162"/>
      <c r="DV102" s="158"/>
      <c r="DW102" s="54"/>
      <c r="DX102" s="158"/>
      <c r="DY102" s="158"/>
      <c r="DZ102" s="851"/>
      <c r="EA102" s="802" t="s">
        <v>1055</v>
      </c>
      <c r="EB102" s="803"/>
      <c r="EC102" s="1333">
        <f>$EN$67</f>
        <v>11.821574570006934</v>
      </c>
      <c r="ED102" s="1334"/>
      <c r="EE102" s="777"/>
      <c r="EF102" s="778"/>
      <c r="EG102" s="778"/>
      <c r="EH102" s="778"/>
      <c r="EI102" s="778"/>
      <c r="EJ102" s="778"/>
      <c r="EK102" s="799"/>
      <c r="EL102" s="837"/>
      <c r="EM102" s="838"/>
      <c r="EN102" s="929"/>
      <c r="EO102" s="930"/>
      <c r="EP102" s="842"/>
      <c r="EQ102" s="1440"/>
      <c r="ER102" s="1441"/>
      <c r="ES102" s="848"/>
      <c r="ET102" s="1053"/>
      <c r="EU102" s="1053"/>
      <c r="EV102" s="1053"/>
      <c r="EW102" s="1053"/>
      <c r="EX102" s="1053"/>
      <c r="EY102" s="1053"/>
      <c r="EZ102" s="1053"/>
      <c r="FA102" s="1053"/>
      <c r="FB102" s="158"/>
      <c r="FC102" s="158"/>
      <c r="FD102" s="158"/>
      <c r="FE102" s="158"/>
      <c r="FF102" s="382" t="s">
        <v>1583</v>
      </c>
      <c r="FH102" s="653"/>
      <c r="FI102" s="653"/>
      <c r="FJ102" s="653"/>
      <c r="FK102" s="653"/>
      <c r="FL102" s="653"/>
      <c r="FM102" s="653"/>
      <c r="FN102" s="653"/>
      <c r="GC102" s="6"/>
      <c r="GD102" s="3"/>
      <c r="GE102" s="3"/>
      <c r="GF102" s="1052"/>
      <c r="GG102" s="852" t="s">
        <v>416</v>
      </c>
      <c r="GH102" s="923"/>
      <c r="GI102" s="320"/>
      <c r="GJ102" s="861" t="s">
        <v>1344</v>
      </c>
      <c r="GK102" s="861"/>
      <c r="GL102" s="890">
        <f>$GT$98</f>
        <v>180.34671544768563</v>
      </c>
      <c r="GM102" s="890"/>
      <c r="GN102" s="136"/>
      <c r="GO102" s="76" t="s">
        <v>441</v>
      </c>
      <c r="GP102" s="854" t="s">
        <v>435</v>
      </c>
      <c r="GQ102" s="855"/>
      <c r="GR102" s="920" t="s">
        <v>111</v>
      </c>
      <c r="GS102" s="921"/>
      <c r="GT102" s="916" t="s">
        <v>704</v>
      </c>
      <c r="GU102" s="922"/>
      <c r="GV102" s="917"/>
      <c r="GW102" s="906" t="s">
        <v>447</v>
      </c>
      <c r="GX102" s="907"/>
      <c r="GY102" s="907"/>
      <c r="GZ102" s="908"/>
      <c r="HA102" s="906" t="s">
        <v>436</v>
      </c>
      <c r="HB102" s="907"/>
      <c r="HC102" s="908"/>
      <c r="JU102" s="653"/>
      <c r="JV102" s="653"/>
      <c r="JW102" s="653"/>
      <c r="JZ102" s="185"/>
      <c r="KA102" s="852" t="s">
        <v>840</v>
      </c>
      <c r="KB102" s="923"/>
      <c r="KC102" s="185"/>
      <c r="KD102" s="1069" t="s">
        <v>843</v>
      </c>
      <c r="KE102" s="1070"/>
      <c r="KF102" s="1070"/>
      <c r="KG102" s="1070"/>
      <c r="KH102" s="1070"/>
      <c r="KI102" s="1070"/>
      <c r="KJ102" s="1070"/>
      <c r="KK102" s="1070"/>
      <c r="KL102" s="1070"/>
      <c r="KM102" s="1070"/>
      <c r="KN102" s="1071"/>
      <c r="KO102" s="185"/>
      <c r="LQ102" s="130"/>
      <c r="LR102" s="130"/>
      <c r="LS102" s="130"/>
      <c r="LT102" s="130"/>
      <c r="LU102" s="130"/>
      <c r="LV102" s="130"/>
      <c r="LW102" s="130"/>
      <c r="LX102" s="130"/>
      <c r="LY102" s="130"/>
      <c r="MB102" s="851"/>
      <c r="MC102" s="802" t="s">
        <v>1246</v>
      </c>
      <c r="MD102" s="803"/>
      <c r="ME102" s="879">
        <f>$CI$36</f>
        <v>4</v>
      </c>
      <c r="MF102" s="879"/>
      <c r="MG102" s="1037"/>
      <c r="MH102" s="1038"/>
      <c r="MI102" s="1038"/>
      <c r="MJ102" s="1038"/>
      <c r="MK102" s="1247"/>
      <c r="ML102" s="949"/>
      <c r="MM102" s="949"/>
      <c r="MN102" s="949"/>
      <c r="MO102" s="949"/>
      <c r="MP102" s="949"/>
      <c r="MQ102" s="949"/>
      <c r="MR102" s="949"/>
      <c r="MS102" s="949"/>
      <c r="MT102" s="949"/>
      <c r="MU102" s="949"/>
      <c r="MV102" s="949"/>
      <c r="MW102" s="950"/>
      <c r="NA102" s="130"/>
      <c r="NB102" s="130"/>
      <c r="NC102" s="130"/>
      <c r="ND102" s="130"/>
      <c r="NE102" s="130"/>
      <c r="NF102" s="130"/>
      <c r="NG102" s="130"/>
      <c r="NH102" s="130"/>
      <c r="NI102" s="130"/>
      <c r="NJ102" s="130"/>
      <c r="QT102" s="130"/>
      <c r="QU102" s="130"/>
      <c r="QV102" s="130"/>
      <c r="QW102" s="130"/>
      <c r="RE102" s="653"/>
      <c r="RF102" s="653"/>
      <c r="RG102" s="653"/>
      <c r="RH102" s="653"/>
      <c r="RI102" s="653"/>
      <c r="RJ102" s="653"/>
      <c r="RK102" s="653"/>
      <c r="RL102" s="653"/>
      <c r="RM102" s="653"/>
      <c r="RN102" s="653"/>
      <c r="RO102" s="653"/>
      <c r="RP102" s="653"/>
      <c r="RQ102" s="653"/>
      <c r="RR102" s="653"/>
      <c r="RS102" s="653"/>
      <c r="RT102" s="653"/>
      <c r="RU102" s="653"/>
      <c r="RV102" s="653"/>
      <c r="RW102" s="653"/>
      <c r="RX102" s="653"/>
      <c r="RY102" s="653"/>
      <c r="RZ102" s="653"/>
      <c r="SA102" s="653"/>
      <c r="SB102" s="653"/>
      <c r="SC102" s="653"/>
      <c r="SD102" s="653"/>
      <c r="SE102" s="653"/>
      <c r="SF102" s="653"/>
      <c r="SG102" s="653"/>
      <c r="SH102" s="653"/>
      <c r="SI102" s="653"/>
      <c r="SJ102" s="653"/>
      <c r="SK102" s="653"/>
      <c r="SL102" s="653"/>
      <c r="SM102" s="653"/>
      <c r="SN102" s="653"/>
      <c r="SO102" s="653"/>
      <c r="SP102" s="653"/>
      <c r="SQ102" s="653"/>
      <c r="SR102" s="653"/>
      <c r="SS102" s="653"/>
      <c r="ST102" s="653"/>
      <c r="SU102" s="653"/>
      <c r="SV102" s="653"/>
      <c r="SW102" s="653"/>
      <c r="SX102" s="653"/>
      <c r="SY102" s="653"/>
      <c r="SZ102" s="653"/>
      <c r="TA102" s="653"/>
      <c r="TB102" s="653"/>
      <c r="TC102" s="653"/>
      <c r="TD102" s="653"/>
      <c r="TE102" s="653"/>
      <c r="TF102" s="653"/>
      <c r="TG102" s="653"/>
      <c r="TH102" s="653"/>
      <c r="TI102" s="653"/>
      <c r="TJ102" s="653"/>
      <c r="TK102" s="653"/>
      <c r="TL102" s="653"/>
      <c r="TM102" s="653"/>
      <c r="TN102" s="653"/>
      <c r="TO102" s="653"/>
      <c r="TP102" s="653"/>
      <c r="TQ102" s="653"/>
      <c r="TR102" s="653"/>
      <c r="TS102" s="653"/>
      <c r="TT102" s="653"/>
      <c r="TU102" s="653"/>
      <c r="TV102" s="653"/>
      <c r="TW102" s="653"/>
      <c r="TX102" s="653"/>
      <c r="TY102" s="653"/>
      <c r="TZ102" s="653"/>
      <c r="UA102" s="653"/>
      <c r="UB102" s="653"/>
      <c r="UC102" s="653"/>
      <c r="UD102" s="653"/>
      <c r="UE102" s="653"/>
      <c r="UF102" s="653"/>
      <c r="UG102" s="653"/>
      <c r="UH102" s="653"/>
      <c r="UI102" s="653"/>
      <c r="UJ102" s="653"/>
      <c r="UK102" s="653"/>
      <c r="UL102" s="653"/>
      <c r="UM102" s="653"/>
      <c r="UN102" s="653"/>
      <c r="UO102" s="653"/>
      <c r="UP102" s="653"/>
      <c r="UQ102" s="653"/>
      <c r="UR102" s="653"/>
      <c r="US102" s="653"/>
      <c r="UT102" s="653"/>
      <c r="UU102" s="653"/>
      <c r="UV102" s="653"/>
      <c r="UW102" s="653"/>
      <c r="UX102" s="653"/>
      <c r="UY102" s="653"/>
      <c r="UZ102" s="653"/>
      <c r="VP102" s="130"/>
      <c r="VQ102" s="130"/>
      <c r="VR102" s="130"/>
      <c r="VS102" s="130"/>
      <c r="VT102" s="130"/>
      <c r="VU102" s="130"/>
      <c r="VV102" s="130"/>
      <c r="VW102" s="130"/>
      <c r="VX102" s="130"/>
      <c r="VY102" s="130"/>
      <c r="VZ102" s="130"/>
      <c r="WC102" s="653"/>
      <c r="WD102" s="653"/>
      <c r="WE102" s="996"/>
      <c r="WF102" s="997"/>
      <c r="WG102" s="861" t="s">
        <v>1343</v>
      </c>
      <c r="WH102" s="861"/>
      <c r="WI102" s="861"/>
      <c r="WJ102" s="861"/>
      <c r="WK102" s="890">
        <f>$GM$48</f>
        <v>180.34671544768563</v>
      </c>
      <c r="WL102" s="890"/>
      <c r="WM102" s="175"/>
      <c r="WN102" s="173"/>
      <c r="WO102" s="173"/>
      <c r="WP102" s="173"/>
      <c r="WQ102" s="173"/>
      <c r="WR102" s="173"/>
      <c r="WS102" s="173"/>
      <c r="WT102" s="173"/>
      <c r="WU102" s="173"/>
      <c r="WV102" s="173"/>
      <c r="WW102" s="173"/>
      <c r="WX102" s="173"/>
      <c r="WY102" s="174"/>
      <c r="WZ102" s="1135"/>
      <c r="XA102" s="1135"/>
      <c r="XB102" s="175"/>
      <c r="XC102" s="173"/>
      <c r="XD102" s="173"/>
      <c r="XE102" s="173"/>
      <c r="XF102" s="17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6"/>
      <c r="AAU102" s="981"/>
      <c r="AAV102" s="981"/>
      <c r="AAW102" s="981"/>
      <c r="AAX102" s="981"/>
      <c r="AAY102" s="981"/>
      <c r="AAZ102" s="981"/>
      <c r="ABA102" s="981"/>
      <c r="ABB102" s="981"/>
      <c r="ABC102" s="158"/>
      <c r="ABD102" s="158"/>
      <c r="ABE102" s="158"/>
      <c r="ABF102" s="158"/>
      <c r="ABG102" s="158"/>
      <c r="ABH102" s="158"/>
      <c r="ABI102" s="158"/>
      <c r="ABJ102" s="158"/>
      <c r="ABK102" s="158"/>
      <c r="ABL102" s="158"/>
      <c r="ABM102" s="158"/>
      <c r="ABN102" s="158"/>
      <c r="ABO102" s="158"/>
      <c r="ABP102" s="163"/>
      <c r="ABT102" s="1527"/>
      <c r="ABU102" s="1527"/>
      <c r="ABV102" s="1527"/>
      <c r="ABW102" s="1527"/>
      <c r="ABX102" s="1527"/>
      <c r="ABY102" s="1527"/>
      <c r="ABZ102" s="1527"/>
      <c r="ACA102" s="1527"/>
      <c r="ACB102" s="1527"/>
      <c r="ACC102" s="1527"/>
      <c r="ACD102" s="1527"/>
      <c r="ACE102" s="1527"/>
      <c r="ACF102" s="1527"/>
      <c r="ACG102" s="1527"/>
      <c r="ACH102" s="1527"/>
      <c r="ACJ102" s="759">
        <v>0.5</v>
      </c>
      <c r="ACK102" s="760"/>
      <c r="ACL102" s="759">
        <v>-0.5</v>
      </c>
      <c r="ACM102" s="760"/>
      <c r="ACN102" s="591">
        <v>18</v>
      </c>
      <c r="ACO102" s="759">
        <f t="shared" si="91"/>
        <v>8.9999999999999969E-2</v>
      </c>
      <c r="ACP102" s="760"/>
      <c r="ACQ102" s="757">
        <f t="shared" si="82"/>
        <v>1.18</v>
      </c>
      <c r="ACR102" s="758"/>
      <c r="ACT102" s="759">
        <v>1.5454545454545501</v>
      </c>
      <c r="ACU102" s="760"/>
      <c r="ACV102" s="759">
        <v>-2.1818181818181799</v>
      </c>
      <c r="ACW102" s="760"/>
      <c r="ACX102" s="591">
        <v>68</v>
      </c>
      <c r="ACY102" s="759">
        <f t="shared" si="92"/>
        <v>0.41454545454546432</v>
      </c>
      <c r="ACZ102" s="760"/>
      <c r="ADA102" s="757">
        <f t="shared" si="83"/>
        <v>1.6800000000000002</v>
      </c>
      <c r="ADB102" s="758"/>
      <c r="ADD102" s="759">
        <v>1.5454545454545501</v>
      </c>
      <c r="ADE102" s="760"/>
      <c r="ADF102" s="759">
        <v>-2.1818181818181799</v>
      </c>
      <c r="ADG102" s="760"/>
      <c r="ADH102" s="591">
        <v>117</v>
      </c>
      <c r="ADI102" s="759">
        <f t="shared" si="93"/>
        <v>1.1718181818181939</v>
      </c>
      <c r="ADJ102" s="760"/>
      <c r="ADK102" s="757">
        <f t="shared" si="84"/>
        <v>2.17</v>
      </c>
      <c r="ADL102" s="758"/>
      <c r="ADN102" s="759">
        <v>1.5454545454545501</v>
      </c>
      <c r="ADO102" s="760"/>
      <c r="ADP102" s="759">
        <v>-2.1818181818181799</v>
      </c>
      <c r="ADQ102" s="760"/>
      <c r="ADR102" s="591">
        <v>167</v>
      </c>
      <c r="ADS102" s="759">
        <f t="shared" si="94"/>
        <v>1.9445454545454686</v>
      </c>
      <c r="ADT102" s="760"/>
      <c r="ADU102" s="757">
        <f t="shared" si="85"/>
        <v>2.67</v>
      </c>
      <c r="ADV102" s="758"/>
      <c r="ADW102" s="653"/>
      <c r="ADX102" s="759">
        <v>1.5454545454545501</v>
      </c>
      <c r="ADY102" s="760"/>
      <c r="ADZ102" s="759">
        <v>-2.1818181818181799</v>
      </c>
      <c r="AEA102" s="760"/>
      <c r="AEB102" s="591">
        <v>217</v>
      </c>
      <c r="AEC102" s="759">
        <f t="shared" si="95"/>
        <v>2.7172727272727437</v>
      </c>
      <c r="AED102" s="760"/>
      <c r="AEE102" s="757">
        <f t="shared" si="86"/>
        <v>3.17</v>
      </c>
      <c r="AEF102" s="758"/>
      <c r="AEH102" s="759">
        <v>1.5454545454545501</v>
      </c>
      <c r="AEI102" s="760"/>
      <c r="AEJ102" s="759">
        <v>-2.1818181818181799</v>
      </c>
      <c r="AEK102" s="760"/>
      <c r="AEL102" s="591">
        <v>267</v>
      </c>
      <c r="AEM102" s="759">
        <f t="shared" si="101"/>
        <v>3.4900000000000189</v>
      </c>
      <c r="AEN102" s="760"/>
      <c r="AEO102" s="757">
        <f t="shared" si="87"/>
        <v>3.67</v>
      </c>
      <c r="AEP102" s="758"/>
      <c r="AFI102" s="653"/>
      <c r="AFJ102" s="653"/>
      <c r="AFK102" s="653"/>
      <c r="AFL102" s="653"/>
      <c r="AFM102" s="653"/>
      <c r="AFN102" s="653"/>
      <c r="AFO102" s="653"/>
      <c r="AFP102" s="653"/>
      <c r="AFQ102" s="653"/>
      <c r="AFR102" s="653"/>
      <c r="AFS102" s="653"/>
      <c r="AFT102" s="653"/>
      <c r="AFU102" s="653"/>
      <c r="AFV102" s="653"/>
      <c r="AFW102" s="653"/>
      <c r="AFX102" s="653"/>
      <c r="AFY102" s="653"/>
      <c r="AFZ102" s="653"/>
      <c r="AGA102" s="653"/>
      <c r="AGB102" s="653"/>
      <c r="AGC102" s="653"/>
      <c r="AGD102" s="653"/>
      <c r="AGE102" s="653"/>
      <c r="AGF102" s="653"/>
      <c r="AGG102" s="653"/>
      <c r="AGH102" s="653"/>
      <c r="AGI102" s="653"/>
      <c r="AGJ102" s="653"/>
      <c r="AQO102" s="851"/>
      <c r="AQP102" s="857"/>
      <c r="AQQ102" s="857"/>
      <c r="AQR102" s="857"/>
      <c r="AQS102" s="857"/>
      <c r="AQT102" s="857"/>
      <c r="AQU102" s="857"/>
      <c r="AQV102" s="857"/>
      <c r="AQW102" s="857"/>
      <c r="AQX102" s="857"/>
      <c r="AQY102" s="857"/>
      <c r="AQZ102" s="857"/>
      <c r="ARA102" s="857"/>
      <c r="ARB102" s="857"/>
      <c r="ARC102" s="837"/>
      <c r="ARD102" s="838"/>
      <c r="ARE102" s="777"/>
      <c r="ARF102" s="799"/>
      <c r="ARG102" s="842"/>
      <c r="ARH102" s="845"/>
      <c r="ARI102" s="846"/>
      <c r="ARJ102" s="848"/>
      <c r="ARU102" s="849"/>
      <c r="ARV102" s="852" t="s">
        <v>416</v>
      </c>
      <c r="ARW102" s="853"/>
      <c r="ARX102" s="142"/>
      <c r="ARY102" s="78"/>
      <c r="ARZ102" s="78"/>
      <c r="ASA102" s="78"/>
      <c r="ASB102" s="78"/>
      <c r="ASC102" s="78"/>
      <c r="ASD102" s="78"/>
      <c r="ASE102" s="142"/>
      <c r="ASF102" s="76" t="s">
        <v>441</v>
      </c>
      <c r="ASG102" s="854" t="s">
        <v>435</v>
      </c>
      <c r="ASH102" s="1111"/>
      <c r="ASI102" s="924" t="s">
        <v>111</v>
      </c>
      <c r="ASJ102" s="925"/>
      <c r="ASK102" s="916" t="s">
        <v>704</v>
      </c>
      <c r="ASL102" s="917"/>
      <c r="ASM102" s="906" t="s">
        <v>447</v>
      </c>
      <c r="ASN102" s="907"/>
      <c r="ASO102" s="907"/>
      <c r="ASP102" s="908"/>
    </row>
    <row r="103" spans="34:904 1133:1201" ht="48" customHeight="1" thickBot="1">
      <c r="BP103" s="130"/>
      <c r="BQ103" s="130"/>
      <c r="BR103" s="130"/>
      <c r="BS103" s="130"/>
      <c r="BX103" s="54"/>
      <c r="BY103" s="54"/>
      <c r="BZ103" s="850"/>
      <c r="CA103" s="861" t="s">
        <v>1078</v>
      </c>
      <c r="CB103" s="861"/>
      <c r="CC103" s="761">
        <f>$CN$54</f>
        <v>58.696468820435761</v>
      </c>
      <c r="CD103" s="761"/>
      <c r="CE103" s="770" t="s">
        <v>752</v>
      </c>
      <c r="CF103" s="770"/>
      <c r="CG103" s="1162"/>
      <c r="CH103" s="1162"/>
      <c r="CI103" s="1162"/>
      <c r="CJ103" s="770"/>
      <c r="CK103" s="770"/>
      <c r="CL103" s="770"/>
      <c r="CM103" s="771"/>
      <c r="CN103" s="1167">
        <f>CC103/(CC104*CM59*CK111)</f>
        <v>2.7697465468306794</v>
      </c>
      <c r="CO103" s="840"/>
      <c r="CP103" s="1075" t="s">
        <v>1716</v>
      </c>
      <c r="CQ103" s="1638"/>
      <c r="CR103" s="1076"/>
      <c r="CS103" s="841"/>
      <c r="CT103" s="843" t="s">
        <v>782</v>
      </c>
      <c r="CU103" s="844"/>
      <c r="CV103" s="847"/>
      <c r="CW103" s="68"/>
      <c r="CX103" s="64"/>
      <c r="CY103" s="64"/>
      <c r="CZ103" s="65"/>
      <c r="DH103" s="130"/>
      <c r="DI103" s="130"/>
      <c r="DJ103" s="130"/>
      <c r="DK103" s="130"/>
      <c r="DL103" s="130"/>
      <c r="DM103" s="130"/>
      <c r="DU103" s="162"/>
      <c r="DV103" s="158"/>
      <c r="DW103" s="54"/>
      <c r="DX103" s="158"/>
      <c r="DY103" s="158"/>
      <c r="DZ103" s="158"/>
      <c r="EA103" s="158"/>
      <c r="EB103" s="158"/>
      <c r="EC103" s="158"/>
      <c r="ED103" s="158"/>
      <c r="EE103" s="158"/>
      <c r="EF103" s="158"/>
      <c r="EG103" s="158"/>
      <c r="EH103" s="158"/>
      <c r="EI103" s="158"/>
      <c r="EJ103" s="158"/>
      <c r="EK103" s="158"/>
      <c r="EL103" s="158"/>
      <c r="EM103" s="158"/>
      <c r="EN103" s="158"/>
      <c r="EO103" s="158"/>
      <c r="EP103" s="158"/>
      <c r="EQ103" s="158"/>
      <c r="ER103" s="158"/>
      <c r="ES103" s="158"/>
      <c r="ET103" s="158"/>
      <c r="EU103" s="158"/>
      <c r="EV103" s="158"/>
      <c r="EW103" s="158"/>
      <c r="EX103" s="158"/>
      <c r="EY103" s="158"/>
      <c r="EZ103" s="158"/>
      <c r="FA103" s="158"/>
      <c r="FB103" s="158"/>
      <c r="FC103" s="158"/>
      <c r="FD103" s="158"/>
      <c r="FE103" s="158"/>
      <c r="FF103" s="163"/>
      <c r="FH103" s="653"/>
      <c r="FI103" s="653"/>
      <c r="FJ103" s="653"/>
      <c r="FK103" s="653"/>
      <c r="FL103" s="653"/>
      <c r="FM103" s="653"/>
      <c r="FN103" s="653"/>
      <c r="GF103" s="1052"/>
      <c r="GG103" s="861" t="s">
        <v>1239</v>
      </c>
      <c r="GH103" s="861"/>
      <c r="GI103" s="761">
        <f>$GQ$36</f>
        <v>450.86678861921405</v>
      </c>
      <c r="GJ103" s="1165"/>
      <c r="GK103" s="791" t="s">
        <v>1177</v>
      </c>
      <c r="GL103" s="792"/>
      <c r="GM103" s="792"/>
      <c r="GN103" s="792"/>
      <c r="GO103" s="792"/>
      <c r="GP103" s="792"/>
      <c r="GQ103" s="792"/>
      <c r="GR103" s="1167">
        <f>(GQ36/((GT98*10^(-6)))/10^6)</f>
        <v>2.5</v>
      </c>
      <c r="GS103" s="840"/>
      <c r="GT103" s="1253" t="s">
        <v>786</v>
      </c>
      <c r="GU103" s="1188"/>
      <c r="GV103" s="1189"/>
      <c r="GW103" s="1066"/>
      <c r="GX103" s="843" t="s">
        <v>813</v>
      </c>
      <c r="GY103" s="844"/>
      <c r="GZ103" s="847"/>
      <c r="HA103" s="826"/>
      <c r="HB103" s="945"/>
      <c r="HC103" s="946"/>
      <c r="JU103" s="653"/>
      <c r="JV103" s="653"/>
      <c r="JW103" s="653"/>
      <c r="LQ103" s="130"/>
      <c r="LR103" s="130"/>
      <c r="LS103" s="130"/>
      <c r="LT103" s="130"/>
      <c r="LU103" s="130"/>
      <c r="LV103" s="130"/>
      <c r="LW103" s="130"/>
      <c r="LX103" s="130"/>
      <c r="LY103" s="130"/>
      <c r="NA103" s="130"/>
      <c r="NB103" s="130"/>
      <c r="NC103" s="130"/>
      <c r="ND103" s="130"/>
      <c r="NE103" s="130"/>
      <c r="NF103" s="130"/>
      <c r="NG103" s="130"/>
      <c r="NH103" s="130"/>
      <c r="NI103" s="130"/>
      <c r="NJ103" s="130"/>
      <c r="NK103" s="130"/>
      <c r="NL103" s="130"/>
      <c r="NM103" s="130"/>
      <c r="NN103" s="130"/>
      <c r="NO103" s="130"/>
      <c r="NP103" s="130"/>
      <c r="NQ103" s="130"/>
      <c r="PL103" s="849"/>
      <c r="PM103" s="1257" t="s">
        <v>416</v>
      </c>
      <c r="PN103" s="1257"/>
      <c r="PO103" s="468"/>
      <c r="PP103" s="628" t="s">
        <v>1635</v>
      </c>
      <c r="PQ103" s="761">
        <f>$KL$53</f>
        <v>1.8500000000000003</v>
      </c>
      <c r="PR103" s="761"/>
      <c r="PS103" s="468"/>
      <c r="PT103" s="76" t="s">
        <v>441</v>
      </c>
      <c r="PU103" s="854" t="s">
        <v>435</v>
      </c>
      <c r="PV103" s="855"/>
      <c r="PW103" s="920" t="s">
        <v>111</v>
      </c>
      <c r="PX103" s="921"/>
      <c r="PY103" s="916" t="s">
        <v>704</v>
      </c>
      <c r="PZ103" s="917"/>
      <c r="QA103" s="906" t="s">
        <v>447</v>
      </c>
      <c r="QB103" s="907"/>
      <c r="QC103" s="907"/>
      <c r="QD103" s="907"/>
      <c r="QE103" s="908"/>
      <c r="QF103" s="906" t="s">
        <v>436</v>
      </c>
      <c r="QG103" s="907"/>
      <c r="QH103" s="907"/>
      <c r="QI103" s="907"/>
      <c r="QJ103" s="907"/>
      <c r="QK103" s="907"/>
      <c r="QL103" s="908"/>
      <c r="RE103" s="653"/>
      <c r="RF103" s="653"/>
      <c r="RG103" s="653"/>
      <c r="RH103" s="653"/>
      <c r="RI103" s="653"/>
      <c r="RJ103" s="653"/>
      <c r="RK103" s="653"/>
      <c r="RL103" s="653"/>
      <c r="RM103" s="653"/>
      <c r="RN103" s="653"/>
      <c r="RO103" s="653"/>
      <c r="RP103" s="653"/>
      <c r="RQ103" s="653"/>
      <c r="RR103" s="653"/>
      <c r="RS103" s="653"/>
      <c r="RT103" s="653"/>
      <c r="RU103" s="653"/>
      <c r="RV103" s="653"/>
      <c r="RW103" s="653"/>
      <c r="RX103" s="653"/>
      <c r="RY103" s="653"/>
      <c r="RZ103" s="653"/>
      <c r="SA103" s="653"/>
      <c r="SB103" s="653"/>
      <c r="SC103" s="653"/>
      <c r="SD103" s="653"/>
      <c r="SE103" s="653"/>
      <c r="SF103" s="653"/>
      <c r="SG103" s="653"/>
      <c r="SH103" s="653"/>
      <c r="SI103" s="653"/>
      <c r="SJ103" s="653"/>
      <c r="SK103" s="653"/>
      <c r="SL103" s="653"/>
      <c r="SM103" s="653"/>
      <c r="SN103" s="653"/>
      <c r="SO103" s="653"/>
      <c r="SP103" s="653"/>
      <c r="SQ103" s="653"/>
      <c r="SR103" s="653"/>
      <c r="SS103" s="653"/>
      <c r="ST103" s="653"/>
      <c r="SU103" s="653"/>
      <c r="SV103" s="653"/>
      <c r="SW103" s="653"/>
      <c r="SX103" s="653"/>
      <c r="SY103" s="653"/>
      <c r="SZ103" s="653"/>
      <c r="TA103" s="653"/>
      <c r="TB103" s="653"/>
      <c r="TC103" s="653"/>
      <c r="TD103" s="653"/>
      <c r="TE103" s="653"/>
      <c r="TF103" s="653"/>
      <c r="TG103" s="653"/>
      <c r="TH103" s="653"/>
      <c r="TI103" s="653"/>
      <c r="TJ103" s="653"/>
      <c r="TK103" s="653"/>
      <c r="TL103" s="653"/>
      <c r="TM103" s="653"/>
      <c r="TN103" s="653"/>
      <c r="TO103" s="653"/>
      <c r="TP103" s="653"/>
      <c r="TQ103" s="653"/>
      <c r="TR103" s="653"/>
      <c r="TS103" s="653"/>
      <c r="TT103" s="653"/>
      <c r="TU103" s="653"/>
      <c r="TV103" s="653"/>
      <c r="TW103" s="653"/>
      <c r="TX103" s="653"/>
      <c r="TY103" s="653"/>
      <c r="TZ103" s="653"/>
      <c r="UA103" s="653"/>
      <c r="UB103" s="653"/>
      <c r="UC103" s="653"/>
      <c r="UD103" s="653"/>
      <c r="UE103" s="653"/>
      <c r="UF103" s="653"/>
      <c r="UG103" s="653"/>
      <c r="UH103" s="653"/>
      <c r="UI103" s="653"/>
      <c r="UJ103" s="653"/>
      <c r="UK103" s="653"/>
      <c r="UL103" s="653"/>
      <c r="UM103" s="653"/>
      <c r="UN103" s="653"/>
      <c r="UO103" s="653"/>
      <c r="UP103" s="653"/>
      <c r="UQ103" s="653"/>
      <c r="UR103" s="653"/>
      <c r="US103" s="653"/>
      <c r="UT103" s="653"/>
      <c r="UU103" s="653"/>
      <c r="UV103" s="653"/>
      <c r="UW103" s="653"/>
      <c r="UX103" s="653"/>
      <c r="UY103" s="653"/>
      <c r="UZ103" s="653"/>
      <c r="VP103" s="130"/>
      <c r="VQ103" s="130"/>
      <c r="VR103" s="130"/>
      <c r="VS103" s="130"/>
      <c r="VT103" s="130"/>
      <c r="VU103" s="130"/>
      <c r="VV103" s="130"/>
      <c r="VW103" s="130"/>
      <c r="VX103" s="130"/>
      <c r="VY103" s="130"/>
      <c r="VZ103" s="130"/>
      <c r="WE103" s="754"/>
      <c r="WF103" s="755"/>
      <c r="WG103" s="169"/>
      <c r="WH103" s="170"/>
      <c r="WI103" s="170"/>
      <c r="WJ103" s="170"/>
      <c r="WK103" s="170"/>
      <c r="WL103" s="170"/>
      <c r="WM103" s="170"/>
      <c r="WN103" s="170"/>
      <c r="WO103" s="170"/>
      <c r="WP103" s="170"/>
      <c r="WQ103" s="170"/>
      <c r="WR103" s="170"/>
      <c r="WS103" s="170"/>
      <c r="WT103" s="170"/>
      <c r="WU103" s="170"/>
      <c r="WV103" s="170"/>
      <c r="WW103" s="170"/>
      <c r="WX103" s="170"/>
      <c r="WY103" s="172"/>
      <c r="WZ103" s="1135"/>
      <c r="XA103" s="1135"/>
      <c r="XB103" s="169"/>
      <c r="XC103" s="170"/>
      <c r="XD103" s="170"/>
      <c r="XE103" s="170"/>
      <c r="XF103" s="172"/>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7"/>
      <c r="AAU103" s="981"/>
      <c r="AAV103" s="981"/>
      <c r="AAW103" s="981"/>
      <c r="AAX103" s="981"/>
      <c r="AAY103" s="981"/>
      <c r="AAZ103" s="981"/>
      <c r="ABA103" s="981"/>
      <c r="ABB103" s="981"/>
      <c r="ABC103" s="158"/>
      <c r="ABD103" s="158"/>
      <c r="ABE103" s="158"/>
      <c r="ABF103" s="158"/>
      <c r="ABG103" s="158"/>
      <c r="ABH103" s="158"/>
      <c r="ABI103" s="158"/>
      <c r="ABJ103" s="158"/>
      <c r="ABK103" s="158"/>
      <c r="ABL103" s="158"/>
      <c r="ABM103" s="158"/>
      <c r="ABN103" s="158"/>
      <c r="ABO103" s="158"/>
      <c r="ABP103" s="163"/>
      <c r="ABT103" s="1527"/>
      <c r="ABU103" s="1527"/>
      <c r="ABV103" s="1527"/>
      <c r="ABW103" s="1527"/>
      <c r="ABX103" s="1527"/>
      <c r="ABY103" s="1527"/>
      <c r="ABZ103" s="1527"/>
      <c r="ACA103" s="1527"/>
      <c r="ACB103" s="1527"/>
      <c r="ACC103" s="1527"/>
      <c r="ACD103" s="1527"/>
      <c r="ACE103" s="1527"/>
      <c r="ACF103" s="1527"/>
      <c r="ACG103" s="1527"/>
      <c r="ACH103" s="1527"/>
      <c r="ACJ103" s="759">
        <v>0.5</v>
      </c>
      <c r="ACK103" s="760"/>
      <c r="ACL103" s="759">
        <v>-0.5</v>
      </c>
      <c r="ACM103" s="760"/>
      <c r="ACN103" s="591">
        <v>19</v>
      </c>
      <c r="ACO103" s="759">
        <f t="shared" si="91"/>
        <v>9.4999999999999973E-2</v>
      </c>
      <c r="ACP103" s="760"/>
      <c r="ACQ103" s="757">
        <f t="shared" si="82"/>
        <v>1.19</v>
      </c>
      <c r="ACR103" s="758"/>
      <c r="ACT103" s="759">
        <v>1.5454545454545501</v>
      </c>
      <c r="ACU103" s="760"/>
      <c r="ACV103" s="759">
        <v>-2.1818181818181799</v>
      </c>
      <c r="ACW103" s="760"/>
      <c r="ACX103" s="591">
        <v>69</v>
      </c>
      <c r="ACY103" s="759">
        <f t="shared" si="92"/>
        <v>0.43000000000000949</v>
      </c>
      <c r="ACZ103" s="760"/>
      <c r="ADA103" s="757">
        <f t="shared" si="83"/>
        <v>1.69</v>
      </c>
      <c r="ADB103" s="758"/>
      <c r="ADD103" s="759">
        <v>1.5454545454545501</v>
      </c>
      <c r="ADE103" s="760"/>
      <c r="ADF103" s="759">
        <v>-2.1818181818181799</v>
      </c>
      <c r="ADG103" s="760"/>
      <c r="ADH103" s="591">
        <v>118</v>
      </c>
      <c r="ADI103" s="759">
        <f t="shared" si="93"/>
        <v>1.187272727272739</v>
      </c>
      <c r="ADJ103" s="760"/>
      <c r="ADK103" s="757">
        <f t="shared" si="84"/>
        <v>2.1799999999999997</v>
      </c>
      <c r="ADL103" s="758"/>
      <c r="ADN103" s="759">
        <v>1.5454545454545501</v>
      </c>
      <c r="ADO103" s="760"/>
      <c r="ADP103" s="759">
        <v>-2.1818181818181799</v>
      </c>
      <c r="ADQ103" s="760"/>
      <c r="ADR103" s="591">
        <v>168</v>
      </c>
      <c r="ADS103" s="759">
        <f t="shared" si="94"/>
        <v>1.9600000000000142</v>
      </c>
      <c r="ADT103" s="760"/>
      <c r="ADU103" s="757">
        <f t="shared" si="85"/>
        <v>2.6799999999999997</v>
      </c>
      <c r="ADV103" s="758"/>
      <c r="ADW103" s="653"/>
      <c r="ADX103" s="759">
        <v>1.5454545454545501</v>
      </c>
      <c r="ADY103" s="760"/>
      <c r="ADZ103" s="759">
        <v>-2.1818181818181799</v>
      </c>
      <c r="AEA103" s="760"/>
      <c r="AEB103" s="591">
        <v>218</v>
      </c>
      <c r="AEC103" s="759">
        <f t="shared" si="95"/>
        <v>2.7327272727272893</v>
      </c>
      <c r="AED103" s="760"/>
      <c r="AEE103" s="757">
        <f t="shared" si="86"/>
        <v>3.18</v>
      </c>
      <c r="AEF103" s="758"/>
      <c r="AEH103" s="759">
        <v>1.5454545454545501</v>
      </c>
      <c r="AEI103" s="760"/>
      <c r="AEJ103" s="759">
        <v>-2.1818181818181799</v>
      </c>
      <c r="AEK103" s="760"/>
      <c r="AEL103" s="591">
        <v>268</v>
      </c>
      <c r="AEM103" s="759">
        <f t="shared" si="101"/>
        <v>3.5054545454545645</v>
      </c>
      <c r="AEN103" s="760"/>
      <c r="AEO103" s="757">
        <f t="shared" si="87"/>
        <v>3.68</v>
      </c>
      <c r="AEP103" s="758"/>
      <c r="AFI103" s="653"/>
      <c r="AFJ103" s="653"/>
      <c r="AFK103" s="653"/>
      <c r="AFL103" s="653"/>
      <c r="AFM103" s="653"/>
      <c r="AFN103" s="653"/>
      <c r="AFO103" s="653"/>
      <c r="AFP103" s="653"/>
      <c r="AFQ103" s="653"/>
      <c r="AFR103" s="653"/>
      <c r="AFS103" s="653"/>
      <c r="AFT103" s="653"/>
      <c r="AFU103" s="653"/>
      <c r="AFV103" s="653"/>
      <c r="AFW103" s="653"/>
      <c r="AFX103" s="653"/>
      <c r="AFY103" s="653"/>
      <c r="AFZ103" s="653"/>
      <c r="AGA103" s="653"/>
      <c r="AGB103" s="653"/>
      <c r="AGC103" s="653"/>
      <c r="AGD103" s="653"/>
      <c r="AGE103" s="653"/>
      <c r="AGF103" s="653"/>
      <c r="AGG103" s="653"/>
      <c r="AGH103" s="653"/>
      <c r="AGI103" s="653"/>
      <c r="AGJ103" s="653"/>
      <c r="AGL103" s="897" t="s">
        <v>974</v>
      </c>
      <c r="AGM103" s="898"/>
      <c r="AGN103" s="899"/>
      <c r="AGO103" s="849"/>
      <c r="AGP103" s="852" t="s">
        <v>416</v>
      </c>
      <c r="AGQ103" s="853"/>
      <c r="AGR103" s="422"/>
      <c r="AGS103" s="806" t="s">
        <v>1843</v>
      </c>
      <c r="AGT103" s="807"/>
      <c r="AGU103" s="808"/>
      <c r="AGV103" s="75" t="s">
        <v>702</v>
      </c>
      <c r="AGW103" s="422"/>
      <c r="AGX103" s="76" t="s">
        <v>441</v>
      </c>
      <c r="AGY103" s="854" t="s">
        <v>435</v>
      </c>
      <c r="AGZ103" s="855"/>
      <c r="AHA103" s="920" t="s">
        <v>111</v>
      </c>
      <c r="AHB103" s="921"/>
      <c r="AHC103" s="916" t="s">
        <v>704</v>
      </c>
      <c r="AHD103" s="917"/>
      <c r="AHE103" s="906" t="s">
        <v>447</v>
      </c>
      <c r="AHF103" s="907"/>
      <c r="AHG103" s="907"/>
      <c r="AHH103" s="908"/>
      <c r="AHI103" s="906" t="s">
        <v>1238</v>
      </c>
      <c r="AHJ103" s="907"/>
      <c r="AHK103" s="907"/>
      <c r="AHL103" s="908"/>
      <c r="AHQ103" s="689"/>
      <c r="ARU103" s="850"/>
      <c r="ARV103" s="843" t="s">
        <v>903</v>
      </c>
      <c r="ARW103" s="1327"/>
      <c r="ARX103" s="1327"/>
      <c r="ARY103" s="1327"/>
      <c r="ARZ103" s="1327"/>
      <c r="ASA103" s="1327"/>
      <c r="ASB103" s="1327"/>
      <c r="ASC103" s="1327"/>
      <c r="ASD103" s="1327"/>
      <c r="ASE103" s="1327"/>
      <c r="ASF103" s="1327"/>
      <c r="ASG103" s="1327"/>
      <c r="ASH103" s="1854"/>
      <c r="ASI103" s="835">
        <f>ASL111*MP43+ASI107</f>
        <v>10.048632562593236</v>
      </c>
      <c r="ASJ103" s="836"/>
      <c r="ASK103" s="839"/>
      <c r="ASL103" s="840"/>
      <c r="ASM103" s="1066"/>
      <c r="ASN103" s="843" t="s">
        <v>903</v>
      </c>
      <c r="ASO103" s="844"/>
      <c r="ASP103" s="847"/>
    </row>
    <row r="104" spans="34:904 1133:1201" ht="48" customHeight="1" thickBot="1">
      <c r="BP104" s="130"/>
      <c r="BQ104" s="130"/>
      <c r="BR104" s="130"/>
      <c r="BS104" s="130"/>
      <c r="BZ104" s="851"/>
      <c r="CA104" s="1163" t="s">
        <v>739</v>
      </c>
      <c r="CB104" s="1163"/>
      <c r="CC104" s="879">
        <f>$CM$59</f>
        <v>2</v>
      </c>
      <c r="CD104" s="879"/>
      <c r="CE104" s="772"/>
      <c r="CF104" s="772"/>
      <c r="CG104" s="772"/>
      <c r="CH104" s="772"/>
      <c r="CI104" s="772"/>
      <c r="CJ104" s="772"/>
      <c r="CK104" s="772"/>
      <c r="CL104" s="772"/>
      <c r="CM104" s="773"/>
      <c r="CN104" s="1169"/>
      <c r="CO104" s="799"/>
      <c r="CP104" s="1077"/>
      <c r="CQ104" s="1639"/>
      <c r="CR104" s="1078"/>
      <c r="CS104" s="842"/>
      <c r="CT104" s="845"/>
      <c r="CU104" s="846"/>
      <c r="CV104" s="848"/>
      <c r="CW104" s="81"/>
      <c r="CX104" s="79"/>
      <c r="CY104" s="79"/>
      <c r="CZ104" s="80"/>
      <c r="DH104" s="130"/>
      <c r="DI104" s="130"/>
      <c r="DJ104" s="130"/>
      <c r="DK104" s="130"/>
      <c r="DL104" s="130"/>
      <c r="DM104" s="130"/>
      <c r="DU104" s="162"/>
      <c r="DV104" s="158"/>
      <c r="DW104" s="54"/>
      <c r="DX104" s="158"/>
      <c r="DY104" s="158"/>
      <c r="DZ104" s="76" t="s">
        <v>1654</v>
      </c>
      <c r="EA104" s="852" t="s">
        <v>416</v>
      </c>
      <c r="EB104" s="853"/>
      <c r="EC104" s="715"/>
      <c r="ED104" s="78"/>
      <c r="EE104" s="78"/>
      <c r="EF104" s="78"/>
      <c r="EG104" s="78"/>
      <c r="EH104" s="715"/>
      <c r="EI104" s="76" t="s">
        <v>441</v>
      </c>
      <c r="EJ104" s="854" t="s">
        <v>435</v>
      </c>
      <c r="EK104" s="855"/>
      <c r="EL104" s="920" t="s">
        <v>111</v>
      </c>
      <c r="EM104" s="921"/>
      <c r="EN104" s="916" t="s">
        <v>704</v>
      </c>
      <c r="EO104" s="917"/>
      <c r="EP104" s="906" t="s">
        <v>447</v>
      </c>
      <c r="EQ104" s="907"/>
      <c r="ER104" s="907"/>
      <c r="ES104" s="908"/>
      <c r="ET104" s="1051" t="s">
        <v>436</v>
      </c>
      <c r="EU104" s="1051"/>
      <c r="EV104" s="1051"/>
      <c r="EW104" s="1051"/>
      <c r="EX104" s="1051"/>
      <c r="EY104" s="1051"/>
      <c r="EZ104" s="1051"/>
      <c r="FA104" s="1051"/>
      <c r="FB104" s="1051"/>
      <c r="FC104" s="158"/>
      <c r="FD104" s="158"/>
      <c r="FE104" s="158"/>
      <c r="FF104" s="163"/>
      <c r="FH104" s="653"/>
      <c r="FI104" s="653"/>
      <c r="FJ104" s="653"/>
      <c r="FK104" s="653"/>
      <c r="FL104" s="653"/>
      <c r="FM104" s="653"/>
      <c r="FN104" s="653"/>
      <c r="FV104" s="130"/>
      <c r="FW104" s="130"/>
      <c r="FX104" s="130"/>
      <c r="FY104" s="130"/>
      <c r="FZ104" s="130"/>
      <c r="GA104" s="130"/>
      <c r="GB104" s="130"/>
      <c r="GC104" s="6"/>
      <c r="GD104" s="3"/>
      <c r="GE104" s="3"/>
      <c r="GF104" s="1053"/>
      <c r="GG104" s="1163" t="s">
        <v>1343</v>
      </c>
      <c r="GH104" s="1163"/>
      <c r="GI104" s="1187">
        <f>$GM$48</f>
        <v>180.34671544768563</v>
      </c>
      <c r="GJ104" s="1187"/>
      <c r="GK104" s="794"/>
      <c r="GL104" s="795"/>
      <c r="GM104" s="795"/>
      <c r="GN104" s="795"/>
      <c r="GO104" s="795"/>
      <c r="GP104" s="795"/>
      <c r="GQ104" s="795"/>
      <c r="GR104" s="1169"/>
      <c r="GS104" s="799"/>
      <c r="GT104" s="1254"/>
      <c r="GU104" s="1190"/>
      <c r="GV104" s="1191"/>
      <c r="GW104" s="1067"/>
      <c r="GX104" s="845"/>
      <c r="GY104" s="846"/>
      <c r="GZ104" s="848"/>
      <c r="HA104" s="828"/>
      <c r="HB104" s="949"/>
      <c r="HC104" s="950"/>
      <c r="HP104" s="210"/>
      <c r="JU104" s="653"/>
      <c r="JV104" s="653"/>
      <c r="JW104" s="653"/>
      <c r="JX104" s="849"/>
      <c r="JY104" s="852" t="s">
        <v>416</v>
      </c>
      <c r="JZ104" s="923"/>
      <c r="KA104" s="151"/>
      <c r="KB104" s="321" t="s">
        <v>1179</v>
      </c>
      <c r="KC104" s="761">
        <f>$KL$99</f>
        <v>16.250799463770147</v>
      </c>
      <c r="KD104" s="761"/>
      <c r="KE104" s="321" t="s">
        <v>1078</v>
      </c>
      <c r="KF104" s="761">
        <f>$CN$54</f>
        <v>58.696468820435761</v>
      </c>
      <c r="KG104" s="761"/>
      <c r="KH104" s="151"/>
      <c r="KI104" s="76" t="s">
        <v>441</v>
      </c>
      <c r="KJ104" s="854" t="s">
        <v>435</v>
      </c>
      <c r="KK104" s="1111"/>
      <c r="KL104" s="920" t="s">
        <v>111</v>
      </c>
      <c r="KM104" s="921"/>
      <c r="KN104" s="916" t="s">
        <v>704</v>
      </c>
      <c r="KO104" s="917"/>
      <c r="KP104" s="906" t="s">
        <v>447</v>
      </c>
      <c r="KQ104" s="907"/>
      <c r="KR104" s="907"/>
      <c r="KS104" s="907"/>
      <c r="KT104" s="908"/>
      <c r="KU104" s="1051" t="s">
        <v>436</v>
      </c>
      <c r="KV104" s="1051"/>
      <c r="KW104" s="1051"/>
      <c r="KX104" s="1051"/>
      <c r="LQ104" s="130"/>
      <c r="LR104" s="130"/>
      <c r="LS104" s="130"/>
      <c r="LT104" s="130"/>
      <c r="LU104" s="130"/>
      <c r="LV104" s="130"/>
      <c r="LW104" s="130"/>
      <c r="LX104" s="130"/>
      <c r="LY104" s="130"/>
      <c r="NG104" s="130"/>
      <c r="NH104" s="130"/>
      <c r="NI104" s="130"/>
      <c r="NJ104" s="130"/>
      <c r="NK104" s="130"/>
      <c r="NL104" s="130"/>
      <c r="NM104" s="130"/>
      <c r="NN104" s="130"/>
      <c r="NO104" s="130"/>
      <c r="NP104" s="130"/>
      <c r="NQ104" s="130"/>
      <c r="PL104" s="850"/>
      <c r="PM104" s="497" t="s">
        <v>725</v>
      </c>
      <c r="PN104" s="761">
        <f>$GU$12</f>
        <v>0.8</v>
      </c>
      <c r="PO104" s="761"/>
      <c r="PP104" s="809" t="s">
        <v>164</v>
      </c>
      <c r="PQ104" s="797"/>
      <c r="PR104" s="797"/>
      <c r="PS104" s="797"/>
      <c r="PT104" s="797"/>
      <c r="PU104" s="797"/>
      <c r="PV104" s="797"/>
      <c r="PW104" s="835">
        <f>((PN105*PN104)/(2*PN106))*PQ103/1000</f>
        <v>0.12829914234058643</v>
      </c>
      <c r="PX104" s="836"/>
      <c r="PY104" s="1075" t="s">
        <v>17</v>
      </c>
      <c r="PZ104" s="1076"/>
      <c r="QA104" s="841"/>
      <c r="QB104" s="1170" t="s">
        <v>1575</v>
      </c>
      <c r="QC104" s="1171"/>
      <c r="QD104" s="1172"/>
      <c r="QE104" s="847"/>
      <c r="QF104" s="826"/>
      <c r="QG104" s="945"/>
      <c r="QH104" s="945"/>
      <c r="QI104" s="945"/>
      <c r="QJ104" s="945"/>
      <c r="QK104" s="945"/>
      <c r="QL104" s="946"/>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P104" s="130"/>
      <c r="VQ104" s="130"/>
      <c r="VR104" s="130"/>
      <c r="VS104" s="130"/>
      <c r="VT104" s="130"/>
      <c r="VU104" s="130"/>
      <c r="VV104" s="130"/>
      <c r="VW104" s="130"/>
      <c r="VX104" s="130"/>
      <c r="VY104" s="130"/>
      <c r="VZ104" s="130"/>
      <c r="WC104" s="653"/>
      <c r="WD104" s="653"/>
      <c r="WE104" s="752">
        <v>6</v>
      </c>
      <c r="WF104" s="753"/>
      <c r="WG104" s="1325" t="s">
        <v>1240</v>
      </c>
      <c r="WH104" s="1325"/>
      <c r="WI104" s="1325"/>
      <c r="WJ104" s="1325"/>
      <c r="WK104" s="1526">
        <f>$MP$59</f>
        <v>7.2450292500398427E-5</v>
      </c>
      <c r="WL104" s="1526"/>
      <c r="WM104" s="167"/>
      <c r="WN104" s="168"/>
      <c r="WO104" s="168"/>
      <c r="WP104" s="168"/>
      <c r="WQ104" s="168"/>
      <c r="WR104" s="168"/>
      <c r="WS104" s="168"/>
      <c r="WT104" s="168"/>
      <c r="WU104" s="168"/>
      <c r="WV104" s="168"/>
      <c r="WW104" s="168"/>
      <c r="WX104" s="168"/>
      <c r="WY104" s="171"/>
      <c r="WZ104" s="1135" t="s">
        <v>729</v>
      </c>
      <c r="XA104" s="1135"/>
      <c r="XB104" s="167"/>
      <c r="XC104" s="168"/>
      <c r="XD104" s="168"/>
      <c r="XE104" s="168"/>
      <c r="XF104" s="171"/>
      <c r="XG104" s="1004">
        <f>1+($WK$105/$WK$104)*(XG101-1)</f>
        <v>1.9454457634017159</v>
      </c>
      <c r="XH104" s="1004">
        <f t="shared" ref="XH104:ZS104" si="127">1+($WK$105/$WK$104)*(XH101-1)</f>
        <v>1.9454457634017159</v>
      </c>
      <c r="XI104" s="1004">
        <f t="shared" si="127"/>
        <v>1.9454457634017159</v>
      </c>
      <c r="XJ104" s="1004">
        <f t="shared" si="127"/>
        <v>1.9454457634017159</v>
      </c>
      <c r="XK104" s="1004">
        <f t="shared" si="127"/>
        <v>1.9454457634017159</v>
      </c>
      <c r="XL104" s="1004">
        <f t="shared" si="127"/>
        <v>1.9454457634017159</v>
      </c>
      <c r="XM104" s="1004">
        <f t="shared" si="127"/>
        <v>1.9454457634017159</v>
      </c>
      <c r="XN104" s="1004">
        <f t="shared" si="127"/>
        <v>1.9454457634017159</v>
      </c>
      <c r="XO104" s="1004">
        <f t="shared" si="127"/>
        <v>1.9376082763455598</v>
      </c>
      <c r="XP104" s="1004">
        <f t="shared" si="127"/>
        <v>1.9183327861378432</v>
      </c>
      <c r="XQ104" s="1004">
        <f t="shared" si="127"/>
        <v>1.9069806771583684</v>
      </c>
      <c r="XR104" s="1004">
        <f t="shared" si="127"/>
        <v>1.8702482524575137</v>
      </c>
      <c r="XS104" s="1004">
        <f t="shared" si="127"/>
        <v>1.8351339962456827</v>
      </c>
      <c r="XT104" s="1004">
        <f t="shared" si="127"/>
        <v>1.856014437885932</v>
      </c>
      <c r="XU104" s="1004">
        <f t="shared" si="127"/>
        <v>1.8015332855602246</v>
      </c>
      <c r="XV104" s="1004">
        <f t="shared" si="127"/>
        <v>1.7384972415470095</v>
      </c>
      <c r="XW104" s="1004">
        <f t="shared" si="127"/>
        <v>1.6916992824715984</v>
      </c>
      <c r="XX104" s="1004">
        <f t="shared" si="127"/>
        <v>1.6478035224086163</v>
      </c>
      <c r="XY104" s="1004">
        <f t="shared" si="127"/>
        <v>1.6065481088155873</v>
      </c>
      <c r="XZ104" s="1004">
        <f t="shared" si="127"/>
        <v>1.5677017704688669</v>
      </c>
      <c r="YA104" s="1004">
        <f t="shared" si="127"/>
        <v>1.6306209440958623</v>
      </c>
      <c r="YB104" s="1004">
        <f t="shared" si="127"/>
        <v>1.569418236581853</v>
      </c>
      <c r="YC104" s="1004">
        <f t="shared" si="127"/>
        <v>1.5135070536844486</v>
      </c>
      <c r="YD104" s="1004">
        <f t="shared" si="127"/>
        <v>1.4746463716059719</v>
      </c>
      <c r="YE104" s="1004">
        <f t="shared" si="127"/>
        <v>1.4264762747506188</v>
      </c>
      <c r="YF104" s="1004">
        <f t="shared" si="127"/>
        <v>1.3928152432131433</v>
      </c>
      <c r="YG104" s="1004">
        <f t="shared" si="127"/>
        <v>1.350883002932334</v>
      </c>
      <c r="YH104" s="1004">
        <f t="shared" si="127"/>
        <v>1.3214437327351873</v>
      </c>
      <c r="YI104" s="1004">
        <f t="shared" si="127"/>
        <v>1.2935741465736434</v>
      </c>
      <c r="YJ104" s="1004">
        <f t="shared" si="127"/>
        <v>1.2586468913605897</v>
      </c>
      <c r="YK104" s="1004">
        <f t="shared" si="127"/>
        <v>1.233985533379818</v>
      </c>
      <c r="YL104" s="1004">
        <f t="shared" si="127"/>
        <v>1.2105317887039131</v>
      </c>
      <c r="YM104" s="1004">
        <f t="shared" si="127"/>
        <v>1.1881990758728735</v>
      </c>
      <c r="YN104" s="1004">
        <f t="shared" si="127"/>
        <v>1.1669088970046564</v>
      </c>
      <c r="YO104" s="1004">
        <f t="shared" si="127"/>
        <v>1.1465899159202304</v>
      </c>
      <c r="YP104" s="1004">
        <f t="shared" si="127"/>
        <v>1.1271771596152584</v>
      </c>
      <c r="YQ104" s="1004">
        <f t="shared" si="127"/>
        <v>1.1086113242440365</v>
      </c>
      <c r="YR104" s="1004">
        <f t="shared" si="127"/>
        <v>1.0908381699979148</v>
      </c>
      <c r="YS104" s="1004">
        <f t="shared" si="127"/>
        <v>1.0738079918719181</v>
      </c>
      <c r="YT104" s="1004">
        <f t="shared" si="127"/>
        <v>1.0628446139298524</v>
      </c>
      <c r="YU104" s="1004">
        <f t="shared" si="127"/>
        <v>1.0469531433286794</v>
      </c>
      <c r="YV104" s="1004">
        <f t="shared" si="127"/>
        <v>1.0316909157404413</v>
      </c>
      <c r="YW104" s="1004">
        <f t="shared" si="127"/>
        <v>1.017021283208922</v>
      </c>
      <c r="YX104" s="1004">
        <f t="shared" si="127"/>
        <v>1.0075539217154501</v>
      </c>
      <c r="YY104" s="1004">
        <f t="shared" si="127"/>
        <v>0.99379797113837531</v>
      </c>
      <c r="YZ104" s="1004">
        <f t="shared" si="127"/>
        <v>0.98491120627175832</v>
      </c>
      <c r="ZA104" s="1004">
        <f t="shared" si="127"/>
        <v>0.97198615819260259</v>
      </c>
      <c r="ZB104" s="1004">
        <f t="shared" si="127"/>
        <v>0.95952401562751777</v>
      </c>
      <c r="ZC104" s="1004">
        <f t="shared" si="127"/>
        <v>0.9514609546155951</v>
      </c>
      <c r="ZD104" s="1004">
        <f t="shared" si="127"/>
        <v>0.93971687120511616</v>
      </c>
      <c r="ZE104" s="1004">
        <f t="shared" si="127"/>
        <v>0.93211178225129432</v>
      </c>
      <c r="ZF104" s="1004">
        <f t="shared" si="127"/>
        <v>0.92467901787222728</v>
      </c>
      <c r="ZG104" s="1004">
        <f t="shared" si="127"/>
        <v>0.91384038161107994</v>
      </c>
      <c r="ZH104" s="1004">
        <f t="shared" si="127"/>
        <v>0.90681364853272517</v>
      </c>
      <c r="ZI104" s="1004">
        <f t="shared" si="127"/>
        <v>0.8965591429437203</v>
      </c>
      <c r="ZJ104" s="1004">
        <f t="shared" si="127"/>
        <v>0.88990605679893575</v>
      </c>
      <c r="ZK104" s="1004">
        <f t="shared" si="127"/>
        <v>0.88339412817609964</v>
      </c>
      <c r="ZL104" s="1004">
        <f t="shared" si="127"/>
        <v>0.8738812324468247</v>
      </c>
      <c r="ZM104" s="1004">
        <f t="shared" si="127"/>
        <v>0.86770315122852126</v>
      </c>
      <c r="ZN104" s="1004">
        <f t="shared" si="127"/>
        <v>0.86165145674994281</v>
      </c>
      <c r="ZO104" s="1004">
        <f t="shared" si="127"/>
        <v>0.85572230998564114</v>
      </c>
      <c r="ZP104" s="1004">
        <f t="shared" si="127"/>
        <v>0.84705034584166761</v>
      </c>
      <c r="ZQ104" s="1004">
        <f t="shared" si="127"/>
        <v>0.84141176406308993</v>
      </c>
      <c r="ZR104" s="1004">
        <f t="shared" si="127"/>
        <v>0.83588345653269847</v>
      </c>
      <c r="ZS104" s="1004">
        <f t="shared" si="127"/>
        <v>0.83046221961240874</v>
      </c>
      <c r="ZT104" s="1004">
        <f t="shared" ref="ZT104:AAS104" si="128">1+($WK$105/$WK$104)*(ZT101-1)</f>
        <v>0.82514497256816399</v>
      </c>
      <c r="ZU104" s="1004">
        <f t="shared" si="128"/>
        <v>0.81735763064421652</v>
      </c>
      <c r="ZV104" s="1004">
        <f t="shared" si="128"/>
        <v>0.81228763484616429</v>
      </c>
      <c r="ZW104" s="1004">
        <f t="shared" si="128"/>
        <v>0.80731173285659141</v>
      </c>
      <c r="ZX104" s="1004">
        <f t="shared" si="128"/>
        <v>0.80242732933518801</v>
      </c>
      <c r="ZY104" s="1004">
        <f t="shared" si="128"/>
        <v>0.79763192351996237</v>
      </c>
      <c r="ZZ104" s="1004">
        <f t="shared" si="128"/>
        <v>0.79292310495790597</v>
      </c>
      <c r="AAA104" s="1004">
        <f t="shared" si="128"/>
        <v>0.78829854946485467</v>
      </c>
      <c r="AAB104" s="1004">
        <f t="shared" si="128"/>
        <v>0.78375601530031869</v>
      </c>
      <c r="AAC104" s="1004">
        <f t="shared" si="128"/>
        <v>0.77929333954405278</v>
      </c>
      <c r="AAD104" s="1004">
        <f t="shared" si="128"/>
        <v>0.77490843466206305</v>
      </c>
      <c r="AAE104" s="1004">
        <f t="shared" si="128"/>
        <v>0.77059928525059562</v>
      </c>
      <c r="AAF104" s="1004">
        <f t="shared" si="128"/>
        <v>0.76636394494743543</v>
      </c>
      <c r="AAG104" s="1004">
        <f t="shared" si="128"/>
        <v>0.7622005335005726</v>
      </c>
      <c r="AAH104" s="1004">
        <f t="shared" si="128"/>
        <v>0.75810723398495961</v>
      </c>
      <c r="AAI104" s="1004">
        <f t="shared" si="128"/>
        <v>0.75408229015870343</v>
      </c>
      <c r="AAJ104" s="1004">
        <f t="shared" si="128"/>
        <v>0.75012400395061252</v>
      </c>
      <c r="AAK104" s="1004">
        <f t="shared" si="128"/>
        <v>0.74623073307154331</v>
      </c>
      <c r="AAL104" s="1004">
        <f t="shared" si="128"/>
        <v>0.74240088874249244</v>
      </c>
      <c r="AAM104" s="1004">
        <f t="shared" si="128"/>
        <v>0.73863293353282733</v>
      </c>
      <c r="AAN104" s="1004">
        <f t="shared" si="128"/>
        <v>0.73492537930247803</v>
      </c>
      <c r="AAO104" s="1004">
        <f t="shared" si="128"/>
        <v>0.73127678524230266</v>
      </c>
      <c r="AAP104" s="1004">
        <f t="shared" si="128"/>
        <v>0.72768575600720653</v>
      </c>
      <c r="AAQ104" s="1004">
        <f t="shared" si="128"/>
        <v>0.72591140414572386</v>
      </c>
      <c r="AAR104" s="1004">
        <f t="shared" si="128"/>
        <v>0.72240420097076852</v>
      </c>
      <c r="AAS104" s="1004">
        <f t="shared" si="128"/>
        <v>0.71895126169021517</v>
      </c>
      <c r="AAT104" s="1005">
        <v>6</v>
      </c>
      <c r="AAU104" s="981"/>
      <c r="AAV104" s="981"/>
      <c r="AAW104" s="981"/>
      <c r="AAX104" s="981"/>
      <c r="AAY104" s="981"/>
      <c r="AAZ104" s="981"/>
      <c r="ABA104" s="981"/>
      <c r="ABB104" s="981"/>
      <c r="ABC104" s="158"/>
      <c r="ABD104" s="158"/>
      <c r="ABE104" s="158"/>
      <c r="ABF104" s="158"/>
      <c r="ABG104" s="158"/>
      <c r="ABH104" s="158"/>
      <c r="ABI104" s="158"/>
      <c r="ABJ104" s="158"/>
      <c r="ABK104" s="158"/>
      <c r="ABL104" s="158"/>
      <c r="ABM104" s="158"/>
      <c r="ABN104" s="158"/>
      <c r="ABO104" s="158"/>
      <c r="ABP104" s="163"/>
      <c r="ABT104" s="1527"/>
      <c r="ABU104" s="1527"/>
      <c r="ABV104" s="1527"/>
      <c r="ABW104" s="1527"/>
      <c r="ABX104" s="1527"/>
      <c r="ABY104" s="1527"/>
      <c r="ABZ104" s="1527"/>
      <c r="ACA104" s="1527"/>
      <c r="ACB104" s="1527"/>
      <c r="ACC104" s="1527"/>
      <c r="ACD104" s="1527"/>
      <c r="ACE104" s="1527"/>
      <c r="ACF104" s="1527"/>
      <c r="ACG104" s="1527"/>
      <c r="ACH104" s="1527"/>
      <c r="ACJ104" s="759">
        <v>0.5</v>
      </c>
      <c r="ACK104" s="760"/>
      <c r="ACL104" s="759">
        <v>-0.5</v>
      </c>
      <c r="ACM104" s="760"/>
      <c r="ACN104" s="591">
        <v>20</v>
      </c>
      <c r="ACO104" s="759">
        <f t="shared" si="91"/>
        <v>9.9999999999999978E-2</v>
      </c>
      <c r="ACP104" s="760"/>
      <c r="ACQ104" s="757">
        <f t="shared" si="82"/>
        <v>1.2</v>
      </c>
      <c r="ACR104" s="758"/>
      <c r="ACT104" s="759">
        <v>1.5454545454545501</v>
      </c>
      <c r="ACU104" s="760"/>
      <c r="ACV104" s="759">
        <v>-2.1818181818181799</v>
      </c>
      <c r="ACW104" s="760"/>
      <c r="ACX104" s="591">
        <v>70</v>
      </c>
      <c r="ACY104" s="759">
        <f t="shared" si="92"/>
        <v>0.44545454545455554</v>
      </c>
      <c r="ACZ104" s="760"/>
      <c r="ADA104" s="757">
        <f t="shared" si="83"/>
        <v>1.7000000000000002</v>
      </c>
      <c r="ADB104" s="758"/>
      <c r="ADD104" s="759">
        <v>1.5454545454545501</v>
      </c>
      <c r="ADE104" s="760"/>
      <c r="ADF104" s="759">
        <v>-2.1818181818181799</v>
      </c>
      <c r="ADG104" s="760"/>
      <c r="ADH104" s="591">
        <v>119</v>
      </c>
      <c r="ADI104" s="759">
        <f t="shared" si="93"/>
        <v>1.2027272727272846</v>
      </c>
      <c r="ADJ104" s="760"/>
      <c r="ADK104" s="757">
        <f t="shared" si="84"/>
        <v>2.19</v>
      </c>
      <c r="ADL104" s="758"/>
      <c r="ADN104" s="759">
        <v>1.5454545454545501</v>
      </c>
      <c r="ADO104" s="760"/>
      <c r="ADP104" s="759">
        <v>-2.1818181818181799</v>
      </c>
      <c r="ADQ104" s="760"/>
      <c r="ADR104" s="591">
        <v>169</v>
      </c>
      <c r="ADS104" s="759">
        <f t="shared" si="94"/>
        <v>1.9754545454545598</v>
      </c>
      <c r="ADT104" s="760"/>
      <c r="ADU104" s="757">
        <f t="shared" si="85"/>
        <v>2.69</v>
      </c>
      <c r="ADV104" s="758"/>
      <c r="ADW104" s="653"/>
      <c r="ADX104" s="759">
        <v>1.5454545454545501</v>
      </c>
      <c r="ADY104" s="760"/>
      <c r="ADZ104" s="759">
        <v>-2.1818181818181799</v>
      </c>
      <c r="AEA104" s="760"/>
      <c r="AEB104" s="591">
        <v>219</v>
      </c>
      <c r="AEC104" s="759">
        <f t="shared" si="95"/>
        <v>2.7481818181818349</v>
      </c>
      <c r="AED104" s="760"/>
      <c r="AEE104" s="757">
        <f t="shared" si="86"/>
        <v>3.19</v>
      </c>
      <c r="AEF104" s="758"/>
      <c r="AEH104" s="759">
        <v>1.5454545454545501</v>
      </c>
      <c r="AEI104" s="760"/>
      <c r="AEJ104" s="759">
        <v>-2.1818181818181799</v>
      </c>
      <c r="AEK104" s="760"/>
      <c r="AEL104" s="591">
        <v>269</v>
      </c>
      <c r="AEM104" s="759">
        <f t="shared" si="101"/>
        <v>3.5209090909091101</v>
      </c>
      <c r="AEN104" s="760"/>
      <c r="AEO104" s="757">
        <f t="shared" si="87"/>
        <v>3.69</v>
      </c>
      <c r="AEP104" s="758"/>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L104" s="900"/>
      <c r="AGM104" s="901"/>
      <c r="AGN104" s="902"/>
      <c r="AGO104" s="850"/>
      <c r="AGP104" s="809" t="s">
        <v>1380</v>
      </c>
      <c r="AGQ104" s="797"/>
      <c r="AGR104" s="797"/>
      <c r="AGS104" s="797"/>
      <c r="AGT104" s="797"/>
      <c r="AGU104" s="797"/>
      <c r="AGV104" s="797"/>
      <c r="AGW104" s="797"/>
      <c r="AGX104" s="797"/>
      <c r="AGY104" s="797"/>
      <c r="AGZ104" s="797"/>
      <c r="AHA104" s="1193">
        <v>0.81</v>
      </c>
      <c r="AHB104" s="1194"/>
      <c r="AHC104" s="1322"/>
      <c r="AHD104" s="840"/>
      <c r="AHE104" s="1066"/>
      <c r="AHF104" s="893" t="s">
        <v>1378</v>
      </c>
      <c r="AHG104" s="894"/>
      <c r="AHH104" s="847"/>
      <c r="AHI104" s="1066"/>
      <c r="AHJ104" s="893" t="s">
        <v>1379</v>
      </c>
      <c r="AHK104" s="894"/>
      <c r="AHL104" s="847"/>
      <c r="AQO104" s="849"/>
      <c r="AQP104" s="852" t="s">
        <v>416</v>
      </c>
      <c r="AQQ104" s="853"/>
      <c r="AQR104" s="700"/>
      <c r="AQS104" s="78"/>
      <c r="AQT104" s="78"/>
      <c r="AQU104" s="78"/>
      <c r="AQV104" s="78"/>
      <c r="AQW104" s="78"/>
      <c r="AQX104" s="78"/>
      <c r="AQY104" s="700"/>
      <c r="AQZ104" s="76" t="s">
        <v>441</v>
      </c>
      <c r="ARA104" s="854" t="s">
        <v>435</v>
      </c>
      <c r="ARB104" s="855"/>
      <c r="ARC104" s="920" t="s">
        <v>111</v>
      </c>
      <c r="ARD104" s="921"/>
      <c r="ARE104" s="916" t="s">
        <v>704</v>
      </c>
      <c r="ARF104" s="917"/>
      <c r="ARG104" s="906" t="s">
        <v>447</v>
      </c>
      <c r="ARH104" s="907"/>
      <c r="ARI104" s="907"/>
      <c r="ARJ104" s="908"/>
      <c r="ARU104" s="851"/>
      <c r="ARV104" s="845"/>
      <c r="ARW104" s="1328"/>
      <c r="ARX104" s="1328"/>
      <c r="ARY104" s="1328"/>
      <c r="ARZ104" s="1328"/>
      <c r="ASA104" s="1328"/>
      <c r="ASB104" s="1328"/>
      <c r="ASC104" s="1328"/>
      <c r="ASD104" s="1328"/>
      <c r="ASE104" s="1328"/>
      <c r="ASF104" s="1328"/>
      <c r="ASG104" s="1328"/>
      <c r="ASH104" s="1855"/>
      <c r="ASI104" s="837"/>
      <c r="ASJ104" s="838"/>
      <c r="ASK104" s="777"/>
      <c r="ASL104" s="799"/>
      <c r="ASM104" s="1067"/>
      <c r="ASN104" s="845"/>
      <c r="ASO104" s="846"/>
      <c r="ASP104" s="848"/>
    </row>
    <row r="105" spans="34:904 1133:1201" ht="48" customHeight="1" thickBot="1">
      <c r="BP105" s="130"/>
      <c r="BQ105" s="130"/>
      <c r="BR105" s="130"/>
      <c r="BS105" s="130"/>
      <c r="BU105" s="653"/>
      <c r="BV105" s="653"/>
      <c r="BW105" s="653"/>
      <c r="BX105" s="653"/>
      <c r="BY105" s="653"/>
      <c r="BZ105" s="653"/>
      <c r="CA105" s="653"/>
      <c r="CB105" s="653"/>
      <c r="CC105" s="653"/>
      <c r="DH105" s="130"/>
      <c r="DI105" s="130"/>
      <c r="DJ105" s="130"/>
      <c r="DK105" s="130"/>
      <c r="DL105" s="653"/>
      <c r="DM105" s="653"/>
      <c r="DN105" s="653"/>
      <c r="DO105" s="653"/>
      <c r="DP105" s="653"/>
      <c r="DQ105" s="653"/>
      <c r="DU105" s="162"/>
      <c r="DV105" s="158"/>
      <c r="DW105" s="54"/>
      <c r="DX105" s="54"/>
      <c r="DY105" s="381" t="s">
        <v>1297</v>
      </c>
      <c r="DZ105" s="849"/>
      <c r="EA105" s="800" t="s">
        <v>1054</v>
      </c>
      <c r="EB105" s="801"/>
      <c r="EC105" s="883">
        <f>$EN$62</f>
        <v>8.9200941784447281</v>
      </c>
      <c r="ED105" s="884"/>
      <c r="EE105" s="809" t="s">
        <v>1777</v>
      </c>
      <c r="EF105" s="797"/>
      <c r="EG105" s="797"/>
      <c r="EH105" s="797"/>
      <c r="EI105" s="797"/>
      <c r="EJ105" s="797"/>
      <c r="EK105" s="798"/>
      <c r="EL105" s="835">
        <f>(0.4*EC105+0.9*EC106)</f>
        <v>14.207454784384133</v>
      </c>
      <c r="EM105" s="836"/>
      <c r="EN105" s="927" t="s">
        <v>757</v>
      </c>
      <c r="EO105" s="928"/>
      <c r="EP105" s="841"/>
      <c r="EQ105" s="1438" t="s">
        <v>1319</v>
      </c>
      <c r="ER105" s="1439"/>
      <c r="ES105" s="847"/>
      <c r="ET105" s="1052"/>
      <c r="EU105" s="1052"/>
      <c r="EV105" s="1052"/>
      <c r="EW105" s="1052"/>
      <c r="EX105" s="1052"/>
      <c r="EY105" s="1052"/>
      <c r="EZ105" s="1052"/>
      <c r="FA105" s="1052"/>
      <c r="FB105" s="1052"/>
      <c r="FC105" s="158"/>
      <c r="FD105" s="158"/>
      <c r="FE105" s="158"/>
      <c r="FF105" s="163"/>
      <c r="FH105" s="653"/>
      <c r="FI105" s="653"/>
      <c r="FJ105" s="653"/>
      <c r="FK105" s="653"/>
      <c r="FL105" s="653"/>
      <c r="FM105" s="653"/>
      <c r="FN105" s="653"/>
      <c r="FV105" s="130"/>
      <c r="FW105" s="130"/>
      <c r="FX105" s="130"/>
      <c r="FY105" s="130"/>
      <c r="FZ105" s="130"/>
      <c r="GA105" s="130"/>
      <c r="GB105" s="130"/>
      <c r="JU105" s="653"/>
      <c r="JV105" s="653"/>
      <c r="JW105" s="653"/>
      <c r="JX105" s="850"/>
      <c r="JY105" s="791" t="s">
        <v>1180</v>
      </c>
      <c r="JZ105" s="792"/>
      <c r="KA105" s="792"/>
      <c r="KB105" s="792"/>
      <c r="KC105" s="792"/>
      <c r="KD105" s="792"/>
      <c r="KE105" s="792"/>
      <c r="KF105" s="792"/>
      <c r="KG105" s="792"/>
      <c r="KH105" s="792"/>
      <c r="KI105" s="792"/>
      <c r="KJ105" s="792"/>
      <c r="KK105" s="793"/>
      <c r="KL105" s="835">
        <f>KL99/CN54</f>
        <v>0.27686162030435923</v>
      </c>
      <c r="KM105" s="836"/>
      <c r="KN105" s="1183" t="s">
        <v>729</v>
      </c>
      <c r="KO105" s="1784"/>
      <c r="KP105" s="847"/>
      <c r="KQ105" s="893" t="s">
        <v>1755</v>
      </c>
      <c r="KR105" s="1081"/>
      <c r="KS105" s="894"/>
      <c r="KT105" s="847"/>
      <c r="KU105" s="1052"/>
      <c r="KV105" s="1052"/>
      <c r="KW105" s="1052"/>
      <c r="KX105" s="1052"/>
      <c r="LQ105" s="130"/>
      <c r="LR105" s="130"/>
      <c r="LS105" s="130"/>
      <c r="LT105" s="130"/>
      <c r="LU105" s="130"/>
      <c r="LV105" s="130"/>
      <c r="LW105" s="130"/>
      <c r="LX105" s="130"/>
      <c r="LY105" s="130"/>
      <c r="NG105" s="130"/>
      <c r="NH105" s="130"/>
      <c r="NI105" s="130"/>
      <c r="NJ105" s="130"/>
      <c r="NK105" s="130"/>
      <c r="NL105" s="130"/>
      <c r="NM105" s="130"/>
      <c r="NN105" s="130"/>
      <c r="NO105" s="130"/>
      <c r="NP105" s="130"/>
      <c r="NQ105" s="130"/>
      <c r="OW105" s="130"/>
      <c r="OX105" s="130"/>
      <c r="PL105" s="850"/>
      <c r="PM105" s="498" t="s">
        <v>1063</v>
      </c>
      <c r="PN105" s="890">
        <f>$KL$76</f>
        <v>2.5</v>
      </c>
      <c r="PO105" s="890"/>
      <c r="PP105" s="775"/>
      <c r="PQ105" s="776"/>
      <c r="PR105" s="776"/>
      <c r="PS105" s="776"/>
      <c r="PT105" s="776"/>
      <c r="PU105" s="776"/>
      <c r="PV105" s="776"/>
      <c r="PW105" s="837"/>
      <c r="PX105" s="838"/>
      <c r="PY105" s="1077"/>
      <c r="PZ105" s="1078"/>
      <c r="QA105" s="842"/>
      <c r="QB105" s="1173"/>
      <c r="QC105" s="1174"/>
      <c r="QD105" s="1175"/>
      <c r="QE105" s="848"/>
      <c r="QF105" s="827"/>
      <c r="QG105" s="947"/>
      <c r="QH105" s="947"/>
      <c r="QI105" s="947"/>
      <c r="QJ105" s="947"/>
      <c r="QK105" s="947"/>
      <c r="QL105" s="948"/>
      <c r="RE105" s="653"/>
      <c r="RF105" s="653"/>
      <c r="RG105" s="653"/>
      <c r="RH105" s="653"/>
      <c r="RI105" s="653"/>
      <c r="RJ105" s="653"/>
      <c r="RK105" s="653"/>
      <c r="RL105" s="653"/>
      <c r="RM105" s="653"/>
      <c r="RN105" s="653"/>
      <c r="RO105" s="653"/>
      <c r="RP105" s="653"/>
      <c r="RQ105" s="653"/>
      <c r="RR105" s="653"/>
      <c r="RS105" s="653"/>
      <c r="RT105" s="653"/>
      <c r="RU105" s="653"/>
      <c r="RV105" s="653"/>
      <c r="RW105" s="653"/>
      <c r="RX105" s="653"/>
      <c r="RY105" s="653"/>
      <c r="RZ105" s="653"/>
      <c r="SA105" s="653"/>
      <c r="SB105" s="653"/>
      <c r="SC105" s="653"/>
      <c r="SD105" s="653"/>
      <c r="SE105" s="653"/>
      <c r="SF105" s="653"/>
      <c r="SG105" s="653"/>
      <c r="SH105" s="653"/>
      <c r="SI105" s="653"/>
      <c r="SJ105" s="653"/>
      <c r="SK105" s="653"/>
      <c r="SL105" s="653"/>
      <c r="SM105" s="653"/>
      <c r="SN105" s="653"/>
      <c r="SO105" s="653"/>
      <c r="SP105" s="653"/>
      <c r="SQ105" s="653"/>
      <c r="SR105" s="653"/>
      <c r="SS105" s="653"/>
      <c r="ST105" s="653"/>
      <c r="SU105" s="653"/>
      <c r="SV105" s="653"/>
      <c r="SW105" s="653"/>
      <c r="SX105" s="653"/>
      <c r="SY105" s="653"/>
      <c r="SZ105" s="653"/>
      <c r="TA105" s="653"/>
      <c r="TB105" s="653"/>
      <c r="TC105" s="653"/>
      <c r="TD105" s="653"/>
      <c r="TE105" s="653"/>
      <c r="TF105" s="653"/>
      <c r="TG105" s="653"/>
      <c r="TH105" s="653"/>
      <c r="TI105" s="653"/>
      <c r="TJ105" s="653"/>
      <c r="TK105" s="653"/>
      <c r="TL105" s="653"/>
      <c r="TM105" s="653"/>
      <c r="TN105" s="653"/>
      <c r="TO105" s="653"/>
      <c r="TP105" s="653"/>
      <c r="TQ105" s="653"/>
      <c r="TR105" s="653"/>
      <c r="TS105" s="653"/>
      <c r="TT105" s="653"/>
      <c r="TU105" s="653"/>
      <c r="TV105" s="653"/>
      <c r="TW105" s="653"/>
      <c r="TX105" s="653"/>
      <c r="TY105" s="653"/>
      <c r="TZ105" s="653"/>
      <c r="UA105" s="653"/>
      <c r="UB105" s="653"/>
      <c r="UC105" s="653"/>
      <c r="UD105" s="653"/>
      <c r="UE105" s="653"/>
      <c r="UF105" s="653"/>
      <c r="UG105" s="653"/>
      <c r="UH105" s="653"/>
      <c r="UI105" s="653"/>
      <c r="UJ105" s="653"/>
      <c r="UK105" s="653"/>
      <c r="UL105" s="653"/>
      <c r="UM105" s="653"/>
      <c r="UN105" s="653"/>
      <c r="UO105" s="653"/>
      <c r="UP105" s="653"/>
      <c r="UQ105" s="653"/>
      <c r="UR105" s="653"/>
      <c r="US105" s="653"/>
      <c r="UT105" s="653"/>
      <c r="UU105" s="653"/>
      <c r="UV105" s="653"/>
      <c r="UW105" s="653"/>
      <c r="UX105" s="653"/>
      <c r="UY105" s="653"/>
      <c r="UZ105" s="653"/>
      <c r="VP105" s="130"/>
      <c r="VQ105" s="130"/>
      <c r="VR105" s="130"/>
      <c r="VS105" s="130"/>
      <c r="VT105" s="130"/>
      <c r="VU105" s="130"/>
      <c r="VV105" s="130"/>
      <c r="VW105" s="130"/>
      <c r="VX105" s="130"/>
      <c r="VY105" s="130"/>
      <c r="VZ105" s="130"/>
      <c r="WC105" s="653"/>
      <c r="WD105" s="653"/>
      <c r="WE105" s="996"/>
      <c r="WF105" s="997"/>
      <c r="WG105" s="861" t="s">
        <v>1217</v>
      </c>
      <c r="WH105" s="861"/>
      <c r="WI105" s="861"/>
      <c r="WJ105" s="861"/>
      <c r="WK105" s="1156">
        <f>$MP$69</f>
        <v>5.2449590821531827E-5</v>
      </c>
      <c r="WL105" s="1156"/>
      <c r="WM105" s="175"/>
      <c r="WN105" s="173"/>
      <c r="WO105" s="173"/>
      <c r="WP105" s="173"/>
      <c r="WQ105" s="173"/>
      <c r="WR105" s="173"/>
      <c r="WS105" s="173"/>
      <c r="WT105" s="173"/>
      <c r="WU105" s="173"/>
      <c r="WV105" s="173"/>
      <c r="WW105" s="173"/>
      <c r="WX105" s="173"/>
      <c r="WY105" s="174"/>
      <c r="WZ105" s="1135"/>
      <c r="XA105" s="1135"/>
      <c r="XB105" s="175"/>
      <c r="XC105" s="173"/>
      <c r="XD105" s="173"/>
      <c r="XE105" s="173"/>
      <c r="XF105" s="17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6"/>
      <c r="AAU105" s="981"/>
      <c r="AAV105" s="981"/>
      <c r="AAW105" s="981"/>
      <c r="AAX105" s="981"/>
      <c r="AAY105" s="981"/>
      <c r="AAZ105" s="981"/>
      <c r="ABA105" s="981"/>
      <c r="ABB105" s="981"/>
      <c r="ABC105" s="158"/>
      <c r="ABD105" s="158"/>
      <c r="ABE105" s="158"/>
      <c r="ABF105" s="158"/>
      <c r="ABG105" s="158"/>
      <c r="ABH105" s="158"/>
      <c r="ABI105" s="158"/>
      <c r="ABJ105" s="158"/>
      <c r="ABK105" s="158"/>
      <c r="ABL105" s="158"/>
      <c r="ABM105" s="158"/>
      <c r="ABN105" s="158"/>
      <c r="ABO105" s="158"/>
      <c r="ABP105" s="163"/>
      <c r="ACJ105" s="759">
        <v>0.5</v>
      </c>
      <c r="ACK105" s="760"/>
      <c r="ACL105" s="759">
        <v>-0.5</v>
      </c>
      <c r="ACM105" s="760"/>
      <c r="ACN105" s="591">
        <v>21</v>
      </c>
      <c r="ACO105" s="759">
        <f t="shared" si="91"/>
        <v>0.10499999999999998</v>
      </c>
      <c r="ACP105" s="760"/>
      <c r="ACQ105" s="757">
        <f t="shared" si="82"/>
        <v>1.21</v>
      </c>
      <c r="ACR105" s="758"/>
      <c r="ACT105" s="759">
        <v>1.5454545454545501</v>
      </c>
      <c r="ACU105" s="760"/>
      <c r="ACV105" s="759">
        <v>-2.1818181818181799</v>
      </c>
      <c r="ACW105" s="760"/>
      <c r="ACX105" s="591">
        <v>71</v>
      </c>
      <c r="ACY105" s="759">
        <f t="shared" si="92"/>
        <v>0.4609090909091007</v>
      </c>
      <c r="ACZ105" s="760"/>
      <c r="ADA105" s="757">
        <f t="shared" si="83"/>
        <v>1.71</v>
      </c>
      <c r="ADB105" s="758"/>
      <c r="ADD105" s="759">
        <v>1.5454545454545501</v>
      </c>
      <c r="ADE105" s="760"/>
      <c r="ADF105" s="759">
        <v>-2.1818181818181799</v>
      </c>
      <c r="ADG105" s="760"/>
      <c r="ADH105" s="591">
        <v>120</v>
      </c>
      <c r="ADI105" s="759">
        <f t="shared" si="93"/>
        <v>1.2181818181818307</v>
      </c>
      <c r="ADJ105" s="760"/>
      <c r="ADK105" s="757">
        <f t="shared" si="84"/>
        <v>2.2000000000000002</v>
      </c>
      <c r="ADL105" s="758"/>
      <c r="ADN105" s="759">
        <v>1.5454545454545501</v>
      </c>
      <c r="ADO105" s="760"/>
      <c r="ADP105" s="759">
        <v>-2.1818181818181799</v>
      </c>
      <c r="ADQ105" s="760"/>
      <c r="ADR105" s="591">
        <v>170</v>
      </c>
      <c r="ADS105" s="759">
        <f t="shared" si="94"/>
        <v>1.9909090909091054</v>
      </c>
      <c r="ADT105" s="760"/>
      <c r="ADU105" s="757">
        <f t="shared" si="85"/>
        <v>2.7</v>
      </c>
      <c r="ADV105" s="758"/>
      <c r="ADW105" s="653"/>
      <c r="ADX105" s="759">
        <v>1.5454545454545501</v>
      </c>
      <c r="ADY105" s="760"/>
      <c r="ADZ105" s="759">
        <v>-2.1818181818181799</v>
      </c>
      <c r="AEA105" s="760"/>
      <c r="AEB105" s="591">
        <v>220</v>
      </c>
      <c r="AEC105" s="759">
        <f t="shared" si="95"/>
        <v>2.7636363636363805</v>
      </c>
      <c r="AED105" s="760"/>
      <c r="AEE105" s="757">
        <f t="shared" si="86"/>
        <v>3.2</v>
      </c>
      <c r="AEF105" s="758"/>
      <c r="AEH105" s="759">
        <v>1.5454545454545501</v>
      </c>
      <c r="AEI105" s="760"/>
      <c r="AEJ105" s="759">
        <v>-2.1818181818181799</v>
      </c>
      <c r="AEK105" s="760"/>
      <c r="AEL105" s="591">
        <v>270</v>
      </c>
      <c r="AEM105" s="759">
        <f t="shared" si="101"/>
        <v>3.5363636363636557</v>
      </c>
      <c r="AEN105" s="760"/>
      <c r="AEO105" s="757">
        <f t="shared" si="87"/>
        <v>3.7</v>
      </c>
      <c r="AEP105" s="758"/>
      <c r="AGL105" s="903"/>
      <c r="AGM105" s="904"/>
      <c r="AGN105" s="905"/>
      <c r="AGO105" s="851"/>
      <c r="AGP105" s="777"/>
      <c r="AGQ105" s="778"/>
      <c r="AGR105" s="778"/>
      <c r="AGS105" s="778"/>
      <c r="AGT105" s="778"/>
      <c r="AGU105" s="778"/>
      <c r="AGV105" s="778"/>
      <c r="AGW105" s="778"/>
      <c r="AGX105" s="778"/>
      <c r="AGY105" s="778"/>
      <c r="AGZ105" s="778"/>
      <c r="AHA105" s="1195"/>
      <c r="AHB105" s="1196"/>
      <c r="AHC105" s="778"/>
      <c r="AHD105" s="799"/>
      <c r="AHE105" s="1067"/>
      <c r="AHF105" s="918"/>
      <c r="AHG105" s="919"/>
      <c r="AHH105" s="848"/>
      <c r="AHI105" s="1067"/>
      <c r="AHJ105" s="918"/>
      <c r="AHK105" s="919"/>
      <c r="AHL105" s="848"/>
      <c r="AQO105" s="850"/>
      <c r="AQP105" s="856"/>
      <c r="AQQ105" s="856"/>
      <c r="AQR105" s="856"/>
      <c r="AQS105" s="856"/>
      <c r="AQT105" s="856"/>
      <c r="AQU105" s="856"/>
      <c r="AQV105" s="856"/>
      <c r="AQW105" s="856"/>
      <c r="AQX105" s="856"/>
      <c r="AQY105" s="856"/>
      <c r="AQZ105" s="856"/>
      <c r="ARA105" s="856"/>
      <c r="ARB105" s="856"/>
      <c r="ARC105" s="835"/>
      <c r="ARD105" s="836"/>
      <c r="ARE105" s="839"/>
      <c r="ARF105" s="840"/>
      <c r="ARG105" s="841"/>
      <c r="ARH105" s="843"/>
      <c r="ARI105" s="844"/>
      <c r="ARJ105" s="847"/>
    </row>
    <row r="106" spans="34:904 1133:1201" ht="48" customHeight="1" thickBot="1">
      <c r="BP106" s="130"/>
      <c r="BQ106" s="130"/>
      <c r="BR106" s="130"/>
      <c r="BS106" s="130"/>
      <c r="BU106" s="653"/>
      <c r="BV106" s="653"/>
      <c r="BW106" s="653"/>
      <c r="BZ106" s="1052"/>
      <c r="CA106" s="852" t="s">
        <v>37</v>
      </c>
      <c r="CB106" s="923"/>
      <c r="CC106" s="233"/>
      <c r="CD106" s="800" t="s">
        <v>1078</v>
      </c>
      <c r="CE106" s="801"/>
      <c r="CF106" s="883">
        <f>$CN$54</f>
        <v>58.696468820435761</v>
      </c>
      <c r="CG106" s="884"/>
      <c r="CH106" s="750"/>
      <c r="CI106" s="78"/>
      <c r="CJ106" s="136"/>
      <c r="CK106" s="76" t="s">
        <v>441</v>
      </c>
      <c r="CL106" s="854" t="s">
        <v>435</v>
      </c>
      <c r="CM106" s="855"/>
      <c r="CN106" s="920" t="s">
        <v>111</v>
      </c>
      <c r="CO106" s="921"/>
      <c r="CP106" s="916" t="s">
        <v>704</v>
      </c>
      <c r="CQ106" s="917"/>
      <c r="CR106" s="906" t="s">
        <v>767</v>
      </c>
      <c r="CS106" s="907"/>
      <c r="CT106" s="907"/>
      <c r="CU106" s="907"/>
      <c r="CV106" s="907"/>
      <c r="CW106" s="906" t="s">
        <v>768</v>
      </c>
      <c r="CX106" s="907"/>
      <c r="CY106" s="907"/>
      <c r="CZ106" s="907"/>
      <c r="DA106" s="908"/>
      <c r="DB106" s="906" t="s">
        <v>436</v>
      </c>
      <c r="DC106" s="907"/>
      <c r="DD106" s="907"/>
      <c r="DE106" s="908"/>
      <c r="DL106" s="653"/>
      <c r="DM106" s="653"/>
      <c r="DN106" s="653"/>
      <c r="DO106" s="653"/>
      <c r="DP106" s="653"/>
      <c r="DQ106" s="653"/>
      <c r="DU106" s="162"/>
      <c r="DV106" s="158"/>
      <c r="DW106" s="54"/>
      <c r="DX106" s="158"/>
      <c r="DY106" s="158"/>
      <c r="DZ106" s="851"/>
      <c r="EA106" s="802" t="s">
        <v>1055</v>
      </c>
      <c r="EB106" s="803"/>
      <c r="EC106" s="1333">
        <f>$EN$67</f>
        <v>11.821574570006934</v>
      </c>
      <c r="ED106" s="1334"/>
      <c r="EE106" s="777"/>
      <c r="EF106" s="778"/>
      <c r="EG106" s="778"/>
      <c r="EH106" s="778"/>
      <c r="EI106" s="778"/>
      <c r="EJ106" s="778"/>
      <c r="EK106" s="799"/>
      <c r="EL106" s="837"/>
      <c r="EM106" s="838"/>
      <c r="EN106" s="929"/>
      <c r="EO106" s="930"/>
      <c r="EP106" s="842"/>
      <c r="EQ106" s="1440"/>
      <c r="ER106" s="1441"/>
      <c r="ES106" s="848"/>
      <c r="ET106" s="1053"/>
      <c r="EU106" s="1053"/>
      <c r="EV106" s="1053"/>
      <c r="EW106" s="1053"/>
      <c r="EX106" s="1053"/>
      <c r="EY106" s="1053"/>
      <c r="EZ106" s="1053"/>
      <c r="FA106" s="1053"/>
      <c r="FB106" s="1053"/>
      <c r="FC106" s="158"/>
      <c r="FD106" s="158"/>
      <c r="FE106" s="158"/>
      <c r="FF106" s="163"/>
      <c r="FH106" s="653"/>
      <c r="FI106" s="653"/>
      <c r="FJ106" s="653"/>
      <c r="FK106" s="653"/>
      <c r="FL106" s="653"/>
      <c r="FM106" s="653"/>
      <c r="FN106" s="653"/>
      <c r="FV106" s="130"/>
      <c r="FW106" s="130"/>
      <c r="FX106" s="130"/>
      <c r="FY106" s="130"/>
      <c r="FZ106" s="130"/>
      <c r="GA106" s="130"/>
      <c r="GB106" s="130"/>
      <c r="GC106" s="6"/>
      <c r="GD106" s="3"/>
      <c r="GE106" s="3"/>
      <c r="GF106" s="849"/>
      <c r="GG106" s="852" t="s">
        <v>416</v>
      </c>
      <c r="GH106" s="923"/>
      <c r="GI106" s="138"/>
      <c r="GJ106" s="78"/>
      <c r="GK106" s="78"/>
      <c r="GL106" s="78"/>
      <c r="GM106" s="136"/>
      <c r="GN106" s="76" t="s">
        <v>441</v>
      </c>
      <c r="GO106" s="854" t="s">
        <v>435</v>
      </c>
      <c r="GP106" s="855"/>
      <c r="GQ106" s="920" t="s">
        <v>111</v>
      </c>
      <c r="GR106" s="921"/>
      <c r="GS106" s="916" t="s">
        <v>704</v>
      </c>
      <c r="GT106" s="917"/>
      <c r="GU106" s="906" t="s">
        <v>447</v>
      </c>
      <c r="GV106" s="907"/>
      <c r="GW106" s="907"/>
      <c r="GX106" s="908"/>
      <c r="GY106" s="906" t="s">
        <v>436</v>
      </c>
      <c r="GZ106" s="907"/>
      <c r="HA106" s="908"/>
      <c r="JX106" s="850"/>
      <c r="JY106" s="823"/>
      <c r="JZ106" s="824"/>
      <c r="KA106" s="824"/>
      <c r="KB106" s="824"/>
      <c r="KC106" s="824"/>
      <c r="KD106" s="824"/>
      <c r="KE106" s="824"/>
      <c r="KF106" s="824"/>
      <c r="KG106" s="824"/>
      <c r="KH106" s="824"/>
      <c r="KI106" s="824"/>
      <c r="KJ106" s="824"/>
      <c r="KK106" s="1049"/>
      <c r="KL106" s="1396"/>
      <c r="KM106" s="1397"/>
      <c r="KN106" s="1785"/>
      <c r="KO106" s="1786"/>
      <c r="KP106" s="1166"/>
      <c r="KQ106" s="895"/>
      <c r="KR106" s="1090"/>
      <c r="KS106" s="896"/>
      <c r="KT106" s="1166"/>
      <c r="KU106" s="1052"/>
      <c r="KV106" s="1052"/>
      <c r="KW106" s="1052"/>
      <c r="KX106" s="1052"/>
      <c r="LQ106" s="130"/>
      <c r="LR106" s="130"/>
      <c r="LS106" s="130"/>
      <c r="LT106" s="130"/>
      <c r="LU106" s="130"/>
      <c r="LX106" s="136"/>
      <c r="LY106" s="891"/>
      <c r="LZ106" s="891"/>
      <c r="MA106" s="891"/>
      <c r="MB106" s="891"/>
      <c r="MC106" s="891"/>
      <c r="MD106" s="891"/>
      <c r="ME106" s="891"/>
      <c r="MF106" s="891"/>
      <c r="MG106" s="891"/>
      <c r="MH106" s="891"/>
      <c r="MI106" s="891"/>
      <c r="MJ106" s="891"/>
      <c r="MK106" s="891"/>
      <c r="ML106" s="891"/>
      <c r="MM106" s="891"/>
      <c r="MN106" s="891"/>
      <c r="MO106" s="891"/>
      <c r="MP106" s="891"/>
      <c r="MQ106" s="891"/>
      <c r="MR106" s="891"/>
      <c r="MS106" s="891"/>
      <c r="MT106" s="891"/>
      <c r="MU106" s="891"/>
      <c r="MV106" s="891"/>
      <c r="MW106" s="891"/>
      <c r="MX106" s="891"/>
      <c r="MY106" s="891"/>
      <c r="MZ106" s="891"/>
      <c r="NA106" s="891"/>
      <c r="NB106" s="891"/>
      <c r="NC106" s="891"/>
      <c r="ND106" s="891"/>
      <c r="NE106" s="891"/>
      <c r="NF106" s="891"/>
      <c r="NG106" s="891"/>
      <c r="NH106" s="891"/>
      <c r="NI106" s="891"/>
      <c r="NJ106" s="891"/>
      <c r="NK106" s="891"/>
      <c r="NL106" s="891"/>
      <c r="NM106" s="891"/>
      <c r="NN106" s="891"/>
      <c r="NO106" s="891"/>
      <c r="NP106" s="891"/>
      <c r="NQ106" s="891"/>
      <c r="NR106" s="891"/>
      <c r="NS106" s="891"/>
      <c r="NT106" s="891"/>
      <c r="NU106" s="891"/>
      <c r="NV106" s="891"/>
      <c r="NW106" s="891"/>
      <c r="NX106" s="891"/>
      <c r="NY106" s="891"/>
      <c r="NZ106" s="891"/>
      <c r="OA106" s="891"/>
      <c r="OB106" s="891"/>
      <c r="OC106" s="891"/>
      <c r="OD106" s="891"/>
      <c r="OE106" s="891"/>
      <c r="OF106" s="891"/>
      <c r="OG106" s="891"/>
      <c r="OH106" s="891"/>
      <c r="OI106" s="891"/>
      <c r="OJ106" s="891"/>
      <c r="OK106" s="891"/>
      <c r="OL106" s="891"/>
      <c r="OM106" s="891"/>
      <c r="ON106" s="891"/>
      <c r="OO106" s="891"/>
      <c r="OP106" s="891"/>
      <c r="OQ106" s="891"/>
      <c r="OR106" s="891"/>
      <c r="OS106" s="891"/>
      <c r="OT106" s="891"/>
      <c r="OU106" s="129"/>
      <c r="OW106" s="130"/>
      <c r="OX106" s="130"/>
      <c r="OY106" s="130"/>
      <c r="OZ106" s="130"/>
      <c r="PA106" s="130"/>
      <c r="PB106" s="130"/>
      <c r="PC106" s="130"/>
      <c r="PL106" s="851"/>
      <c r="PM106" s="500" t="s">
        <v>1019</v>
      </c>
      <c r="PN106" s="1187">
        <f>$GM$24</f>
        <v>1.4419426086956524E-2</v>
      </c>
      <c r="PO106" s="1187"/>
      <c r="PP106" s="777"/>
      <c r="PQ106" s="778"/>
      <c r="PR106" s="778"/>
      <c r="PS106" s="778"/>
      <c r="PT106" s="778"/>
      <c r="PU106" s="778"/>
      <c r="PV106" s="778"/>
      <c r="PW106" s="942"/>
      <c r="PX106" s="943"/>
      <c r="PY106" s="943"/>
      <c r="PZ106" s="943"/>
      <c r="QA106" s="943"/>
      <c r="QB106" s="943"/>
      <c r="QC106" s="943"/>
      <c r="QD106" s="943"/>
      <c r="QE106" s="944"/>
      <c r="QF106" s="828"/>
      <c r="QG106" s="949"/>
      <c r="QH106" s="949"/>
      <c r="QI106" s="949"/>
      <c r="QJ106" s="949"/>
      <c r="QK106" s="949"/>
      <c r="QL106" s="950"/>
      <c r="RE106" s="653"/>
      <c r="RF106" s="653"/>
      <c r="RG106" s="653"/>
      <c r="RH106" s="653"/>
      <c r="RI106" s="653"/>
      <c r="RJ106" s="653"/>
      <c r="RK106" s="653"/>
      <c r="RL106" s="653"/>
      <c r="RM106" s="653"/>
      <c r="RN106" s="653"/>
      <c r="RO106" s="653"/>
      <c r="RP106" s="653"/>
      <c r="RQ106" s="653"/>
      <c r="RR106" s="653"/>
      <c r="RS106" s="653"/>
      <c r="RT106" s="653"/>
      <c r="RU106" s="653"/>
      <c r="RV106" s="653"/>
      <c r="RW106" s="653"/>
      <c r="RX106" s="653"/>
      <c r="RY106" s="653"/>
      <c r="RZ106" s="653"/>
      <c r="SA106" s="653"/>
      <c r="SB106" s="653"/>
      <c r="SC106" s="653"/>
      <c r="SD106" s="653"/>
      <c r="SE106" s="653"/>
      <c r="SF106" s="653"/>
      <c r="SG106" s="653"/>
      <c r="SH106" s="653"/>
      <c r="SI106" s="653"/>
      <c r="SJ106" s="653"/>
      <c r="SK106" s="653"/>
      <c r="SL106" s="653"/>
      <c r="SM106" s="653"/>
      <c r="SN106" s="653"/>
      <c r="SO106" s="653"/>
      <c r="SP106" s="653"/>
      <c r="SQ106" s="653"/>
      <c r="SR106" s="653"/>
      <c r="SS106" s="653"/>
      <c r="ST106" s="653"/>
      <c r="SU106" s="653"/>
      <c r="SV106" s="653"/>
      <c r="SW106" s="653"/>
      <c r="SX106" s="653"/>
      <c r="SY106" s="653"/>
      <c r="SZ106" s="653"/>
      <c r="TA106" s="653"/>
      <c r="TB106" s="653"/>
      <c r="TC106" s="653"/>
      <c r="TD106" s="653"/>
      <c r="TE106" s="653"/>
      <c r="TF106" s="653"/>
      <c r="TG106" s="653"/>
      <c r="TH106" s="653"/>
      <c r="TI106" s="653"/>
      <c r="TJ106" s="653"/>
      <c r="TK106" s="653"/>
      <c r="TL106" s="653"/>
      <c r="TM106" s="653"/>
      <c r="TN106" s="653"/>
      <c r="TO106" s="653"/>
      <c r="TP106" s="653"/>
      <c r="TQ106" s="653"/>
      <c r="TR106" s="653"/>
      <c r="TS106" s="653"/>
      <c r="TT106" s="653"/>
      <c r="TU106" s="653"/>
      <c r="TV106" s="653"/>
      <c r="TW106" s="653"/>
      <c r="TX106" s="653"/>
      <c r="TY106" s="653"/>
      <c r="TZ106" s="653"/>
      <c r="UA106" s="653"/>
      <c r="UB106" s="653"/>
      <c r="UC106" s="653"/>
      <c r="UD106" s="653"/>
      <c r="UE106" s="653"/>
      <c r="UF106" s="653"/>
      <c r="UG106" s="653"/>
      <c r="UH106" s="653"/>
      <c r="UI106" s="653"/>
      <c r="UJ106" s="653"/>
      <c r="UK106" s="653"/>
      <c r="UL106" s="653"/>
      <c r="UM106" s="653"/>
      <c r="UN106" s="653"/>
      <c r="UO106" s="653"/>
      <c r="UP106" s="653"/>
      <c r="UQ106" s="653"/>
      <c r="UR106" s="653"/>
      <c r="US106" s="653"/>
      <c r="UT106" s="653"/>
      <c r="UU106" s="653"/>
      <c r="UV106" s="653"/>
      <c r="UW106" s="653"/>
      <c r="UX106" s="653"/>
      <c r="UY106" s="653"/>
      <c r="UZ106" s="653"/>
      <c r="VP106" s="130"/>
      <c r="VQ106" s="130"/>
      <c r="VR106" s="130"/>
      <c r="VS106" s="130"/>
      <c r="VT106" s="130"/>
      <c r="VU106" s="130"/>
      <c r="VV106" s="130"/>
      <c r="VW106" s="130"/>
      <c r="VX106" s="130"/>
      <c r="VY106" s="130"/>
      <c r="VZ106" s="130"/>
      <c r="WC106" s="653"/>
      <c r="WD106" s="653"/>
      <c r="WE106" s="754"/>
      <c r="WF106" s="755"/>
      <c r="WG106" s="170"/>
      <c r="WH106" s="170"/>
      <c r="WI106" s="170"/>
      <c r="WJ106" s="170"/>
      <c r="WK106" s="170"/>
      <c r="WL106" s="170"/>
      <c r="WM106" s="170"/>
      <c r="WN106" s="170"/>
      <c r="WO106" s="170"/>
      <c r="WP106" s="170"/>
      <c r="WQ106" s="170"/>
      <c r="WR106" s="170"/>
      <c r="WS106" s="170"/>
      <c r="WT106" s="170"/>
      <c r="WU106" s="170"/>
      <c r="WV106" s="170"/>
      <c r="WW106" s="170"/>
      <c r="WX106" s="170"/>
      <c r="WY106" s="172"/>
      <c r="WZ106" s="1135"/>
      <c r="XA106" s="1135"/>
      <c r="XB106" s="169"/>
      <c r="XC106" s="170"/>
      <c r="XD106" s="170"/>
      <c r="XE106" s="170"/>
      <c r="XF106" s="172"/>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7"/>
      <c r="AAU106" s="981"/>
      <c r="AAV106" s="981"/>
      <c r="AAW106" s="981"/>
      <c r="AAX106" s="981"/>
      <c r="AAY106" s="981"/>
      <c r="AAZ106" s="981"/>
      <c r="ABA106" s="981"/>
      <c r="ABB106" s="981"/>
      <c r="ABC106" s="158"/>
      <c r="ABD106" s="158"/>
      <c r="ABE106" s="158"/>
      <c r="ABF106" s="158"/>
      <c r="ABG106" s="158"/>
      <c r="ABH106" s="158"/>
      <c r="ABI106" s="158"/>
      <c r="ABJ106" s="158"/>
      <c r="ABK106" s="158"/>
      <c r="ABL106" s="158"/>
      <c r="ABM106" s="158"/>
      <c r="ABN106" s="158"/>
      <c r="ABO106" s="158"/>
      <c r="ABP106" s="163"/>
      <c r="ABW106" s="1121" t="s">
        <v>1381</v>
      </c>
      <c r="ABX106" s="1122"/>
      <c r="ABY106" s="1122"/>
      <c r="ABZ106" s="1122"/>
      <c r="ACA106" s="1122"/>
      <c r="ACB106" s="1122"/>
      <c r="ACC106" s="1122"/>
      <c r="ACD106" s="1122"/>
      <c r="ACE106" s="1122"/>
      <c r="ACF106" s="1122"/>
      <c r="ACG106" s="1123"/>
      <c r="ACH106" s="434"/>
      <c r="ACJ106" s="759">
        <v>0.5</v>
      </c>
      <c r="ACK106" s="760"/>
      <c r="ACL106" s="759">
        <v>-0.5</v>
      </c>
      <c r="ACM106" s="760"/>
      <c r="ACN106" s="591">
        <v>22</v>
      </c>
      <c r="ACO106" s="759">
        <f t="shared" si="91"/>
        <v>0.10999999999999999</v>
      </c>
      <c r="ACP106" s="760"/>
      <c r="ACQ106" s="757">
        <f t="shared" si="82"/>
        <v>1.22</v>
      </c>
      <c r="ACR106" s="758"/>
      <c r="ACT106" s="759">
        <v>1.5454545454545501</v>
      </c>
      <c r="ACU106" s="760"/>
      <c r="ACV106" s="759">
        <v>-2.1818181818181799</v>
      </c>
      <c r="ACW106" s="760"/>
      <c r="ACX106" s="591">
        <v>72</v>
      </c>
      <c r="ACY106" s="759">
        <f t="shared" si="92"/>
        <v>0.47636363636364631</v>
      </c>
      <c r="ACZ106" s="760"/>
      <c r="ADA106" s="757">
        <f t="shared" si="83"/>
        <v>1.72</v>
      </c>
      <c r="ADB106" s="758"/>
      <c r="ADD106" s="759">
        <v>1.5454545454545501</v>
      </c>
      <c r="ADE106" s="760"/>
      <c r="ADF106" s="759">
        <v>-2.1818181818181799</v>
      </c>
      <c r="ADG106" s="760"/>
      <c r="ADH106" s="591">
        <v>121</v>
      </c>
      <c r="ADI106" s="759">
        <f t="shared" si="93"/>
        <v>1.2336363636363759</v>
      </c>
      <c r="ADJ106" s="760"/>
      <c r="ADK106" s="757">
        <f t="shared" si="84"/>
        <v>2.21</v>
      </c>
      <c r="ADL106" s="758"/>
      <c r="ADN106" s="759">
        <v>1.5454545454545501</v>
      </c>
      <c r="ADO106" s="760"/>
      <c r="ADP106" s="759">
        <v>-2.1818181818181799</v>
      </c>
      <c r="ADQ106" s="760"/>
      <c r="ADR106" s="591">
        <v>171</v>
      </c>
      <c r="ADS106" s="759">
        <f t="shared" si="94"/>
        <v>2.006363636363651</v>
      </c>
      <c r="ADT106" s="760"/>
      <c r="ADU106" s="757">
        <f t="shared" si="85"/>
        <v>2.71</v>
      </c>
      <c r="ADV106" s="758"/>
      <c r="ADW106" s="653"/>
      <c r="ADX106" s="759">
        <v>1.5454545454545501</v>
      </c>
      <c r="ADY106" s="760"/>
      <c r="ADZ106" s="759">
        <v>-2.1818181818181799</v>
      </c>
      <c r="AEA106" s="760"/>
      <c r="AEB106" s="591">
        <v>221</v>
      </c>
      <c r="AEC106" s="759">
        <f t="shared" si="95"/>
        <v>2.7790909090909262</v>
      </c>
      <c r="AED106" s="760"/>
      <c r="AEE106" s="757">
        <f t="shared" si="86"/>
        <v>3.21</v>
      </c>
      <c r="AEF106" s="758"/>
      <c r="AEH106" s="759">
        <v>1.5454545454545501</v>
      </c>
      <c r="AEI106" s="760"/>
      <c r="AEJ106" s="759">
        <v>-2.1818181818181799</v>
      </c>
      <c r="AEK106" s="760"/>
      <c r="AEL106" s="591">
        <v>271</v>
      </c>
      <c r="AEM106" s="759">
        <f t="shared" si="101"/>
        <v>3.5518181818182004</v>
      </c>
      <c r="AEN106" s="760"/>
      <c r="AEO106" s="757">
        <f t="shared" si="87"/>
        <v>3.71</v>
      </c>
      <c r="AEP106" s="758"/>
      <c r="AQO106" s="851"/>
      <c r="AQP106" s="857"/>
      <c r="AQQ106" s="857"/>
      <c r="AQR106" s="857"/>
      <c r="AQS106" s="857"/>
      <c r="AQT106" s="857"/>
      <c r="AQU106" s="857"/>
      <c r="AQV106" s="857"/>
      <c r="AQW106" s="857"/>
      <c r="AQX106" s="857"/>
      <c r="AQY106" s="857"/>
      <c r="AQZ106" s="857"/>
      <c r="ARA106" s="857"/>
      <c r="ARB106" s="857"/>
      <c r="ARC106" s="837"/>
      <c r="ARD106" s="838"/>
      <c r="ARE106" s="777"/>
      <c r="ARF106" s="799"/>
      <c r="ARG106" s="842"/>
      <c r="ARH106" s="845"/>
      <c r="ARI106" s="846"/>
      <c r="ARJ106" s="848"/>
      <c r="ARU106" s="849"/>
      <c r="ARV106" s="852" t="s">
        <v>416</v>
      </c>
      <c r="ARW106" s="853"/>
      <c r="ARX106" s="142"/>
      <c r="ARY106" s="78"/>
      <c r="ARZ106" s="78"/>
      <c r="ASA106" s="78"/>
      <c r="ASB106" s="78"/>
      <c r="ASC106" s="78"/>
      <c r="ASD106" s="78"/>
      <c r="ASE106" s="142"/>
      <c r="ASF106" s="76" t="s">
        <v>441</v>
      </c>
      <c r="ASG106" s="854" t="s">
        <v>435</v>
      </c>
      <c r="ASH106" s="855"/>
      <c r="ASI106" s="920" t="s">
        <v>111</v>
      </c>
      <c r="ASJ106" s="921"/>
      <c r="ASK106" s="916" t="s">
        <v>704</v>
      </c>
      <c r="ASL106" s="917"/>
      <c r="ASM106" s="906" t="s">
        <v>447</v>
      </c>
      <c r="ASN106" s="907"/>
      <c r="ASO106" s="907"/>
      <c r="ASP106" s="908"/>
    </row>
    <row r="107" spans="34:904 1133:1201" ht="48" customHeight="1" thickBot="1">
      <c r="BP107" s="130"/>
      <c r="BQ107" s="130"/>
      <c r="BR107" s="130"/>
      <c r="BS107" s="130"/>
      <c r="BU107" s="653"/>
      <c r="BV107" s="653"/>
      <c r="BW107" s="653"/>
      <c r="BX107" s="54"/>
      <c r="BY107" s="54"/>
      <c r="BZ107" s="1052"/>
      <c r="CA107" s="516" t="s">
        <v>739</v>
      </c>
      <c r="CB107" s="766">
        <f>$CM$59</f>
        <v>2</v>
      </c>
      <c r="CC107" s="766"/>
      <c r="CD107" s="957" t="s">
        <v>753</v>
      </c>
      <c r="CE107" s="957"/>
      <c r="CF107" s="957"/>
      <c r="CG107" s="957"/>
      <c r="CH107" s="957"/>
      <c r="CI107" s="957"/>
      <c r="CJ107" s="957"/>
      <c r="CK107" s="957"/>
      <c r="CL107" s="957"/>
      <c r="CM107" s="1117"/>
      <c r="CN107" s="1775">
        <f>(CN54/CB108*CB107)</f>
        <v>23.369999606495501</v>
      </c>
      <c r="CO107" s="1776"/>
      <c r="CP107" s="931" t="s">
        <v>757</v>
      </c>
      <c r="CQ107" s="932"/>
      <c r="CR107" s="892"/>
      <c r="CS107" s="893" t="s">
        <v>1031</v>
      </c>
      <c r="CT107" s="1081"/>
      <c r="CU107" s="1081"/>
      <c r="CV107" s="1166"/>
      <c r="CW107" s="1166"/>
      <c r="CX107" s="1176" t="s">
        <v>754</v>
      </c>
      <c r="CY107" s="1177"/>
      <c r="CZ107" s="1178"/>
      <c r="DA107" s="1166"/>
      <c r="DB107" s="826"/>
      <c r="DC107" s="945"/>
      <c r="DD107" s="945"/>
      <c r="DE107" s="946"/>
      <c r="DL107" s="653"/>
      <c r="DM107" s="653"/>
      <c r="DN107" s="653"/>
      <c r="DO107" s="653"/>
      <c r="DP107" s="653"/>
      <c r="DQ107" s="653"/>
      <c r="DU107" s="162"/>
      <c r="DV107" s="158"/>
      <c r="DW107" s="54"/>
      <c r="DX107" s="158"/>
      <c r="DY107" s="158"/>
      <c r="DZ107" s="158"/>
      <c r="EA107" s="158"/>
      <c r="EB107" s="158"/>
      <c r="EC107" s="158"/>
      <c r="ED107" s="158"/>
      <c r="EE107" s="158"/>
      <c r="EF107" s="158"/>
      <c r="EG107" s="158"/>
      <c r="EH107" s="158"/>
      <c r="EI107" s="158"/>
      <c r="EJ107" s="158"/>
      <c r="EK107" s="158"/>
      <c r="EL107" s="158"/>
      <c r="EM107" s="158"/>
      <c r="EN107" s="158"/>
      <c r="EO107" s="158"/>
      <c r="EP107" s="158"/>
      <c r="EQ107" s="158"/>
      <c r="ER107" s="158"/>
      <c r="ES107" s="158"/>
      <c r="ET107" s="158"/>
      <c r="EU107" s="158"/>
      <c r="EV107" s="158"/>
      <c r="EW107" s="158"/>
      <c r="EX107" s="158"/>
      <c r="EY107" s="158"/>
      <c r="EZ107" s="158"/>
      <c r="FA107" s="158"/>
      <c r="FB107" s="158"/>
      <c r="FC107" s="158"/>
      <c r="FD107" s="158"/>
      <c r="FE107" s="158"/>
      <c r="FF107" s="163"/>
      <c r="FH107" s="653"/>
      <c r="FI107" s="653"/>
      <c r="FJ107" s="653"/>
      <c r="FK107" s="653"/>
      <c r="FL107" s="653"/>
      <c r="FM107" s="653"/>
      <c r="FN107" s="653"/>
      <c r="FO107" s="126"/>
      <c r="FP107" s="126"/>
      <c r="FQ107" s="126"/>
      <c r="FR107" s="126"/>
      <c r="FS107" s="126"/>
      <c r="FT107" s="126"/>
      <c r="FU107" s="126"/>
      <c r="FV107" s="130"/>
      <c r="FW107" s="130"/>
      <c r="FX107" s="130"/>
      <c r="FY107" s="130"/>
      <c r="FZ107" s="130"/>
      <c r="GA107" s="130"/>
      <c r="GB107" s="130"/>
      <c r="GF107" s="850"/>
      <c r="GG107" s="800" t="s">
        <v>1803</v>
      </c>
      <c r="GH107" s="801"/>
      <c r="GI107" s="761">
        <f>$GQ$36</f>
        <v>450.86678861921405</v>
      </c>
      <c r="GJ107" s="761"/>
      <c r="GK107" s="791" t="s">
        <v>1802</v>
      </c>
      <c r="GL107" s="792"/>
      <c r="GM107" s="792"/>
      <c r="GN107" s="792"/>
      <c r="GO107" s="792"/>
      <c r="GP107" s="793"/>
      <c r="GQ107" s="1167">
        <f>(GM111/GM119)</f>
        <v>779.48438515640578</v>
      </c>
      <c r="GR107" s="840"/>
      <c r="GS107" s="927" t="s">
        <v>757</v>
      </c>
      <c r="GT107" s="928"/>
      <c r="GU107" s="841"/>
      <c r="GV107" s="893" t="s">
        <v>802</v>
      </c>
      <c r="GW107" s="894"/>
      <c r="GX107" s="847"/>
      <c r="GY107" s="826"/>
      <c r="GZ107" s="945"/>
      <c r="HA107" s="946"/>
      <c r="HR107" s="130"/>
      <c r="HS107" s="130"/>
      <c r="HT107" s="130"/>
      <c r="HU107" s="130"/>
      <c r="HV107" s="130"/>
      <c r="HW107" s="130"/>
      <c r="HX107" s="130"/>
      <c r="HY107" s="130"/>
      <c r="HZ107" s="130"/>
      <c r="IA107" s="130"/>
      <c r="IB107" s="130"/>
      <c r="IC107" s="130"/>
      <c r="JX107" s="851"/>
      <c r="JY107" s="794"/>
      <c r="JZ107" s="795"/>
      <c r="KA107" s="795"/>
      <c r="KB107" s="795"/>
      <c r="KC107" s="795"/>
      <c r="KD107" s="795"/>
      <c r="KE107" s="795"/>
      <c r="KF107" s="795"/>
      <c r="KG107" s="795"/>
      <c r="KH107" s="795"/>
      <c r="KI107" s="795"/>
      <c r="KJ107" s="795"/>
      <c r="KK107" s="796"/>
      <c r="KL107" s="942"/>
      <c r="KM107" s="943"/>
      <c r="KN107" s="943"/>
      <c r="KO107" s="943"/>
      <c r="KP107" s="943"/>
      <c r="KQ107" s="943"/>
      <c r="KR107" s="943"/>
      <c r="KS107" s="943"/>
      <c r="KT107" s="944"/>
      <c r="KU107" s="1499"/>
      <c r="KV107" s="1053"/>
      <c r="KW107" s="1053"/>
      <c r="KX107" s="1053"/>
      <c r="LQ107" s="130"/>
      <c r="LR107" s="130"/>
      <c r="LS107" s="130"/>
      <c r="LT107" s="130"/>
      <c r="LU107" s="130"/>
      <c r="LV107" s="130"/>
      <c r="LX107" s="377"/>
      <c r="LY107" s="893" t="s">
        <v>425</v>
      </c>
      <c r="LZ107" s="894"/>
      <c r="MA107" s="893" t="s">
        <v>1292</v>
      </c>
      <c r="MB107" s="894"/>
      <c r="MC107" s="373"/>
      <c r="MD107" s="379"/>
      <c r="ME107" s="379"/>
      <c r="MF107" s="379"/>
      <c r="MG107" s="373"/>
      <c r="MH107" s="373"/>
      <c r="MI107" s="373"/>
      <c r="MJ107" s="373"/>
      <c r="MK107" s="373"/>
      <c r="ML107" s="373"/>
      <c r="MM107" s="373"/>
      <c r="MN107" s="373"/>
      <c r="MO107" s="373"/>
      <c r="MP107" s="373"/>
      <c r="MQ107" s="373"/>
      <c r="MR107" s="373"/>
      <c r="MS107" s="373"/>
      <c r="MT107" s="373"/>
      <c r="MU107" s="373"/>
      <c r="MV107" s="379"/>
      <c r="MW107" s="379"/>
      <c r="MX107" s="379"/>
      <c r="MY107" s="379"/>
      <c r="MZ107" s="379"/>
      <c r="NA107" s="379"/>
      <c r="NB107" s="379"/>
      <c r="NC107" s="379"/>
      <c r="ND107" s="379"/>
      <c r="NE107" s="379"/>
      <c r="NF107" s="379"/>
      <c r="NG107" s="379"/>
      <c r="NH107" s="379"/>
      <c r="NI107" s="379"/>
      <c r="NJ107" s="379"/>
      <c r="NK107" s="379"/>
      <c r="NL107" s="379"/>
      <c r="NM107" s="379"/>
      <c r="NN107" s="379"/>
      <c r="NO107" s="379"/>
      <c r="NP107" s="379"/>
      <c r="NQ107" s="379"/>
      <c r="NR107" s="379"/>
      <c r="NS107" s="379"/>
      <c r="NT107" s="379"/>
      <c r="NU107" s="379"/>
      <c r="NV107" s="379"/>
      <c r="NW107" s="379"/>
      <c r="NX107" s="379"/>
      <c r="NY107" s="379"/>
      <c r="NZ107" s="379"/>
      <c r="OA107" s="379"/>
      <c r="OB107" s="379"/>
      <c r="OC107" s="379"/>
      <c r="OD107" s="379"/>
      <c r="OE107" s="379"/>
      <c r="OF107" s="379"/>
      <c r="OG107" s="379"/>
      <c r="OH107" s="379"/>
      <c r="OI107" s="379"/>
      <c r="OJ107" s="379"/>
      <c r="OK107" s="379"/>
      <c r="OL107" s="379"/>
      <c r="OM107" s="379"/>
      <c r="ON107" s="379"/>
      <c r="OO107" s="379"/>
      <c r="OP107" s="379"/>
      <c r="OQ107" s="379"/>
      <c r="OR107" s="379"/>
      <c r="OS107" s="379"/>
      <c r="OT107" s="379"/>
      <c r="OU107" s="382" t="s">
        <v>1298</v>
      </c>
      <c r="OW107" s="130"/>
      <c r="OX107" s="130"/>
      <c r="PD107" s="130"/>
      <c r="PE107" s="130"/>
      <c r="QU107" s="130"/>
      <c r="QV107" s="130"/>
      <c r="QW107" s="130"/>
      <c r="QX107" s="130"/>
      <c r="QY107" s="130"/>
      <c r="RE107" s="653"/>
      <c r="RF107" s="653"/>
      <c r="RG107" s="653"/>
      <c r="RH107" s="653"/>
      <c r="RI107" s="653"/>
      <c r="RJ107" s="653"/>
      <c r="RK107" s="653"/>
      <c r="RL107" s="653"/>
      <c r="RM107" s="653"/>
      <c r="RN107" s="653"/>
      <c r="RO107" s="653"/>
      <c r="RP107" s="653"/>
      <c r="RQ107" s="653"/>
      <c r="RR107" s="653"/>
      <c r="RS107" s="653"/>
      <c r="RT107" s="653"/>
      <c r="RU107" s="653"/>
      <c r="RV107" s="653"/>
      <c r="RW107" s="653"/>
      <c r="RX107" s="653"/>
      <c r="RY107" s="653"/>
      <c r="RZ107" s="653"/>
      <c r="SA107" s="653"/>
      <c r="SB107" s="653"/>
      <c r="SC107" s="653"/>
      <c r="SD107" s="653"/>
      <c r="SE107" s="653"/>
      <c r="SF107" s="653"/>
      <c r="SG107" s="653"/>
      <c r="SH107" s="653"/>
      <c r="SI107" s="653"/>
      <c r="SJ107" s="653"/>
      <c r="SK107" s="653"/>
      <c r="SL107" s="653"/>
      <c r="SM107" s="653"/>
      <c r="SN107" s="653"/>
      <c r="SO107" s="653"/>
      <c r="SP107" s="653"/>
      <c r="SQ107" s="653"/>
      <c r="SR107" s="653"/>
      <c r="SS107" s="653"/>
      <c r="ST107" s="653"/>
      <c r="SU107" s="653"/>
      <c r="SV107" s="653"/>
      <c r="SW107" s="653"/>
      <c r="SX107" s="653"/>
      <c r="SY107" s="653"/>
      <c r="SZ107" s="653"/>
      <c r="TA107" s="653"/>
      <c r="TB107" s="653"/>
      <c r="TC107" s="653"/>
      <c r="TD107" s="653"/>
      <c r="TE107" s="653"/>
      <c r="TF107" s="653"/>
      <c r="TG107" s="653"/>
      <c r="TH107" s="653"/>
      <c r="TI107" s="653"/>
      <c r="TJ107" s="653"/>
      <c r="TK107" s="653"/>
      <c r="TL107" s="653"/>
      <c r="TM107" s="653"/>
      <c r="TN107" s="653"/>
      <c r="TO107" s="653"/>
      <c r="TP107" s="653"/>
      <c r="TQ107" s="653"/>
      <c r="TR107" s="653"/>
      <c r="TS107" s="653"/>
      <c r="TT107" s="653"/>
      <c r="TU107" s="653"/>
      <c r="TV107" s="653"/>
      <c r="TW107" s="653"/>
      <c r="TX107" s="653"/>
      <c r="TY107" s="653"/>
      <c r="TZ107" s="653"/>
      <c r="UA107" s="653"/>
      <c r="UB107" s="653"/>
      <c r="UC107" s="653"/>
      <c r="UD107" s="653"/>
      <c r="UE107" s="653"/>
      <c r="UF107" s="653"/>
      <c r="UG107" s="653"/>
      <c r="UH107" s="653"/>
      <c r="UI107" s="653"/>
      <c r="UJ107" s="653"/>
      <c r="UK107" s="653"/>
      <c r="UL107" s="653"/>
      <c r="UM107" s="653"/>
      <c r="UN107" s="653"/>
      <c r="UO107" s="653"/>
      <c r="UP107" s="653"/>
      <c r="UQ107" s="653"/>
      <c r="UR107" s="653"/>
      <c r="US107" s="653"/>
      <c r="UT107" s="653"/>
      <c r="UU107" s="653"/>
      <c r="UV107" s="653"/>
      <c r="UW107" s="653"/>
      <c r="UX107" s="653"/>
      <c r="UY107" s="653"/>
      <c r="UZ107" s="653"/>
      <c r="VP107" s="15"/>
      <c r="VQ107" s="15"/>
      <c r="VR107" s="15"/>
      <c r="VS107" s="30"/>
      <c r="WC107" s="653"/>
      <c r="WD107" s="653"/>
      <c r="WE107" s="752">
        <v>7</v>
      </c>
      <c r="WF107" s="753"/>
      <c r="WG107" s="861" t="s">
        <v>1243</v>
      </c>
      <c r="WH107" s="861"/>
      <c r="WI107" s="861"/>
      <c r="WJ107" s="861"/>
      <c r="WK107" s="937">
        <f>$MP$86</f>
        <v>8.0207023726710278E-2</v>
      </c>
      <c r="WL107" s="937"/>
      <c r="WM107" s="173"/>
      <c r="WN107" s="173"/>
      <c r="WO107" s="173"/>
      <c r="WP107" s="173"/>
      <c r="WQ107" s="173"/>
      <c r="WR107" s="173"/>
      <c r="WS107" s="173"/>
      <c r="WT107" s="173"/>
      <c r="WU107" s="173"/>
      <c r="WV107" s="173"/>
      <c r="WW107" s="173"/>
      <c r="WX107" s="173"/>
      <c r="WY107" s="173"/>
      <c r="WZ107" s="1135" t="s">
        <v>392</v>
      </c>
      <c r="XA107" s="1135"/>
      <c r="XB107" s="167"/>
      <c r="XC107" s="168"/>
      <c r="XD107" s="168"/>
      <c r="XE107" s="168"/>
      <c r="XF107" s="171"/>
      <c r="XG107" s="1044">
        <f>XG104*$WK$107</f>
        <v>0.15603841450418943</v>
      </c>
      <c r="XH107" s="1044">
        <f t="shared" ref="XH107:ZS107" si="129">XH104*$WK$107</f>
        <v>0.15603841450418943</v>
      </c>
      <c r="XI107" s="1044">
        <f t="shared" si="129"/>
        <v>0.15603841450418943</v>
      </c>
      <c r="XJ107" s="1044">
        <f t="shared" si="129"/>
        <v>0.15603841450418943</v>
      </c>
      <c r="XK107" s="1044">
        <f t="shared" si="129"/>
        <v>0.15603841450418943</v>
      </c>
      <c r="XL107" s="1044">
        <f t="shared" si="129"/>
        <v>0.15603841450418943</v>
      </c>
      <c r="XM107" s="1044">
        <f t="shared" si="129"/>
        <v>0.15603841450418943</v>
      </c>
      <c r="XN107" s="1044">
        <f t="shared" si="129"/>
        <v>0.15603841450418943</v>
      </c>
      <c r="XO107" s="1044">
        <f t="shared" si="129"/>
        <v>0.15540979299391852</v>
      </c>
      <c r="XP107" s="1044">
        <f t="shared" si="129"/>
        <v>0.15386376329348422</v>
      </c>
      <c r="XQ107" s="1044">
        <f t="shared" si="129"/>
        <v>0.15295324441921929</v>
      </c>
      <c r="XR107" s="1044">
        <f t="shared" si="129"/>
        <v>0.15000704595969824</v>
      </c>
      <c r="XS107" s="1044">
        <f t="shared" si="129"/>
        <v>0.14719063597857013</v>
      </c>
      <c r="XT107" s="1044">
        <f t="shared" si="129"/>
        <v>0.14886539405663379</v>
      </c>
      <c r="XU107" s="1044">
        <f t="shared" si="129"/>
        <v>0.14449562297938726</v>
      </c>
      <c r="XV107" s="1044">
        <f t="shared" si="129"/>
        <v>0.13943968950158137</v>
      </c>
      <c r="XW107" s="1044">
        <f t="shared" si="129"/>
        <v>0.13568616448765825</v>
      </c>
      <c r="XX107" s="1044">
        <f t="shared" si="129"/>
        <v>0.13216541621878466</v>
      </c>
      <c r="XY107" s="1044">
        <f t="shared" si="129"/>
        <v>0.12885644228187335</v>
      </c>
      <c r="XZ107" s="1044">
        <f t="shared" si="129"/>
        <v>0.12574069310040212</v>
      </c>
      <c r="YA107" s="1044">
        <f t="shared" si="129"/>
        <v>0.13078725275236755</v>
      </c>
      <c r="YB107" s="1044">
        <f t="shared" si="129"/>
        <v>0.12587836573865249</v>
      </c>
      <c r="YC107" s="1044">
        <f t="shared" si="129"/>
        <v>0.12139389616541194</v>
      </c>
      <c r="YD107" s="1044">
        <f t="shared" si="129"/>
        <v>0.11827699651590741</v>
      </c>
      <c r="YE107" s="1044">
        <f t="shared" si="129"/>
        <v>0.11441341641451216</v>
      </c>
      <c r="YF107" s="1044">
        <f t="shared" si="129"/>
        <v>0.11171356525932033</v>
      </c>
      <c r="YG107" s="1044">
        <f t="shared" si="129"/>
        <v>0.10835030506820334</v>
      </c>
      <c r="YH107" s="1044">
        <f t="shared" si="129"/>
        <v>0.10598906882500377</v>
      </c>
      <c r="YI107" s="1044">
        <f t="shared" si="129"/>
        <v>0.10375373226649122</v>
      </c>
      <c r="YJ107" s="1044">
        <f t="shared" si="129"/>
        <v>0.10095232107890895</v>
      </c>
      <c r="YK107" s="1044">
        <f t="shared" si="129"/>
        <v>9.8974306954212304E-2</v>
      </c>
      <c r="YL107" s="1044">
        <f t="shared" si="129"/>
        <v>9.7093151898511795E-2</v>
      </c>
      <c r="YM107" s="1044">
        <f t="shared" si="129"/>
        <v>9.5301911470590792E-2</v>
      </c>
      <c r="YN107" s="1044">
        <f t="shared" si="129"/>
        <v>9.3594289588961793E-2</v>
      </c>
      <c r="YO107" s="1044">
        <f t="shared" si="129"/>
        <v>9.1964564591020662E-2</v>
      </c>
      <c r="YP107" s="1044">
        <f t="shared" si="129"/>
        <v>9.0407525185466936E-2</v>
      </c>
      <c r="YQ107" s="1044">
        <f t="shared" si="129"/>
        <v>8.8918414787341138E-2</v>
      </c>
      <c r="YR107" s="1044">
        <f t="shared" si="129"/>
        <v>8.7492882983023976E-2</v>
      </c>
      <c r="YS107" s="1044">
        <f t="shared" si="129"/>
        <v>8.6126943082002055E-2</v>
      </c>
      <c r="YT107" s="1044">
        <f t="shared" si="129"/>
        <v>8.5247603167277891E-2</v>
      </c>
      <c r="YU107" s="1044">
        <f t="shared" si="129"/>
        <v>8.3972995607717288E-2</v>
      </c>
      <c r="YV107" s="1044">
        <f t="shared" si="129"/>
        <v>8.2748857757425021E-2</v>
      </c>
      <c r="YW107" s="1044">
        <f t="shared" si="129"/>
        <v>8.1572250192907342E-2</v>
      </c>
      <c r="YX107" s="1044">
        <f t="shared" si="129"/>
        <v>8.0812901304971096E-2</v>
      </c>
      <c r="YY107" s="1044">
        <f t="shared" si="129"/>
        <v>7.97095774506522E-2</v>
      </c>
      <c r="YZ107" s="1044">
        <f t="shared" si="129"/>
        <v>7.8996796490141755E-2</v>
      </c>
      <c r="ZA107" s="1044">
        <f t="shared" si="129"/>
        <v>7.7960116852188038E-2</v>
      </c>
      <c r="ZB107" s="1044">
        <f t="shared" si="129"/>
        <v>7.6960565487784641E-2</v>
      </c>
      <c r="ZC107" s="1044">
        <f t="shared" si="129"/>
        <v>7.6313851361891449E-2</v>
      </c>
      <c r="ZD107" s="1044">
        <f t="shared" si="129"/>
        <v>7.5371893385138694E-2</v>
      </c>
      <c r="ZE107" s="1044">
        <f t="shared" si="129"/>
        <v>7.4761911834975769E-2</v>
      </c>
      <c r="ZF107" s="1044">
        <f t="shared" si="129"/>
        <v>7.416575192606889E-2</v>
      </c>
      <c r="ZG107" s="1044">
        <f t="shared" si="129"/>
        <v>7.3296417170305869E-2</v>
      </c>
      <c r="ZH107" s="1044">
        <f t="shared" si="129"/>
        <v>7.2732823823569007E-2</v>
      </c>
      <c r="ZI107" s="1044">
        <f t="shared" si="129"/>
        <v>7.1910340450485999E-2</v>
      </c>
      <c r="ZJ107" s="1044">
        <f t="shared" si="129"/>
        <v>7.1376716212215419E-2</v>
      </c>
      <c r="ZK107" s="1044">
        <f t="shared" si="129"/>
        <v>7.0854413798656965E-2</v>
      </c>
      <c r="ZL107" s="1044">
        <f t="shared" si="129"/>
        <v>7.0091412745189291E-2</v>
      </c>
      <c r="ZM107" s="1044">
        <f t="shared" si="129"/>
        <v>6.9595887238327284E-2</v>
      </c>
      <c r="ZN107" s="1044">
        <f t="shared" si="129"/>
        <v>6.9110498835697143E-2</v>
      </c>
      <c r="ZO107" s="1044">
        <f t="shared" si="129"/>
        <v>6.8634939620493648E-2</v>
      </c>
      <c r="ZP107" s="1044">
        <f t="shared" si="129"/>
        <v>6.7939387186640776E-2</v>
      </c>
      <c r="ZQ107" s="1044">
        <f t="shared" si="129"/>
        <v>6.7487133324141399E-2</v>
      </c>
      <c r="ZR107" s="1044">
        <f t="shared" si="129"/>
        <v>6.7043724230882742E-2</v>
      </c>
      <c r="ZS107" s="1044">
        <f t="shared" si="129"/>
        <v>6.660890295258895E-2</v>
      </c>
      <c r="ZT107" s="1044">
        <f t="shared" ref="ZT107:AAS107" si="130">ZT104*$WK$107</f>
        <v>6.6182422392750434E-2</v>
      </c>
      <c r="ZU107" s="1044">
        <f t="shared" si="130"/>
        <v>6.5557822874288366E-2</v>
      </c>
      <c r="ZV107" s="1044">
        <f t="shared" si="130"/>
        <v>6.5151173601019671E-2</v>
      </c>
      <c r="ZW107" s="1044">
        <f t="shared" si="130"/>
        <v>6.4752071312080217E-2</v>
      </c>
      <c r="ZX107" s="1044">
        <f t="shared" si="130"/>
        <v>6.4360307842948189E-2</v>
      </c>
      <c r="ZY107" s="1044">
        <f t="shared" si="130"/>
        <v>6.3975682614947182E-2</v>
      </c>
      <c r="ZZ107" s="1044">
        <f t="shared" si="130"/>
        <v>6.359800229281555E-2</v>
      </c>
      <c r="AAA107" s="1044">
        <f t="shared" si="130"/>
        <v>6.3227080460658891E-2</v>
      </c>
      <c r="AAB107" s="1044">
        <f t="shared" si="130"/>
        <v>6.2862737315144565E-2</v>
      </c>
      <c r="AAC107" s="1044">
        <f t="shared" si="130"/>
        <v>6.2504799374877129E-2</v>
      </c>
      <c r="AAD107" s="1044">
        <f t="shared" si="130"/>
        <v>6.2153099204968011E-2</v>
      </c>
      <c r="AAE107" s="1044">
        <f t="shared" si="130"/>
        <v>6.1807475155880504E-2</v>
      </c>
      <c r="AAF107" s="1044">
        <f t="shared" si="130"/>
        <v>6.1467771115694243E-2</v>
      </c>
      <c r="AAG107" s="1044">
        <f t="shared" si="130"/>
        <v>6.1133836274991658E-2</v>
      </c>
      <c r="AAH107" s="1044">
        <f t="shared" si="130"/>
        <v>6.0805524903622357E-2</v>
      </c>
      <c r="AAI107" s="1044">
        <f t="shared" si="130"/>
        <v>6.0482696138651149E-2</v>
      </c>
      <c r="AAJ107" s="1044">
        <f t="shared" si="130"/>
        <v>6.0165213782841689E-2</v>
      </c>
      <c r="AAK107" s="1044">
        <f t="shared" si="130"/>
        <v>5.9852946113069676E-2</v>
      </c>
      <c r="AAL107" s="1044">
        <f t="shared" si="130"/>
        <v>5.9545765698099891E-2</v>
      </c>
      <c r="AAM107" s="1044">
        <f t="shared" si="130"/>
        <v>5.9243549225197097E-2</v>
      </c>
      <c r="AAN107" s="1044">
        <f t="shared" si="130"/>
        <v>5.8946177335075407E-2</v>
      </c>
      <c r="AAO107" s="1044">
        <f t="shared" si="130"/>
        <v>5.8653534464721789E-2</v>
      </c>
      <c r="AAP107" s="1044">
        <f t="shared" si="130"/>
        <v>5.8365508697659121E-2</v>
      </c>
      <c r="AAQ107" s="1044">
        <f t="shared" si="130"/>
        <v>5.8223193215805644E-2</v>
      </c>
      <c r="AAR107" s="1044">
        <f t="shared" si="130"/>
        <v>5.7941890887537609E-2</v>
      </c>
      <c r="AAS107" s="1044">
        <f t="shared" si="130"/>
        <v>5.7664940904735375E-2</v>
      </c>
      <c r="AAT107" s="1005">
        <v>7</v>
      </c>
      <c r="AAU107" s="981"/>
      <c r="AAV107" s="981"/>
      <c r="AAW107" s="981"/>
      <c r="AAX107" s="981"/>
      <c r="AAY107" s="981"/>
      <c r="AAZ107" s="981"/>
      <c r="ABA107" s="981"/>
      <c r="ABB107" s="981"/>
      <c r="ABC107" s="158"/>
      <c r="ABD107" s="158"/>
      <c r="ABE107" s="158"/>
      <c r="ABF107" s="158"/>
      <c r="ABG107" s="158"/>
      <c r="ABH107" s="158"/>
      <c r="ABI107" s="158"/>
      <c r="ABJ107" s="158"/>
      <c r="ABK107" s="158"/>
      <c r="ABL107" s="158"/>
      <c r="ABM107" s="158"/>
      <c r="ABN107" s="158"/>
      <c r="ABO107" s="158"/>
      <c r="ABP107" s="163"/>
      <c r="ABW107" s="1513"/>
      <c r="ABX107" s="1514"/>
      <c r="ABY107" s="1514"/>
      <c r="ABZ107" s="1514"/>
      <c r="ACA107" s="1514"/>
      <c r="ACB107" s="1514"/>
      <c r="ACC107" s="1514"/>
      <c r="ACD107" s="1514"/>
      <c r="ACE107" s="1514"/>
      <c r="ACF107" s="1514"/>
      <c r="ACG107" s="1514"/>
      <c r="ACH107" s="1515"/>
      <c r="ACJ107" s="759">
        <v>0.5</v>
      </c>
      <c r="ACK107" s="760"/>
      <c r="ACL107" s="759">
        <v>-0.5</v>
      </c>
      <c r="ACM107" s="760"/>
      <c r="ACN107" s="591">
        <v>23</v>
      </c>
      <c r="ACO107" s="759">
        <f t="shared" si="91"/>
        <v>0.11499999999999999</v>
      </c>
      <c r="ACP107" s="760"/>
      <c r="ACQ107" s="757">
        <f t="shared" si="82"/>
        <v>1.23</v>
      </c>
      <c r="ACR107" s="758"/>
      <c r="ACT107" s="759">
        <v>1.5454545454545501</v>
      </c>
      <c r="ACU107" s="760"/>
      <c r="ACV107" s="759">
        <v>-2.1818181818181799</v>
      </c>
      <c r="ACW107" s="760"/>
      <c r="ACX107" s="591">
        <v>73</v>
      </c>
      <c r="ACY107" s="759">
        <f t="shared" si="92"/>
        <v>0.49181818181819192</v>
      </c>
      <c r="ACZ107" s="760"/>
      <c r="ADA107" s="757">
        <f t="shared" si="83"/>
        <v>1.73</v>
      </c>
      <c r="ADB107" s="758"/>
      <c r="ADD107" s="759">
        <v>1.5454545454545501</v>
      </c>
      <c r="ADE107" s="760"/>
      <c r="ADF107" s="759">
        <v>-2.1818181818181799</v>
      </c>
      <c r="ADG107" s="760"/>
      <c r="ADH107" s="591">
        <v>122</v>
      </c>
      <c r="ADI107" s="759">
        <f t="shared" si="93"/>
        <v>1.249090909090921</v>
      </c>
      <c r="ADJ107" s="760"/>
      <c r="ADK107" s="757">
        <f t="shared" si="84"/>
        <v>2.2199999999999998</v>
      </c>
      <c r="ADL107" s="758"/>
      <c r="ADN107" s="759">
        <v>1.5454545454545501</v>
      </c>
      <c r="ADO107" s="760"/>
      <c r="ADP107" s="759">
        <v>-2.1818181818181799</v>
      </c>
      <c r="ADQ107" s="760"/>
      <c r="ADR107" s="591">
        <v>172</v>
      </c>
      <c r="ADS107" s="759">
        <f t="shared" si="94"/>
        <v>2.0218181818181957</v>
      </c>
      <c r="ADT107" s="760"/>
      <c r="ADU107" s="757">
        <f t="shared" si="85"/>
        <v>2.7199999999999998</v>
      </c>
      <c r="ADV107" s="758"/>
      <c r="ADW107" s="653"/>
      <c r="ADX107" s="759">
        <v>1.5454545454545501</v>
      </c>
      <c r="ADY107" s="760"/>
      <c r="ADZ107" s="759">
        <v>-2.1818181818181799</v>
      </c>
      <c r="AEA107" s="760"/>
      <c r="AEB107" s="591">
        <v>222</v>
      </c>
      <c r="AEC107" s="759">
        <f t="shared" si="95"/>
        <v>2.7945454545454718</v>
      </c>
      <c r="AED107" s="760"/>
      <c r="AEE107" s="757">
        <f t="shared" si="86"/>
        <v>3.22</v>
      </c>
      <c r="AEF107" s="758"/>
      <c r="AEH107" s="759">
        <v>1.5454545454545501</v>
      </c>
      <c r="AEI107" s="760"/>
      <c r="AEJ107" s="759">
        <v>-2.1818181818181799</v>
      </c>
      <c r="AEK107" s="760"/>
      <c r="AEL107" s="591">
        <v>272</v>
      </c>
      <c r="AEM107" s="759">
        <f t="shared" si="101"/>
        <v>3.5672727272727469</v>
      </c>
      <c r="AEN107" s="760"/>
      <c r="AEO107" s="757">
        <f t="shared" si="87"/>
        <v>3.72</v>
      </c>
      <c r="AEP107" s="758"/>
      <c r="ARU107" s="850"/>
      <c r="ARV107" s="791" t="s">
        <v>933</v>
      </c>
      <c r="ARW107" s="792"/>
      <c r="ARX107" s="792"/>
      <c r="ARY107" s="792"/>
      <c r="ARZ107" s="792"/>
      <c r="ASA107" s="792"/>
      <c r="ASB107" s="792"/>
      <c r="ASC107" s="792"/>
      <c r="ASD107" s="792"/>
      <c r="ASE107" s="792"/>
      <c r="ASF107" s="792"/>
      <c r="ASG107" s="792"/>
      <c r="ASH107" s="793"/>
      <c r="ASI107" s="835">
        <f>0.01*1000</f>
        <v>10</v>
      </c>
      <c r="ASJ107" s="836"/>
      <c r="ASK107" s="931" t="s">
        <v>45</v>
      </c>
      <c r="ASL107" s="932"/>
      <c r="ASM107" s="841"/>
      <c r="ASN107" s="843" t="s">
        <v>416</v>
      </c>
      <c r="ASO107" s="844"/>
      <c r="ASP107" s="847"/>
    </row>
    <row r="108" spans="34:904 1133:1201" ht="48" customHeight="1" thickBot="1">
      <c r="BP108" s="130"/>
      <c r="BQ108" s="130"/>
      <c r="BR108" s="130"/>
      <c r="BS108" s="130"/>
      <c r="BU108" s="653"/>
      <c r="BV108" s="653"/>
      <c r="BW108" s="653"/>
      <c r="BX108" s="54"/>
      <c r="BZ108" s="1053"/>
      <c r="CA108" s="519" t="s">
        <v>1630</v>
      </c>
      <c r="CB108" s="767">
        <f>$CN$99</f>
        <v>5.0232323328000019</v>
      </c>
      <c r="CC108" s="767"/>
      <c r="CD108" s="1147"/>
      <c r="CE108" s="1147"/>
      <c r="CF108" s="1147"/>
      <c r="CG108" s="1147"/>
      <c r="CH108" s="1147"/>
      <c r="CI108" s="1147"/>
      <c r="CJ108" s="1147"/>
      <c r="CK108" s="1147"/>
      <c r="CL108" s="1147"/>
      <c r="CM108" s="1574"/>
      <c r="CN108" s="1777"/>
      <c r="CO108" s="1778"/>
      <c r="CP108" s="933"/>
      <c r="CQ108" s="934"/>
      <c r="CR108" s="842"/>
      <c r="CS108" s="918"/>
      <c r="CT108" s="1082"/>
      <c r="CU108" s="1082"/>
      <c r="CV108" s="848"/>
      <c r="CW108" s="848"/>
      <c r="CX108" s="1179"/>
      <c r="CY108" s="1180"/>
      <c r="CZ108" s="1181"/>
      <c r="DA108" s="848"/>
      <c r="DB108" s="828"/>
      <c r="DC108" s="949"/>
      <c r="DD108" s="949"/>
      <c r="DE108" s="950"/>
      <c r="DL108" s="653"/>
      <c r="DM108" s="653"/>
      <c r="DN108" s="653"/>
      <c r="DO108" s="653"/>
      <c r="DP108" s="653"/>
      <c r="DQ108" s="653"/>
      <c r="DU108" s="162"/>
      <c r="DV108" s="158"/>
      <c r="DW108" s="54"/>
      <c r="DX108" s="158"/>
      <c r="DY108" s="158"/>
      <c r="DZ108" s="849"/>
      <c r="EA108" s="852" t="s">
        <v>416</v>
      </c>
      <c r="EB108" s="853"/>
      <c r="EC108" s="715"/>
      <c r="ED108" s="76" t="s">
        <v>441</v>
      </c>
      <c r="EE108" s="854" t="s">
        <v>435</v>
      </c>
      <c r="EF108" s="855"/>
      <c r="EG108" s="920" t="s">
        <v>111</v>
      </c>
      <c r="EH108" s="921"/>
      <c r="EI108" s="916" t="s">
        <v>704</v>
      </c>
      <c r="EJ108" s="917"/>
      <c r="EK108" s="906" t="s">
        <v>447</v>
      </c>
      <c r="EL108" s="907"/>
      <c r="EM108" s="907"/>
      <c r="EN108" s="908"/>
      <c r="EO108" s="906" t="s">
        <v>863</v>
      </c>
      <c r="EP108" s="907"/>
      <c r="EQ108" s="908"/>
      <c r="ER108" s="158"/>
      <c r="ES108" s="1779" t="s">
        <v>911</v>
      </c>
      <c r="ET108" s="1865" t="s">
        <v>1771</v>
      </c>
      <c r="EU108" s="1866"/>
      <c r="EV108" s="1866"/>
      <c r="EW108" s="1866"/>
      <c r="EX108" s="1866"/>
      <c r="EY108" s="1866"/>
      <c r="EZ108" s="1867"/>
      <c r="FA108" s="158"/>
      <c r="FB108" s="158"/>
      <c r="FC108" s="158"/>
      <c r="FD108" s="158"/>
      <c r="FE108" s="158"/>
      <c r="FF108" s="163"/>
      <c r="FH108" s="653"/>
      <c r="FI108" s="653"/>
      <c r="FJ108" s="653"/>
      <c r="FK108" s="653"/>
      <c r="FL108" s="653"/>
      <c r="FM108" s="653"/>
      <c r="FN108" s="653"/>
      <c r="FO108" s="126"/>
      <c r="FP108" s="126"/>
      <c r="FQ108" s="126"/>
      <c r="FR108" s="126"/>
      <c r="FS108" s="126"/>
      <c r="FT108" s="126"/>
      <c r="FU108" s="126"/>
      <c r="FV108" s="130"/>
      <c r="FW108" s="130"/>
      <c r="FX108" s="130"/>
      <c r="FY108" s="130"/>
      <c r="FZ108" s="130"/>
      <c r="GA108" s="130"/>
      <c r="GB108" s="130"/>
      <c r="GC108" s="6"/>
      <c r="GD108" s="3"/>
      <c r="GE108" s="3"/>
      <c r="GF108" s="851"/>
      <c r="GG108" s="802" t="s">
        <v>1804</v>
      </c>
      <c r="GH108" s="803"/>
      <c r="GI108" s="804">
        <f>$GQ$36</f>
        <v>450.86678861921405</v>
      </c>
      <c r="GJ108" s="805"/>
      <c r="GK108" s="794"/>
      <c r="GL108" s="795"/>
      <c r="GM108" s="795"/>
      <c r="GN108" s="795"/>
      <c r="GO108" s="795"/>
      <c r="GP108" s="796"/>
      <c r="GQ108" s="1169"/>
      <c r="GR108" s="799"/>
      <c r="GS108" s="929"/>
      <c r="GT108" s="930"/>
      <c r="GU108" s="842"/>
      <c r="GV108" s="918"/>
      <c r="GW108" s="919"/>
      <c r="GX108" s="848"/>
      <c r="GY108" s="828"/>
      <c r="GZ108" s="949"/>
      <c r="HA108" s="950"/>
      <c r="HR108" s="130"/>
      <c r="HS108" s="130"/>
      <c r="HT108" s="130"/>
      <c r="HU108" s="130"/>
      <c r="HV108" s="130"/>
      <c r="HW108" s="130"/>
      <c r="HX108" s="130"/>
      <c r="HY108" s="130"/>
      <c r="HZ108" s="130"/>
      <c r="IA108" s="130"/>
      <c r="IB108" s="130"/>
      <c r="IC108" s="130"/>
      <c r="ID108" s="130"/>
      <c r="LX108" s="377"/>
      <c r="LY108" s="918"/>
      <c r="LZ108" s="919"/>
      <c r="MA108" s="918"/>
      <c r="MB108" s="919"/>
      <c r="MC108" s="373"/>
      <c r="MD108" s="1063" t="s">
        <v>1294</v>
      </c>
      <c r="ME108" s="1064"/>
      <c r="MF108" s="1065"/>
      <c r="MG108" s="1117">
        <f>1/3</f>
        <v>0.33333333333333331</v>
      </c>
      <c r="MH108" s="1119"/>
      <c r="MI108" s="373"/>
      <c r="MJ108" s="1063" t="s">
        <v>1295</v>
      </c>
      <c r="MK108" s="1064"/>
      <c r="ML108" s="1065"/>
      <c r="MM108" s="1117">
        <f>2/3</f>
        <v>0.66666666666666663</v>
      </c>
      <c r="MN108" s="1119"/>
      <c r="MO108" s="373"/>
      <c r="MP108" s="1063" t="s">
        <v>1296</v>
      </c>
      <c r="MQ108" s="1064"/>
      <c r="MR108" s="1065"/>
      <c r="MS108" s="1117">
        <v>1</v>
      </c>
      <c r="MT108" s="1119"/>
      <c r="MU108" s="373"/>
      <c r="MV108" s="373"/>
      <c r="MW108" s="373"/>
      <c r="MX108" s="373"/>
      <c r="MY108" s="373"/>
      <c r="MZ108" s="373"/>
      <c r="NA108" s="1787" t="s">
        <v>911</v>
      </c>
      <c r="NB108" s="1788"/>
      <c r="NC108" s="791" t="s">
        <v>1774</v>
      </c>
      <c r="ND108" s="792"/>
      <c r="NE108" s="792"/>
      <c r="NF108" s="792"/>
      <c r="NG108" s="792"/>
      <c r="NH108" s="792"/>
      <c r="NI108" s="856" t="s">
        <v>1291</v>
      </c>
      <c r="NJ108" s="856"/>
      <c r="NK108" s="856"/>
      <c r="NL108" s="373"/>
      <c r="NM108" s="373"/>
      <c r="NN108" s="373"/>
      <c r="NO108" s="373"/>
      <c r="NP108" s="373"/>
      <c r="NQ108" s="373"/>
      <c r="NR108" s="373"/>
      <c r="NS108" s="373"/>
      <c r="NT108" s="373"/>
      <c r="NU108" s="373"/>
      <c r="NV108" s="373"/>
      <c r="NW108" s="373"/>
      <c r="NX108" s="373"/>
      <c r="NY108" s="373"/>
      <c r="NZ108" s="373"/>
      <c r="OA108" s="373"/>
      <c r="OB108" s="373"/>
      <c r="OC108" s="373"/>
      <c r="OD108" s="373"/>
      <c r="OE108" s="373"/>
      <c r="OF108" s="373"/>
      <c r="OG108" s="373"/>
      <c r="OH108" s="373"/>
      <c r="OI108" s="373"/>
      <c r="OJ108" s="373"/>
      <c r="OK108" s="373"/>
      <c r="OL108" s="373"/>
      <c r="OM108" s="373"/>
      <c r="ON108" s="373"/>
      <c r="OO108" s="373"/>
      <c r="OP108" s="373"/>
      <c r="OQ108" s="373"/>
      <c r="OR108" s="373"/>
      <c r="OS108" s="373"/>
      <c r="OT108" s="373"/>
      <c r="OU108" s="381" t="s">
        <v>1297</v>
      </c>
      <c r="OW108" s="130"/>
      <c r="OX108" s="130"/>
      <c r="OY108" s="130"/>
      <c r="OZ108" s="130"/>
      <c r="PA108" s="130"/>
      <c r="PB108" s="130"/>
      <c r="PC108" s="130"/>
      <c r="PD108" s="130"/>
      <c r="PE108" s="130"/>
      <c r="PF108" s="130"/>
      <c r="PL108" s="849"/>
      <c r="PM108" s="1257" t="s">
        <v>416</v>
      </c>
      <c r="PN108" s="1257"/>
      <c r="PO108" s="466"/>
      <c r="PP108" s="498" t="s">
        <v>1083</v>
      </c>
      <c r="PQ108" s="761">
        <f>$KL$49</f>
        <v>29.749119163787693</v>
      </c>
      <c r="PR108" s="761"/>
      <c r="PS108" s="497" t="s">
        <v>1598</v>
      </c>
      <c r="PT108" s="761">
        <f>$AW$95</f>
        <v>0.19391178434038603</v>
      </c>
      <c r="PU108" s="883"/>
      <c r="PV108" s="466"/>
      <c r="PW108" s="76" t="s">
        <v>441</v>
      </c>
      <c r="PX108" s="854" t="s">
        <v>435</v>
      </c>
      <c r="PY108" s="1111"/>
      <c r="PZ108" s="920" t="s">
        <v>111</v>
      </c>
      <c r="QA108" s="921"/>
      <c r="QB108" s="916" t="s">
        <v>704</v>
      </c>
      <c r="QC108" s="922"/>
      <c r="QD108" s="1051" t="s">
        <v>447</v>
      </c>
      <c r="QE108" s="1051"/>
      <c r="QF108" s="1051"/>
      <c r="QG108" s="1051"/>
      <c r="QH108" s="1051"/>
      <c r="QI108" s="1051" t="s">
        <v>436</v>
      </c>
      <c r="QJ108" s="1051"/>
      <c r="QK108" s="1051"/>
      <c r="QL108" s="1051"/>
      <c r="QM108" s="1051"/>
      <c r="QN108" s="1051"/>
      <c r="QO108" s="1051"/>
      <c r="QP108" s="1051"/>
      <c r="QQ108" s="1051"/>
      <c r="QR108" s="1051"/>
      <c r="QS108" s="1051"/>
      <c r="QU108" s="130"/>
      <c r="QV108" s="130"/>
      <c r="QW108" s="130"/>
      <c r="QX108" s="130"/>
      <c r="QY108" s="130"/>
      <c r="RE108" s="653"/>
      <c r="RF108" s="653"/>
      <c r="RG108" s="653"/>
      <c r="RH108" s="653"/>
      <c r="RI108" s="653"/>
      <c r="RJ108" s="653"/>
      <c r="RK108" s="653"/>
      <c r="RL108" s="653"/>
      <c r="RM108" s="653"/>
      <c r="RN108" s="653"/>
      <c r="RO108" s="653"/>
      <c r="RP108" s="653"/>
      <c r="RQ108" s="653"/>
      <c r="RR108" s="653"/>
      <c r="RS108" s="653"/>
      <c r="RT108" s="653"/>
      <c r="RU108" s="653"/>
      <c r="RV108" s="653"/>
      <c r="RW108" s="653"/>
      <c r="RX108" s="653"/>
      <c r="RY108" s="653"/>
      <c r="RZ108" s="653"/>
      <c r="SA108" s="653"/>
      <c r="SB108" s="653"/>
      <c r="SC108" s="653"/>
      <c r="SD108" s="653"/>
      <c r="SE108" s="653"/>
      <c r="SF108" s="653"/>
      <c r="SG108" s="653"/>
      <c r="SH108" s="653"/>
      <c r="SI108" s="653"/>
      <c r="SJ108" s="653"/>
      <c r="SK108" s="653"/>
      <c r="SL108" s="653"/>
      <c r="SM108" s="653"/>
      <c r="SN108" s="653"/>
      <c r="SO108" s="653"/>
      <c r="SP108" s="653"/>
      <c r="SQ108" s="653"/>
      <c r="SR108" s="653"/>
      <c r="SS108" s="653"/>
      <c r="ST108" s="653"/>
      <c r="SU108" s="653"/>
      <c r="SV108" s="653"/>
      <c r="SW108" s="653"/>
      <c r="SX108" s="653"/>
      <c r="SY108" s="653"/>
      <c r="SZ108" s="653"/>
      <c r="TA108" s="653"/>
      <c r="TB108" s="653"/>
      <c r="TC108" s="653"/>
      <c r="TD108" s="653"/>
      <c r="TE108" s="653"/>
      <c r="TF108" s="653"/>
      <c r="TG108" s="653"/>
      <c r="TH108" s="653"/>
      <c r="TI108" s="653"/>
      <c r="TJ108" s="653"/>
      <c r="TK108" s="653"/>
      <c r="TL108" s="653"/>
      <c r="TM108" s="653"/>
      <c r="TN108" s="653"/>
      <c r="TO108" s="653"/>
      <c r="TP108" s="653"/>
      <c r="TQ108" s="653"/>
      <c r="TR108" s="653"/>
      <c r="TS108" s="653"/>
      <c r="TT108" s="653"/>
      <c r="TU108" s="653"/>
      <c r="TV108" s="653"/>
      <c r="TW108" s="653"/>
      <c r="TX108" s="653"/>
      <c r="TY108" s="653"/>
      <c r="TZ108" s="653"/>
      <c r="UA108" s="653"/>
      <c r="UB108" s="653"/>
      <c r="UC108" s="653"/>
      <c r="UD108" s="653"/>
      <c r="UE108" s="653"/>
      <c r="UF108" s="653"/>
      <c r="UG108" s="653"/>
      <c r="UH108" s="653"/>
      <c r="UI108" s="653"/>
      <c r="UJ108" s="653"/>
      <c r="UK108" s="653"/>
      <c r="UL108" s="653"/>
      <c r="UM108" s="653"/>
      <c r="UN108" s="653"/>
      <c r="UO108" s="653"/>
      <c r="UP108" s="653"/>
      <c r="UQ108" s="653"/>
      <c r="UR108" s="653"/>
      <c r="US108" s="653"/>
      <c r="UT108" s="653"/>
      <c r="UU108" s="653"/>
      <c r="UV108" s="653"/>
      <c r="UW108" s="653"/>
      <c r="UX108" s="653"/>
      <c r="UY108" s="653"/>
      <c r="UZ108" s="653"/>
      <c r="VP108" s="15"/>
      <c r="VQ108" s="15"/>
      <c r="VR108" s="15"/>
      <c r="VS108" s="30"/>
      <c r="WC108" s="653"/>
      <c r="WD108" s="653"/>
      <c r="WE108" s="754"/>
      <c r="WF108" s="755"/>
      <c r="WG108" s="173"/>
      <c r="WH108" s="173"/>
      <c r="WI108" s="173"/>
      <c r="WJ108" s="173"/>
      <c r="WK108" s="173"/>
      <c r="WL108" s="173"/>
      <c r="WM108" s="173"/>
      <c r="WN108" s="173"/>
      <c r="WO108" s="173"/>
      <c r="WP108" s="173"/>
      <c r="WQ108" s="173"/>
      <c r="WR108" s="173"/>
      <c r="WS108" s="173"/>
      <c r="WT108" s="173"/>
      <c r="WU108" s="173"/>
      <c r="WV108" s="173"/>
      <c r="WW108" s="173"/>
      <c r="WX108" s="173"/>
      <c r="WY108" s="173"/>
      <c r="WZ108" s="1135"/>
      <c r="XA108" s="1135"/>
      <c r="XB108" s="169"/>
      <c r="XC108" s="170"/>
      <c r="XD108" s="170"/>
      <c r="XE108" s="170"/>
      <c r="XF108" s="172"/>
      <c r="XG108" s="1044"/>
      <c r="XH108" s="1044"/>
      <c r="XI108" s="1044"/>
      <c r="XJ108" s="1044"/>
      <c r="XK108" s="1044"/>
      <c r="XL108" s="1044"/>
      <c r="XM108" s="1044"/>
      <c r="XN108" s="1044"/>
      <c r="XO108" s="1044"/>
      <c r="XP108" s="1044"/>
      <c r="XQ108" s="1044"/>
      <c r="XR108" s="1044"/>
      <c r="XS108" s="1044"/>
      <c r="XT108" s="1044"/>
      <c r="XU108" s="1044"/>
      <c r="XV108" s="1044"/>
      <c r="XW108" s="1044"/>
      <c r="XX108" s="1044"/>
      <c r="XY108" s="1044"/>
      <c r="XZ108" s="1044"/>
      <c r="YA108" s="1044"/>
      <c r="YB108" s="1044"/>
      <c r="YC108" s="1044"/>
      <c r="YD108" s="1044"/>
      <c r="YE108" s="1044"/>
      <c r="YF108" s="1044"/>
      <c r="YG108" s="1044"/>
      <c r="YH108" s="1044"/>
      <c r="YI108" s="1044"/>
      <c r="YJ108" s="1044"/>
      <c r="YK108" s="1044"/>
      <c r="YL108" s="1044"/>
      <c r="YM108" s="1044"/>
      <c r="YN108" s="1044"/>
      <c r="YO108" s="1044"/>
      <c r="YP108" s="1044"/>
      <c r="YQ108" s="1044"/>
      <c r="YR108" s="1044"/>
      <c r="YS108" s="1044"/>
      <c r="YT108" s="1044"/>
      <c r="YU108" s="1044"/>
      <c r="YV108" s="1044"/>
      <c r="YW108" s="1044"/>
      <c r="YX108" s="1044"/>
      <c r="YY108" s="1044"/>
      <c r="YZ108" s="1044"/>
      <c r="ZA108" s="1044"/>
      <c r="ZB108" s="1044"/>
      <c r="ZC108" s="1044"/>
      <c r="ZD108" s="1044"/>
      <c r="ZE108" s="1044"/>
      <c r="ZF108" s="1044"/>
      <c r="ZG108" s="1044"/>
      <c r="ZH108" s="1044"/>
      <c r="ZI108" s="1044"/>
      <c r="ZJ108" s="1044"/>
      <c r="ZK108" s="1044"/>
      <c r="ZL108" s="1044"/>
      <c r="ZM108" s="1044"/>
      <c r="ZN108" s="1044"/>
      <c r="ZO108" s="1044"/>
      <c r="ZP108" s="1044"/>
      <c r="ZQ108" s="1044"/>
      <c r="ZR108" s="1044"/>
      <c r="ZS108" s="1044"/>
      <c r="ZT108" s="1044"/>
      <c r="ZU108" s="1044"/>
      <c r="ZV108" s="1044"/>
      <c r="ZW108" s="1044"/>
      <c r="ZX108" s="1044"/>
      <c r="ZY108" s="1044"/>
      <c r="ZZ108" s="1044"/>
      <c r="AAA108" s="1044"/>
      <c r="AAB108" s="1044"/>
      <c r="AAC108" s="1044"/>
      <c r="AAD108" s="1044"/>
      <c r="AAE108" s="1044"/>
      <c r="AAF108" s="1044"/>
      <c r="AAG108" s="1044"/>
      <c r="AAH108" s="1044"/>
      <c r="AAI108" s="1044"/>
      <c r="AAJ108" s="1044"/>
      <c r="AAK108" s="1044"/>
      <c r="AAL108" s="1044"/>
      <c r="AAM108" s="1044"/>
      <c r="AAN108" s="1044"/>
      <c r="AAO108" s="1044"/>
      <c r="AAP108" s="1044"/>
      <c r="AAQ108" s="1044"/>
      <c r="AAR108" s="1044"/>
      <c r="AAS108" s="1044"/>
      <c r="AAT108" s="1007"/>
      <c r="AAU108" s="981"/>
      <c r="AAV108" s="981"/>
      <c r="AAW108" s="981"/>
      <c r="AAX108" s="981"/>
      <c r="AAY108" s="981"/>
      <c r="AAZ108" s="981"/>
      <c r="ABA108" s="981"/>
      <c r="ABB108" s="981"/>
      <c r="ABC108" s="158"/>
      <c r="ABD108" s="158"/>
      <c r="ABE108" s="158"/>
      <c r="ABF108" s="158"/>
      <c r="ABG108" s="158"/>
      <c r="ABH108" s="158"/>
      <c r="ABI108" s="158"/>
      <c r="ABJ108" s="158"/>
      <c r="ABK108" s="158"/>
      <c r="ABL108" s="158"/>
      <c r="ABM108" s="158"/>
      <c r="ABN108" s="158"/>
      <c r="ABO108" s="158"/>
      <c r="ABP108" s="163"/>
      <c r="ABW108" s="1516"/>
      <c r="ABX108" s="1517"/>
      <c r="ABY108" s="1517"/>
      <c r="ABZ108" s="1517"/>
      <c r="ACA108" s="1517"/>
      <c r="ACB108" s="1517"/>
      <c r="ACC108" s="1517"/>
      <c r="ACD108" s="1517"/>
      <c r="ACE108" s="1517"/>
      <c r="ACF108" s="1517"/>
      <c r="ACG108" s="1517"/>
      <c r="ACH108" s="1518"/>
      <c r="ACJ108" s="759">
        <v>0.5</v>
      </c>
      <c r="ACK108" s="760"/>
      <c r="ACL108" s="759">
        <v>-0.5</v>
      </c>
      <c r="ACM108" s="760"/>
      <c r="ACN108" s="591">
        <v>24</v>
      </c>
      <c r="ACO108" s="759">
        <f t="shared" si="91"/>
        <v>0.12</v>
      </c>
      <c r="ACP108" s="760"/>
      <c r="ACQ108" s="757">
        <f t="shared" si="82"/>
        <v>1.24</v>
      </c>
      <c r="ACR108" s="758"/>
      <c r="ACT108" s="759">
        <v>1.5454545454545501</v>
      </c>
      <c r="ACU108" s="760"/>
      <c r="ACV108" s="759">
        <v>-2.1818181818181799</v>
      </c>
      <c r="ACW108" s="760"/>
      <c r="ACX108" s="591">
        <v>74</v>
      </c>
      <c r="ACY108" s="759">
        <f t="shared" si="92"/>
        <v>0.50727272727273709</v>
      </c>
      <c r="ACZ108" s="760"/>
      <c r="ADA108" s="757">
        <f t="shared" si="83"/>
        <v>1.74</v>
      </c>
      <c r="ADB108" s="758"/>
      <c r="ADD108" s="759">
        <v>1.5454545454545501</v>
      </c>
      <c r="ADE108" s="760"/>
      <c r="ADF108" s="759">
        <v>-2.1818181818181799</v>
      </c>
      <c r="ADG108" s="760"/>
      <c r="ADH108" s="591">
        <v>123</v>
      </c>
      <c r="ADI108" s="759">
        <f t="shared" si="93"/>
        <v>1.2645454545454666</v>
      </c>
      <c r="ADJ108" s="760"/>
      <c r="ADK108" s="757">
        <f t="shared" si="84"/>
        <v>2.23</v>
      </c>
      <c r="ADL108" s="758"/>
      <c r="ADN108" s="759">
        <v>1.5454545454545501</v>
      </c>
      <c r="ADO108" s="760"/>
      <c r="ADP108" s="759">
        <v>-2.1818181818181799</v>
      </c>
      <c r="ADQ108" s="760"/>
      <c r="ADR108" s="591">
        <v>173</v>
      </c>
      <c r="ADS108" s="759">
        <f t="shared" si="94"/>
        <v>2.0372727272727422</v>
      </c>
      <c r="ADT108" s="760"/>
      <c r="ADU108" s="757">
        <f t="shared" si="85"/>
        <v>2.73</v>
      </c>
      <c r="ADV108" s="758"/>
      <c r="ADW108" s="653"/>
      <c r="ADX108" s="759">
        <v>1.5454545454545501</v>
      </c>
      <c r="ADY108" s="760"/>
      <c r="ADZ108" s="759">
        <v>-2.1818181818181799</v>
      </c>
      <c r="AEA108" s="760"/>
      <c r="AEB108" s="591">
        <v>223</v>
      </c>
      <c r="AEC108" s="759">
        <f t="shared" si="95"/>
        <v>2.8100000000000165</v>
      </c>
      <c r="AED108" s="760"/>
      <c r="AEE108" s="757">
        <f t="shared" si="86"/>
        <v>3.23</v>
      </c>
      <c r="AEF108" s="758"/>
      <c r="AEH108" s="759">
        <v>1.5454545454545501</v>
      </c>
      <c r="AEI108" s="760"/>
      <c r="AEJ108" s="759">
        <v>-2.1818181818181799</v>
      </c>
      <c r="AEK108" s="760"/>
      <c r="AEL108" s="591">
        <v>273</v>
      </c>
      <c r="AEM108" s="759">
        <f t="shared" si="101"/>
        <v>3.5827272727272916</v>
      </c>
      <c r="AEN108" s="760"/>
      <c r="AEO108" s="757">
        <f t="shared" si="87"/>
        <v>3.73</v>
      </c>
      <c r="AEP108" s="758"/>
      <c r="AGL108" s="849"/>
      <c r="AGM108" s="852" t="s">
        <v>416</v>
      </c>
      <c r="AGN108" s="853"/>
      <c r="AGO108" s="142"/>
      <c r="AGP108" s="861" t="s">
        <v>1472</v>
      </c>
      <c r="AGQ108" s="861"/>
      <c r="AGR108" s="861"/>
      <c r="AGS108" s="937">
        <f>$AGZ$100</f>
        <v>0.27728031839696238</v>
      </c>
      <c r="AGT108" s="937"/>
      <c r="AGU108" s="78"/>
      <c r="AGV108" s="142"/>
      <c r="AGW108" s="76" t="s">
        <v>441</v>
      </c>
      <c r="AGX108" s="854" t="s">
        <v>435</v>
      </c>
      <c r="AGY108" s="1111"/>
      <c r="AGZ108" s="924" t="s">
        <v>111</v>
      </c>
      <c r="AHA108" s="925"/>
      <c r="AHB108" s="916" t="s">
        <v>704</v>
      </c>
      <c r="AHC108" s="922"/>
      <c r="AHD108" s="1051" t="s">
        <v>447</v>
      </c>
      <c r="AHE108" s="1051"/>
      <c r="AHF108" s="1051"/>
      <c r="AHG108" s="1051"/>
      <c r="AHH108" s="1051"/>
      <c r="AHI108" s="1051" t="s">
        <v>436</v>
      </c>
      <c r="AHJ108" s="1051"/>
      <c r="AHK108" s="1051"/>
      <c r="AHL108" s="1051"/>
      <c r="AHM108" s="1051"/>
      <c r="AHN108" s="1051"/>
      <c r="AHO108" s="1051"/>
      <c r="AHP108" s="1051"/>
      <c r="AQO108" s="849"/>
      <c r="AQP108" s="852" t="s">
        <v>416</v>
      </c>
      <c r="AQQ108" s="853"/>
      <c r="AQR108" s="700"/>
      <c r="AQS108" s="78"/>
      <c r="AQT108" s="78"/>
      <c r="AQU108" s="78"/>
      <c r="AQV108" s="78"/>
      <c r="AQW108" s="78"/>
      <c r="AQX108" s="78"/>
      <c r="AQY108" s="700"/>
      <c r="AQZ108" s="76" t="s">
        <v>441</v>
      </c>
      <c r="ARA108" s="854" t="s">
        <v>435</v>
      </c>
      <c r="ARB108" s="855"/>
      <c r="ARC108" s="920" t="s">
        <v>111</v>
      </c>
      <c r="ARD108" s="921"/>
      <c r="ARE108" s="916" t="s">
        <v>704</v>
      </c>
      <c r="ARF108" s="917"/>
      <c r="ARG108" s="906" t="s">
        <v>447</v>
      </c>
      <c r="ARH108" s="907"/>
      <c r="ARI108" s="907"/>
      <c r="ARJ108" s="908"/>
      <c r="ARU108" s="851"/>
      <c r="ARV108" s="794"/>
      <c r="ARW108" s="795"/>
      <c r="ARX108" s="795"/>
      <c r="ARY108" s="795"/>
      <c r="ARZ108" s="795"/>
      <c r="ASA108" s="795"/>
      <c r="ASB108" s="795"/>
      <c r="ASC108" s="795"/>
      <c r="ASD108" s="795"/>
      <c r="ASE108" s="795"/>
      <c r="ASF108" s="795"/>
      <c r="ASG108" s="795"/>
      <c r="ASH108" s="796"/>
      <c r="ASI108" s="837"/>
      <c r="ASJ108" s="838"/>
      <c r="ASK108" s="933"/>
      <c r="ASL108" s="934"/>
      <c r="ASM108" s="842"/>
      <c r="ASN108" s="845"/>
      <c r="ASO108" s="846"/>
      <c r="ASP108" s="848"/>
    </row>
    <row r="109" spans="34:904 1133:1201" ht="48" customHeight="1">
      <c r="AL109" s="732" t="s">
        <v>402</v>
      </c>
      <c r="AM109" s="761">
        <f>$AP$20</f>
        <v>4</v>
      </c>
      <c r="AN109" s="761"/>
      <c r="BP109" s="130"/>
      <c r="BU109" s="653"/>
      <c r="BV109" s="653"/>
      <c r="BW109" s="653"/>
      <c r="BX109" s="54"/>
      <c r="DL109" s="653"/>
      <c r="DM109" s="653"/>
      <c r="DN109" s="653"/>
      <c r="DO109" s="653"/>
      <c r="DP109" s="653"/>
      <c r="DQ109" s="653"/>
      <c r="DU109" s="162"/>
      <c r="DV109" s="158"/>
      <c r="DW109" s="54"/>
      <c r="DX109" s="54"/>
      <c r="DY109" s="382" t="s">
        <v>1298</v>
      </c>
      <c r="DZ109" s="850"/>
      <c r="EA109" s="791" t="s">
        <v>1775</v>
      </c>
      <c r="EB109" s="792"/>
      <c r="EC109" s="792"/>
      <c r="ED109" s="792"/>
      <c r="EE109" s="792"/>
      <c r="EF109" s="792"/>
      <c r="EG109" s="835">
        <f>(0.4*DN112+0.9*DN113)</f>
        <v>0</v>
      </c>
      <c r="EH109" s="836"/>
      <c r="EI109" s="927" t="s">
        <v>757</v>
      </c>
      <c r="EJ109" s="928"/>
      <c r="EK109" s="841"/>
      <c r="EL109" s="1438" t="s">
        <v>1319</v>
      </c>
      <c r="EM109" s="1439"/>
      <c r="EN109" s="847"/>
      <c r="EO109" s="1203" t="s">
        <v>862</v>
      </c>
      <c r="EP109" s="1275"/>
      <c r="EQ109" s="1204"/>
      <c r="ER109" s="158"/>
      <c r="ES109" s="1779"/>
      <c r="ET109" s="1868"/>
      <c r="EU109" s="1869"/>
      <c r="EV109" s="1869"/>
      <c r="EW109" s="1869"/>
      <c r="EX109" s="1869"/>
      <c r="EY109" s="1869"/>
      <c r="EZ109" s="1870"/>
      <c r="FA109" s="158"/>
      <c r="FB109" s="158"/>
      <c r="FC109" s="158"/>
      <c r="FD109" s="158"/>
      <c r="FE109" s="158"/>
      <c r="FF109" s="163"/>
      <c r="FH109" s="653"/>
      <c r="FI109" s="653"/>
      <c r="FJ109" s="653"/>
      <c r="FK109" s="653"/>
      <c r="FL109" s="653"/>
      <c r="FM109" s="653"/>
      <c r="FN109" s="653"/>
      <c r="FO109" s="126"/>
      <c r="FP109" s="126"/>
      <c r="FQ109" s="126"/>
      <c r="FR109" s="126"/>
      <c r="FS109" s="126"/>
      <c r="FT109" s="126"/>
      <c r="FU109" s="126"/>
      <c r="FV109" s="130"/>
      <c r="FW109" s="130"/>
      <c r="FX109" s="130"/>
      <c r="FY109" s="130"/>
      <c r="FZ109" s="130"/>
      <c r="GA109" s="130"/>
      <c r="GB109" s="130"/>
      <c r="GC109" s="130"/>
      <c r="GD109" s="130"/>
      <c r="GE109" s="130"/>
      <c r="HE109" s="130"/>
      <c r="HF109" s="130"/>
      <c r="HG109" s="130"/>
      <c r="HH109" s="130"/>
      <c r="HI109" s="130"/>
      <c r="HJ109" s="130"/>
      <c r="HP109" s="130"/>
      <c r="HQ109" s="130"/>
      <c r="HV109" s="5"/>
      <c r="HW109" s="6"/>
      <c r="HX109" s="3"/>
      <c r="HY109" s="3"/>
      <c r="IB109" s="6"/>
      <c r="IC109" s="3"/>
      <c r="ID109" s="3"/>
      <c r="LX109" s="377"/>
      <c r="LY109" s="373"/>
      <c r="LZ109" s="373"/>
      <c r="MA109" s="373"/>
      <c r="MB109" s="373"/>
      <c r="MC109" s="373"/>
      <c r="MD109" s="373"/>
      <c r="ME109" s="373"/>
      <c r="MF109" s="373"/>
      <c r="MG109" s="373"/>
      <c r="MH109" s="373"/>
      <c r="MI109" s="373"/>
      <c r="MJ109" s="373"/>
      <c r="MK109" s="373"/>
      <c r="ML109" s="373"/>
      <c r="MM109" s="373"/>
      <c r="MN109" s="373"/>
      <c r="MO109" s="373"/>
      <c r="MP109" s="373"/>
      <c r="MQ109" s="373"/>
      <c r="MR109" s="373"/>
      <c r="MS109" s="373"/>
      <c r="MT109" s="373"/>
      <c r="MU109" s="373"/>
      <c r="MV109" s="373"/>
      <c r="MW109" s="373"/>
      <c r="MX109" s="373"/>
      <c r="MY109" s="373"/>
      <c r="MZ109" s="373"/>
      <c r="NA109" s="1789"/>
      <c r="NB109" s="1790"/>
      <c r="NC109" s="909"/>
      <c r="ND109" s="910"/>
      <c r="NE109" s="910"/>
      <c r="NF109" s="910"/>
      <c r="NG109" s="910"/>
      <c r="NH109" s="910"/>
      <c r="NI109" s="856" t="s">
        <v>1290</v>
      </c>
      <c r="NJ109" s="856"/>
      <c r="NK109" s="856"/>
      <c r="NL109" s="373"/>
      <c r="NM109" s="373"/>
      <c r="NN109" s="373"/>
      <c r="NO109" s="373"/>
      <c r="NP109" s="373"/>
      <c r="NQ109" s="373"/>
      <c r="NR109" s="373"/>
      <c r="NS109" s="373"/>
      <c r="NT109" s="373"/>
      <c r="NU109" s="373"/>
      <c r="NV109" s="373"/>
      <c r="NW109" s="373"/>
      <c r="NX109" s="373"/>
      <c r="NY109" s="373"/>
      <c r="NZ109" s="373"/>
      <c r="OA109" s="373"/>
      <c r="OB109" s="373"/>
      <c r="OC109" s="373"/>
      <c r="OD109" s="373"/>
      <c r="OE109" s="373"/>
      <c r="OF109" s="373"/>
      <c r="OG109" s="373"/>
      <c r="OH109" s="373"/>
      <c r="OI109" s="373"/>
      <c r="OJ109" s="373"/>
      <c r="OK109" s="373"/>
      <c r="OL109" s="373"/>
      <c r="OM109" s="373"/>
      <c r="ON109" s="373"/>
      <c r="OO109" s="373"/>
      <c r="OP109" s="373"/>
      <c r="OQ109" s="373"/>
      <c r="OR109" s="373"/>
      <c r="OS109" s="373"/>
      <c r="OT109" s="373"/>
      <c r="OU109" s="382" t="s">
        <v>798</v>
      </c>
      <c r="OW109" s="130"/>
      <c r="OX109" s="130"/>
      <c r="OY109" s="130"/>
      <c r="OZ109" s="130"/>
      <c r="PA109" s="130"/>
      <c r="PB109" s="130"/>
      <c r="PC109" s="130"/>
      <c r="PD109" s="130"/>
      <c r="PE109" s="130"/>
      <c r="PF109" s="130"/>
      <c r="PL109" s="850"/>
      <c r="PM109" s="800" t="s">
        <v>1070</v>
      </c>
      <c r="PN109" s="801"/>
      <c r="PO109" s="766">
        <f>$GU$16</f>
        <v>46</v>
      </c>
      <c r="PP109" s="766"/>
      <c r="PQ109" s="498" t="s">
        <v>1562</v>
      </c>
      <c r="PR109" s="890">
        <f>$QC$61</f>
        <v>0.97</v>
      </c>
      <c r="PS109" s="890"/>
      <c r="PT109" s="797" t="s">
        <v>165</v>
      </c>
      <c r="PU109" s="797"/>
      <c r="PV109" s="797"/>
      <c r="PW109" s="797"/>
      <c r="PX109" s="797"/>
      <c r="PY109" s="798"/>
      <c r="PZ109" s="835">
        <f>(PQ108/1000)*(PO110/1000)*PO109*PT108*PR109*PR110</f>
        <v>11.595231884147621</v>
      </c>
      <c r="QA109" s="836"/>
      <c r="QB109" s="1188" t="s">
        <v>1556</v>
      </c>
      <c r="QC109" s="1189"/>
      <c r="QD109" s="1289"/>
      <c r="QE109" s="1283" t="s">
        <v>1571</v>
      </c>
      <c r="QF109" s="1283"/>
      <c r="QG109" s="1283"/>
      <c r="QH109" s="1289"/>
      <c r="QI109" s="1052"/>
      <c r="QJ109" s="1052"/>
      <c r="QK109" s="1052"/>
      <c r="QL109" s="1052"/>
      <c r="QM109" s="1052"/>
      <c r="QN109" s="1052"/>
      <c r="QO109" s="1052"/>
      <c r="QP109" s="1052"/>
      <c r="QQ109" s="1052"/>
      <c r="QR109" s="1052"/>
      <c r="QS109" s="1052"/>
      <c r="QU109" s="130"/>
      <c r="QV109" s="130"/>
      <c r="QW109" s="130"/>
      <c r="QX109" s="130"/>
      <c r="QY109" s="130"/>
      <c r="RE109" s="653"/>
      <c r="RF109" s="653"/>
      <c r="RG109" s="653"/>
      <c r="RH109" s="653"/>
      <c r="RI109" s="653"/>
      <c r="RJ109" s="653"/>
      <c r="RK109" s="653"/>
      <c r="RL109" s="653"/>
      <c r="RM109" s="653"/>
      <c r="RN109" s="653"/>
      <c r="RO109" s="653"/>
      <c r="RP109" s="653"/>
      <c r="RQ109" s="653"/>
      <c r="RR109" s="653"/>
      <c r="RS109" s="653"/>
      <c r="RT109" s="653"/>
      <c r="RU109" s="653"/>
      <c r="RV109" s="653"/>
      <c r="RW109" s="653"/>
      <c r="RX109" s="653"/>
      <c r="RY109" s="653"/>
      <c r="RZ109" s="653"/>
      <c r="SA109" s="653"/>
      <c r="SB109" s="653"/>
      <c r="SC109" s="653"/>
      <c r="SD109" s="653"/>
      <c r="SE109" s="653"/>
      <c r="SF109" s="653"/>
      <c r="SG109" s="653"/>
      <c r="SH109" s="653"/>
      <c r="SI109" s="653"/>
      <c r="SJ109" s="653"/>
      <c r="SK109" s="653"/>
      <c r="SL109" s="653"/>
      <c r="SM109" s="653"/>
      <c r="SN109" s="653"/>
      <c r="SO109" s="653"/>
      <c r="SP109" s="653"/>
      <c r="SQ109" s="653"/>
      <c r="SR109" s="653"/>
      <c r="SS109" s="653"/>
      <c r="ST109" s="653"/>
      <c r="SU109" s="653"/>
      <c r="SV109" s="653"/>
      <c r="SW109" s="653"/>
      <c r="SX109" s="653"/>
      <c r="SY109" s="653"/>
      <c r="SZ109" s="653"/>
      <c r="TA109" s="653"/>
      <c r="TB109" s="653"/>
      <c r="TC109" s="653"/>
      <c r="TD109" s="653"/>
      <c r="TE109" s="653"/>
      <c r="TF109" s="653"/>
      <c r="TG109" s="653"/>
      <c r="TH109" s="653"/>
      <c r="TI109" s="653"/>
      <c r="TJ109" s="653"/>
      <c r="TK109" s="653"/>
      <c r="TL109" s="653"/>
      <c r="TM109" s="653"/>
      <c r="TN109" s="653"/>
      <c r="TO109" s="653"/>
      <c r="TP109" s="653"/>
      <c r="TQ109" s="653"/>
      <c r="TR109" s="653"/>
      <c r="TS109" s="653"/>
      <c r="TT109" s="653"/>
      <c r="TU109" s="653"/>
      <c r="TV109" s="653"/>
      <c r="TW109" s="653"/>
      <c r="TX109" s="653"/>
      <c r="TY109" s="653"/>
      <c r="TZ109" s="653"/>
      <c r="UA109" s="653"/>
      <c r="UB109" s="653"/>
      <c r="UC109" s="653"/>
      <c r="UD109" s="653"/>
      <c r="UE109" s="653"/>
      <c r="UF109" s="653"/>
      <c r="UG109" s="653"/>
      <c r="UH109" s="653"/>
      <c r="UI109" s="653"/>
      <c r="UJ109" s="653"/>
      <c r="UK109" s="653"/>
      <c r="UL109" s="653"/>
      <c r="UM109" s="653"/>
      <c r="UN109" s="653"/>
      <c r="UO109" s="653"/>
      <c r="UP109" s="653"/>
      <c r="UQ109" s="653"/>
      <c r="UR109" s="653"/>
      <c r="US109" s="653"/>
      <c r="UT109" s="653"/>
      <c r="UU109" s="653"/>
      <c r="UV109" s="653"/>
      <c r="UW109" s="653"/>
      <c r="UX109" s="653"/>
      <c r="UY109" s="653"/>
      <c r="UZ109" s="653"/>
      <c r="WC109" s="653"/>
      <c r="WD109" s="653"/>
      <c r="WE109" s="752">
        <v>8</v>
      </c>
      <c r="WF109" s="753"/>
      <c r="WG109" s="167"/>
      <c r="WH109" s="168"/>
      <c r="WI109" s="168"/>
      <c r="WJ109" s="168"/>
      <c r="WK109" s="168"/>
      <c r="WL109" s="168"/>
      <c r="WM109" s="168"/>
      <c r="WN109" s="168"/>
      <c r="WO109" s="168"/>
      <c r="WP109" s="168"/>
      <c r="WQ109" s="168"/>
      <c r="WR109" s="168"/>
      <c r="WS109" s="168"/>
      <c r="WT109" s="168"/>
      <c r="WU109" s="168"/>
      <c r="WV109" s="168"/>
      <c r="WW109" s="168"/>
      <c r="WX109" s="168"/>
      <c r="WY109" s="171"/>
      <c r="WZ109" s="1357"/>
      <c r="XA109" s="1358"/>
      <c r="XB109" s="167"/>
      <c r="XC109" s="168"/>
      <c r="XD109" s="168"/>
      <c r="XE109" s="168"/>
      <c r="XF109" s="171"/>
      <c r="XG109" s="693">
        <f t="shared" ref="XG109:YL109" si="131">IF($ACQ$154&lt;0,"Ошибка",
IF(OR(AND($ACQ$154&gt;XG80,XG80&gt;1),XG80 = $ACQ$154),$ACO$154,
IF(OR(AND($ACQ$155&gt;XG80,XG80&gt;$ACQ$154),XG80 = $ACQ$155),$ACO$155,
IF(OR(AND($ACQ$156&gt;XG80,XG80&gt;$ACQ$155),XG80 = $ACQ$156),$ACO$156,
IF(OR(AND($ACQ$157&gt;XG80,XG80&gt;$ACQ$156),XG80 = $ACQ$157),$ACO$157,
IF(OR(AND($ACQ$158&gt;XG80,XG80&gt;$ACQ$157),XG80 = $ACQ$158),$ACO$158,
IF(OR(AND($ACQ$159&gt;XG80,XG80&gt;$ACQ$158),XG80 = $ACQ$159),$ACO$159,
IF(OR(AND($ACQ$160&gt;XG80,XG80&gt;$ACQ$159),XG80 = $ACQ$160),$ACO$160,
IF(OR(AND($ACQ$161&gt;XG80,XG80&gt;$ACQ$160),XG80 = $ACQ$161),$ACO$161,
IF(OR(AND($ACQ$162&gt;XG80,XG80&gt;$ACQ$161),XG80 = $ACQ$162),$ACO$162,
IF(OR(AND($ACQ$163&gt;XG80,XG80&gt;$ACQ$162),XG80 = $ACQ$163),$ACO$163,
IF(OR(AND($ACQ$164&gt;XG80,XG80&gt;$ACQ$163),XG80 = $ACQ$164),$ACO$164,
IF(OR(AND($ACQ$165&gt;XG80,XG80&gt;$ACQ$164),XG80 = $ACQ$165),$ACO$165,
IF(OR(AND($ACQ$166&gt;XG80,XG80&gt;$ACQ$165),XG80 = $ACQ$166),$ACO$166,
IF(OR(AND($ACQ$167&gt;XG80,XG80&gt;$ACQ$166),XG80 = $ACQ$167),$ACO$167,
IF(OR(AND($ACQ$168&gt;XG80,XG80&gt;$ACQ$167),XG80 = $ACQ$168),$ACO$168,
IF(OR(AND($ACQ$169&gt;XG80,XG80&gt;$ACQ$168),XG80 = $ACQ$169),$ACO$169,
IF(OR(AND($ACQ$170&gt;XG80,XG80&gt;$ACQ$169),XG80 = $ACQ$170),$ACO$170,
IF(OR(AND($ACQ$171&gt;XG80,XG80&gt;$ACQ$170),XG80 = $ACQ$171),$ACO$171,
IF(OR(AND($ACQ$172&gt;XG80,XG80&gt;$ACQ$171),XG80 = $ACQ$172),$ACO$172,
IF(OR(AND($ACQ$173&gt;XG80,XG80&gt;$ACQ$172),XG80 = $ACQ$173),$ACO$173,
IF(OR(AND($ACQ$174&gt;XG80,XG80&gt;$ACQ$173),XG80 = $ACQ$174),$ACO$174,
IF(OR(AND($ACQ$175&gt;XG80,XG80&gt;$ACQ$174),XG80 = $ACQ$175),$ACO$175,
IF(OR(AND($ACQ$176&gt;XG80,XG80&gt;$ACQ$175),XG80 = $ACQ$176),$ACO$176,
IF(OR(AND($ACQ$177&gt;XG80,XG80&gt;$ACQ$176),XG80 = $ACQ$177),$ACO$177,
IF(OR(AND($ACQ$178&gt;XG80,XG80&gt;$ACQ$177),XG80 = $ACQ$178),$ACO$178,
IF(OR(AND($ACQ$179&gt;XG80,XG80&gt;$ACQ$178),XG80 = $ACQ$179),$ACO$179,
IF(OR(AND($ACQ$180&gt;XG80,XG80&gt;$ACQ$179),XG80 = $ACQ$180),$ACO$180,
IF(OR(AND($ACQ$181&gt;XG80,XG80&gt;$ACQ$180),XG80 = $ACQ$181),$ACO$181,
IF(OR(AND($ACQ$182&gt;XG80,XG80&gt;$ACQ$181),XG80 = $ACQ$182),$ACO$182,
IF(OR(AND($ACQ$183&gt;XG80,XG80&gt;$ACQ$182),XG80 = $ACQ$183),$ACO$183,
IF(OR(AND($ACQ$184&gt;XG80,XG80&gt;$ACQ$183),XG80 = $ACQ$184),$ACO$184,
IF(OR(AND($ACQ$185&gt;XG80,XG80&gt;$ACQ$184),XG80 = $ACQ$185),$ACO$185,
IF(OR(AND($ACQ$186&gt;XG80,XG80&gt;$ACQ$185),XG80 = $ACQ$186),$ACO$186,
IF(OR(AND($ACQ$187&gt;XG80,XG80&gt;$ACQ$186),XG80 = $ACQ$187),$ACO$187,
IF(OR(AND($ACQ$188&gt;XG80,XG80&gt;$ACQ$187),XG80 = $ACQ$188),$ACO$188,
IF(OR(AND($ACQ$189&gt;XG80,XG80&gt;$ACQ$188),XG80 = $ACQ$189),$ACO$189,
IF(OR(AND($ACQ$190&gt;XG80,XG80&gt;$ACQ$189),XG80 = $ACQ$190),$ACO$190,
IF(OR(AND($ACQ$191&gt;XG80,XG80&gt;$ACQ$190),XG80 = $ACQ$191),$ACO$191,
IF(OR(AND($ACQ$192&gt;XG80,XG80&gt;$ACQ$191),XG80 = $ACQ$192),$ACO$192,
IF(OR(AND($ACQ$193&gt;XG80,XG80&gt;$ACQ$192),XG80 = $ACQ$193),$ACO$193,
IF(OR(AND($ACQ$194&gt;XG80,XG80&gt;$ACQ$193),XG80 = $ACQ$194),$ACO$194,
IF(OR(AND($ACQ$195&gt;XG80,XG80&gt;$ACQ$194),XG80 = $ACQ$195),$ACO$195,
IF(OR(AND($ACQ$196&gt;XG80,XG80&gt;$ACQ$195),XG80 = $ACQ$196),$ACO$196,
IF(OR(AND($ACQ$197&gt;XG80,XG80&gt;$ACQ$196),XG80 = $ACQ$197),$ACO$197,
IF(OR(AND($ACQ$198&gt;XG80,XG80&gt;$ACQ$197),XG80 = $ACQ$198),$ACO$198,
IF(OR(AND($ACQ$199&gt;XG80,XG80&gt;$ACQ$198),XG80 = $ACQ$199),$ACO$199,
IF(OR(AND($ACQ$200&gt;XG80,XG80&gt;$ACQ$199),XG80 = $ACQ$200),$ACO$200,
IF(OR(AND($ACQ$201&gt;XG80,XG80&gt;$ACQ$200),XG80 = $ACQ$201),$ACO$201,
IF(OR(AND($ACQ$202&gt;XG80,XG80&gt;$ACQ$201),XG80 = $ACQ$202),$ACO$202,
IF(OR(AND($ACQ$203&gt;XG80,XG80&gt;$ACQ$202),XG80 = $ACQ$203),$ACO$203,
"Y")))))))))))))))))))))))))))))))))))))))))))))))))))</f>
        <v>0.98899999999999999</v>
      </c>
      <c r="XH109" s="693" t="str">
        <f t="shared" si="131"/>
        <v>Y</v>
      </c>
      <c r="XI109" s="693" t="str">
        <f t="shared" si="131"/>
        <v>Y</v>
      </c>
      <c r="XJ109" s="693" t="str">
        <f t="shared" si="131"/>
        <v>Y</v>
      </c>
      <c r="XK109" s="693" t="str">
        <f t="shared" si="131"/>
        <v>Y</v>
      </c>
      <c r="XL109" s="693" t="str">
        <f t="shared" si="131"/>
        <v>Y</v>
      </c>
      <c r="XM109" s="693" t="str">
        <f t="shared" si="131"/>
        <v>Y</v>
      </c>
      <c r="XN109" s="693" t="str">
        <f t="shared" si="131"/>
        <v>Y</v>
      </c>
      <c r="XO109" s="693" t="str">
        <f t="shared" si="131"/>
        <v>Y</v>
      </c>
      <c r="XP109" s="693" t="str">
        <f t="shared" si="131"/>
        <v>Y</v>
      </c>
      <c r="XQ109" s="693" t="str">
        <f t="shared" si="131"/>
        <v>Y</v>
      </c>
      <c r="XR109" s="693" t="str">
        <f t="shared" si="131"/>
        <v>Y</v>
      </c>
      <c r="XS109" s="693" t="str">
        <f t="shared" si="131"/>
        <v>Y</v>
      </c>
      <c r="XT109" s="693" t="str">
        <f t="shared" si="131"/>
        <v>Y</v>
      </c>
      <c r="XU109" s="693" t="str">
        <f t="shared" si="131"/>
        <v>Y</v>
      </c>
      <c r="XV109" s="693" t="str">
        <f t="shared" si="131"/>
        <v>Y</v>
      </c>
      <c r="XW109" s="693" t="str">
        <f t="shared" si="131"/>
        <v>Y</v>
      </c>
      <c r="XX109" s="693" t="str">
        <f t="shared" si="131"/>
        <v>Y</v>
      </c>
      <c r="XY109" s="693" t="str">
        <f t="shared" si="131"/>
        <v>Y</v>
      </c>
      <c r="XZ109" s="693" t="str">
        <f t="shared" si="131"/>
        <v>Y</v>
      </c>
      <c r="YA109" s="693" t="str">
        <f t="shared" si="131"/>
        <v>Y</v>
      </c>
      <c r="YB109" s="693" t="str">
        <f t="shared" si="131"/>
        <v>Y</v>
      </c>
      <c r="YC109" s="693" t="str">
        <f t="shared" si="131"/>
        <v>Y</v>
      </c>
      <c r="YD109" s="693" t="str">
        <f t="shared" si="131"/>
        <v>Y</v>
      </c>
      <c r="YE109" s="693" t="str">
        <f t="shared" si="131"/>
        <v>Y</v>
      </c>
      <c r="YF109" s="693" t="str">
        <f t="shared" si="131"/>
        <v>Y</v>
      </c>
      <c r="YG109" s="693" t="str">
        <f t="shared" si="131"/>
        <v>Y</v>
      </c>
      <c r="YH109" s="693" t="str">
        <f t="shared" si="131"/>
        <v>Y</v>
      </c>
      <c r="YI109" s="693" t="str">
        <f t="shared" si="131"/>
        <v>Y</v>
      </c>
      <c r="YJ109" s="693" t="str">
        <f t="shared" si="131"/>
        <v>Y</v>
      </c>
      <c r="YK109" s="693" t="str">
        <f t="shared" si="131"/>
        <v>Y</v>
      </c>
      <c r="YL109" s="693" t="str">
        <f t="shared" si="131"/>
        <v>Y</v>
      </c>
      <c r="YM109" s="693" t="str">
        <f t="shared" ref="YM109:ZR109" si="132">IF($ACQ$154&lt;0,"Ошибка",
IF(OR(AND($ACQ$154&gt;YM80,YM80&gt;1),YM80 = $ACQ$154),$ACO$154,
IF(OR(AND($ACQ$155&gt;YM80,YM80&gt;$ACQ$154),YM80 = $ACQ$155),$ACO$155,
IF(OR(AND($ACQ$156&gt;YM80,YM80&gt;$ACQ$155),YM80 = $ACQ$156),$ACO$156,
IF(OR(AND($ACQ$157&gt;YM80,YM80&gt;$ACQ$156),YM80 = $ACQ$157),$ACO$157,
IF(OR(AND($ACQ$158&gt;YM80,YM80&gt;$ACQ$157),YM80 = $ACQ$158),$ACO$158,
IF(OR(AND($ACQ$159&gt;YM80,YM80&gt;$ACQ$158),YM80 = $ACQ$159),$ACO$159,
IF(OR(AND($ACQ$160&gt;YM80,YM80&gt;$ACQ$159),YM80 = $ACQ$160),$ACO$160,
IF(OR(AND($ACQ$161&gt;YM80,YM80&gt;$ACQ$160),YM80 = $ACQ$161),$ACO$161,
IF(OR(AND($ACQ$162&gt;YM80,YM80&gt;$ACQ$161),YM80 = $ACQ$162),$ACO$162,
IF(OR(AND($ACQ$163&gt;YM80,YM80&gt;$ACQ$162),YM80 = $ACQ$163),$ACO$163,
IF(OR(AND($ACQ$164&gt;YM80,YM80&gt;$ACQ$163),YM80 = $ACQ$164),$ACO$164,
IF(OR(AND($ACQ$165&gt;YM80,YM80&gt;$ACQ$164),YM80 = $ACQ$165),$ACO$165,
IF(OR(AND($ACQ$166&gt;YM80,YM80&gt;$ACQ$165),YM80 = $ACQ$166),$ACO$166,
IF(OR(AND($ACQ$167&gt;YM80,YM80&gt;$ACQ$166),YM80 = $ACQ$167),$ACO$167,
IF(OR(AND($ACQ$168&gt;YM80,YM80&gt;$ACQ$167),YM80 = $ACQ$168),$ACO$168,
IF(OR(AND($ACQ$169&gt;YM80,YM80&gt;$ACQ$168),YM80 = $ACQ$169),$ACO$169,
IF(OR(AND($ACQ$170&gt;YM80,YM80&gt;$ACQ$169),YM80 = $ACQ$170),$ACO$170,
IF(OR(AND($ACQ$171&gt;YM80,YM80&gt;$ACQ$170),YM80 = $ACQ$171),$ACO$171,
IF(OR(AND($ACQ$172&gt;YM80,YM80&gt;$ACQ$171),YM80 = $ACQ$172),$ACO$172,
IF(OR(AND($ACQ$173&gt;YM80,YM80&gt;$ACQ$172),YM80 = $ACQ$173),$ACO$173,
IF(OR(AND($ACQ$174&gt;YM80,YM80&gt;$ACQ$173),YM80 = $ACQ$174),$ACO$174,
IF(OR(AND($ACQ$175&gt;YM80,YM80&gt;$ACQ$174),YM80 = $ACQ$175),$ACO$175,
IF(OR(AND($ACQ$176&gt;YM80,YM80&gt;$ACQ$175),YM80 = $ACQ$176),$ACO$176,
IF(OR(AND($ACQ$177&gt;YM80,YM80&gt;$ACQ$176),YM80 = $ACQ$177),$ACO$177,
IF(OR(AND($ACQ$178&gt;YM80,YM80&gt;$ACQ$177),YM80 = $ACQ$178),$ACO$178,
IF(OR(AND($ACQ$179&gt;YM80,YM80&gt;$ACQ$178),YM80 = $ACQ$179),$ACO$179,
IF(OR(AND($ACQ$180&gt;YM80,YM80&gt;$ACQ$179),YM80 = $ACQ$180),$ACO$180,
IF(OR(AND($ACQ$181&gt;YM80,YM80&gt;$ACQ$180),YM80 = $ACQ$181),$ACO$181,
IF(OR(AND($ACQ$182&gt;YM80,YM80&gt;$ACQ$181),YM80 = $ACQ$182),$ACO$182,
IF(OR(AND($ACQ$183&gt;YM80,YM80&gt;$ACQ$182),YM80 = $ACQ$183),$ACO$183,
IF(OR(AND($ACQ$184&gt;YM80,YM80&gt;$ACQ$183),YM80 = $ACQ$184),$ACO$184,
IF(OR(AND($ACQ$185&gt;YM80,YM80&gt;$ACQ$184),YM80 = $ACQ$185),$ACO$185,
IF(OR(AND($ACQ$186&gt;YM80,YM80&gt;$ACQ$185),YM80 = $ACQ$186),$ACO$186,
IF(OR(AND($ACQ$187&gt;YM80,YM80&gt;$ACQ$186),YM80 = $ACQ$187),$ACO$187,
IF(OR(AND($ACQ$188&gt;YM80,YM80&gt;$ACQ$187),YM80 = $ACQ$188),$ACO$188,
IF(OR(AND($ACQ$189&gt;YM80,YM80&gt;$ACQ$188),YM80 = $ACQ$189),$ACO$189,
IF(OR(AND($ACQ$190&gt;YM80,YM80&gt;$ACQ$189),YM80 = $ACQ$190),$ACO$190,
IF(OR(AND($ACQ$191&gt;YM80,YM80&gt;$ACQ$190),YM80 = $ACQ$191),$ACO$191,
IF(OR(AND($ACQ$192&gt;YM80,YM80&gt;$ACQ$191),YM80 = $ACQ$192),$ACO$192,
IF(OR(AND($ACQ$193&gt;YM80,YM80&gt;$ACQ$192),YM80 = $ACQ$193),$ACO$193,
IF(OR(AND($ACQ$194&gt;YM80,YM80&gt;$ACQ$193),YM80 = $ACQ$194),$ACO$194,
IF(OR(AND($ACQ$195&gt;YM80,YM80&gt;$ACQ$194),YM80 = $ACQ$195),$ACO$195,
IF(OR(AND($ACQ$196&gt;YM80,YM80&gt;$ACQ$195),YM80 = $ACQ$196),$ACO$196,
IF(OR(AND($ACQ$197&gt;YM80,YM80&gt;$ACQ$196),YM80 = $ACQ$197),$ACO$197,
IF(OR(AND($ACQ$198&gt;YM80,YM80&gt;$ACQ$197),YM80 = $ACQ$198),$ACO$198,
IF(OR(AND($ACQ$199&gt;YM80,YM80&gt;$ACQ$198),YM80 = $ACQ$199),$ACO$199,
IF(OR(AND($ACQ$200&gt;YM80,YM80&gt;$ACQ$199),YM80 = $ACQ$200),$ACO$200,
IF(OR(AND($ACQ$201&gt;YM80,YM80&gt;$ACQ$200),YM80 = $ACQ$201),$ACO$201,
IF(OR(AND($ACQ$202&gt;YM80,YM80&gt;$ACQ$201),YM80 = $ACQ$202),$ACO$202,
IF(OR(AND($ACQ$203&gt;YM80,YM80&gt;$ACQ$202),YM80 = $ACQ$203),$ACO$203,
"Y")))))))))))))))))))))))))))))))))))))))))))))))))))</f>
        <v>Y</v>
      </c>
      <c r="YN109" s="693" t="str">
        <f t="shared" si="132"/>
        <v>Y</v>
      </c>
      <c r="YO109" s="693" t="str">
        <f t="shared" si="132"/>
        <v>Y</v>
      </c>
      <c r="YP109" s="693" t="str">
        <f t="shared" si="132"/>
        <v>Y</v>
      </c>
      <c r="YQ109" s="693" t="str">
        <f t="shared" si="132"/>
        <v>Y</v>
      </c>
      <c r="YR109" s="693" t="str">
        <f t="shared" si="132"/>
        <v>Y</v>
      </c>
      <c r="YS109" s="693" t="str">
        <f t="shared" si="132"/>
        <v>Y</v>
      </c>
      <c r="YT109" s="693" t="str">
        <f t="shared" si="132"/>
        <v>Y</v>
      </c>
      <c r="YU109" s="693" t="str">
        <f t="shared" si="132"/>
        <v>Y</v>
      </c>
      <c r="YV109" s="693" t="str">
        <f t="shared" si="132"/>
        <v>Y</v>
      </c>
      <c r="YW109" s="693" t="str">
        <f t="shared" si="132"/>
        <v>Y</v>
      </c>
      <c r="YX109" s="693" t="str">
        <f t="shared" si="132"/>
        <v>Y</v>
      </c>
      <c r="YY109" s="693" t="str">
        <f t="shared" si="132"/>
        <v>Y</v>
      </c>
      <c r="YZ109" s="693" t="str">
        <f t="shared" si="132"/>
        <v>Y</v>
      </c>
      <c r="ZA109" s="693" t="str">
        <f t="shared" si="132"/>
        <v>Y</v>
      </c>
      <c r="ZB109" s="693" t="str">
        <f t="shared" si="132"/>
        <v>Y</v>
      </c>
      <c r="ZC109" s="693" t="str">
        <f t="shared" si="132"/>
        <v>Y</v>
      </c>
      <c r="ZD109" s="693" t="str">
        <f t="shared" si="132"/>
        <v>Y</v>
      </c>
      <c r="ZE109" s="693" t="str">
        <f t="shared" si="132"/>
        <v>Y</v>
      </c>
      <c r="ZF109" s="693" t="str">
        <f t="shared" si="132"/>
        <v>Y</v>
      </c>
      <c r="ZG109" s="693" t="str">
        <f t="shared" si="132"/>
        <v>Y</v>
      </c>
      <c r="ZH109" s="693" t="str">
        <f t="shared" si="132"/>
        <v>Y</v>
      </c>
      <c r="ZI109" s="693" t="str">
        <f t="shared" si="132"/>
        <v>Y</v>
      </c>
      <c r="ZJ109" s="693" t="str">
        <f t="shared" si="132"/>
        <v>Y</v>
      </c>
      <c r="ZK109" s="693" t="str">
        <f t="shared" si="132"/>
        <v>Y</v>
      </c>
      <c r="ZL109" s="693" t="str">
        <f t="shared" si="132"/>
        <v>Y</v>
      </c>
      <c r="ZM109" s="693" t="str">
        <f t="shared" si="132"/>
        <v>Y</v>
      </c>
      <c r="ZN109" s="693" t="str">
        <f t="shared" si="132"/>
        <v>Y</v>
      </c>
      <c r="ZO109" s="693" t="str">
        <f t="shared" si="132"/>
        <v>Y</v>
      </c>
      <c r="ZP109" s="693" t="str">
        <f t="shared" si="132"/>
        <v>Y</v>
      </c>
      <c r="ZQ109" s="693" t="str">
        <f t="shared" si="132"/>
        <v>Y</v>
      </c>
      <c r="ZR109" s="693" t="str">
        <f t="shared" si="132"/>
        <v>Y</v>
      </c>
      <c r="ZS109" s="693" t="str">
        <f t="shared" ref="ZS109:AAS109" si="133">IF($ACQ$154&lt;0,"Ошибка",
IF(OR(AND($ACQ$154&gt;ZS80,ZS80&gt;1),ZS80 = $ACQ$154),$ACO$154,
IF(OR(AND($ACQ$155&gt;ZS80,ZS80&gt;$ACQ$154),ZS80 = $ACQ$155),$ACO$155,
IF(OR(AND($ACQ$156&gt;ZS80,ZS80&gt;$ACQ$155),ZS80 = $ACQ$156),$ACO$156,
IF(OR(AND($ACQ$157&gt;ZS80,ZS80&gt;$ACQ$156),ZS80 = $ACQ$157),$ACO$157,
IF(OR(AND($ACQ$158&gt;ZS80,ZS80&gt;$ACQ$157),ZS80 = $ACQ$158),$ACO$158,
IF(OR(AND($ACQ$159&gt;ZS80,ZS80&gt;$ACQ$158),ZS80 = $ACQ$159),$ACO$159,
IF(OR(AND($ACQ$160&gt;ZS80,ZS80&gt;$ACQ$159),ZS80 = $ACQ$160),$ACO$160,
IF(OR(AND($ACQ$161&gt;ZS80,ZS80&gt;$ACQ$160),ZS80 = $ACQ$161),$ACO$161,
IF(OR(AND($ACQ$162&gt;ZS80,ZS80&gt;$ACQ$161),ZS80 = $ACQ$162),$ACO$162,
IF(OR(AND($ACQ$163&gt;ZS80,ZS80&gt;$ACQ$162),ZS80 = $ACQ$163),$ACO$163,
IF(OR(AND($ACQ$164&gt;ZS80,ZS80&gt;$ACQ$163),ZS80 = $ACQ$164),$ACO$164,
IF(OR(AND($ACQ$165&gt;ZS80,ZS80&gt;$ACQ$164),ZS80 = $ACQ$165),$ACO$165,
IF(OR(AND($ACQ$166&gt;ZS80,ZS80&gt;$ACQ$165),ZS80 = $ACQ$166),$ACO$166,
IF(OR(AND($ACQ$167&gt;ZS80,ZS80&gt;$ACQ$166),ZS80 = $ACQ$167),$ACO$167,
IF(OR(AND($ACQ$168&gt;ZS80,ZS80&gt;$ACQ$167),ZS80 = $ACQ$168),$ACO$168,
IF(OR(AND($ACQ$169&gt;ZS80,ZS80&gt;$ACQ$168),ZS80 = $ACQ$169),$ACO$169,
IF(OR(AND($ACQ$170&gt;ZS80,ZS80&gt;$ACQ$169),ZS80 = $ACQ$170),$ACO$170,
IF(OR(AND($ACQ$171&gt;ZS80,ZS80&gt;$ACQ$170),ZS80 = $ACQ$171),$ACO$171,
IF(OR(AND($ACQ$172&gt;ZS80,ZS80&gt;$ACQ$171),ZS80 = $ACQ$172),$ACO$172,
IF(OR(AND($ACQ$173&gt;ZS80,ZS80&gt;$ACQ$172),ZS80 = $ACQ$173),$ACO$173,
IF(OR(AND($ACQ$174&gt;ZS80,ZS80&gt;$ACQ$173),ZS80 = $ACQ$174),$ACO$174,
IF(OR(AND($ACQ$175&gt;ZS80,ZS80&gt;$ACQ$174),ZS80 = $ACQ$175),$ACO$175,
IF(OR(AND($ACQ$176&gt;ZS80,ZS80&gt;$ACQ$175),ZS80 = $ACQ$176),$ACO$176,
IF(OR(AND($ACQ$177&gt;ZS80,ZS80&gt;$ACQ$176),ZS80 = $ACQ$177),$ACO$177,
IF(OR(AND($ACQ$178&gt;ZS80,ZS80&gt;$ACQ$177),ZS80 = $ACQ$178),$ACO$178,
IF(OR(AND($ACQ$179&gt;ZS80,ZS80&gt;$ACQ$178),ZS80 = $ACQ$179),$ACO$179,
IF(OR(AND($ACQ$180&gt;ZS80,ZS80&gt;$ACQ$179),ZS80 = $ACQ$180),$ACO$180,
IF(OR(AND($ACQ$181&gt;ZS80,ZS80&gt;$ACQ$180),ZS80 = $ACQ$181),$ACO$181,
IF(OR(AND($ACQ$182&gt;ZS80,ZS80&gt;$ACQ$181),ZS80 = $ACQ$182),$ACO$182,
IF(OR(AND($ACQ$183&gt;ZS80,ZS80&gt;$ACQ$182),ZS80 = $ACQ$183),$ACO$183,
IF(OR(AND($ACQ$184&gt;ZS80,ZS80&gt;$ACQ$183),ZS80 = $ACQ$184),$ACO$184,
IF(OR(AND($ACQ$185&gt;ZS80,ZS80&gt;$ACQ$184),ZS80 = $ACQ$185),$ACO$185,
IF(OR(AND($ACQ$186&gt;ZS80,ZS80&gt;$ACQ$185),ZS80 = $ACQ$186),$ACO$186,
IF(OR(AND($ACQ$187&gt;ZS80,ZS80&gt;$ACQ$186),ZS80 = $ACQ$187),$ACO$187,
IF(OR(AND($ACQ$188&gt;ZS80,ZS80&gt;$ACQ$187),ZS80 = $ACQ$188),$ACO$188,
IF(OR(AND($ACQ$189&gt;ZS80,ZS80&gt;$ACQ$188),ZS80 = $ACQ$189),$ACO$189,
IF(OR(AND($ACQ$190&gt;ZS80,ZS80&gt;$ACQ$189),ZS80 = $ACQ$190),$ACO$190,
IF(OR(AND($ACQ$191&gt;ZS80,ZS80&gt;$ACQ$190),ZS80 = $ACQ$191),$ACO$191,
IF(OR(AND($ACQ$192&gt;ZS80,ZS80&gt;$ACQ$191),ZS80 = $ACQ$192),$ACO$192,
IF(OR(AND($ACQ$193&gt;ZS80,ZS80&gt;$ACQ$192),ZS80 = $ACQ$193),$ACO$193,
IF(OR(AND($ACQ$194&gt;ZS80,ZS80&gt;$ACQ$193),ZS80 = $ACQ$194),$ACO$194,
IF(OR(AND($ACQ$195&gt;ZS80,ZS80&gt;$ACQ$194),ZS80 = $ACQ$195),$ACO$195,
IF(OR(AND($ACQ$196&gt;ZS80,ZS80&gt;$ACQ$195),ZS80 = $ACQ$196),$ACO$196,
IF(OR(AND($ACQ$197&gt;ZS80,ZS80&gt;$ACQ$196),ZS80 = $ACQ$197),$ACO$197,
IF(OR(AND($ACQ$198&gt;ZS80,ZS80&gt;$ACQ$197),ZS80 = $ACQ$198),$ACO$198,
IF(OR(AND($ACQ$199&gt;ZS80,ZS80&gt;$ACQ$198),ZS80 = $ACQ$199),$ACO$199,
IF(OR(AND($ACQ$200&gt;ZS80,ZS80&gt;$ACQ$199),ZS80 = $ACQ$200),$ACO$200,
IF(OR(AND($ACQ$201&gt;ZS80,ZS80&gt;$ACQ$200),ZS80 = $ACQ$201),$ACO$201,
IF(OR(AND($ACQ$202&gt;ZS80,ZS80&gt;$ACQ$201),ZS80 = $ACQ$202),$ACO$202,
IF(OR(AND($ACQ$203&gt;ZS80,ZS80&gt;$ACQ$202),ZS80 = $ACQ$203),$ACO$203,
"Y")))))))))))))))))))))))))))))))))))))))))))))))))))</f>
        <v>Y</v>
      </c>
      <c r="ZT109" s="693" t="str">
        <f t="shared" si="133"/>
        <v>Y</v>
      </c>
      <c r="ZU109" s="693" t="str">
        <f t="shared" si="133"/>
        <v>Y</v>
      </c>
      <c r="ZV109" s="693" t="str">
        <f t="shared" si="133"/>
        <v>Y</v>
      </c>
      <c r="ZW109" s="693" t="str">
        <f t="shared" si="133"/>
        <v>Y</v>
      </c>
      <c r="ZX109" s="693" t="str">
        <f t="shared" si="133"/>
        <v>Y</v>
      </c>
      <c r="ZY109" s="693" t="str">
        <f t="shared" si="133"/>
        <v>Y</v>
      </c>
      <c r="ZZ109" s="693" t="str">
        <f t="shared" si="133"/>
        <v>Y</v>
      </c>
      <c r="AAA109" s="693" t="str">
        <f t="shared" si="133"/>
        <v>Y</v>
      </c>
      <c r="AAB109" s="693" t="str">
        <f t="shared" si="133"/>
        <v>Y</v>
      </c>
      <c r="AAC109" s="693" t="str">
        <f t="shared" si="133"/>
        <v>Y</v>
      </c>
      <c r="AAD109" s="693" t="str">
        <f t="shared" si="133"/>
        <v>Y</v>
      </c>
      <c r="AAE109" s="693" t="str">
        <f t="shared" si="133"/>
        <v>Y</v>
      </c>
      <c r="AAF109" s="693" t="str">
        <f t="shared" si="133"/>
        <v>Y</v>
      </c>
      <c r="AAG109" s="693" t="str">
        <f t="shared" si="133"/>
        <v>Y</v>
      </c>
      <c r="AAH109" s="693" t="str">
        <f t="shared" si="133"/>
        <v>Y</v>
      </c>
      <c r="AAI109" s="693" t="str">
        <f t="shared" si="133"/>
        <v>Y</v>
      </c>
      <c r="AAJ109" s="693" t="str">
        <f t="shared" si="133"/>
        <v>Y</v>
      </c>
      <c r="AAK109" s="693" t="str">
        <f t="shared" si="133"/>
        <v>Y</v>
      </c>
      <c r="AAL109" s="693" t="str">
        <f t="shared" si="133"/>
        <v>Y</v>
      </c>
      <c r="AAM109" s="693" t="str">
        <f t="shared" si="133"/>
        <v>Y</v>
      </c>
      <c r="AAN109" s="693" t="str">
        <f t="shared" si="133"/>
        <v>Y</v>
      </c>
      <c r="AAO109" s="693" t="str">
        <f t="shared" si="133"/>
        <v>Y</v>
      </c>
      <c r="AAP109" s="693" t="str">
        <f t="shared" si="133"/>
        <v>Y</v>
      </c>
      <c r="AAQ109" s="693" t="str">
        <f t="shared" si="133"/>
        <v>Y</v>
      </c>
      <c r="AAR109" s="693" t="str">
        <f t="shared" si="133"/>
        <v>Y</v>
      </c>
      <c r="AAS109" s="693" t="str">
        <f t="shared" si="133"/>
        <v>Y</v>
      </c>
      <c r="AAT109" s="1005">
        <v>8</v>
      </c>
      <c r="AAU109" s="958"/>
      <c r="AAV109" s="1058"/>
      <c r="AAW109" s="1058"/>
      <c r="AAX109" s="1058"/>
      <c r="AAY109" s="1058"/>
      <c r="AAZ109" s="1058"/>
      <c r="ABA109" s="1058"/>
      <c r="ABB109" s="1058"/>
      <c r="ABC109" s="1058"/>
      <c r="ABD109" s="1058"/>
      <c r="ABE109" s="1058"/>
      <c r="ABF109" s="1058"/>
      <c r="ABG109" s="1058"/>
      <c r="ABH109" s="959"/>
      <c r="ABI109" s="158"/>
      <c r="ABJ109" s="158"/>
      <c r="ABK109" s="158"/>
      <c r="ABL109" s="158"/>
      <c r="ABM109" s="158"/>
      <c r="ABN109" s="158"/>
      <c r="ABO109" s="158"/>
      <c r="ABP109" s="163"/>
      <c r="ABW109" s="1516"/>
      <c r="ABX109" s="1517"/>
      <c r="ABY109" s="1517"/>
      <c r="ABZ109" s="1517"/>
      <c r="ACA109" s="1517"/>
      <c r="ACB109" s="1517"/>
      <c r="ACC109" s="1517"/>
      <c r="ACD109" s="1517"/>
      <c r="ACE109" s="1517"/>
      <c r="ACF109" s="1517"/>
      <c r="ACG109" s="1517"/>
      <c r="ACH109" s="1518"/>
      <c r="ACJ109" s="759">
        <v>0.5</v>
      </c>
      <c r="ACK109" s="760"/>
      <c r="ACL109" s="759">
        <v>-0.5</v>
      </c>
      <c r="ACM109" s="760"/>
      <c r="ACN109" s="591">
        <v>25</v>
      </c>
      <c r="ACO109" s="759">
        <f t="shared" si="91"/>
        <v>0.125</v>
      </c>
      <c r="ACP109" s="760"/>
      <c r="ACQ109" s="757">
        <f t="shared" si="82"/>
        <v>1.25</v>
      </c>
      <c r="ACR109" s="758"/>
      <c r="ACT109" s="759">
        <v>1.5454545454545501</v>
      </c>
      <c r="ACU109" s="760"/>
      <c r="ACV109" s="759">
        <v>-2.1818181818181799</v>
      </c>
      <c r="ACW109" s="760"/>
      <c r="ACX109" s="591">
        <v>75</v>
      </c>
      <c r="ACY109" s="759">
        <f t="shared" si="92"/>
        <v>0.5227272727272827</v>
      </c>
      <c r="ACZ109" s="760"/>
      <c r="ADA109" s="757">
        <f t="shared" si="83"/>
        <v>1.75</v>
      </c>
      <c r="ADB109" s="758"/>
      <c r="ADD109" s="759">
        <v>1.5454545454545501</v>
      </c>
      <c r="ADE109" s="760"/>
      <c r="ADF109" s="759">
        <v>-2.1818181818181799</v>
      </c>
      <c r="ADG109" s="760"/>
      <c r="ADH109" s="591">
        <v>124</v>
      </c>
      <c r="ADI109" s="759">
        <f t="shared" si="93"/>
        <v>1.2800000000000127</v>
      </c>
      <c r="ADJ109" s="760"/>
      <c r="ADK109" s="757">
        <f t="shared" si="84"/>
        <v>2.2400000000000002</v>
      </c>
      <c r="ADL109" s="758"/>
      <c r="ADN109" s="759">
        <v>1.5454545454545501</v>
      </c>
      <c r="ADO109" s="760"/>
      <c r="ADP109" s="759">
        <v>-2.1818181818181799</v>
      </c>
      <c r="ADQ109" s="760"/>
      <c r="ADR109" s="591">
        <v>174</v>
      </c>
      <c r="ADS109" s="759">
        <f t="shared" si="94"/>
        <v>2.0527272727272878</v>
      </c>
      <c r="ADT109" s="760"/>
      <c r="ADU109" s="757">
        <f t="shared" si="85"/>
        <v>2.74</v>
      </c>
      <c r="ADV109" s="758"/>
      <c r="ADW109" s="653"/>
      <c r="ADX109" s="759">
        <v>1.5454545454545501</v>
      </c>
      <c r="ADY109" s="760"/>
      <c r="ADZ109" s="759">
        <v>-2.1818181818181799</v>
      </c>
      <c r="AEA109" s="760"/>
      <c r="AEB109" s="591">
        <v>224</v>
      </c>
      <c r="AEC109" s="759">
        <f t="shared" ref="AEC109:AEC134" si="134">ADX109*AEE109 + ADZ109</f>
        <v>2.825454545454563</v>
      </c>
      <c r="AED109" s="760"/>
      <c r="AEE109" s="757">
        <f t="shared" si="86"/>
        <v>3.24</v>
      </c>
      <c r="AEF109" s="758"/>
      <c r="AEH109" s="759">
        <v>1.5454545454545501</v>
      </c>
      <c r="AEI109" s="760"/>
      <c r="AEJ109" s="759">
        <v>-2.1818181818181799</v>
      </c>
      <c r="AEK109" s="760"/>
      <c r="AEL109" s="591">
        <v>274</v>
      </c>
      <c r="AEM109" s="759">
        <f t="shared" si="101"/>
        <v>3.5981818181818381</v>
      </c>
      <c r="AEN109" s="760"/>
      <c r="AEO109" s="757">
        <f t="shared" si="87"/>
        <v>3.74</v>
      </c>
      <c r="AEP109" s="758"/>
      <c r="AGL109" s="850"/>
      <c r="AGM109" s="861" t="s">
        <v>1264</v>
      </c>
      <c r="AGN109" s="861"/>
      <c r="AGO109" s="937">
        <f>$MQ$212</f>
        <v>2.5479278737632125</v>
      </c>
      <c r="AGP109" s="806"/>
      <c r="AGQ109" s="957" t="s">
        <v>132</v>
      </c>
      <c r="AGR109" s="957"/>
      <c r="AGS109" s="957"/>
      <c r="AGT109" s="957"/>
      <c r="AGU109" s="957"/>
      <c r="AGV109" s="957"/>
      <c r="AGW109" s="957"/>
      <c r="AGX109" s="957"/>
      <c r="AGY109" s="1117"/>
      <c r="AGZ109" s="835">
        <f>(AEY76/(3*AEV81)*(1-((3.14*AEV81^2)/(8*AEV77)))+0.66-(AEV79/(2*AEV81)))</f>
        <v>1.4593700968261183</v>
      </c>
      <c r="AHA109" s="836"/>
      <c r="AHB109" s="1183" t="s">
        <v>729</v>
      </c>
      <c r="AHC109" s="1184"/>
      <c r="AHD109" s="1248"/>
      <c r="AHE109" s="1283" t="s">
        <v>1417</v>
      </c>
      <c r="AHF109" s="1283"/>
      <c r="AHG109" s="1283"/>
      <c r="AHH109" s="1289"/>
      <c r="AHI109" s="1052"/>
      <c r="AHJ109" s="1052"/>
      <c r="AHK109" s="1052"/>
      <c r="AHL109" s="1052"/>
      <c r="AHM109" s="1052"/>
      <c r="AHN109" s="1052"/>
      <c r="AHO109" s="1052"/>
      <c r="AHP109" s="1052"/>
      <c r="AQO109" s="850"/>
      <c r="AQP109" s="856"/>
      <c r="AQQ109" s="856"/>
      <c r="AQR109" s="856"/>
      <c r="AQS109" s="856"/>
      <c r="AQT109" s="856"/>
      <c r="AQU109" s="856"/>
      <c r="AQV109" s="856"/>
      <c r="AQW109" s="856"/>
      <c r="AQX109" s="856"/>
      <c r="AQY109" s="856"/>
      <c r="AQZ109" s="856"/>
      <c r="ARA109" s="856"/>
      <c r="ARB109" s="856"/>
      <c r="ARC109" s="835"/>
      <c r="ARD109" s="836"/>
      <c r="ARE109" s="839"/>
      <c r="ARF109" s="840"/>
      <c r="ARG109" s="841"/>
      <c r="ARH109" s="843"/>
      <c r="ARI109" s="844"/>
      <c r="ARJ109" s="847"/>
    </row>
    <row r="110" spans="34:904 1133:1201" ht="48" customHeight="1" thickBot="1">
      <c r="BP110" s="130"/>
      <c r="BX110" s="54"/>
      <c r="BZ110" s="849"/>
      <c r="CA110" s="1771"/>
      <c r="CB110" s="1772"/>
      <c r="CC110" s="747"/>
      <c r="CD110" s="750"/>
      <c r="CE110" s="750"/>
      <c r="CF110" s="750"/>
      <c r="CG110" s="132"/>
      <c r="CH110" s="76" t="s">
        <v>441</v>
      </c>
      <c r="CI110" s="854" t="s">
        <v>435</v>
      </c>
      <c r="CJ110" s="855"/>
      <c r="CK110" s="1072" t="s">
        <v>111</v>
      </c>
      <c r="CL110" s="1074"/>
      <c r="CM110" s="916" t="s">
        <v>704</v>
      </c>
      <c r="CN110" s="922"/>
      <c r="CO110" s="906" t="s">
        <v>767</v>
      </c>
      <c r="CP110" s="907"/>
      <c r="CQ110" s="907"/>
      <c r="CR110" s="907"/>
      <c r="CS110" s="907"/>
      <c r="CT110" s="1051" t="s">
        <v>768</v>
      </c>
      <c r="CU110" s="1051"/>
      <c r="CV110" s="1051"/>
      <c r="CW110" s="1051"/>
      <c r="CX110" s="1051"/>
      <c r="CY110" s="906" t="s">
        <v>436</v>
      </c>
      <c r="CZ110" s="907"/>
      <c r="DA110" s="907"/>
      <c r="DB110" s="908"/>
      <c r="DL110" s="653"/>
      <c r="DM110" s="653"/>
      <c r="DN110" s="653"/>
      <c r="DO110" s="653"/>
      <c r="DP110" s="653"/>
      <c r="DQ110" s="653"/>
      <c r="DU110" s="162"/>
      <c r="DV110" s="158"/>
      <c r="DW110" s="158"/>
      <c r="DX110" s="158"/>
      <c r="DY110" s="158"/>
      <c r="DZ110" s="851"/>
      <c r="EA110" s="794"/>
      <c r="EB110" s="795"/>
      <c r="EC110" s="795"/>
      <c r="ED110" s="795"/>
      <c r="EE110" s="795"/>
      <c r="EF110" s="795"/>
      <c r="EG110" s="837"/>
      <c r="EH110" s="838"/>
      <c r="EI110" s="929"/>
      <c r="EJ110" s="930"/>
      <c r="EK110" s="842"/>
      <c r="EL110" s="1440"/>
      <c r="EM110" s="1441"/>
      <c r="EN110" s="848"/>
      <c r="EO110" s="1276"/>
      <c r="EP110" s="1277"/>
      <c r="EQ110" s="1278"/>
      <c r="ER110" s="158"/>
      <c r="ES110" s="1779"/>
      <c r="ET110" s="1871"/>
      <c r="EU110" s="1872"/>
      <c r="EV110" s="1872"/>
      <c r="EW110" s="1872"/>
      <c r="EX110" s="1872"/>
      <c r="EY110" s="1872"/>
      <c r="EZ110" s="1873"/>
      <c r="FA110" s="158"/>
      <c r="FB110" s="158"/>
      <c r="FC110" s="158"/>
      <c r="FD110" s="158"/>
      <c r="FE110" s="158"/>
      <c r="FF110" s="163"/>
      <c r="FH110" s="653"/>
      <c r="FI110" s="653"/>
      <c r="FJ110" s="653"/>
      <c r="FK110" s="653"/>
      <c r="FL110" s="653"/>
      <c r="FM110" s="653"/>
      <c r="FN110" s="653"/>
      <c r="FO110" s="126"/>
      <c r="FP110" s="126"/>
      <c r="FQ110" s="126"/>
      <c r="FR110" s="126"/>
      <c r="FS110" s="126"/>
      <c r="FT110" s="126"/>
      <c r="FU110" s="126"/>
      <c r="FV110" s="126"/>
      <c r="FW110" s="126"/>
      <c r="FX110" s="126"/>
      <c r="GA110" s="130"/>
      <c r="GD110" s="130"/>
      <c r="GE110" s="130"/>
      <c r="GF110" s="849"/>
      <c r="GG110" s="852" t="s">
        <v>416</v>
      </c>
      <c r="GH110" s="923"/>
      <c r="GI110" s="138"/>
      <c r="GJ110" s="76" t="s">
        <v>441</v>
      </c>
      <c r="GK110" s="854" t="s">
        <v>435</v>
      </c>
      <c r="GL110" s="855"/>
      <c r="GM110" s="920" t="s">
        <v>111</v>
      </c>
      <c r="GN110" s="921"/>
      <c r="GO110" s="916" t="s">
        <v>704</v>
      </c>
      <c r="GP110" s="917"/>
      <c r="GQ110" s="906" t="s">
        <v>447</v>
      </c>
      <c r="GR110" s="907"/>
      <c r="GS110" s="907"/>
      <c r="GT110" s="908"/>
      <c r="GU110" s="906" t="s">
        <v>436</v>
      </c>
      <c r="GV110" s="907"/>
      <c r="GW110" s="908"/>
      <c r="LX110" s="377"/>
      <c r="LY110" s="373"/>
      <c r="LZ110" s="373"/>
      <c r="MA110" s="373"/>
      <c r="MB110" s="897" t="s">
        <v>929</v>
      </c>
      <c r="MC110" s="898"/>
      <c r="MD110" s="899"/>
      <c r="ME110" s="849"/>
      <c r="MF110" s="852" t="s">
        <v>416</v>
      </c>
      <c r="MG110" s="853"/>
      <c r="MH110" s="715"/>
      <c r="MI110" s="76" t="s">
        <v>441</v>
      </c>
      <c r="MJ110" s="854" t="s">
        <v>435</v>
      </c>
      <c r="MK110" s="1111"/>
      <c r="ML110" s="924" t="s">
        <v>111</v>
      </c>
      <c r="MM110" s="925"/>
      <c r="MN110" s="916" t="s">
        <v>704</v>
      </c>
      <c r="MO110" s="917"/>
      <c r="MP110" s="906" t="s">
        <v>447</v>
      </c>
      <c r="MQ110" s="907"/>
      <c r="MR110" s="907"/>
      <c r="MS110" s="908"/>
      <c r="MT110" s="373"/>
      <c r="MU110" s="373"/>
      <c r="MV110" s="373"/>
      <c r="MW110" s="373"/>
      <c r="MX110" s="373"/>
      <c r="MY110" s="373"/>
      <c r="MZ110" s="373"/>
      <c r="NA110" s="373"/>
      <c r="NB110" s="373"/>
      <c r="NC110" s="373"/>
      <c r="ND110" s="373"/>
      <c r="NE110" s="373"/>
      <c r="NF110" s="373"/>
      <c r="NG110" s="373"/>
      <c r="NH110" s="373"/>
      <c r="NI110" s="373"/>
      <c r="NJ110" s="373"/>
      <c r="NK110" s="373"/>
      <c r="NL110" s="373"/>
      <c r="NM110" s="373"/>
      <c r="NN110" s="373"/>
      <c r="NO110" s="373"/>
      <c r="NP110" s="373"/>
      <c r="NQ110" s="373"/>
      <c r="NR110" s="373"/>
      <c r="NS110" s="373"/>
      <c r="NT110" s="373"/>
      <c r="NU110" s="373"/>
      <c r="NV110" s="373"/>
      <c r="NW110" s="373"/>
      <c r="NX110" s="373"/>
      <c r="NY110" s="373"/>
      <c r="NZ110" s="373"/>
      <c r="OA110" s="373"/>
      <c r="OB110" s="373"/>
      <c r="OC110" s="373"/>
      <c r="OD110" s="373"/>
      <c r="OE110" s="373"/>
      <c r="OF110" s="373"/>
      <c r="OG110" s="373"/>
      <c r="OH110" s="373"/>
      <c r="OI110" s="373"/>
      <c r="OJ110" s="373"/>
      <c r="OK110" s="373"/>
      <c r="OL110" s="373"/>
      <c r="OM110" s="373"/>
      <c r="ON110" s="373"/>
      <c r="OO110" s="373"/>
      <c r="OP110" s="373"/>
      <c r="OQ110" s="373"/>
      <c r="OR110" s="373"/>
      <c r="OS110" s="373"/>
      <c r="OT110" s="373"/>
      <c r="OU110" s="382" t="s">
        <v>1583</v>
      </c>
      <c r="OW110" s="130"/>
      <c r="OX110" s="130"/>
      <c r="OY110" s="130"/>
      <c r="OZ110" s="130"/>
      <c r="PA110" s="130"/>
      <c r="PB110" s="130"/>
      <c r="PC110" s="130"/>
      <c r="PD110" s="130"/>
      <c r="PE110" s="130"/>
      <c r="PF110" s="130"/>
      <c r="PL110" s="851"/>
      <c r="PM110" s="802" t="s">
        <v>1101</v>
      </c>
      <c r="PN110" s="1116"/>
      <c r="PO110" s="804">
        <f>$GT$69</f>
        <v>5.7753320063898999</v>
      </c>
      <c r="PP110" s="804"/>
      <c r="PQ110" s="500" t="s">
        <v>1563</v>
      </c>
      <c r="PR110" s="1187">
        <f>$PT$41</f>
        <v>7800</v>
      </c>
      <c r="PS110" s="1187"/>
      <c r="PT110" s="778"/>
      <c r="PU110" s="778"/>
      <c r="PV110" s="778"/>
      <c r="PW110" s="778"/>
      <c r="PX110" s="778"/>
      <c r="PY110" s="799"/>
      <c r="PZ110" s="837"/>
      <c r="QA110" s="838"/>
      <c r="QB110" s="1190"/>
      <c r="QC110" s="1191"/>
      <c r="QD110" s="1290"/>
      <c r="QE110" s="1284"/>
      <c r="QF110" s="1284"/>
      <c r="QG110" s="1284"/>
      <c r="QH110" s="1290"/>
      <c r="QI110" s="1053"/>
      <c r="QJ110" s="1053"/>
      <c r="QK110" s="1053"/>
      <c r="QL110" s="1053"/>
      <c r="QM110" s="1053"/>
      <c r="QN110" s="1053"/>
      <c r="QO110" s="1053"/>
      <c r="QP110" s="1053"/>
      <c r="QQ110" s="1053"/>
      <c r="QR110" s="1053"/>
      <c r="QS110" s="1053"/>
      <c r="QU110" s="130"/>
      <c r="QV110" s="130"/>
      <c r="QW110" s="130"/>
      <c r="QX110" s="130"/>
      <c r="QY110" s="130"/>
      <c r="RE110" s="653"/>
      <c r="RF110" s="653"/>
      <c r="RG110" s="653"/>
      <c r="RH110" s="653"/>
      <c r="RI110" s="653"/>
      <c r="RJ110" s="653"/>
      <c r="RK110" s="653"/>
      <c r="RL110" s="653"/>
      <c r="RM110" s="653"/>
      <c r="RN110" s="653"/>
      <c r="RO110" s="653"/>
      <c r="RP110" s="653"/>
      <c r="RQ110" s="653"/>
      <c r="RR110" s="653"/>
      <c r="RS110" s="653"/>
      <c r="RT110" s="653"/>
      <c r="RU110" s="653"/>
      <c r="RV110" s="653"/>
      <c r="RW110" s="653"/>
      <c r="RX110" s="653"/>
      <c r="RY110" s="653"/>
      <c r="RZ110" s="653"/>
      <c r="SA110" s="653"/>
      <c r="SB110" s="653"/>
      <c r="SC110" s="653"/>
      <c r="SD110" s="653"/>
      <c r="SE110" s="653"/>
      <c r="SF110" s="653"/>
      <c r="SG110" s="653"/>
      <c r="SH110" s="653"/>
      <c r="SI110" s="653"/>
      <c r="SJ110" s="653"/>
      <c r="SK110" s="653"/>
      <c r="SL110" s="653"/>
      <c r="SM110" s="653"/>
      <c r="SN110" s="653"/>
      <c r="SO110" s="653"/>
      <c r="SP110" s="653"/>
      <c r="SQ110" s="653"/>
      <c r="SR110" s="653"/>
      <c r="SS110" s="653"/>
      <c r="ST110" s="653"/>
      <c r="SU110" s="653"/>
      <c r="SV110" s="653"/>
      <c r="SW110" s="653"/>
      <c r="SX110" s="653"/>
      <c r="SY110" s="653"/>
      <c r="SZ110" s="653"/>
      <c r="TA110" s="653"/>
      <c r="TB110" s="653"/>
      <c r="TC110" s="653"/>
      <c r="TD110" s="653"/>
      <c r="TE110" s="653"/>
      <c r="TF110" s="653"/>
      <c r="TG110" s="653"/>
      <c r="TH110" s="653"/>
      <c r="TI110" s="653"/>
      <c r="TJ110" s="653"/>
      <c r="TK110" s="653"/>
      <c r="TL110" s="653"/>
      <c r="TM110" s="653"/>
      <c r="TN110" s="653"/>
      <c r="TO110" s="653"/>
      <c r="TP110" s="653"/>
      <c r="TQ110" s="653"/>
      <c r="TR110" s="653"/>
      <c r="TS110" s="653"/>
      <c r="TT110" s="653"/>
      <c r="TU110" s="653"/>
      <c r="TV110" s="653"/>
      <c r="TW110" s="653"/>
      <c r="TX110" s="653"/>
      <c r="TY110" s="653"/>
      <c r="TZ110" s="653"/>
      <c r="UA110" s="653"/>
      <c r="UB110" s="653"/>
      <c r="UC110" s="653"/>
      <c r="UD110" s="653"/>
      <c r="UE110" s="653"/>
      <c r="UF110" s="653"/>
      <c r="UG110" s="653"/>
      <c r="UH110" s="653"/>
      <c r="UI110" s="653"/>
      <c r="UJ110" s="653"/>
      <c r="UK110" s="653"/>
      <c r="UL110" s="653"/>
      <c r="UM110" s="653"/>
      <c r="UN110" s="653"/>
      <c r="UO110" s="653"/>
      <c r="UP110" s="653"/>
      <c r="UQ110" s="653"/>
      <c r="UR110" s="653"/>
      <c r="US110" s="653"/>
      <c r="UT110" s="653"/>
      <c r="UU110" s="653"/>
      <c r="UV110" s="653"/>
      <c r="UW110" s="653"/>
      <c r="UX110" s="653"/>
      <c r="UY110" s="653"/>
      <c r="UZ110" s="653"/>
      <c r="WC110" s="653"/>
      <c r="WD110" s="653"/>
      <c r="WE110" s="996"/>
      <c r="WF110" s="997"/>
      <c r="WG110" s="175"/>
      <c r="WH110" s="173"/>
      <c r="WI110" s="173"/>
      <c r="WJ110" s="173"/>
      <c r="WK110" s="173"/>
      <c r="WL110" s="173"/>
      <c r="WM110" s="173"/>
      <c r="WN110" s="173"/>
      <c r="WO110" s="173"/>
      <c r="WP110" s="173"/>
      <c r="WQ110" s="173"/>
      <c r="WR110" s="173"/>
      <c r="WS110" s="173"/>
      <c r="WT110" s="173"/>
      <c r="WU110" s="173"/>
      <c r="WV110" s="173"/>
      <c r="WW110" s="173"/>
      <c r="WX110" s="173"/>
      <c r="WY110" s="174"/>
      <c r="WZ110" s="1357"/>
      <c r="XA110" s="1358"/>
      <c r="XB110" s="175"/>
      <c r="XC110" s="173"/>
      <c r="XD110" s="173"/>
      <c r="XE110" s="173"/>
      <c r="XF110" s="174"/>
      <c r="XG110" s="693" t="str">
        <f t="shared" ref="XG110:YL110" si="135">IF($ADA$154&lt;0,"Ошибка",
IF(OR(AND($ADA$154&gt;XG80,XG80&gt;$ACQ$203),XG80 = $ADA$154),$ACY$154,
IF(OR(AND($ADA$155&gt;XG80,XG80&gt;$ADA$154),XG80 = $ADA$155),$ACY$155,
IF(OR(AND($ADA$156&gt;XG80,XG80&gt;$ADA$155),XG80 = $ADA$156),$ACY$156,
IF(OR(AND($ADA$157&gt;XG80,XG80&gt;$ADA$156),XG80 = $ADA$157),$ACY$157,
IF(OR(AND($ADA$158&gt;XG80,XG80&gt;$ADA$157),XG80 = $ADA$158),$ACY$158,
IF(OR(AND($ADA$159&gt;XG80,XG80&gt;$ADA$158),XG80 = $ADA$159),$ACY$159,
IF(OR(AND($ADA$160&gt;XG80,XG80&gt;$ADA$159),XG80 = $ADA$160),$ACY$160,
IF(OR(AND($ADA$161&gt;XG80,XG80&gt;$ADA$160),XG80 = $ADA$161),$ACY$161,
IF(OR(AND($ADA$162&gt;XG80,XG80&gt;$ADA$161),XG80 = $ADA$162),$ACY$162,
IF(OR(AND($ADA$163&gt;XG80,XG80&gt;$ADA$162),XG80 = $ADA$163),$ACY$163,
IF(OR(AND($ADA$164&gt;XG80,XG80&gt;$ADA$163),XG80 = $ADA$164),$ACY$164,
IF(OR(AND($ADA$165&gt;XG80,XG80&gt;$ADA$164),XG80 = $ADA$165),$ACY$165,
IF(OR(AND($ADA$166&gt;XG80,XG80&gt;$ADA$165),XG80 = $ADA$166),$ACY$166,
IF(OR(AND($ADA$167&gt;XG80,XG80&gt;$ADA$166),XG80 = $ADA$167),$ACY$167,
IF(OR(AND($ADA$168&gt;XG80,XG80&gt;$ADA$167),XG80 = $ADA$168),$ACY$168,
IF(OR(AND($ADA$169&gt;XG80,XG80&gt;$ADA$168),XG80 = $ADA$169),$ACY$169,
IF(OR(AND($ADA$170&gt;XG80,XG80&gt;$ADA$169),XG80 = $ADA$170),$ACY$170,
IF(OR(AND($ADA$171&gt;XG80,XG80&gt;$ADA$170),XG80 = $ADA$171),$ACY$171,
IF(OR(AND($ADA$172&gt;XG80,XG80&gt;$ADA$171),XG80 = $ADA$172),$ACY$172,
IF(OR(AND($ADA$173&gt;XG80,XG80&gt;$ADA$172),XG80 = $ADA$173),$ACY$173,
IF(OR(AND($ADA$174&gt;XG80,XG80&gt;$ADA$173),XG80 = $ADA$174),$ACY$174,
IF(OR(AND($ADA$175&gt;XG80,XG80&gt;$ADA$174),XG80 = $ADA$175),$ACY$175,
IF(OR(AND($ADA$176&gt;XG80,XG80&gt;$ADA$175),XG80 = $ADA$176),$ACY$176,
IF(OR(AND($ADA$177&gt;XG80,XG80&gt;$ADA$176),XG80 = $ADA$177),$ACY$177,
IF(OR(AND($ADA$178&gt;XG80,XG80&gt;$ADA$177),XG80 = $ADA$178),$ACY$178,
IF(OR(AND($ADA$179&gt;XG80,XG80&gt;$ADA$178),XG80 = $ADA$179),$ACY$179,
IF(OR(AND($ADA$180&gt;XG80,XG80&gt;$ADA$179),XG80 = $ADA$180),$ACY$180,
IF(OR(AND($ADA$181&gt;XG80,XG80&gt;$ADA$180),XG80 = $ADA$181),$ACY$181,
IF(OR(AND($ADA$182&gt;XG80,XG80&gt;$ADA$181),XG80 = $ADA$182),$ACY$182,
IF(OR(AND($ADA$183&gt;XG80,XG80&gt;$ADA$182),XG80 = $ADA$183),$ACY$183,
IF(OR(AND($ADA$184&gt;XG80,XG80&gt;$ADA$183),XG80 = $ADA$184),$ACY$184,
IF(OR(AND($ADA$185&gt;XG80,XG80&gt;$ADA$184),XG80 = $ADA$185),$ACY$185,
IF(OR(AND($ADA$186&gt;XG80,XG80&gt;$ADA$185),XG80 = $ADA$186),$ACY$186,
IF(OR(AND($ADA$187&gt;XG80,XG80&gt;$ADA$186),XG80 = $ADA$187),$ACY$187,
IF(OR(AND($ADA$188&gt;XG80,XG80&gt;$ADA$187),XG80 = $ADA$188),$ACY$188,
IF(OR(AND($ADA$189&gt;XG80,XG80&gt;$ADA$188),XG80 = $ADA$189),$ACY$189,
IF(OR(AND($ADA$190&gt;XG80,XG80&gt;$ADA$189),XG80 = $ADA$190),$ACY$190,
IF(OR(AND($ADA$191&gt;XG80,XG80&gt;$ADA$190),XG80 = $ADA$191),$ACY$191,
IF(OR(AND($ADA$192&gt;XG80,XG80&gt;$ADA$191),XG80 = $ADA$192),$ACY$192,
IF(OR(AND($ADA$193&gt;XG80,XG80&gt;$ADA$192),XG80 = $ADA$193),$ACY$193,
IF(OR(AND($ADA$194&gt;XG80,XG80&gt;$ADA$193),XG80 = $ADA$194),$ACY$194,
IF(OR(AND($ADA$195&gt;XG80,XG80&gt;$ADA$194),XG80 = $ADA$195),$ACY$195,
IF(OR(AND($ADA$196&gt;XG80,XG80&gt;$ADA$195),XG80 = $ADA$196),$ACY$196,
IF(OR(AND($ADA$197&gt;XG80,XG80&gt;$ADA$196),XG80 = $ADA$197),$ACY$197,
IF(OR(AND($ADA$198&gt;XG80,XG80&gt;$ADA$197),XG80 = $ADA$198),$ACY$198,
IF(OR(AND($ADA$199&gt;XG80,XG80&gt;$ADA$198),XG80 = $ADA$199),$ACY$199,
IF(OR(AND($ADA$200&gt;XG80,XG80&gt;$ADA$199),XG80 = $ADA$200),$ACY$200,
IF(OR(AND($ADA$201&gt;XG80,XG80&gt;$ADA$200),XG80 = $ADA$201),$ACY$201,
IF(OR(AND($ADA$202&gt;XG80,XG80&gt;$ADA$201),XG80 = $ADA$202),$ACY$202,
IF(OR(AND($ADA$203&gt;XG80,XG80&gt;$ADA$202),XG80 = $ADA$203),$ACY$203,
"Y")))))))))))))))))))))))))))))))))))))))))))))))))))</f>
        <v>Y</v>
      </c>
      <c r="XH110" s="693">
        <f t="shared" si="135"/>
        <v>0.98424999999999996</v>
      </c>
      <c r="XI110" s="693">
        <f t="shared" si="135"/>
        <v>0.98099999999999998</v>
      </c>
      <c r="XJ110" s="693">
        <f t="shared" si="135"/>
        <v>0.97799999999999998</v>
      </c>
      <c r="XK110" s="693">
        <f t="shared" si="135"/>
        <v>0.97524999999999995</v>
      </c>
      <c r="XL110" s="693" t="str">
        <f t="shared" si="135"/>
        <v>Y</v>
      </c>
      <c r="XM110" s="693" t="str">
        <f t="shared" si="135"/>
        <v>Y</v>
      </c>
      <c r="XN110" s="693" t="str">
        <f t="shared" si="135"/>
        <v>Y</v>
      </c>
      <c r="XO110" s="693" t="str">
        <f t="shared" si="135"/>
        <v>Y</v>
      </c>
      <c r="XP110" s="693" t="str">
        <f t="shared" si="135"/>
        <v>Y</v>
      </c>
      <c r="XQ110" s="693" t="str">
        <f t="shared" si="135"/>
        <v>Y</v>
      </c>
      <c r="XR110" s="693" t="str">
        <f t="shared" si="135"/>
        <v>Y</v>
      </c>
      <c r="XS110" s="693" t="str">
        <f t="shared" si="135"/>
        <v>Y</v>
      </c>
      <c r="XT110" s="693" t="str">
        <f t="shared" si="135"/>
        <v>Y</v>
      </c>
      <c r="XU110" s="693" t="str">
        <f t="shared" si="135"/>
        <v>Y</v>
      </c>
      <c r="XV110" s="693" t="str">
        <f t="shared" si="135"/>
        <v>Y</v>
      </c>
      <c r="XW110" s="693" t="str">
        <f t="shared" si="135"/>
        <v>Y</v>
      </c>
      <c r="XX110" s="693" t="str">
        <f t="shared" si="135"/>
        <v>Y</v>
      </c>
      <c r="XY110" s="693" t="str">
        <f t="shared" si="135"/>
        <v>Y</v>
      </c>
      <c r="XZ110" s="693" t="str">
        <f t="shared" si="135"/>
        <v>Y</v>
      </c>
      <c r="YA110" s="693" t="str">
        <f t="shared" si="135"/>
        <v>Y</v>
      </c>
      <c r="YB110" s="693" t="str">
        <f t="shared" si="135"/>
        <v>Y</v>
      </c>
      <c r="YC110" s="693" t="str">
        <f t="shared" si="135"/>
        <v>Y</v>
      </c>
      <c r="YD110" s="693" t="str">
        <f t="shared" si="135"/>
        <v>Y</v>
      </c>
      <c r="YE110" s="693" t="str">
        <f t="shared" si="135"/>
        <v>Y</v>
      </c>
      <c r="YF110" s="693" t="str">
        <f t="shared" si="135"/>
        <v>Y</v>
      </c>
      <c r="YG110" s="693" t="str">
        <f t="shared" si="135"/>
        <v>Y</v>
      </c>
      <c r="YH110" s="693" t="str">
        <f t="shared" si="135"/>
        <v>Y</v>
      </c>
      <c r="YI110" s="693" t="str">
        <f t="shared" si="135"/>
        <v>Y</v>
      </c>
      <c r="YJ110" s="693" t="str">
        <f t="shared" si="135"/>
        <v>Y</v>
      </c>
      <c r="YK110" s="693" t="str">
        <f t="shared" si="135"/>
        <v>Y</v>
      </c>
      <c r="YL110" s="693" t="str">
        <f t="shared" si="135"/>
        <v>Y</v>
      </c>
      <c r="YM110" s="693" t="str">
        <f t="shared" ref="YM110:ZR110" si="136">IF($ADA$154&lt;0,"Ошибка",
IF(OR(AND($ADA$154&gt;YM80,YM80&gt;$ACQ$203),YM80 = $ADA$154),$ACY$154,
IF(OR(AND($ADA$155&gt;YM80,YM80&gt;$ADA$154),YM80 = $ADA$155),$ACY$155,
IF(OR(AND($ADA$156&gt;YM80,YM80&gt;$ADA$155),YM80 = $ADA$156),$ACY$156,
IF(OR(AND($ADA$157&gt;YM80,YM80&gt;$ADA$156),YM80 = $ADA$157),$ACY$157,
IF(OR(AND($ADA$158&gt;YM80,YM80&gt;$ADA$157),YM80 = $ADA$158),$ACY$158,
IF(OR(AND($ADA$159&gt;YM80,YM80&gt;$ADA$158),YM80 = $ADA$159),$ACY$159,
IF(OR(AND($ADA$160&gt;YM80,YM80&gt;$ADA$159),YM80 = $ADA$160),$ACY$160,
IF(OR(AND($ADA$161&gt;YM80,YM80&gt;$ADA$160),YM80 = $ADA$161),$ACY$161,
IF(OR(AND($ADA$162&gt;YM80,YM80&gt;$ADA$161),YM80 = $ADA$162),$ACY$162,
IF(OR(AND($ADA$163&gt;YM80,YM80&gt;$ADA$162),YM80 = $ADA$163),$ACY$163,
IF(OR(AND($ADA$164&gt;YM80,YM80&gt;$ADA$163),YM80 = $ADA$164),$ACY$164,
IF(OR(AND($ADA$165&gt;YM80,YM80&gt;$ADA$164),YM80 = $ADA$165),$ACY$165,
IF(OR(AND($ADA$166&gt;YM80,YM80&gt;$ADA$165),YM80 = $ADA$166),$ACY$166,
IF(OR(AND($ADA$167&gt;YM80,YM80&gt;$ADA$166),YM80 = $ADA$167),$ACY$167,
IF(OR(AND($ADA$168&gt;YM80,YM80&gt;$ADA$167),YM80 = $ADA$168),$ACY$168,
IF(OR(AND($ADA$169&gt;YM80,YM80&gt;$ADA$168),YM80 = $ADA$169),$ACY$169,
IF(OR(AND($ADA$170&gt;YM80,YM80&gt;$ADA$169),YM80 = $ADA$170),$ACY$170,
IF(OR(AND($ADA$171&gt;YM80,YM80&gt;$ADA$170),YM80 = $ADA$171),$ACY$171,
IF(OR(AND($ADA$172&gt;YM80,YM80&gt;$ADA$171),YM80 = $ADA$172),$ACY$172,
IF(OR(AND($ADA$173&gt;YM80,YM80&gt;$ADA$172),YM80 = $ADA$173),$ACY$173,
IF(OR(AND($ADA$174&gt;YM80,YM80&gt;$ADA$173),YM80 = $ADA$174),$ACY$174,
IF(OR(AND($ADA$175&gt;YM80,YM80&gt;$ADA$174),YM80 = $ADA$175),$ACY$175,
IF(OR(AND($ADA$176&gt;YM80,YM80&gt;$ADA$175),YM80 = $ADA$176),$ACY$176,
IF(OR(AND($ADA$177&gt;YM80,YM80&gt;$ADA$176),YM80 = $ADA$177),$ACY$177,
IF(OR(AND($ADA$178&gt;YM80,YM80&gt;$ADA$177),YM80 = $ADA$178),$ACY$178,
IF(OR(AND($ADA$179&gt;YM80,YM80&gt;$ADA$178),YM80 = $ADA$179),$ACY$179,
IF(OR(AND($ADA$180&gt;YM80,YM80&gt;$ADA$179),YM80 = $ADA$180),$ACY$180,
IF(OR(AND($ADA$181&gt;YM80,YM80&gt;$ADA$180),YM80 = $ADA$181),$ACY$181,
IF(OR(AND($ADA$182&gt;YM80,YM80&gt;$ADA$181),YM80 = $ADA$182),$ACY$182,
IF(OR(AND($ADA$183&gt;YM80,YM80&gt;$ADA$182),YM80 = $ADA$183),$ACY$183,
IF(OR(AND($ADA$184&gt;YM80,YM80&gt;$ADA$183),YM80 = $ADA$184),$ACY$184,
IF(OR(AND($ADA$185&gt;YM80,YM80&gt;$ADA$184),YM80 = $ADA$185),$ACY$185,
IF(OR(AND($ADA$186&gt;YM80,YM80&gt;$ADA$185),YM80 = $ADA$186),$ACY$186,
IF(OR(AND($ADA$187&gt;YM80,YM80&gt;$ADA$186),YM80 = $ADA$187),$ACY$187,
IF(OR(AND($ADA$188&gt;YM80,YM80&gt;$ADA$187),YM80 = $ADA$188),$ACY$188,
IF(OR(AND($ADA$189&gt;YM80,YM80&gt;$ADA$188),YM80 = $ADA$189),$ACY$189,
IF(OR(AND($ADA$190&gt;YM80,YM80&gt;$ADA$189),YM80 = $ADA$190),$ACY$190,
IF(OR(AND($ADA$191&gt;YM80,YM80&gt;$ADA$190),YM80 = $ADA$191),$ACY$191,
IF(OR(AND($ADA$192&gt;YM80,YM80&gt;$ADA$191),YM80 = $ADA$192),$ACY$192,
IF(OR(AND($ADA$193&gt;YM80,YM80&gt;$ADA$192),YM80 = $ADA$193),$ACY$193,
IF(OR(AND($ADA$194&gt;YM80,YM80&gt;$ADA$193),YM80 = $ADA$194),$ACY$194,
IF(OR(AND($ADA$195&gt;YM80,YM80&gt;$ADA$194),YM80 = $ADA$195),$ACY$195,
IF(OR(AND($ADA$196&gt;YM80,YM80&gt;$ADA$195),YM80 = $ADA$196),$ACY$196,
IF(OR(AND($ADA$197&gt;YM80,YM80&gt;$ADA$196),YM80 = $ADA$197),$ACY$197,
IF(OR(AND($ADA$198&gt;YM80,YM80&gt;$ADA$197),YM80 = $ADA$198),$ACY$198,
IF(OR(AND($ADA$199&gt;YM80,YM80&gt;$ADA$198),YM80 = $ADA$199),$ACY$199,
IF(OR(AND($ADA$200&gt;YM80,YM80&gt;$ADA$199),YM80 = $ADA$200),$ACY$200,
IF(OR(AND($ADA$201&gt;YM80,YM80&gt;$ADA$200),YM80 = $ADA$201),$ACY$201,
IF(OR(AND($ADA$202&gt;YM80,YM80&gt;$ADA$201),YM80 = $ADA$202),$ACY$202,
IF(OR(AND($ADA$203&gt;YM80,YM80&gt;$ADA$202),YM80 = $ADA$203),$ACY$203,
"Y")))))))))))))))))))))))))))))))))))))))))))))))))))</f>
        <v>Y</v>
      </c>
      <c r="YN110" s="693" t="str">
        <f t="shared" si="136"/>
        <v>Y</v>
      </c>
      <c r="YO110" s="693" t="str">
        <f t="shared" si="136"/>
        <v>Y</v>
      </c>
      <c r="YP110" s="693" t="str">
        <f t="shared" si="136"/>
        <v>Y</v>
      </c>
      <c r="YQ110" s="693" t="str">
        <f t="shared" si="136"/>
        <v>Y</v>
      </c>
      <c r="YR110" s="693" t="str">
        <f t="shared" si="136"/>
        <v>Y</v>
      </c>
      <c r="YS110" s="693" t="str">
        <f t="shared" si="136"/>
        <v>Y</v>
      </c>
      <c r="YT110" s="693" t="str">
        <f t="shared" si="136"/>
        <v>Y</v>
      </c>
      <c r="YU110" s="693" t="str">
        <f t="shared" si="136"/>
        <v>Y</v>
      </c>
      <c r="YV110" s="693" t="str">
        <f t="shared" si="136"/>
        <v>Y</v>
      </c>
      <c r="YW110" s="693" t="str">
        <f t="shared" si="136"/>
        <v>Y</v>
      </c>
      <c r="YX110" s="693" t="str">
        <f t="shared" si="136"/>
        <v>Y</v>
      </c>
      <c r="YY110" s="693" t="str">
        <f t="shared" si="136"/>
        <v>Y</v>
      </c>
      <c r="YZ110" s="693" t="str">
        <f t="shared" si="136"/>
        <v>Y</v>
      </c>
      <c r="ZA110" s="693" t="str">
        <f t="shared" si="136"/>
        <v>Y</v>
      </c>
      <c r="ZB110" s="693" t="str">
        <f t="shared" si="136"/>
        <v>Y</v>
      </c>
      <c r="ZC110" s="693" t="str">
        <f t="shared" si="136"/>
        <v>Y</v>
      </c>
      <c r="ZD110" s="693" t="str">
        <f t="shared" si="136"/>
        <v>Y</v>
      </c>
      <c r="ZE110" s="693" t="str">
        <f t="shared" si="136"/>
        <v>Y</v>
      </c>
      <c r="ZF110" s="693" t="str">
        <f t="shared" si="136"/>
        <v>Y</v>
      </c>
      <c r="ZG110" s="693" t="str">
        <f t="shared" si="136"/>
        <v>Y</v>
      </c>
      <c r="ZH110" s="693" t="str">
        <f t="shared" si="136"/>
        <v>Y</v>
      </c>
      <c r="ZI110" s="693" t="str">
        <f t="shared" si="136"/>
        <v>Y</v>
      </c>
      <c r="ZJ110" s="693" t="str">
        <f t="shared" si="136"/>
        <v>Y</v>
      </c>
      <c r="ZK110" s="693" t="str">
        <f t="shared" si="136"/>
        <v>Y</v>
      </c>
      <c r="ZL110" s="693" t="str">
        <f t="shared" si="136"/>
        <v>Y</v>
      </c>
      <c r="ZM110" s="693" t="str">
        <f t="shared" si="136"/>
        <v>Y</v>
      </c>
      <c r="ZN110" s="693" t="str">
        <f t="shared" si="136"/>
        <v>Y</v>
      </c>
      <c r="ZO110" s="693" t="str">
        <f t="shared" si="136"/>
        <v>Y</v>
      </c>
      <c r="ZP110" s="693" t="str">
        <f t="shared" si="136"/>
        <v>Y</v>
      </c>
      <c r="ZQ110" s="693" t="str">
        <f t="shared" si="136"/>
        <v>Y</v>
      </c>
      <c r="ZR110" s="693" t="str">
        <f t="shared" si="136"/>
        <v>Y</v>
      </c>
      <c r="ZS110" s="693" t="str">
        <f t="shared" ref="ZS110:AAS110" si="137">IF($ADA$154&lt;0,"Ошибка",
IF(OR(AND($ADA$154&gt;ZS80,ZS80&gt;$ACQ$203),ZS80 = $ADA$154),$ACY$154,
IF(OR(AND($ADA$155&gt;ZS80,ZS80&gt;$ADA$154),ZS80 = $ADA$155),$ACY$155,
IF(OR(AND($ADA$156&gt;ZS80,ZS80&gt;$ADA$155),ZS80 = $ADA$156),$ACY$156,
IF(OR(AND($ADA$157&gt;ZS80,ZS80&gt;$ADA$156),ZS80 = $ADA$157),$ACY$157,
IF(OR(AND($ADA$158&gt;ZS80,ZS80&gt;$ADA$157),ZS80 = $ADA$158),$ACY$158,
IF(OR(AND($ADA$159&gt;ZS80,ZS80&gt;$ADA$158),ZS80 = $ADA$159),$ACY$159,
IF(OR(AND($ADA$160&gt;ZS80,ZS80&gt;$ADA$159),ZS80 = $ADA$160),$ACY$160,
IF(OR(AND($ADA$161&gt;ZS80,ZS80&gt;$ADA$160),ZS80 = $ADA$161),$ACY$161,
IF(OR(AND($ADA$162&gt;ZS80,ZS80&gt;$ADA$161),ZS80 = $ADA$162),$ACY$162,
IF(OR(AND($ADA$163&gt;ZS80,ZS80&gt;$ADA$162),ZS80 = $ADA$163),$ACY$163,
IF(OR(AND($ADA$164&gt;ZS80,ZS80&gt;$ADA$163),ZS80 = $ADA$164),$ACY$164,
IF(OR(AND($ADA$165&gt;ZS80,ZS80&gt;$ADA$164),ZS80 = $ADA$165),$ACY$165,
IF(OR(AND($ADA$166&gt;ZS80,ZS80&gt;$ADA$165),ZS80 = $ADA$166),$ACY$166,
IF(OR(AND($ADA$167&gt;ZS80,ZS80&gt;$ADA$166),ZS80 = $ADA$167),$ACY$167,
IF(OR(AND($ADA$168&gt;ZS80,ZS80&gt;$ADA$167),ZS80 = $ADA$168),$ACY$168,
IF(OR(AND($ADA$169&gt;ZS80,ZS80&gt;$ADA$168),ZS80 = $ADA$169),$ACY$169,
IF(OR(AND($ADA$170&gt;ZS80,ZS80&gt;$ADA$169),ZS80 = $ADA$170),$ACY$170,
IF(OR(AND($ADA$171&gt;ZS80,ZS80&gt;$ADA$170),ZS80 = $ADA$171),$ACY$171,
IF(OR(AND($ADA$172&gt;ZS80,ZS80&gt;$ADA$171),ZS80 = $ADA$172),$ACY$172,
IF(OR(AND($ADA$173&gt;ZS80,ZS80&gt;$ADA$172),ZS80 = $ADA$173),$ACY$173,
IF(OR(AND($ADA$174&gt;ZS80,ZS80&gt;$ADA$173),ZS80 = $ADA$174),$ACY$174,
IF(OR(AND($ADA$175&gt;ZS80,ZS80&gt;$ADA$174),ZS80 = $ADA$175),$ACY$175,
IF(OR(AND($ADA$176&gt;ZS80,ZS80&gt;$ADA$175),ZS80 = $ADA$176),$ACY$176,
IF(OR(AND($ADA$177&gt;ZS80,ZS80&gt;$ADA$176),ZS80 = $ADA$177),$ACY$177,
IF(OR(AND($ADA$178&gt;ZS80,ZS80&gt;$ADA$177),ZS80 = $ADA$178),$ACY$178,
IF(OR(AND($ADA$179&gt;ZS80,ZS80&gt;$ADA$178),ZS80 = $ADA$179),$ACY$179,
IF(OR(AND($ADA$180&gt;ZS80,ZS80&gt;$ADA$179),ZS80 = $ADA$180),$ACY$180,
IF(OR(AND($ADA$181&gt;ZS80,ZS80&gt;$ADA$180),ZS80 = $ADA$181),$ACY$181,
IF(OR(AND($ADA$182&gt;ZS80,ZS80&gt;$ADA$181),ZS80 = $ADA$182),$ACY$182,
IF(OR(AND($ADA$183&gt;ZS80,ZS80&gt;$ADA$182),ZS80 = $ADA$183),$ACY$183,
IF(OR(AND($ADA$184&gt;ZS80,ZS80&gt;$ADA$183),ZS80 = $ADA$184),$ACY$184,
IF(OR(AND($ADA$185&gt;ZS80,ZS80&gt;$ADA$184),ZS80 = $ADA$185),$ACY$185,
IF(OR(AND($ADA$186&gt;ZS80,ZS80&gt;$ADA$185),ZS80 = $ADA$186),$ACY$186,
IF(OR(AND($ADA$187&gt;ZS80,ZS80&gt;$ADA$186),ZS80 = $ADA$187),$ACY$187,
IF(OR(AND($ADA$188&gt;ZS80,ZS80&gt;$ADA$187),ZS80 = $ADA$188),$ACY$188,
IF(OR(AND($ADA$189&gt;ZS80,ZS80&gt;$ADA$188),ZS80 = $ADA$189),$ACY$189,
IF(OR(AND($ADA$190&gt;ZS80,ZS80&gt;$ADA$189),ZS80 = $ADA$190),$ACY$190,
IF(OR(AND($ADA$191&gt;ZS80,ZS80&gt;$ADA$190),ZS80 = $ADA$191),$ACY$191,
IF(OR(AND($ADA$192&gt;ZS80,ZS80&gt;$ADA$191),ZS80 = $ADA$192),$ACY$192,
IF(OR(AND($ADA$193&gt;ZS80,ZS80&gt;$ADA$192),ZS80 = $ADA$193),$ACY$193,
IF(OR(AND($ADA$194&gt;ZS80,ZS80&gt;$ADA$193),ZS80 = $ADA$194),$ACY$194,
IF(OR(AND($ADA$195&gt;ZS80,ZS80&gt;$ADA$194),ZS80 = $ADA$195),$ACY$195,
IF(OR(AND($ADA$196&gt;ZS80,ZS80&gt;$ADA$195),ZS80 = $ADA$196),$ACY$196,
IF(OR(AND($ADA$197&gt;ZS80,ZS80&gt;$ADA$196),ZS80 = $ADA$197),$ACY$197,
IF(OR(AND($ADA$198&gt;ZS80,ZS80&gt;$ADA$197),ZS80 = $ADA$198),$ACY$198,
IF(OR(AND($ADA$199&gt;ZS80,ZS80&gt;$ADA$198),ZS80 = $ADA$199),$ACY$199,
IF(OR(AND($ADA$200&gt;ZS80,ZS80&gt;$ADA$199),ZS80 = $ADA$200),$ACY$200,
IF(OR(AND($ADA$201&gt;ZS80,ZS80&gt;$ADA$200),ZS80 = $ADA$201),$ACY$201,
IF(OR(AND($ADA$202&gt;ZS80,ZS80&gt;$ADA$201),ZS80 = $ADA$202),$ACY$202,
IF(OR(AND($ADA$203&gt;ZS80,ZS80&gt;$ADA$202),ZS80 = $ADA$203),$ACY$203,
"Y")))))))))))))))))))))))))))))))))))))))))))))))))))</f>
        <v>Y</v>
      </c>
      <c r="ZT110" s="693" t="str">
        <f t="shared" si="137"/>
        <v>Y</v>
      </c>
      <c r="ZU110" s="693" t="str">
        <f t="shared" si="137"/>
        <v>Y</v>
      </c>
      <c r="ZV110" s="693" t="str">
        <f t="shared" si="137"/>
        <v>Y</v>
      </c>
      <c r="ZW110" s="693" t="str">
        <f t="shared" si="137"/>
        <v>Y</v>
      </c>
      <c r="ZX110" s="693" t="str">
        <f t="shared" si="137"/>
        <v>Y</v>
      </c>
      <c r="ZY110" s="693" t="str">
        <f t="shared" si="137"/>
        <v>Y</v>
      </c>
      <c r="ZZ110" s="693" t="str">
        <f t="shared" si="137"/>
        <v>Y</v>
      </c>
      <c r="AAA110" s="693" t="str">
        <f t="shared" si="137"/>
        <v>Y</v>
      </c>
      <c r="AAB110" s="693" t="str">
        <f t="shared" si="137"/>
        <v>Y</v>
      </c>
      <c r="AAC110" s="693" t="str">
        <f t="shared" si="137"/>
        <v>Y</v>
      </c>
      <c r="AAD110" s="693" t="str">
        <f t="shared" si="137"/>
        <v>Y</v>
      </c>
      <c r="AAE110" s="693" t="str">
        <f t="shared" si="137"/>
        <v>Y</v>
      </c>
      <c r="AAF110" s="693" t="str">
        <f t="shared" si="137"/>
        <v>Y</v>
      </c>
      <c r="AAG110" s="693" t="str">
        <f t="shared" si="137"/>
        <v>Y</v>
      </c>
      <c r="AAH110" s="693" t="str">
        <f t="shared" si="137"/>
        <v>Y</v>
      </c>
      <c r="AAI110" s="693" t="str">
        <f t="shared" si="137"/>
        <v>Y</v>
      </c>
      <c r="AAJ110" s="693" t="str">
        <f t="shared" si="137"/>
        <v>Y</v>
      </c>
      <c r="AAK110" s="693" t="str">
        <f t="shared" si="137"/>
        <v>Y</v>
      </c>
      <c r="AAL110" s="693" t="str">
        <f t="shared" si="137"/>
        <v>Y</v>
      </c>
      <c r="AAM110" s="693" t="str">
        <f t="shared" si="137"/>
        <v>Y</v>
      </c>
      <c r="AAN110" s="693" t="str">
        <f t="shared" si="137"/>
        <v>Y</v>
      </c>
      <c r="AAO110" s="693" t="str">
        <f t="shared" si="137"/>
        <v>Y</v>
      </c>
      <c r="AAP110" s="693" t="str">
        <f t="shared" si="137"/>
        <v>Y</v>
      </c>
      <c r="AAQ110" s="693" t="str">
        <f t="shared" si="137"/>
        <v>Y</v>
      </c>
      <c r="AAR110" s="693" t="str">
        <f t="shared" si="137"/>
        <v>Y</v>
      </c>
      <c r="AAS110" s="693" t="str">
        <f t="shared" si="137"/>
        <v>Y</v>
      </c>
      <c r="AAT110" s="1006"/>
      <c r="AAU110" s="960"/>
      <c r="AAV110" s="1101"/>
      <c r="AAW110" s="1101"/>
      <c r="AAX110" s="1101"/>
      <c r="AAY110" s="1101"/>
      <c r="AAZ110" s="1101"/>
      <c r="ABA110" s="1101"/>
      <c r="ABB110" s="1101"/>
      <c r="ABC110" s="1101"/>
      <c r="ABD110" s="1101"/>
      <c r="ABE110" s="1101"/>
      <c r="ABF110" s="1101"/>
      <c r="ABG110" s="1101"/>
      <c r="ABH110" s="961"/>
      <c r="ABI110" s="158"/>
      <c r="ABJ110" s="158"/>
      <c r="ABK110" s="158"/>
      <c r="ABL110" s="158"/>
      <c r="ABM110" s="158"/>
      <c r="ABN110" s="158"/>
      <c r="ABO110" s="158"/>
      <c r="ABP110" s="163"/>
      <c r="ABW110" s="1516"/>
      <c r="ABX110" s="1517"/>
      <c r="ABY110" s="1517"/>
      <c r="ABZ110" s="1517"/>
      <c r="ACA110" s="1517"/>
      <c r="ACB110" s="1517"/>
      <c r="ACC110" s="1517"/>
      <c r="ACD110" s="1517"/>
      <c r="ACE110" s="1517"/>
      <c r="ACF110" s="1517"/>
      <c r="ACG110" s="1517"/>
      <c r="ACH110" s="1518"/>
      <c r="ACJ110" s="759">
        <v>0.5</v>
      </c>
      <c r="ACK110" s="760"/>
      <c r="ACL110" s="759">
        <v>-0.5</v>
      </c>
      <c r="ACM110" s="760"/>
      <c r="ACN110" s="591">
        <v>26</v>
      </c>
      <c r="ACO110" s="759">
        <f t="shared" si="91"/>
        <v>0.13</v>
      </c>
      <c r="ACP110" s="760"/>
      <c r="ACQ110" s="757">
        <f t="shared" si="82"/>
        <v>1.26</v>
      </c>
      <c r="ACR110" s="758"/>
      <c r="ACT110" s="759">
        <v>1.5454545454545501</v>
      </c>
      <c r="ACU110" s="760"/>
      <c r="ACV110" s="759">
        <v>-2.1818181818181799</v>
      </c>
      <c r="ACW110" s="760"/>
      <c r="ACX110" s="591">
        <v>76</v>
      </c>
      <c r="ACY110" s="759">
        <f t="shared" si="92"/>
        <v>0.53818181818182831</v>
      </c>
      <c r="ACZ110" s="760"/>
      <c r="ADA110" s="757">
        <f t="shared" si="83"/>
        <v>1.76</v>
      </c>
      <c r="ADB110" s="758"/>
      <c r="ADD110" s="759">
        <v>1.5454545454545501</v>
      </c>
      <c r="ADE110" s="760"/>
      <c r="ADF110" s="759">
        <v>-2.1818181818181799</v>
      </c>
      <c r="ADG110" s="760"/>
      <c r="ADH110" s="591">
        <v>125</v>
      </c>
      <c r="ADI110" s="759">
        <f t="shared" si="93"/>
        <v>1.2954545454545578</v>
      </c>
      <c r="ADJ110" s="760"/>
      <c r="ADK110" s="757">
        <f t="shared" si="84"/>
        <v>2.25</v>
      </c>
      <c r="ADL110" s="758"/>
      <c r="ADN110" s="759">
        <v>1.5454545454545501</v>
      </c>
      <c r="ADO110" s="760"/>
      <c r="ADP110" s="759">
        <v>-2.1818181818181799</v>
      </c>
      <c r="ADQ110" s="760"/>
      <c r="ADR110" s="591">
        <v>175</v>
      </c>
      <c r="ADS110" s="759">
        <f t="shared" si="94"/>
        <v>2.0681818181818326</v>
      </c>
      <c r="ADT110" s="760"/>
      <c r="ADU110" s="757">
        <f t="shared" si="85"/>
        <v>2.75</v>
      </c>
      <c r="ADV110" s="758"/>
      <c r="ADW110" s="653"/>
      <c r="ADX110" s="759">
        <v>1.5454545454545501</v>
      </c>
      <c r="ADY110" s="760"/>
      <c r="ADZ110" s="759">
        <v>-2.1818181818181799</v>
      </c>
      <c r="AEA110" s="760"/>
      <c r="AEB110" s="591">
        <v>225</v>
      </c>
      <c r="AEC110" s="759">
        <f t="shared" si="134"/>
        <v>2.8409090909091077</v>
      </c>
      <c r="AED110" s="760"/>
      <c r="AEE110" s="757">
        <f t="shared" si="86"/>
        <v>3.25</v>
      </c>
      <c r="AEF110" s="758"/>
      <c r="AEH110" s="759">
        <v>1.5454545454545501</v>
      </c>
      <c r="AEI110" s="760"/>
      <c r="AEJ110" s="759">
        <v>-2.1818181818181799</v>
      </c>
      <c r="AEK110" s="760"/>
      <c r="AEL110" s="591">
        <v>275</v>
      </c>
      <c r="AEM110" s="759">
        <f t="shared" si="101"/>
        <v>3.6136363636363829</v>
      </c>
      <c r="AEN110" s="760"/>
      <c r="AEO110" s="757">
        <f t="shared" si="87"/>
        <v>3.75</v>
      </c>
      <c r="AEP110" s="758"/>
      <c r="AGL110" s="851"/>
      <c r="AGM110" s="450"/>
      <c r="AGN110" s="451"/>
      <c r="AGO110" s="451"/>
      <c r="AGP110" s="451"/>
      <c r="AGQ110" s="1147"/>
      <c r="AGR110" s="1147"/>
      <c r="AGS110" s="1147"/>
      <c r="AGT110" s="1147"/>
      <c r="AGU110" s="1147"/>
      <c r="AGV110" s="1147"/>
      <c r="AGW110" s="1147"/>
      <c r="AGX110" s="1147"/>
      <c r="AGY110" s="1574"/>
      <c r="AGZ110" s="837"/>
      <c r="AHA110" s="838"/>
      <c r="AHB110" s="1185"/>
      <c r="AHC110" s="1186"/>
      <c r="AHD110" s="1249"/>
      <c r="AHE110" s="1284"/>
      <c r="AHF110" s="1284"/>
      <c r="AHG110" s="1284"/>
      <c r="AHH110" s="1290"/>
      <c r="AHI110" s="1053"/>
      <c r="AHJ110" s="1053"/>
      <c r="AHK110" s="1053"/>
      <c r="AHL110" s="1053"/>
      <c r="AHM110" s="1053"/>
      <c r="AHN110" s="1053"/>
      <c r="AHO110" s="1053"/>
      <c r="AHP110" s="1053"/>
      <c r="AQO110" s="851"/>
      <c r="AQP110" s="857"/>
      <c r="AQQ110" s="857"/>
      <c r="AQR110" s="857"/>
      <c r="AQS110" s="857"/>
      <c r="AQT110" s="857"/>
      <c r="AQU110" s="857"/>
      <c r="AQV110" s="857"/>
      <c r="AQW110" s="857"/>
      <c r="AQX110" s="857"/>
      <c r="AQY110" s="857"/>
      <c r="AQZ110" s="857"/>
      <c r="ARA110" s="857"/>
      <c r="ARB110" s="857"/>
      <c r="ARC110" s="837"/>
      <c r="ARD110" s="838"/>
      <c r="ARE110" s="777"/>
      <c r="ARF110" s="799"/>
      <c r="ARG110" s="842"/>
      <c r="ARH110" s="845"/>
      <c r="ARI110" s="846"/>
      <c r="ARJ110" s="848"/>
      <c r="ARU110" s="897" t="s">
        <v>973</v>
      </c>
      <c r="ARV110" s="898"/>
      <c r="ARW110" s="899"/>
      <c r="ARX110" s="849"/>
      <c r="ARY110" s="852" t="s">
        <v>416</v>
      </c>
      <c r="ARZ110" s="853"/>
      <c r="ASA110" s="142"/>
      <c r="ASB110" s="78"/>
      <c r="ASC110" s="78"/>
      <c r="ASD110" s="806" t="s">
        <v>1847</v>
      </c>
      <c r="ASE110" s="807"/>
      <c r="ASF110" s="808"/>
      <c r="ASG110" s="75" t="s">
        <v>451</v>
      </c>
      <c r="ASH110" s="142"/>
      <c r="ASI110" s="76" t="s">
        <v>441</v>
      </c>
      <c r="ASJ110" s="854" t="s">
        <v>435</v>
      </c>
      <c r="ASK110" s="855"/>
      <c r="ASL110" s="920" t="s">
        <v>111</v>
      </c>
      <c r="ASM110" s="921"/>
      <c r="ASN110" s="916" t="s">
        <v>704</v>
      </c>
      <c r="ASO110" s="917"/>
      <c r="ASP110" s="906" t="s">
        <v>447</v>
      </c>
      <c r="ASQ110" s="907"/>
      <c r="ASR110" s="907"/>
      <c r="ASS110" s="908"/>
    </row>
    <row r="111" spans="34:904 1133:1201" ht="48" customHeight="1">
      <c r="BX111" s="54"/>
      <c r="BY111" s="54"/>
      <c r="BZ111" s="850"/>
      <c r="CA111" s="745" t="s">
        <v>1626</v>
      </c>
      <c r="CB111" s="766">
        <f>$CM$59</f>
        <v>2</v>
      </c>
      <c r="CC111" s="766"/>
      <c r="CD111" s="768" t="s">
        <v>1864</v>
      </c>
      <c r="CE111" s="762"/>
      <c r="CF111" s="762"/>
      <c r="CG111" s="762"/>
      <c r="CH111" s="762"/>
      <c r="CI111" s="762"/>
      <c r="CJ111" s="763"/>
      <c r="CK111" s="1168">
        <f>CO119*CJ131</f>
        <v>5.298</v>
      </c>
      <c r="CL111" s="815"/>
      <c r="CM111" s="927" t="s">
        <v>755</v>
      </c>
      <c r="CN111" s="928"/>
      <c r="CO111" s="1066"/>
      <c r="CP111" s="1170" t="s">
        <v>1032</v>
      </c>
      <c r="CQ111" s="1171"/>
      <c r="CR111" s="1172"/>
      <c r="CS111" s="847"/>
      <c r="CT111" s="847"/>
      <c r="CU111" s="1176" t="s">
        <v>754</v>
      </c>
      <c r="CV111" s="1177"/>
      <c r="CW111" s="1178"/>
      <c r="CX111" s="847"/>
      <c r="CY111" s="68"/>
      <c r="CZ111" s="64"/>
      <c r="DA111" s="64"/>
      <c r="DB111" s="65"/>
      <c r="DL111" s="653"/>
      <c r="DM111" s="653"/>
      <c r="DN111" s="653"/>
      <c r="DO111" s="653"/>
      <c r="DP111" s="653"/>
      <c r="DQ111" s="653"/>
      <c r="DU111" s="162"/>
      <c r="DV111" s="165"/>
      <c r="DW111" s="165"/>
      <c r="DX111" s="165"/>
      <c r="DY111" s="165"/>
      <c r="DZ111" s="165"/>
      <c r="EA111" s="165"/>
      <c r="EB111" s="165"/>
      <c r="EC111" s="165"/>
      <c r="ED111" s="165"/>
      <c r="EE111" s="165"/>
      <c r="EF111" s="165"/>
      <c r="EG111" s="165"/>
      <c r="EH111" s="165"/>
      <c r="EI111" s="165"/>
      <c r="EJ111" s="165"/>
      <c r="EK111" s="165"/>
      <c r="EL111" s="165"/>
      <c r="EM111" s="165"/>
      <c r="EN111" s="165"/>
      <c r="EO111" s="165"/>
      <c r="EP111" s="165"/>
      <c r="EQ111" s="165"/>
      <c r="ER111" s="165"/>
      <c r="ES111" s="165"/>
      <c r="ET111" s="165"/>
      <c r="EU111" s="165"/>
      <c r="EV111" s="165"/>
      <c r="EW111" s="165"/>
      <c r="EX111" s="165"/>
      <c r="EY111" s="165"/>
      <c r="EZ111" s="165"/>
      <c r="FA111" s="158"/>
      <c r="FB111" s="158"/>
      <c r="FC111" s="158"/>
      <c r="FD111" s="158"/>
      <c r="FE111" s="165"/>
      <c r="FF111" s="166"/>
      <c r="FH111" s="653"/>
      <c r="FI111" s="653"/>
      <c r="FJ111" s="653"/>
      <c r="FK111" s="653"/>
      <c r="FL111" s="653"/>
      <c r="FM111" s="653"/>
      <c r="FN111" s="653"/>
      <c r="FO111" s="126"/>
      <c r="FP111" s="126"/>
      <c r="FQ111" s="126"/>
      <c r="FR111" s="126"/>
      <c r="FS111" s="126"/>
      <c r="FT111" s="126"/>
      <c r="FU111" s="126"/>
      <c r="FV111" s="126"/>
      <c r="FW111" s="126"/>
      <c r="FX111" s="126"/>
      <c r="GD111" s="130"/>
      <c r="GE111" s="130"/>
      <c r="GF111" s="850"/>
      <c r="GG111" s="791" t="s">
        <v>1794</v>
      </c>
      <c r="GH111" s="792"/>
      <c r="GI111" s="792"/>
      <c r="GJ111" s="792"/>
      <c r="GK111" s="792"/>
      <c r="GL111" s="792"/>
      <c r="GM111" s="1086">
        <f>GQ36/GM115</f>
        <v>1656.4043184573623</v>
      </c>
      <c r="GN111" s="1087"/>
      <c r="GO111" s="1341" t="s">
        <v>1715</v>
      </c>
      <c r="GP111" s="1342"/>
      <c r="GQ111" s="841"/>
      <c r="GR111" s="843" t="s">
        <v>983</v>
      </c>
      <c r="GS111" s="844"/>
      <c r="GT111" s="847"/>
      <c r="GU111" s="826"/>
      <c r="GV111" s="945"/>
      <c r="GW111" s="946"/>
      <c r="LX111" s="377"/>
      <c r="LY111" s="373"/>
      <c r="LZ111" s="373"/>
      <c r="MA111" s="373"/>
      <c r="MB111" s="900"/>
      <c r="MC111" s="901"/>
      <c r="MD111" s="902"/>
      <c r="ME111" s="850"/>
      <c r="MF111" s="791" t="s">
        <v>1772</v>
      </c>
      <c r="MG111" s="797"/>
      <c r="MH111" s="797"/>
      <c r="MI111" s="797"/>
      <c r="MJ111" s="797"/>
      <c r="MK111" s="797"/>
      <c r="ML111" s="1054">
        <v>1</v>
      </c>
      <c r="MM111" s="1055"/>
      <c r="MN111" s="1183" t="s">
        <v>729</v>
      </c>
      <c r="MO111" s="1184"/>
      <c r="MP111" s="1066"/>
      <c r="MQ111" s="893" t="s">
        <v>425</v>
      </c>
      <c r="MR111" s="894"/>
      <c r="MS111" s="847"/>
      <c r="MT111" s="373"/>
      <c r="MU111" s="373"/>
      <c r="MV111" s="373"/>
      <c r="MW111" s="373"/>
      <c r="MX111" s="373"/>
      <c r="MY111" s="373"/>
      <c r="MZ111" s="373"/>
      <c r="NA111" s="373"/>
      <c r="NB111" s="373"/>
      <c r="NC111" s="373"/>
      <c r="ND111" s="373"/>
      <c r="NE111" s="373"/>
      <c r="NF111" s="373"/>
      <c r="NG111" s="1864" t="s">
        <v>111</v>
      </c>
      <c r="NH111" s="1229"/>
      <c r="NI111" s="1117" t="str">
        <f xml:space="preserve">
IF(ML111&lt;1/3,"Введено значение укорочения ниже 0,3(3)",
IF(AND(OR(ML111&gt;1/3,ML111=1/3),OR(ML111&lt;2/3,ML111=2/3)),NI109,
IF(AND(ML111&gt;2/3,OR(ML111&lt;1,ML111=1)),NI108,"Введено значение укорочения больше 1"
)))</f>
        <v>УКР - 1</v>
      </c>
      <c r="NJ111" s="1118"/>
      <c r="NK111" s="1119"/>
      <c r="NL111" s="373"/>
      <c r="NM111" s="373"/>
      <c r="NN111" s="373"/>
      <c r="NO111" s="373"/>
      <c r="NP111" s="373"/>
      <c r="NQ111" s="373"/>
      <c r="NR111" s="373"/>
      <c r="NS111" s="373"/>
      <c r="NT111" s="373"/>
      <c r="NU111" s="373"/>
      <c r="NV111" s="373"/>
      <c r="NW111" s="373"/>
      <c r="NX111" s="373"/>
      <c r="NY111" s="373"/>
      <c r="NZ111" s="373"/>
      <c r="OA111" s="373"/>
      <c r="OB111" s="373"/>
      <c r="OC111" s="373"/>
      <c r="OD111" s="373"/>
      <c r="OE111" s="373"/>
      <c r="OF111" s="373"/>
      <c r="OG111" s="373"/>
      <c r="OH111" s="373"/>
      <c r="OI111" s="373"/>
      <c r="OJ111" s="373"/>
      <c r="OK111" s="373"/>
      <c r="OL111" s="373"/>
      <c r="OM111" s="373"/>
      <c r="ON111" s="373"/>
      <c r="OO111" s="373"/>
      <c r="OP111" s="373"/>
      <c r="OQ111" s="373"/>
      <c r="OR111" s="373"/>
      <c r="OS111" s="373"/>
      <c r="OT111" s="373"/>
      <c r="OU111" s="374"/>
      <c r="OY111" s="130"/>
      <c r="OZ111" s="130"/>
      <c r="PA111" s="130"/>
      <c r="PB111" s="130"/>
      <c r="PC111" s="130"/>
      <c r="PD111" s="130"/>
      <c r="PE111" s="130"/>
      <c r="PF111" s="130"/>
      <c r="QU111" s="130"/>
      <c r="QV111" s="130"/>
      <c r="QW111" s="130"/>
      <c r="QX111" s="130"/>
      <c r="QY111" s="130"/>
      <c r="RE111" s="653"/>
      <c r="RF111" s="653"/>
      <c r="RG111" s="653"/>
      <c r="RH111" s="653"/>
      <c r="RI111" s="653"/>
      <c r="RJ111" s="653"/>
      <c r="RK111" s="653"/>
      <c r="RL111" s="653"/>
      <c r="RM111" s="653"/>
      <c r="RN111" s="653"/>
      <c r="RO111" s="653"/>
      <c r="RP111" s="653"/>
      <c r="RQ111" s="653"/>
      <c r="RR111" s="653"/>
      <c r="RS111" s="653"/>
      <c r="RT111" s="653"/>
      <c r="RU111" s="653"/>
      <c r="RV111" s="653"/>
      <c r="RW111" s="653"/>
      <c r="RX111" s="653"/>
      <c r="RY111" s="653"/>
      <c r="RZ111" s="653"/>
      <c r="SA111" s="653"/>
      <c r="SB111" s="653"/>
      <c r="SC111" s="653"/>
      <c r="SD111" s="653"/>
      <c r="SE111" s="653"/>
      <c r="SF111" s="653"/>
      <c r="SG111" s="653"/>
      <c r="SH111" s="653"/>
      <c r="SI111" s="653"/>
      <c r="SJ111" s="653"/>
      <c r="SK111" s="653"/>
      <c r="SL111" s="653"/>
      <c r="SM111" s="653"/>
      <c r="SN111" s="653"/>
      <c r="SO111" s="653"/>
      <c r="SP111" s="653"/>
      <c r="SQ111" s="653"/>
      <c r="SR111" s="653"/>
      <c r="SS111" s="653"/>
      <c r="ST111" s="653"/>
      <c r="SU111" s="653"/>
      <c r="SV111" s="653"/>
      <c r="SW111" s="653"/>
      <c r="SX111" s="653"/>
      <c r="SY111" s="653"/>
      <c r="SZ111" s="653"/>
      <c r="TA111" s="653"/>
      <c r="TB111" s="653"/>
      <c r="TC111" s="653"/>
      <c r="TD111" s="653"/>
      <c r="TE111" s="653"/>
      <c r="TF111" s="653"/>
      <c r="TG111" s="653"/>
      <c r="TH111" s="653"/>
      <c r="TI111" s="653"/>
      <c r="TJ111" s="653"/>
      <c r="TK111" s="653"/>
      <c r="TL111" s="653"/>
      <c r="TM111" s="653"/>
      <c r="TN111" s="653"/>
      <c r="TO111" s="653"/>
      <c r="TP111" s="653"/>
      <c r="TQ111" s="653"/>
      <c r="TR111" s="653"/>
      <c r="TS111" s="653"/>
      <c r="TT111" s="653"/>
      <c r="TU111" s="653"/>
      <c r="TV111" s="653"/>
      <c r="TW111" s="653"/>
      <c r="TX111" s="653"/>
      <c r="TY111" s="653"/>
      <c r="TZ111" s="653"/>
      <c r="UA111" s="653"/>
      <c r="UB111" s="653"/>
      <c r="UC111" s="653"/>
      <c r="UD111" s="653"/>
      <c r="UE111" s="653"/>
      <c r="UF111" s="653"/>
      <c r="UG111" s="653"/>
      <c r="UH111" s="653"/>
      <c r="UI111" s="653"/>
      <c r="UJ111" s="653"/>
      <c r="UK111" s="653"/>
      <c r="UL111" s="653"/>
      <c r="UM111" s="653"/>
      <c r="UN111" s="653"/>
      <c r="UO111" s="653"/>
      <c r="UP111" s="653"/>
      <c r="UQ111" s="653"/>
      <c r="UR111" s="653"/>
      <c r="US111" s="653"/>
      <c r="UT111" s="653"/>
      <c r="UU111" s="653"/>
      <c r="UV111" s="653"/>
      <c r="UW111" s="653"/>
      <c r="UX111" s="653"/>
      <c r="UY111" s="653"/>
      <c r="UZ111" s="653"/>
      <c r="WE111" s="996"/>
      <c r="WF111" s="997"/>
      <c r="WG111" s="175"/>
      <c r="WH111" s="173"/>
      <c r="WI111" s="173"/>
      <c r="WJ111" s="173"/>
      <c r="WK111" s="173"/>
      <c r="WL111" s="173"/>
      <c r="WM111" s="173"/>
      <c r="WN111" s="173"/>
      <c r="WO111" s="173"/>
      <c r="WP111" s="173"/>
      <c r="WQ111" s="173"/>
      <c r="WR111" s="173"/>
      <c r="WS111" s="173"/>
      <c r="WT111" s="173"/>
      <c r="WU111" s="173"/>
      <c r="WV111" s="173"/>
      <c r="WW111" s="173"/>
      <c r="WX111" s="173"/>
      <c r="WY111" s="174"/>
      <c r="WZ111" s="1357"/>
      <c r="XA111" s="1358"/>
      <c r="XB111" s="175"/>
      <c r="XC111" s="173"/>
      <c r="XD111" s="173"/>
      <c r="XE111" s="173"/>
      <c r="XF111" s="174"/>
      <c r="XG111" s="693" t="str">
        <f t="shared" ref="XG111:YL111" si="138">IF($ADK$154&lt;0,"Ошибка",
IF(OR(AND($ADK$154&gt;XG80,XG80&gt;$ADA$203),XG80 = $ADK$154),$ADI$154,
IF(OR(AND($ADK$155&gt;XG80,XG80&gt;$ADK$154),XG80 = $ADK$155),$ADI$155,
IF(OR(AND($ADK$156&gt;XG80,XG80&gt;$ADK$155),XG80 = $ADK$156),$ADI$156,
IF(OR(AND($ADK$157&gt;XG80,XG80&gt;$ADK$156),XG80 = $ADK$157),$ADI$157,
IF(OR(AND($ADK$158&gt;XG80,XG80&gt;$ADK$157),XG80 = $ADK$158),$ADI$158,
IF(OR(AND($ADK$159&gt;XG80,XG80&gt;$ADK$158),XG80 = $ADK$159),$ADI$159,
IF(OR(AND($ADK$160&gt;XG80,XG80&gt;$ADK$159),XG80 = $ADK$160),$ADI$160,
IF(OR(AND($ADK$161&gt;XG80,XG80&gt;$ADK$160),XG80 = $ADK$161),$ADI$161,
IF(OR(AND($ADK$162&gt;XG80,XG80&gt;$ADK$161),XG80 = $ADK$162),$ADI$162,
IF(OR(AND($ADK$163&gt;XG80,XG80&gt;$ADK$162),XG80 = $ADK$163),$ADI$163,
IF(OR(AND($ADK$164&gt;XG80,XG80&gt;$ADK$163),XG80 = $ADK$164),$ADI$164,
IF(OR(AND($ADK$165&gt;XG80,XG80&gt;$ADK$164),XG80 = $ADK$165),$ADI$165,
IF(OR(AND($ADK$166&gt;XG80,XG80&gt;$ADK$165),XG80 = $ADK$166),$ADI$166,
IF(OR(AND($ADK$167&gt;XG80,XG80&gt;$ADK$166),XG80 = $ADK$167),$ADI$167,
IF(OR(AND($ADK$168&gt;XG80,XG80&gt;$ADK$167),XG80 = $ADK$168),$ADI$168,
IF(OR(AND($ADK$169&gt;XG80,XG80&gt;$ADK$168),XG80 = $ADK$169),$ADI$169,
IF(OR(AND($ADK$170&gt;XG80,XG80&gt;$ADK$169),XG80 = $ADK$170),$ADI$170,
IF(OR(AND($ADK$171&gt;XG80,XG80&gt;$ADK$170),XG80 = $ADK$171),$ADI$171,
IF(OR(AND($ADK$172&gt;XG80,XG80&gt;$ADK$171),XG80 = $ADK$172),$ADI$172,
IF(OR(AND($ADK$173&gt;XG80,XG80&gt;$ADK$172),XG80 = $ADK$173),$ADI$173,
IF(OR(AND($ADK$174&gt;XG80,XG80&gt;$ADK$173),XG80 = $ADK$174),$ADI$174,
IF(OR(AND($ADK$175&gt;XG80,XG80&gt;$ADK$174),XG80 = $ADK$175),$ADI$175,
IF(OR(AND($ADK$176&gt;XG80,XG80&gt;$ADK$175),XG80 = $ADK$176),$ADI$176,
IF(OR(AND($ADK$177&gt;XG80,XG80&gt;$ADK$176),XG80 = $ADK$177),$ADI$177,
IF(OR(AND($ADK$178&gt;XG80,XG80&gt;$ADK$177),XG80 = $ADK$178),$ADI$178,
IF(OR(AND($ADK$179&gt;XG80,XG80&gt;$ADK$178),XG80 = $ADK$179),$ADI$179,
IF(OR(AND($ADK$180&gt;XG80,XG80&gt;$ADK$179),XG80 = $ADK$180),$ADI$180,
IF(OR(AND($ADK$181&gt;XG80,XG80&gt;$ADK$180),XG80 = $ADK$181),$ADI$181,
IF(OR(AND($ADK$182&gt;XG80,XG80&gt;$ADK$181),XG80 = $ADK$182),$ADI$182,
IF(OR(AND($ADK$183&gt;XG80,XG80&gt;$ADK$182),XG80 = $ADK$183),$ADI$183,
IF(OR(AND($ADK$184&gt;XG80,XG80&gt;$ADK$183),XG80 = $ADK$184),$ADI$184,
IF(OR(AND($ADK$185&gt;XG80,XG80&gt;$ADK$184),XG80 = $ADK$185),$ADI$185,
IF(OR(AND($ADK$186&gt;XG80,XG80&gt;$ADK$185),XG80 = $ADK$186),$ADI$186,
IF(OR(AND($ADK$187&gt;XG80,XG80&gt;$ADK$186),XG80 = $ADK$187),$ADI$187,
IF(OR(AND($ADK$188&gt;XG80,XG80&gt;$ADK$187),XG80 = $ADK$188),$ADI$188,
IF(OR(AND($ADK$189&gt;XG80,XG80&gt;$ADK$188),XG80 = $ADK$189),$ADI$189,
IF(OR(AND($ADK$190&gt;XG80,XG80&gt;$ADK$189),XG80 = $ADK$190),$ADI$190,
IF(OR(AND($ADK$191&gt;XG80,XG80&gt;$ADK$190),XG80 = $ADK$191),$ADI$191,
IF(OR(AND($ADK$192&gt;XG80,XG80&gt;$ADK$191),XG80 = $ADK$192),$ADI$192,
IF(OR(AND($ADK$193&gt;XG80,XG80&gt;$ADK$192),XG80 = $ADK$193),$ADI$193,
IF(OR(AND($ADK$194&gt;XG80,XG80&gt;$ADK$193),XG80 = $ADK$194),$ADI$194,
IF(OR(AND($ADK$195&gt;XG80,XG80&gt;$ADK$194),XG80 = $ADK$195),$ADI$195,
IF(OR(AND($ADK$196&gt;XG80,XG80&gt;$ADK$195),XG80 = $ADK$196),$ADI$196,
IF(OR(AND($ADK$197&gt;XG80,XG80&gt;$ADK$196),XG80 = $ADK$197),$ADI$197,
IF(OR(AND($ADK$198&gt;XG80,XG80&gt;$ADK$197),XG80 = $ADK$198),$ADI$198,
IF(OR(AND($ADK$199&gt;XG80,XG80&gt;$ADK$198),XG80 = $ADK$199),$ADI$199,
IF(OR(AND($ADK$200&gt;XG80,XG80&gt;$ADK$199),XG80 = $ADK$200),$ADI$200,
IF(OR(AND($ADK$201&gt;XG80,XG80&gt;$ADK$200),XG80 = $ADK$201),$ADI$201,
IF(OR(AND($ADK$202&gt;XG80,XG80&gt;$ADK$201),XG80 = $ADK$202),$ADI$202,
IF(OR(AND($ADK$203&gt;XG80,XG80&gt;$ADK$202),XG80 = $ADK$203),$ADI$203,
"Y")))))))))))))))))))))))))))))))))))))))))))))))))))</f>
        <v>Y</v>
      </c>
      <c r="XH111" s="693" t="str">
        <f t="shared" si="138"/>
        <v>Y</v>
      </c>
      <c r="XI111" s="693" t="str">
        <f t="shared" si="138"/>
        <v>Y</v>
      </c>
      <c r="XJ111" s="693" t="str">
        <f t="shared" si="138"/>
        <v>Y</v>
      </c>
      <c r="XK111" s="693" t="str">
        <f t="shared" si="138"/>
        <v>Y</v>
      </c>
      <c r="XL111" s="693">
        <f t="shared" si="138"/>
        <v>0.96966666666667001</v>
      </c>
      <c r="XM111" s="693">
        <f t="shared" si="138"/>
        <v>0.96366666666667</v>
      </c>
      <c r="XN111" s="693">
        <f t="shared" si="138"/>
        <v>0.9583333333333367</v>
      </c>
      <c r="XO111" s="693">
        <f t="shared" si="138"/>
        <v>0.95366666666666999</v>
      </c>
      <c r="XP111" s="693">
        <f t="shared" si="138"/>
        <v>0.94828571428571429</v>
      </c>
      <c r="XQ111" s="693">
        <f t="shared" si="138"/>
        <v>0.94028571428571706</v>
      </c>
      <c r="XR111" s="693" t="str">
        <f t="shared" si="138"/>
        <v>Y</v>
      </c>
      <c r="XS111" s="693" t="str">
        <f t="shared" si="138"/>
        <v>Y</v>
      </c>
      <c r="XT111" s="693" t="str">
        <f t="shared" si="138"/>
        <v>Y</v>
      </c>
      <c r="XU111" s="693" t="str">
        <f t="shared" si="138"/>
        <v>Y</v>
      </c>
      <c r="XV111" s="693" t="str">
        <f t="shared" si="138"/>
        <v>Y</v>
      </c>
      <c r="XW111" s="693" t="str">
        <f t="shared" si="138"/>
        <v>Y</v>
      </c>
      <c r="XX111" s="693" t="str">
        <f t="shared" si="138"/>
        <v>Y</v>
      </c>
      <c r="XY111" s="693" t="str">
        <f t="shared" si="138"/>
        <v>Y</v>
      </c>
      <c r="XZ111" s="693" t="str">
        <f t="shared" si="138"/>
        <v>Y</v>
      </c>
      <c r="YA111" s="693" t="str">
        <f t="shared" si="138"/>
        <v>Y</v>
      </c>
      <c r="YB111" s="693" t="str">
        <f t="shared" si="138"/>
        <v>Y</v>
      </c>
      <c r="YC111" s="693" t="str">
        <f t="shared" si="138"/>
        <v>Y</v>
      </c>
      <c r="YD111" s="693" t="str">
        <f t="shared" si="138"/>
        <v>Y</v>
      </c>
      <c r="YE111" s="693" t="str">
        <f t="shared" si="138"/>
        <v>Y</v>
      </c>
      <c r="YF111" s="693" t="str">
        <f t="shared" si="138"/>
        <v>Y</v>
      </c>
      <c r="YG111" s="693" t="str">
        <f t="shared" si="138"/>
        <v>Y</v>
      </c>
      <c r="YH111" s="693" t="str">
        <f t="shared" si="138"/>
        <v>Y</v>
      </c>
      <c r="YI111" s="693" t="str">
        <f t="shared" si="138"/>
        <v>Y</v>
      </c>
      <c r="YJ111" s="693" t="str">
        <f t="shared" si="138"/>
        <v>Y</v>
      </c>
      <c r="YK111" s="693" t="str">
        <f t="shared" si="138"/>
        <v>Y</v>
      </c>
      <c r="YL111" s="693" t="str">
        <f t="shared" si="138"/>
        <v>Y</v>
      </c>
      <c r="YM111" s="693" t="str">
        <f t="shared" ref="YM111:ZR111" si="139">IF($ADK$154&lt;0,"Ошибка",
IF(OR(AND($ADK$154&gt;YM80,YM80&gt;$ADA$203),YM80 = $ADK$154),$ADI$154,
IF(OR(AND($ADK$155&gt;YM80,YM80&gt;$ADK$154),YM80 = $ADK$155),$ADI$155,
IF(OR(AND($ADK$156&gt;YM80,YM80&gt;$ADK$155),YM80 = $ADK$156),$ADI$156,
IF(OR(AND($ADK$157&gt;YM80,YM80&gt;$ADK$156),YM80 = $ADK$157),$ADI$157,
IF(OR(AND($ADK$158&gt;YM80,YM80&gt;$ADK$157),YM80 = $ADK$158),$ADI$158,
IF(OR(AND($ADK$159&gt;YM80,YM80&gt;$ADK$158),YM80 = $ADK$159),$ADI$159,
IF(OR(AND($ADK$160&gt;YM80,YM80&gt;$ADK$159),YM80 = $ADK$160),$ADI$160,
IF(OR(AND($ADK$161&gt;YM80,YM80&gt;$ADK$160),YM80 = $ADK$161),$ADI$161,
IF(OR(AND($ADK$162&gt;YM80,YM80&gt;$ADK$161),YM80 = $ADK$162),$ADI$162,
IF(OR(AND($ADK$163&gt;YM80,YM80&gt;$ADK$162),YM80 = $ADK$163),$ADI$163,
IF(OR(AND($ADK$164&gt;YM80,YM80&gt;$ADK$163),YM80 = $ADK$164),$ADI$164,
IF(OR(AND($ADK$165&gt;YM80,YM80&gt;$ADK$164),YM80 = $ADK$165),$ADI$165,
IF(OR(AND($ADK$166&gt;YM80,YM80&gt;$ADK$165),YM80 = $ADK$166),$ADI$166,
IF(OR(AND($ADK$167&gt;YM80,YM80&gt;$ADK$166),YM80 = $ADK$167),$ADI$167,
IF(OR(AND($ADK$168&gt;YM80,YM80&gt;$ADK$167),YM80 = $ADK$168),$ADI$168,
IF(OR(AND($ADK$169&gt;YM80,YM80&gt;$ADK$168),YM80 = $ADK$169),$ADI$169,
IF(OR(AND($ADK$170&gt;YM80,YM80&gt;$ADK$169),YM80 = $ADK$170),$ADI$170,
IF(OR(AND($ADK$171&gt;YM80,YM80&gt;$ADK$170),YM80 = $ADK$171),$ADI$171,
IF(OR(AND($ADK$172&gt;YM80,YM80&gt;$ADK$171),YM80 = $ADK$172),$ADI$172,
IF(OR(AND($ADK$173&gt;YM80,YM80&gt;$ADK$172),YM80 = $ADK$173),$ADI$173,
IF(OR(AND($ADK$174&gt;YM80,YM80&gt;$ADK$173),YM80 = $ADK$174),$ADI$174,
IF(OR(AND($ADK$175&gt;YM80,YM80&gt;$ADK$174),YM80 = $ADK$175),$ADI$175,
IF(OR(AND($ADK$176&gt;YM80,YM80&gt;$ADK$175),YM80 = $ADK$176),$ADI$176,
IF(OR(AND($ADK$177&gt;YM80,YM80&gt;$ADK$176),YM80 = $ADK$177),$ADI$177,
IF(OR(AND($ADK$178&gt;YM80,YM80&gt;$ADK$177),YM80 = $ADK$178),$ADI$178,
IF(OR(AND($ADK$179&gt;YM80,YM80&gt;$ADK$178),YM80 = $ADK$179),$ADI$179,
IF(OR(AND($ADK$180&gt;YM80,YM80&gt;$ADK$179),YM80 = $ADK$180),$ADI$180,
IF(OR(AND($ADK$181&gt;YM80,YM80&gt;$ADK$180),YM80 = $ADK$181),$ADI$181,
IF(OR(AND($ADK$182&gt;YM80,YM80&gt;$ADK$181),YM80 = $ADK$182),$ADI$182,
IF(OR(AND($ADK$183&gt;YM80,YM80&gt;$ADK$182),YM80 = $ADK$183),$ADI$183,
IF(OR(AND($ADK$184&gt;YM80,YM80&gt;$ADK$183),YM80 = $ADK$184),$ADI$184,
IF(OR(AND($ADK$185&gt;YM80,YM80&gt;$ADK$184),YM80 = $ADK$185),$ADI$185,
IF(OR(AND($ADK$186&gt;YM80,YM80&gt;$ADK$185),YM80 = $ADK$186),$ADI$186,
IF(OR(AND($ADK$187&gt;YM80,YM80&gt;$ADK$186),YM80 = $ADK$187),$ADI$187,
IF(OR(AND($ADK$188&gt;YM80,YM80&gt;$ADK$187),YM80 = $ADK$188),$ADI$188,
IF(OR(AND($ADK$189&gt;YM80,YM80&gt;$ADK$188),YM80 = $ADK$189),$ADI$189,
IF(OR(AND($ADK$190&gt;YM80,YM80&gt;$ADK$189),YM80 = $ADK$190),$ADI$190,
IF(OR(AND($ADK$191&gt;YM80,YM80&gt;$ADK$190),YM80 = $ADK$191),$ADI$191,
IF(OR(AND($ADK$192&gt;YM80,YM80&gt;$ADK$191),YM80 = $ADK$192),$ADI$192,
IF(OR(AND($ADK$193&gt;YM80,YM80&gt;$ADK$192),YM80 = $ADK$193),$ADI$193,
IF(OR(AND($ADK$194&gt;YM80,YM80&gt;$ADK$193),YM80 = $ADK$194),$ADI$194,
IF(OR(AND($ADK$195&gt;YM80,YM80&gt;$ADK$194),YM80 = $ADK$195),$ADI$195,
IF(OR(AND($ADK$196&gt;YM80,YM80&gt;$ADK$195),YM80 = $ADK$196),$ADI$196,
IF(OR(AND($ADK$197&gt;YM80,YM80&gt;$ADK$196),YM80 = $ADK$197),$ADI$197,
IF(OR(AND($ADK$198&gt;YM80,YM80&gt;$ADK$197),YM80 = $ADK$198),$ADI$198,
IF(OR(AND($ADK$199&gt;YM80,YM80&gt;$ADK$198),YM80 = $ADK$199),$ADI$199,
IF(OR(AND($ADK$200&gt;YM80,YM80&gt;$ADK$199),YM80 = $ADK$200),$ADI$200,
IF(OR(AND($ADK$201&gt;YM80,YM80&gt;$ADK$200),YM80 = $ADK$201),$ADI$201,
IF(OR(AND($ADK$202&gt;YM80,YM80&gt;$ADK$201),YM80 = $ADK$202),$ADI$202,
IF(OR(AND($ADK$203&gt;YM80,YM80&gt;$ADK$202),YM80 = $ADK$203),$ADI$203,
"Y")))))))))))))))))))))))))))))))))))))))))))))))))))</f>
        <v>Y</v>
      </c>
      <c r="YN111" s="693" t="str">
        <f t="shared" si="139"/>
        <v>Y</v>
      </c>
      <c r="YO111" s="693" t="str">
        <f t="shared" si="139"/>
        <v>Y</v>
      </c>
      <c r="YP111" s="693" t="str">
        <f t="shared" si="139"/>
        <v>Y</v>
      </c>
      <c r="YQ111" s="693" t="str">
        <f t="shared" si="139"/>
        <v>Y</v>
      </c>
      <c r="YR111" s="693" t="str">
        <f t="shared" si="139"/>
        <v>Y</v>
      </c>
      <c r="YS111" s="693" t="str">
        <f t="shared" si="139"/>
        <v>Y</v>
      </c>
      <c r="YT111" s="693" t="str">
        <f t="shared" si="139"/>
        <v>Y</v>
      </c>
      <c r="YU111" s="693" t="str">
        <f t="shared" si="139"/>
        <v>Y</v>
      </c>
      <c r="YV111" s="693" t="str">
        <f t="shared" si="139"/>
        <v>Y</v>
      </c>
      <c r="YW111" s="693" t="str">
        <f t="shared" si="139"/>
        <v>Y</v>
      </c>
      <c r="YX111" s="693" t="str">
        <f t="shared" si="139"/>
        <v>Y</v>
      </c>
      <c r="YY111" s="693" t="str">
        <f t="shared" si="139"/>
        <v>Y</v>
      </c>
      <c r="YZ111" s="693" t="str">
        <f t="shared" si="139"/>
        <v>Y</v>
      </c>
      <c r="ZA111" s="693" t="str">
        <f t="shared" si="139"/>
        <v>Y</v>
      </c>
      <c r="ZB111" s="693" t="str">
        <f t="shared" si="139"/>
        <v>Y</v>
      </c>
      <c r="ZC111" s="693" t="str">
        <f t="shared" si="139"/>
        <v>Y</v>
      </c>
      <c r="ZD111" s="693" t="str">
        <f t="shared" si="139"/>
        <v>Y</v>
      </c>
      <c r="ZE111" s="693" t="str">
        <f t="shared" si="139"/>
        <v>Y</v>
      </c>
      <c r="ZF111" s="693" t="str">
        <f t="shared" si="139"/>
        <v>Y</v>
      </c>
      <c r="ZG111" s="693" t="str">
        <f t="shared" si="139"/>
        <v>Y</v>
      </c>
      <c r="ZH111" s="693" t="str">
        <f t="shared" si="139"/>
        <v>Y</v>
      </c>
      <c r="ZI111" s="693" t="str">
        <f t="shared" si="139"/>
        <v>Y</v>
      </c>
      <c r="ZJ111" s="693" t="str">
        <f t="shared" si="139"/>
        <v>Y</v>
      </c>
      <c r="ZK111" s="693" t="str">
        <f t="shared" si="139"/>
        <v>Y</v>
      </c>
      <c r="ZL111" s="693" t="str">
        <f t="shared" si="139"/>
        <v>Y</v>
      </c>
      <c r="ZM111" s="693" t="str">
        <f t="shared" si="139"/>
        <v>Y</v>
      </c>
      <c r="ZN111" s="693" t="str">
        <f t="shared" si="139"/>
        <v>Y</v>
      </c>
      <c r="ZO111" s="693" t="str">
        <f t="shared" si="139"/>
        <v>Y</v>
      </c>
      <c r="ZP111" s="693" t="str">
        <f t="shared" si="139"/>
        <v>Y</v>
      </c>
      <c r="ZQ111" s="693" t="str">
        <f t="shared" si="139"/>
        <v>Y</v>
      </c>
      <c r="ZR111" s="693" t="str">
        <f t="shared" si="139"/>
        <v>Y</v>
      </c>
      <c r="ZS111" s="693" t="str">
        <f t="shared" ref="ZS111:AAS111" si="140">IF($ADK$154&lt;0,"Ошибка",
IF(OR(AND($ADK$154&gt;ZS80,ZS80&gt;$ADA$203),ZS80 = $ADK$154),$ADI$154,
IF(OR(AND($ADK$155&gt;ZS80,ZS80&gt;$ADK$154),ZS80 = $ADK$155),$ADI$155,
IF(OR(AND($ADK$156&gt;ZS80,ZS80&gt;$ADK$155),ZS80 = $ADK$156),$ADI$156,
IF(OR(AND($ADK$157&gt;ZS80,ZS80&gt;$ADK$156),ZS80 = $ADK$157),$ADI$157,
IF(OR(AND($ADK$158&gt;ZS80,ZS80&gt;$ADK$157),ZS80 = $ADK$158),$ADI$158,
IF(OR(AND($ADK$159&gt;ZS80,ZS80&gt;$ADK$158),ZS80 = $ADK$159),$ADI$159,
IF(OR(AND($ADK$160&gt;ZS80,ZS80&gt;$ADK$159),ZS80 = $ADK$160),$ADI$160,
IF(OR(AND($ADK$161&gt;ZS80,ZS80&gt;$ADK$160),ZS80 = $ADK$161),$ADI$161,
IF(OR(AND($ADK$162&gt;ZS80,ZS80&gt;$ADK$161),ZS80 = $ADK$162),$ADI$162,
IF(OR(AND($ADK$163&gt;ZS80,ZS80&gt;$ADK$162),ZS80 = $ADK$163),$ADI$163,
IF(OR(AND($ADK$164&gt;ZS80,ZS80&gt;$ADK$163),ZS80 = $ADK$164),$ADI$164,
IF(OR(AND($ADK$165&gt;ZS80,ZS80&gt;$ADK$164),ZS80 = $ADK$165),$ADI$165,
IF(OR(AND($ADK$166&gt;ZS80,ZS80&gt;$ADK$165),ZS80 = $ADK$166),$ADI$166,
IF(OR(AND($ADK$167&gt;ZS80,ZS80&gt;$ADK$166),ZS80 = $ADK$167),$ADI$167,
IF(OR(AND($ADK$168&gt;ZS80,ZS80&gt;$ADK$167),ZS80 = $ADK$168),$ADI$168,
IF(OR(AND($ADK$169&gt;ZS80,ZS80&gt;$ADK$168),ZS80 = $ADK$169),$ADI$169,
IF(OR(AND($ADK$170&gt;ZS80,ZS80&gt;$ADK$169),ZS80 = $ADK$170),$ADI$170,
IF(OR(AND($ADK$171&gt;ZS80,ZS80&gt;$ADK$170),ZS80 = $ADK$171),$ADI$171,
IF(OR(AND($ADK$172&gt;ZS80,ZS80&gt;$ADK$171),ZS80 = $ADK$172),$ADI$172,
IF(OR(AND($ADK$173&gt;ZS80,ZS80&gt;$ADK$172),ZS80 = $ADK$173),$ADI$173,
IF(OR(AND($ADK$174&gt;ZS80,ZS80&gt;$ADK$173),ZS80 = $ADK$174),$ADI$174,
IF(OR(AND($ADK$175&gt;ZS80,ZS80&gt;$ADK$174),ZS80 = $ADK$175),$ADI$175,
IF(OR(AND($ADK$176&gt;ZS80,ZS80&gt;$ADK$175),ZS80 = $ADK$176),$ADI$176,
IF(OR(AND($ADK$177&gt;ZS80,ZS80&gt;$ADK$176),ZS80 = $ADK$177),$ADI$177,
IF(OR(AND($ADK$178&gt;ZS80,ZS80&gt;$ADK$177),ZS80 = $ADK$178),$ADI$178,
IF(OR(AND($ADK$179&gt;ZS80,ZS80&gt;$ADK$178),ZS80 = $ADK$179),$ADI$179,
IF(OR(AND($ADK$180&gt;ZS80,ZS80&gt;$ADK$179),ZS80 = $ADK$180),$ADI$180,
IF(OR(AND($ADK$181&gt;ZS80,ZS80&gt;$ADK$180),ZS80 = $ADK$181),$ADI$181,
IF(OR(AND($ADK$182&gt;ZS80,ZS80&gt;$ADK$181),ZS80 = $ADK$182),$ADI$182,
IF(OR(AND($ADK$183&gt;ZS80,ZS80&gt;$ADK$182),ZS80 = $ADK$183),$ADI$183,
IF(OR(AND($ADK$184&gt;ZS80,ZS80&gt;$ADK$183),ZS80 = $ADK$184),$ADI$184,
IF(OR(AND($ADK$185&gt;ZS80,ZS80&gt;$ADK$184),ZS80 = $ADK$185),$ADI$185,
IF(OR(AND($ADK$186&gt;ZS80,ZS80&gt;$ADK$185),ZS80 = $ADK$186),$ADI$186,
IF(OR(AND($ADK$187&gt;ZS80,ZS80&gt;$ADK$186),ZS80 = $ADK$187),$ADI$187,
IF(OR(AND($ADK$188&gt;ZS80,ZS80&gt;$ADK$187),ZS80 = $ADK$188),$ADI$188,
IF(OR(AND($ADK$189&gt;ZS80,ZS80&gt;$ADK$188),ZS80 = $ADK$189),$ADI$189,
IF(OR(AND($ADK$190&gt;ZS80,ZS80&gt;$ADK$189),ZS80 = $ADK$190),$ADI$190,
IF(OR(AND($ADK$191&gt;ZS80,ZS80&gt;$ADK$190),ZS80 = $ADK$191),$ADI$191,
IF(OR(AND($ADK$192&gt;ZS80,ZS80&gt;$ADK$191),ZS80 = $ADK$192),$ADI$192,
IF(OR(AND($ADK$193&gt;ZS80,ZS80&gt;$ADK$192),ZS80 = $ADK$193),$ADI$193,
IF(OR(AND($ADK$194&gt;ZS80,ZS80&gt;$ADK$193),ZS80 = $ADK$194),$ADI$194,
IF(OR(AND($ADK$195&gt;ZS80,ZS80&gt;$ADK$194),ZS80 = $ADK$195),$ADI$195,
IF(OR(AND($ADK$196&gt;ZS80,ZS80&gt;$ADK$195),ZS80 = $ADK$196),$ADI$196,
IF(OR(AND($ADK$197&gt;ZS80,ZS80&gt;$ADK$196),ZS80 = $ADK$197),$ADI$197,
IF(OR(AND($ADK$198&gt;ZS80,ZS80&gt;$ADK$197),ZS80 = $ADK$198),$ADI$198,
IF(OR(AND($ADK$199&gt;ZS80,ZS80&gt;$ADK$198),ZS80 = $ADK$199),$ADI$199,
IF(OR(AND($ADK$200&gt;ZS80,ZS80&gt;$ADK$199),ZS80 = $ADK$200),$ADI$200,
IF(OR(AND($ADK$201&gt;ZS80,ZS80&gt;$ADK$200),ZS80 = $ADK$201),$ADI$201,
IF(OR(AND($ADK$202&gt;ZS80,ZS80&gt;$ADK$201),ZS80 = $ADK$202),$ADI$202,
IF(OR(AND($ADK$203&gt;ZS80,ZS80&gt;$ADK$202),ZS80 = $ADK$203),$ADI$203,
"Y")))))))))))))))))))))))))))))))))))))))))))))))))))</f>
        <v>Y</v>
      </c>
      <c r="ZT111" s="693" t="str">
        <f t="shared" si="140"/>
        <v>Y</v>
      </c>
      <c r="ZU111" s="693" t="str">
        <f t="shared" si="140"/>
        <v>Y</v>
      </c>
      <c r="ZV111" s="693" t="str">
        <f t="shared" si="140"/>
        <v>Y</v>
      </c>
      <c r="ZW111" s="693" t="str">
        <f t="shared" si="140"/>
        <v>Y</v>
      </c>
      <c r="ZX111" s="693" t="str">
        <f t="shared" si="140"/>
        <v>Y</v>
      </c>
      <c r="ZY111" s="693" t="str">
        <f t="shared" si="140"/>
        <v>Y</v>
      </c>
      <c r="ZZ111" s="693" t="str">
        <f t="shared" si="140"/>
        <v>Y</v>
      </c>
      <c r="AAA111" s="693" t="str">
        <f t="shared" si="140"/>
        <v>Y</v>
      </c>
      <c r="AAB111" s="693" t="str">
        <f t="shared" si="140"/>
        <v>Y</v>
      </c>
      <c r="AAC111" s="693" t="str">
        <f t="shared" si="140"/>
        <v>Y</v>
      </c>
      <c r="AAD111" s="693" t="str">
        <f t="shared" si="140"/>
        <v>Y</v>
      </c>
      <c r="AAE111" s="693" t="str">
        <f t="shared" si="140"/>
        <v>Y</v>
      </c>
      <c r="AAF111" s="693" t="str">
        <f t="shared" si="140"/>
        <v>Y</v>
      </c>
      <c r="AAG111" s="693" t="str">
        <f t="shared" si="140"/>
        <v>Y</v>
      </c>
      <c r="AAH111" s="693" t="str">
        <f t="shared" si="140"/>
        <v>Y</v>
      </c>
      <c r="AAI111" s="693" t="str">
        <f t="shared" si="140"/>
        <v>Y</v>
      </c>
      <c r="AAJ111" s="693" t="str">
        <f t="shared" si="140"/>
        <v>Y</v>
      </c>
      <c r="AAK111" s="693" t="str">
        <f t="shared" si="140"/>
        <v>Y</v>
      </c>
      <c r="AAL111" s="693" t="str">
        <f t="shared" si="140"/>
        <v>Y</v>
      </c>
      <c r="AAM111" s="693" t="str">
        <f t="shared" si="140"/>
        <v>Y</v>
      </c>
      <c r="AAN111" s="693" t="str">
        <f t="shared" si="140"/>
        <v>Y</v>
      </c>
      <c r="AAO111" s="693" t="str">
        <f t="shared" si="140"/>
        <v>Y</v>
      </c>
      <c r="AAP111" s="693" t="str">
        <f t="shared" si="140"/>
        <v>Y</v>
      </c>
      <c r="AAQ111" s="693" t="str">
        <f t="shared" si="140"/>
        <v>Y</v>
      </c>
      <c r="AAR111" s="693" t="str">
        <f t="shared" si="140"/>
        <v>Y</v>
      </c>
      <c r="AAS111" s="693" t="str">
        <f t="shared" si="140"/>
        <v>Y</v>
      </c>
      <c r="AAT111" s="1006"/>
      <c r="AAU111" s="960"/>
      <c r="AAV111" s="1101"/>
      <c r="AAW111" s="1101"/>
      <c r="AAX111" s="1101"/>
      <c r="AAY111" s="1101"/>
      <c r="AAZ111" s="1101"/>
      <c r="ABA111" s="1101"/>
      <c r="ABB111" s="1101"/>
      <c r="ABC111" s="1101"/>
      <c r="ABD111" s="1101"/>
      <c r="ABE111" s="1101"/>
      <c r="ABF111" s="1101"/>
      <c r="ABG111" s="1101"/>
      <c r="ABH111" s="961"/>
      <c r="ABI111" s="158"/>
      <c r="ABJ111" s="158"/>
      <c r="ABK111" s="158"/>
      <c r="ABL111" s="158"/>
      <c r="ABM111" s="158"/>
      <c r="ABN111" s="158"/>
      <c r="ABO111" s="158"/>
      <c r="ABP111" s="163"/>
      <c r="ABW111" s="1516"/>
      <c r="ABX111" s="1517"/>
      <c r="ABY111" s="1517"/>
      <c r="ABZ111" s="1517"/>
      <c r="ACA111" s="1517"/>
      <c r="ACB111" s="1517"/>
      <c r="ACC111" s="1517"/>
      <c r="ACD111" s="1517"/>
      <c r="ACE111" s="1517"/>
      <c r="ACF111" s="1517"/>
      <c r="ACG111" s="1517"/>
      <c r="ACH111" s="1518"/>
      <c r="ACJ111" s="759">
        <v>0.5</v>
      </c>
      <c r="ACK111" s="760"/>
      <c r="ACL111" s="759">
        <v>-0.5</v>
      </c>
      <c r="ACM111" s="760"/>
      <c r="ACN111" s="591">
        <v>27</v>
      </c>
      <c r="ACO111" s="759">
        <f t="shared" si="91"/>
        <v>0.13500000000000001</v>
      </c>
      <c r="ACP111" s="760"/>
      <c r="ACQ111" s="757">
        <f t="shared" si="82"/>
        <v>1.27</v>
      </c>
      <c r="ACR111" s="758"/>
      <c r="ACT111" s="759">
        <v>1.5454545454545501</v>
      </c>
      <c r="ACU111" s="760"/>
      <c r="ACV111" s="759">
        <v>-2.1818181818181799</v>
      </c>
      <c r="ACW111" s="760"/>
      <c r="ACX111" s="591">
        <v>77</v>
      </c>
      <c r="ACY111" s="759">
        <f t="shared" si="92"/>
        <v>0.55363636363637392</v>
      </c>
      <c r="ACZ111" s="760"/>
      <c r="ADA111" s="757">
        <f t="shared" si="83"/>
        <v>1.77</v>
      </c>
      <c r="ADB111" s="758"/>
      <c r="ADD111" s="759">
        <v>1.5454545454545501</v>
      </c>
      <c r="ADE111" s="760"/>
      <c r="ADF111" s="759">
        <v>-2.1818181818181799</v>
      </c>
      <c r="ADG111" s="760"/>
      <c r="ADH111" s="591">
        <v>126</v>
      </c>
      <c r="ADI111" s="759">
        <f t="shared" si="93"/>
        <v>1.310909090909103</v>
      </c>
      <c r="ADJ111" s="760"/>
      <c r="ADK111" s="757">
        <f t="shared" si="84"/>
        <v>2.2599999999999998</v>
      </c>
      <c r="ADL111" s="758"/>
      <c r="ADN111" s="759">
        <v>1.5454545454545501</v>
      </c>
      <c r="ADO111" s="760"/>
      <c r="ADP111" s="759">
        <v>-2.1818181818181799</v>
      </c>
      <c r="ADQ111" s="760"/>
      <c r="ADR111" s="591">
        <v>176</v>
      </c>
      <c r="ADS111" s="759">
        <f t="shared" si="94"/>
        <v>2.0836363636363782</v>
      </c>
      <c r="ADT111" s="760"/>
      <c r="ADU111" s="757">
        <f t="shared" si="85"/>
        <v>2.76</v>
      </c>
      <c r="ADV111" s="758"/>
      <c r="ADW111" s="653"/>
      <c r="ADX111" s="759">
        <v>1.5454545454545501</v>
      </c>
      <c r="ADY111" s="760"/>
      <c r="ADZ111" s="759">
        <v>-2.1818181818181799</v>
      </c>
      <c r="AEA111" s="760"/>
      <c r="AEB111" s="591">
        <v>226</v>
      </c>
      <c r="AEC111" s="759">
        <f t="shared" si="134"/>
        <v>2.8563636363636533</v>
      </c>
      <c r="AED111" s="760"/>
      <c r="AEE111" s="757">
        <f t="shared" si="86"/>
        <v>3.2600000000000002</v>
      </c>
      <c r="AEF111" s="758"/>
      <c r="AEH111" s="759">
        <v>1.5454545454545501</v>
      </c>
      <c r="AEI111" s="760"/>
      <c r="AEJ111" s="759">
        <v>-2.1818181818181799</v>
      </c>
      <c r="AEK111" s="760"/>
      <c r="AEL111" s="591">
        <v>276</v>
      </c>
      <c r="AEM111" s="759">
        <f t="shared" si="101"/>
        <v>3.6290909090909285</v>
      </c>
      <c r="AEN111" s="760"/>
      <c r="AEO111" s="757">
        <f t="shared" si="87"/>
        <v>3.7600000000000002</v>
      </c>
      <c r="AEP111" s="758"/>
      <c r="AHQ111" s="130"/>
      <c r="AHR111" s="130"/>
      <c r="AHS111" s="130"/>
      <c r="AHT111" s="130"/>
      <c r="ARU111" s="900"/>
      <c r="ARV111" s="901"/>
      <c r="ARW111" s="902"/>
      <c r="ARX111" s="850"/>
      <c r="ARY111" s="856" t="s">
        <v>1849</v>
      </c>
      <c r="ARZ111" s="856"/>
      <c r="ASA111" s="856"/>
      <c r="ASB111" s="856"/>
      <c r="ASC111" s="856"/>
      <c r="ASD111" s="856"/>
      <c r="ASE111" s="856"/>
      <c r="ASF111" s="856"/>
      <c r="ASG111" s="856"/>
      <c r="ASH111" s="856"/>
      <c r="ASI111" s="856"/>
      <c r="ASJ111" s="856"/>
      <c r="ASK111" s="856"/>
      <c r="ASL111" s="835">
        <f>0.26</f>
        <v>0.26</v>
      </c>
      <c r="ASM111" s="836"/>
      <c r="ASN111" s="839"/>
      <c r="ASO111" s="840"/>
      <c r="ASP111" s="841"/>
      <c r="ASQ111" s="843" t="s">
        <v>1382</v>
      </c>
      <c r="ASR111" s="844"/>
      <c r="ASS111" s="847"/>
    </row>
    <row r="112" spans="34:904 1133:1201" ht="48" customHeight="1" thickBot="1">
      <c r="BW112" s="653"/>
      <c r="BZ112" s="851"/>
      <c r="CA112" s="746" t="s">
        <v>1872</v>
      </c>
      <c r="CB112" s="767">
        <f>$CN$99</f>
        <v>5.0232323328000019</v>
      </c>
      <c r="CC112" s="767"/>
      <c r="CD112" s="769"/>
      <c r="CE112" s="764"/>
      <c r="CF112" s="764"/>
      <c r="CG112" s="764"/>
      <c r="CH112" s="764"/>
      <c r="CI112" s="764"/>
      <c r="CJ112" s="765"/>
      <c r="CK112" s="1169"/>
      <c r="CL112" s="799"/>
      <c r="CM112" s="929"/>
      <c r="CN112" s="930"/>
      <c r="CO112" s="1067"/>
      <c r="CP112" s="1173"/>
      <c r="CQ112" s="1174"/>
      <c r="CR112" s="1175"/>
      <c r="CS112" s="848"/>
      <c r="CT112" s="848"/>
      <c r="CU112" s="1179"/>
      <c r="CV112" s="1180"/>
      <c r="CW112" s="1181"/>
      <c r="CX112" s="848"/>
      <c r="CY112" s="81"/>
      <c r="CZ112" s="79"/>
      <c r="DA112" s="79"/>
      <c r="DB112" s="80"/>
      <c r="DL112" s="653"/>
      <c r="DM112" s="653"/>
      <c r="DN112" s="653"/>
      <c r="DO112" s="653"/>
      <c r="DP112" s="653"/>
      <c r="DQ112" s="653"/>
      <c r="DU112" s="715"/>
      <c r="DV112" s="891"/>
      <c r="DW112" s="891"/>
      <c r="DX112" s="891"/>
      <c r="DY112" s="891"/>
      <c r="DZ112" s="891"/>
      <c r="EA112" s="891"/>
      <c r="EB112" s="891"/>
      <c r="EC112" s="891"/>
      <c r="ED112" s="891"/>
      <c r="EE112" s="891"/>
      <c r="EF112" s="891"/>
      <c r="EG112" s="891"/>
      <c r="EH112" s="891"/>
      <c r="EI112" s="891"/>
      <c r="EJ112" s="891"/>
      <c r="EK112" s="891"/>
      <c r="EL112" s="891"/>
      <c r="EM112" s="891"/>
      <c r="EN112" s="891"/>
      <c r="EO112" s="891"/>
      <c r="EP112" s="891"/>
      <c r="EQ112" s="891"/>
      <c r="ER112" s="891"/>
      <c r="ES112" s="891"/>
      <c r="ET112" s="891"/>
      <c r="EU112" s="891"/>
      <c r="EV112" s="891"/>
      <c r="EW112" s="891"/>
      <c r="EX112" s="891"/>
      <c r="EY112" s="891"/>
      <c r="EZ112" s="891"/>
      <c r="FA112" s="891"/>
      <c r="FB112" s="891"/>
      <c r="FC112" s="891"/>
      <c r="FD112" s="891"/>
      <c r="FE112" s="891"/>
      <c r="FF112" s="715"/>
      <c r="FH112" s="653"/>
      <c r="FI112" s="653"/>
      <c r="FJ112" s="653"/>
      <c r="FK112" s="653"/>
      <c r="FL112" s="653"/>
      <c r="FM112" s="653"/>
      <c r="FN112" s="653"/>
      <c r="FO112" s="126"/>
      <c r="FP112" s="126"/>
      <c r="FQ112" s="126"/>
      <c r="FR112" s="126"/>
      <c r="FS112" s="126"/>
      <c r="FT112" s="126"/>
      <c r="FU112" s="126"/>
      <c r="FV112" s="126"/>
      <c r="FW112" s="126"/>
      <c r="FX112" s="126"/>
      <c r="GC112" s="130"/>
      <c r="GD112" s="130"/>
      <c r="GE112" s="130"/>
      <c r="GF112" s="851"/>
      <c r="GG112" s="794"/>
      <c r="GH112" s="795"/>
      <c r="GI112" s="795"/>
      <c r="GJ112" s="795"/>
      <c r="GK112" s="795"/>
      <c r="GL112" s="795"/>
      <c r="GM112" s="1088"/>
      <c r="GN112" s="1089"/>
      <c r="GO112" s="1355"/>
      <c r="GP112" s="1356"/>
      <c r="GQ112" s="842"/>
      <c r="GR112" s="845"/>
      <c r="GS112" s="846"/>
      <c r="GT112" s="848"/>
      <c r="GU112" s="828"/>
      <c r="GV112" s="949"/>
      <c r="GW112" s="950"/>
      <c r="LX112" s="377"/>
      <c r="LY112" s="373"/>
      <c r="LZ112" s="373"/>
      <c r="MA112" s="373"/>
      <c r="MB112" s="903"/>
      <c r="MC112" s="904"/>
      <c r="MD112" s="905"/>
      <c r="ME112" s="851"/>
      <c r="MF112" s="777"/>
      <c r="MG112" s="778"/>
      <c r="MH112" s="778"/>
      <c r="MI112" s="778"/>
      <c r="MJ112" s="778"/>
      <c r="MK112" s="778"/>
      <c r="ML112" s="1056"/>
      <c r="MM112" s="1057"/>
      <c r="MN112" s="1185"/>
      <c r="MO112" s="1186"/>
      <c r="MP112" s="1067"/>
      <c r="MQ112" s="918"/>
      <c r="MR112" s="919"/>
      <c r="MS112" s="848"/>
      <c r="MT112" s="373"/>
      <c r="MU112" s="373"/>
      <c r="MV112" s="373"/>
      <c r="MW112" s="373"/>
      <c r="MX112" s="373"/>
      <c r="MY112" s="373"/>
      <c r="MZ112" s="373"/>
      <c r="NA112" s="373"/>
      <c r="NB112" s="373"/>
      <c r="NC112" s="373"/>
      <c r="ND112" s="373"/>
      <c r="NE112" s="373"/>
      <c r="NF112" s="373"/>
      <c r="NG112" s="373"/>
      <c r="NH112" s="373"/>
      <c r="NI112" s="373"/>
      <c r="NJ112" s="373"/>
      <c r="NK112" s="373"/>
      <c r="NL112" s="373"/>
      <c r="NM112" s="373"/>
      <c r="NN112" s="373"/>
      <c r="NO112" s="373"/>
      <c r="NP112" s="373"/>
      <c r="NQ112" s="373"/>
      <c r="NR112" s="373"/>
      <c r="NS112" s="373"/>
      <c r="NT112" s="373"/>
      <c r="NU112" s="373"/>
      <c r="NV112" s="373"/>
      <c r="NW112" s="373"/>
      <c r="NX112" s="373"/>
      <c r="NY112" s="373"/>
      <c r="NZ112" s="373"/>
      <c r="OA112" s="373"/>
      <c r="OB112" s="373"/>
      <c r="OC112" s="373"/>
      <c r="OD112" s="373"/>
      <c r="OE112" s="373"/>
      <c r="OF112" s="373"/>
      <c r="OG112" s="373"/>
      <c r="OH112" s="373"/>
      <c r="OI112" s="373"/>
      <c r="OJ112" s="373"/>
      <c r="OK112" s="373"/>
      <c r="OL112" s="373"/>
      <c r="OM112" s="373"/>
      <c r="ON112" s="373"/>
      <c r="OO112" s="373"/>
      <c r="OP112" s="373"/>
      <c r="OQ112" s="373"/>
      <c r="OR112" s="373"/>
      <c r="OS112" s="373"/>
      <c r="OT112" s="373"/>
      <c r="OU112" s="374"/>
      <c r="OY112" s="130"/>
      <c r="OZ112" s="130"/>
      <c r="PA112" s="130"/>
      <c r="PB112" s="130"/>
      <c r="PC112" s="130"/>
      <c r="PD112" s="130"/>
      <c r="PE112" s="130"/>
      <c r="PF112" s="130"/>
      <c r="RE112" s="653"/>
      <c r="RF112" s="653"/>
      <c r="RG112" s="653"/>
      <c r="RH112" s="653"/>
      <c r="RI112" s="653"/>
      <c r="RJ112" s="653"/>
      <c r="RK112" s="653"/>
      <c r="RL112" s="653"/>
      <c r="RM112" s="653"/>
      <c r="RN112" s="653"/>
      <c r="RO112" s="653"/>
      <c r="RP112" s="653"/>
      <c r="RQ112" s="653"/>
      <c r="RR112" s="653"/>
      <c r="RS112" s="653"/>
      <c r="RT112" s="653"/>
      <c r="RU112" s="653"/>
      <c r="RV112" s="653"/>
      <c r="RW112" s="653"/>
      <c r="RX112" s="653"/>
      <c r="RY112" s="653"/>
      <c r="RZ112" s="653"/>
      <c r="SA112" s="653"/>
      <c r="SB112" s="653"/>
      <c r="SC112" s="653"/>
      <c r="SD112" s="653"/>
      <c r="SE112" s="653"/>
      <c r="SF112" s="653"/>
      <c r="SG112" s="653"/>
      <c r="SH112" s="653"/>
      <c r="SI112" s="653"/>
      <c r="SJ112" s="653"/>
      <c r="SK112" s="653"/>
      <c r="SL112" s="653"/>
      <c r="SM112" s="653"/>
      <c r="SN112" s="653"/>
      <c r="SO112" s="653"/>
      <c r="SP112" s="653"/>
      <c r="SQ112" s="653"/>
      <c r="SR112" s="653"/>
      <c r="SS112" s="653"/>
      <c r="ST112" s="653"/>
      <c r="SU112" s="653"/>
      <c r="SV112" s="653"/>
      <c r="SW112" s="653"/>
      <c r="SX112" s="653"/>
      <c r="SY112" s="653"/>
      <c r="SZ112" s="653"/>
      <c r="TA112" s="653"/>
      <c r="TB112" s="653"/>
      <c r="TC112" s="653"/>
      <c r="TD112" s="653"/>
      <c r="TE112" s="653"/>
      <c r="TF112" s="653"/>
      <c r="TG112" s="653"/>
      <c r="TH112" s="653"/>
      <c r="TI112" s="653"/>
      <c r="TJ112" s="653"/>
      <c r="TK112" s="653"/>
      <c r="TL112" s="653"/>
      <c r="TM112" s="653"/>
      <c r="TN112" s="653"/>
      <c r="TO112" s="653"/>
      <c r="TP112" s="653"/>
      <c r="TQ112" s="653"/>
      <c r="TR112" s="653"/>
      <c r="TS112" s="653"/>
      <c r="TT112" s="653"/>
      <c r="TU112" s="653"/>
      <c r="TV112" s="653"/>
      <c r="TW112" s="653"/>
      <c r="TX112" s="653"/>
      <c r="TY112" s="653"/>
      <c r="TZ112" s="653"/>
      <c r="UA112" s="653"/>
      <c r="UB112" s="653"/>
      <c r="UC112" s="653"/>
      <c r="UD112" s="653"/>
      <c r="UE112" s="653"/>
      <c r="UF112" s="653"/>
      <c r="UG112" s="653"/>
      <c r="UH112" s="653"/>
      <c r="UI112" s="653"/>
      <c r="UJ112" s="653"/>
      <c r="UK112" s="653"/>
      <c r="UL112" s="653"/>
      <c r="UM112" s="653"/>
      <c r="UN112" s="653"/>
      <c r="UO112" s="653"/>
      <c r="UP112" s="653"/>
      <c r="UQ112" s="653"/>
      <c r="UR112" s="653"/>
      <c r="US112" s="653"/>
      <c r="UT112" s="653"/>
      <c r="UU112" s="653"/>
      <c r="UV112" s="653"/>
      <c r="UW112" s="653"/>
      <c r="UX112" s="653"/>
      <c r="UY112" s="653"/>
      <c r="UZ112" s="653"/>
      <c r="WE112" s="996"/>
      <c r="WF112" s="997"/>
      <c r="WG112" s="175"/>
      <c r="WH112" s="173"/>
      <c r="WI112" s="173"/>
      <c r="WJ112" s="173"/>
      <c r="WK112" s="173"/>
      <c r="WL112" s="173"/>
      <c r="WM112" s="173"/>
      <c r="WN112" s="173"/>
      <c r="WO112" s="173"/>
      <c r="WP112" s="173"/>
      <c r="WQ112" s="173"/>
      <c r="WR112" s="173"/>
      <c r="WS112" s="173"/>
      <c r="WT112" s="173"/>
      <c r="WU112" s="173"/>
      <c r="WV112" s="173"/>
      <c r="WW112" s="173"/>
      <c r="WX112" s="173"/>
      <c r="WY112" s="174"/>
      <c r="WZ112" s="1085"/>
      <c r="XA112" s="1085"/>
      <c r="XB112" s="175"/>
      <c r="XC112" s="173"/>
      <c r="XD112" s="173"/>
      <c r="XE112" s="173"/>
      <c r="XF112" s="174"/>
      <c r="XG112" s="693" t="str">
        <f t="shared" ref="XG112:YL112" si="141">IF($ADU$154&lt;0,"Ошибка",
IF(OR(AND($ADU$154&gt;XG80,XG80&gt;$ADK$203),XG80 = $ADU$154),$ADS$154,
IF(OR(AND($ADU$155&gt;XG80,XG80&gt;$ADU$154),XG80 = $ADU$155),$ADS$155,
IF(OR(AND($ADU$156&gt;XG80,XG80&gt;$ADU$155),XG80 = $ADU$156),$ADS$156,
IF(OR(AND($ADU$157&gt;XG80,XG80&gt;$ADU$156),XG80 = $ADU$157),$ADS$157,
IF(OR(AND($ADU$158&gt;XG80,XG80&gt;$ADU$157),XG80 = $ADU$158),$ADS$158,
IF(OR(AND($ADU$159&gt;XG80,XG80&gt;$ADU$158),XG80 = $ADU$159),$ADS$159,
IF(OR(AND($ADU$160&gt;XG80,XG80&gt;$ADU$159),XG80 = $ADU$160),$ADS$160,
IF(OR(AND($ADU$161&gt;XG80,XG80&gt;$ADU$160),XG80 = $ADU$161),$ADS$161,
IF(OR(AND($ADU$162&gt;XG80,XG80&gt;$ADU$161),XG80 = $ADU$162),$ADS$162,
IF(OR(AND($ADU$163&gt;XG80,XG80&gt;$ADU$162),XG80 = $ADU$163),$ADS$163,
IF(OR(AND($ADU$164&gt;XG80,XG80&gt;$ADU$163),XG80 = $ADU$164),$ADS$164,
IF(OR(AND($ADU$165&gt;XG80,XG80&gt;$ADU$164),XG80 = $ADU$165),$ADS$165,
IF(OR(AND($ADU$166&gt;XG80,XG80&gt;$ADU$165),XG80 = $ADU$166),$ADS$166,
IF(OR(AND($ADU$167&gt;XG80,XG80&gt;$ADU$166),XG80 = $ADU$167),$ADS$167,
IF(OR(AND($ADU$168&gt;XG80,XG80&gt;$ADU$167),XG80 = $ADU$168),$ADS$168,
IF(OR(AND($ADU$169&gt;XG80,XG80&gt;$ADU$168),XG80 = $ADU$169),$ADS$169,
IF(OR(AND($ADU$170&gt;XG80,XG80&gt;$ADU$169),XG80 = $ADU$170),$ADS$170,
IF(OR(AND($ADU$171&gt;XG80,XG80&gt;$ADU$170),XG80 = $ADU$171),$ADS$171,
IF(OR(AND($ADU$172&gt;XG80,XG80&gt;$ADU$171),XG80 = $ADU$172),$ADS$172,
IF(OR(AND($ADU$173&gt;XG80,XG80&gt;$ADU$172),XG80 = $ADU$173),$ADS$173,
IF(OR(AND($ADU$174&gt;XG80,XG80&gt;$ADU$173),XG80 = $ADU$174),$ADS$174,
IF(OR(AND($ADU$175&gt;XG80,XG80&gt;$ADU$174),XG80 = $ADU$175),$ADS$175,
IF(OR(AND($ADU$176&gt;XG80,XG80&gt;$ADU$175),XG80 = $ADU$176),$ADS$176,
IF(OR(AND($ADU$177&gt;XG80,XG80&gt;$ADU$176),XG80 = $ADU$177),$ADS$177,
IF(OR(AND($ADU$178&gt;XG80,XG80&gt;$ADU$177),XG80 = $ADU$178),$ADS$178,
IF(OR(AND($ADU$179&gt;XG80,XG80&gt;$ADU$178),XG80 = $ADU$179),$ADS$179,
IF(OR(AND($ADU$180&gt;XG80,XG80&gt;$ADU$179),XG80 = $ADU$180),$ADS$180,
IF(OR(AND($ADU$181&gt;XG80,XG80&gt;$ADU$180),XG80 = $ADU$181),$ADS$181,
IF(OR(AND($ADU$182&gt;XG80,XG80&gt;$ADU$181),XG80 = $ADU$182),$ADS$182,
IF(OR(AND($ADU$183&gt;XG80,XG80&gt;$ADU$182),XG80 = $ADU$183),$ADS$183,
IF(OR(AND($ADU$184&gt;XG80,XG80&gt;$ADU$183),XG80 = $ADU$184),$ADS$184,
IF(OR(AND($ADU$185&gt;XG80,XG80&gt;$ADU$184),XG80 = $ADU$185),$ADS$185,
IF(OR(AND($ADU$186&gt;XG80,XG80&gt;$ADU$185),XG80 = $ADU$186),$ADS$186,
IF(OR(AND($ADU$187&gt;XG80,XG80&gt;$ADU$186),XG80 = $ADU$187),$ADS$187,
IF(OR(AND($ADU$188&gt;XG80,XG80&gt;$ADU$187),XG80 = $ADU$188),$ADS$188,
IF(OR(AND($ADU$189&gt;XG80,XG80&gt;$ADU$188),XG80 = $ADU$189),$ADS$189,
IF(OR(AND($ADU$190&gt;XG80,XG80&gt;$ADU$189),XG80 = $ADU$190),$ADS$190,
IF(OR(AND($ADU$191&gt;XG80,XG80&gt;$ADU$190),XG80 = $ADU$191),$ADS$191,
IF(OR(AND($ADU$192&gt;XG80,XG80&gt;$ADU$191),XG80 = $ADU$192),$ADS$192,
IF(OR(AND($ADU$193&gt;XG80,XG80&gt;$ADU$192),XG80 = $ADU$193),$ADS$193,
IF(OR(AND($ADU$194&gt;XG80,XG80&gt;$ADU$193),XG80 = $ADU$194),$ADS$194,
IF(OR(AND($ADU$195&gt;XG80,XG80&gt;$ADU$194),XG80 = $ADU$195),$ADS$195,
IF(OR(AND($ADU$196&gt;XG80,XG80&gt;$ADU$195),XG80 = $ADU$196),$ADS$196,
IF(OR(AND($ADU$197&gt;XG80,XG80&gt;$ADU$196),XG80 = $ADU$197),$ADS$197,
IF(OR(AND($ADU$198&gt;XG80,XG80&gt;$ADU$197),XG80 = $ADU$198),$ADS$198,
IF(OR(AND($ADU$199&gt;XG80,XG80&gt;$ADU$198),XG80 = $ADU$199),$ADS$199,
IF(OR(AND($ADU$200&gt;XG80,XG80&gt;$ADU$199),XG80 = $ADU$200),$ADS$200,
IF(OR(AND($ADU$201&gt;XG80,XG80&gt;$ADU$200),XG80 = $ADU$201),$ADS$201,
IF(OR(AND($ADU$202&gt;XG80,XG80&gt;$ADU$201),XG80 = $ADU$202),$ADS$202,
IF(OR(AND($ADU$203&gt;XG80,XG80&gt;$ADU$202),XG80 = $ADU$203),$ADS$203,
"Y")))))))))))))))))))))))))))))))))))))))))))))))))))</f>
        <v>Y</v>
      </c>
      <c r="XH112" s="693" t="str">
        <f t="shared" si="141"/>
        <v>Y</v>
      </c>
      <c r="XI112" s="693" t="str">
        <f t="shared" si="141"/>
        <v>Y</v>
      </c>
      <c r="XJ112" s="693" t="str">
        <f t="shared" si="141"/>
        <v>Y</v>
      </c>
      <c r="XK112" s="693" t="str">
        <f t="shared" si="141"/>
        <v>Y</v>
      </c>
      <c r="XL112" s="693" t="str">
        <f t="shared" si="141"/>
        <v>Y</v>
      </c>
      <c r="XM112" s="693" t="str">
        <f t="shared" si="141"/>
        <v>Y</v>
      </c>
      <c r="XN112" s="693" t="str">
        <f t="shared" si="141"/>
        <v>Y</v>
      </c>
      <c r="XO112" s="693" t="str">
        <f t="shared" si="141"/>
        <v>Y</v>
      </c>
      <c r="XP112" s="693" t="str">
        <f t="shared" si="141"/>
        <v>Y</v>
      </c>
      <c r="XQ112" s="693" t="str">
        <f t="shared" si="141"/>
        <v>Y</v>
      </c>
      <c r="XR112" s="693">
        <f t="shared" si="141"/>
        <v>0.93342857142857416</v>
      </c>
      <c r="XS112" s="693">
        <f t="shared" si="141"/>
        <v>0.92542857142857415</v>
      </c>
      <c r="XT112" s="693">
        <f t="shared" si="141"/>
        <v>0.91857142857143137</v>
      </c>
      <c r="XU112" s="693">
        <f t="shared" si="141"/>
        <v>0.91285714285714559</v>
      </c>
      <c r="XV112" s="693">
        <f t="shared" si="141"/>
        <v>0.9060000000000028</v>
      </c>
      <c r="XW112" s="693">
        <f t="shared" si="141"/>
        <v>0.90028571428571702</v>
      </c>
      <c r="XX112" s="693">
        <f t="shared" si="141"/>
        <v>0.89079999999999993</v>
      </c>
      <c r="XY112" s="693">
        <f t="shared" si="141"/>
        <v>0.88279999999999992</v>
      </c>
      <c r="XZ112" s="693">
        <f t="shared" si="141"/>
        <v>0.87479999999999991</v>
      </c>
      <c r="YA112" s="693" t="str">
        <f t="shared" si="141"/>
        <v>Y</v>
      </c>
      <c r="YB112" s="693" t="str">
        <f t="shared" si="141"/>
        <v>Y</v>
      </c>
      <c r="YC112" s="693" t="str">
        <f t="shared" si="141"/>
        <v>Y</v>
      </c>
      <c r="YD112" s="693" t="str">
        <f t="shared" si="141"/>
        <v>Y</v>
      </c>
      <c r="YE112" s="693" t="str">
        <f t="shared" si="141"/>
        <v>Y</v>
      </c>
      <c r="YF112" s="693" t="str">
        <f t="shared" si="141"/>
        <v>Y</v>
      </c>
      <c r="YG112" s="693" t="str">
        <f t="shared" si="141"/>
        <v>Y</v>
      </c>
      <c r="YH112" s="693" t="str">
        <f t="shared" si="141"/>
        <v>Y</v>
      </c>
      <c r="YI112" s="693" t="str">
        <f t="shared" si="141"/>
        <v>Y</v>
      </c>
      <c r="YJ112" s="693" t="str">
        <f t="shared" si="141"/>
        <v>Y</v>
      </c>
      <c r="YK112" s="693" t="str">
        <f t="shared" si="141"/>
        <v>Y</v>
      </c>
      <c r="YL112" s="693" t="str">
        <f t="shared" si="141"/>
        <v>Y</v>
      </c>
      <c r="YM112" s="693" t="str">
        <f t="shared" ref="YM112:ZR112" si="142">IF($ADU$154&lt;0,"Ошибка",
IF(OR(AND($ADU$154&gt;YM80,YM80&gt;$ADK$203),YM80 = $ADU$154),$ADS$154,
IF(OR(AND($ADU$155&gt;YM80,YM80&gt;$ADU$154),YM80 = $ADU$155),$ADS$155,
IF(OR(AND($ADU$156&gt;YM80,YM80&gt;$ADU$155),YM80 = $ADU$156),$ADS$156,
IF(OR(AND($ADU$157&gt;YM80,YM80&gt;$ADU$156),YM80 = $ADU$157),$ADS$157,
IF(OR(AND($ADU$158&gt;YM80,YM80&gt;$ADU$157),YM80 = $ADU$158),$ADS$158,
IF(OR(AND($ADU$159&gt;YM80,YM80&gt;$ADU$158),YM80 = $ADU$159),$ADS$159,
IF(OR(AND($ADU$160&gt;YM80,YM80&gt;$ADU$159),YM80 = $ADU$160),$ADS$160,
IF(OR(AND($ADU$161&gt;YM80,YM80&gt;$ADU$160),YM80 = $ADU$161),$ADS$161,
IF(OR(AND($ADU$162&gt;YM80,YM80&gt;$ADU$161),YM80 = $ADU$162),$ADS$162,
IF(OR(AND($ADU$163&gt;YM80,YM80&gt;$ADU$162),YM80 = $ADU$163),$ADS$163,
IF(OR(AND($ADU$164&gt;YM80,YM80&gt;$ADU$163),YM80 = $ADU$164),$ADS$164,
IF(OR(AND($ADU$165&gt;YM80,YM80&gt;$ADU$164),YM80 = $ADU$165),$ADS$165,
IF(OR(AND($ADU$166&gt;YM80,YM80&gt;$ADU$165),YM80 = $ADU$166),$ADS$166,
IF(OR(AND($ADU$167&gt;YM80,YM80&gt;$ADU$166),YM80 = $ADU$167),$ADS$167,
IF(OR(AND($ADU$168&gt;YM80,YM80&gt;$ADU$167),YM80 = $ADU$168),$ADS$168,
IF(OR(AND($ADU$169&gt;YM80,YM80&gt;$ADU$168),YM80 = $ADU$169),$ADS$169,
IF(OR(AND($ADU$170&gt;YM80,YM80&gt;$ADU$169),YM80 = $ADU$170),$ADS$170,
IF(OR(AND($ADU$171&gt;YM80,YM80&gt;$ADU$170),YM80 = $ADU$171),$ADS$171,
IF(OR(AND($ADU$172&gt;YM80,YM80&gt;$ADU$171),YM80 = $ADU$172),$ADS$172,
IF(OR(AND($ADU$173&gt;YM80,YM80&gt;$ADU$172),YM80 = $ADU$173),$ADS$173,
IF(OR(AND($ADU$174&gt;YM80,YM80&gt;$ADU$173),YM80 = $ADU$174),$ADS$174,
IF(OR(AND($ADU$175&gt;YM80,YM80&gt;$ADU$174),YM80 = $ADU$175),$ADS$175,
IF(OR(AND($ADU$176&gt;YM80,YM80&gt;$ADU$175),YM80 = $ADU$176),$ADS$176,
IF(OR(AND($ADU$177&gt;YM80,YM80&gt;$ADU$176),YM80 = $ADU$177),$ADS$177,
IF(OR(AND($ADU$178&gt;YM80,YM80&gt;$ADU$177),YM80 = $ADU$178),$ADS$178,
IF(OR(AND($ADU$179&gt;YM80,YM80&gt;$ADU$178),YM80 = $ADU$179),$ADS$179,
IF(OR(AND($ADU$180&gt;YM80,YM80&gt;$ADU$179),YM80 = $ADU$180),$ADS$180,
IF(OR(AND($ADU$181&gt;YM80,YM80&gt;$ADU$180),YM80 = $ADU$181),$ADS$181,
IF(OR(AND($ADU$182&gt;YM80,YM80&gt;$ADU$181),YM80 = $ADU$182),$ADS$182,
IF(OR(AND($ADU$183&gt;YM80,YM80&gt;$ADU$182),YM80 = $ADU$183),$ADS$183,
IF(OR(AND($ADU$184&gt;YM80,YM80&gt;$ADU$183),YM80 = $ADU$184),$ADS$184,
IF(OR(AND($ADU$185&gt;YM80,YM80&gt;$ADU$184),YM80 = $ADU$185),$ADS$185,
IF(OR(AND($ADU$186&gt;YM80,YM80&gt;$ADU$185),YM80 = $ADU$186),$ADS$186,
IF(OR(AND($ADU$187&gt;YM80,YM80&gt;$ADU$186),YM80 = $ADU$187),$ADS$187,
IF(OR(AND($ADU$188&gt;YM80,YM80&gt;$ADU$187),YM80 = $ADU$188),$ADS$188,
IF(OR(AND($ADU$189&gt;YM80,YM80&gt;$ADU$188),YM80 = $ADU$189),$ADS$189,
IF(OR(AND($ADU$190&gt;YM80,YM80&gt;$ADU$189),YM80 = $ADU$190),$ADS$190,
IF(OR(AND($ADU$191&gt;YM80,YM80&gt;$ADU$190),YM80 = $ADU$191),$ADS$191,
IF(OR(AND($ADU$192&gt;YM80,YM80&gt;$ADU$191),YM80 = $ADU$192),$ADS$192,
IF(OR(AND($ADU$193&gt;YM80,YM80&gt;$ADU$192),YM80 = $ADU$193),$ADS$193,
IF(OR(AND($ADU$194&gt;YM80,YM80&gt;$ADU$193),YM80 = $ADU$194),$ADS$194,
IF(OR(AND($ADU$195&gt;YM80,YM80&gt;$ADU$194),YM80 = $ADU$195),$ADS$195,
IF(OR(AND($ADU$196&gt;YM80,YM80&gt;$ADU$195),YM80 = $ADU$196),$ADS$196,
IF(OR(AND($ADU$197&gt;YM80,YM80&gt;$ADU$196),YM80 = $ADU$197),$ADS$197,
IF(OR(AND($ADU$198&gt;YM80,YM80&gt;$ADU$197),YM80 = $ADU$198),$ADS$198,
IF(OR(AND($ADU$199&gt;YM80,YM80&gt;$ADU$198),YM80 = $ADU$199),$ADS$199,
IF(OR(AND($ADU$200&gt;YM80,YM80&gt;$ADU$199),YM80 = $ADU$200),$ADS$200,
IF(OR(AND($ADU$201&gt;YM80,YM80&gt;$ADU$200),YM80 = $ADU$201),$ADS$201,
IF(OR(AND($ADU$202&gt;YM80,YM80&gt;$ADU$201),YM80 = $ADU$202),$ADS$202,
IF(OR(AND($ADU$203&gt;YM80,YM80&gt;$ADU$202),YM80 = $ADU$203),$ADS$203,
"Y")))))))))))))))))))))))))))))))))))))))))))))))))))</f>
        <v>Y</v>
      </c>
      <c r="YN112" s="693" t="str">
        <f t="shared" si="142"/>
        <v>Y</v>
      </c>
      <c r="YO112" s="693" t="str">
        <f t="shared" si="142"/>
        <v>Y</v>
      </c>
      <c r="YP112" s="693" t="str">
        <f t="shared" si="142"/>
        <v>Y</v>
      </c>
      <c r="YQ112" s="693" t="str">
        <f t="shared" si="142"/>
        <v>Y</v>
      </c>
      <c r="YR112" s="693" t="str">
        <f t="shared" si="142"/>
        <v>Y</v>
      </c>
      <c r="YS112" s="693" t="str">
        <f t="shared" si="142"/>
        <v>Y</v>
      </c>
      <c r="YT112" s="693" t="str">
        <f t="shared" si="142"/>
        <v>Y</v>
      </c>
      <c r="YU112" s="693" t="str">
        <f t="shared" si="142"/>
        <v>Y</v>
      </c>
      <c r="YV112" s="693" t="str">
        <f t="shared" si="142"/>
        <v>Y</v>
      </c>
      <c r="YW112" s="693" t="str">
        <f t="shared" si="142"/>
        <v>Y</v>
      </c>
      <c r="YX112" s="693" t="str">
        <f t="shared" si="142"/>
        <v>Y</v>
      </c>
      <c r="YY112" s="693" t="str">
        <f t="shared" si="142"/>
        <v>Y</v>
      </c>
      <c r="YZ112" s="693" t="str">
        <f t="shared" si="142"/>
        <v>Y</v>
      </c>
      <c r="ZA112" s="693" t="str">
        <f t="shared" si="142"/>
        <v>Y</v>
      </c>
      <c r="ZB112" s="693" t="str">
        <f t="shared" si="142"/>
        <v>Y</v>
      </c>
      <c r="ZC112" s="693" t="str">
        <f t="shared" si="142"/>
        <v>Y</v>
      </c>
      <c r="ZD112" s="693" t="str">
        <f t="shared" si="142"/>
        <v>Y</v>
      </c>
      <c r="ZE112" s="693" t="str">
        <f t="shared" si="142"/>
        <v>Y</v>
      </c>
      <c r="ZF112" s="693" t="str">
        <f t="shared" si="142"/>
        <v>Y</v>
      </c>
      <c r="ZG112" s="693" t="str">
        <f t="shared" si="142"/>
        <v>Y</v>
      </c>
      <c r="ZH112" s="693" t="str">
        <f t="shared" si="142"/>
        <v>Y</v>
      </c>
      <c r="ZI112" s="693" t="str">
        <f t="shared" si="142"/>
        <v>Y</v>
      </c>
      <c r="ZJ112" s="693" t="str">
        <f t="shared" si="142"/>
        <v>Y</v>
      </c>
      <c r="ZK112" s="693" t="str">
        <f t="shared" si="142"/>
        <v>Y</v>
      </c>
      <c r="ZL112" s="693" t="str">
        <f t="shared" si="142"/>
        <v>Y</v>
      </c>
      <c r="ZM112" s="693" t="str">
        <f t="shared" si="142"/>
        <v>Y</v>
      </c>
      <c r="ZN112" s="693" t="str">
        <f t="shared" si="142"/>
        <v>Y</v>
      </c>
      <c r="ZO112" s="693" t="str">
        <f t="shared" si="142"/>
        <v>Y</v>
      </c>
      <c r="ZP112" s="693" t="str">
        <f t="shared" si="142"/>
        <v>Y</v>
      </c>
      <c r="ZQ112" s="693" t="str">
        <f t="shared" si="142"/>
        <v>Y</v>
      </c>
      <c r="ZR112" s="693" t="str">
        <f t="shared" si="142"/>
        <v>Y</v>
      </c>
      <c r="ZS112" s="693" t="str">
        <f t="shared" ref="ZS112:AAS112" si="143">IF($ADU$154&lt;0,"Ошибка",
IF(OR(AND($ADU$154&gt;ZS80,ZS80&gt;$ADK$203),ZS80 = $ADU$154),$ADS$154,
IF(OR(AND($ADU$155&gt;ZS80,ZS80&gt;$ADU$154),ZS80 = $ADU$155),$ADS$155,
IF(OR(AND($ADU$156&gt;ZS80,ZS80&gt;$ADU$155),ZS80 = $ADU$156),$ADS$156,
IF(OR(AND($ADU$157&gt;ZS80,ZS80&gt;$ADU$156),ZS80 = $ADU$157),$ADS$157,
IF(OR(AND($ADU$158&gt;ZS80,ZS80&gt;$ADU$157),ZS80 = $ADU$158),$ADS$158,
IF(OR(AND($ADU$159&gt;ZS80,ZS80&gt;$ADU$158),ZS80 = $ADU$159),$ADS$159,
IF(OR(AND($ADU$160&gt;ZS80,ZS80&gt;$ADU$159),ZS80 = $ADU$160),$ADS$160,
IF(OR(AND($ADU$161&gt;ZS80,ZS80&gt;$ADU$160),ZS80 = $ADU$161),$ADS$161,
IF(OR(AND($ADU$162&gt;ZS80,ZS80&gt;$ADU$161),ZS80 = $ADU$162),$ADS$162,
IF(OR(AND($ADU$163&gt;ZS80,ZS80&gt;$ADU$162),ZS80 = $ADU$163),$ADS$163,
IF(OR(AND($ADU$164&gt;ZS80,ZS80&gt;$ADU$163),ZS80 = $ADU$164),$ADS$164,
IF(OR(AND($ADU$165&gt;ZS80,ZS80&gt;$ADU$164),ZS80 = $ADU$165),$ADS$165,
IF(OR(AND($ADU$166&gt;ZS80,ZS80&gt;$ADU$165),ZS80 = $ADU$166),$ADS$166,
IF(OR(AND($ADU$167&gt;ZS80,ZS80&gt;$ADU$166),ZS80 = $ADU$167),$ADS$167,
IF(OR(AND($ADU$168&gt;ZS80,ZS80&gt;$ADU$167),ZS80 = $ADU$168),$ADS$168,
IF(OR(AND($ADU$169&gt;ZS80,ZS80&gt;$ADU$168),ZS80 = $ADU$169),$ADS$169,
IF(OR(AND($ADU$170&gt;ZS80,ZS80&gt;$ADU$169),ZS80 = $ADU$170),$ADS$170,
IF(OR(AND($ADU$171&gt;ZS80,ZS80&gt;$ADU$170),ZS80 = $ADU$171),$ADS$171,
IF(OR(AND($ADU$172&gt;ZS80,ZS80&gt;$ADU$171),ZS80 = $ADU$172),$ADS$172,
IF(OR(AND($ADU$173&gt;ZS80,ZS80&gt;$ADU$172),ZS80 = $ADU$173),$ADS$173,
IF(OR(AND($ADU$174&gt;ZS80,ZS80&gt;$ADU$173),ZS80 = $ADU$174),$ADS$174,
IF(OR(AND($ADU$175&gt;ZS80,ZS80&gt;$ADU$174),ZS80 = $ADU$175),$ADS$175,
IF(OR(AND($ADU$176&gt;ZS80,ZS80&gt;$ADU$175),ZS80 = $ADU$176),$ADS$176,
IF(OR(AND($ADU$177&gt;ZS80,ZS80&gt;$ADU$176),ZS80 = $ADU$177),$ADS$177,
IF(OR(AND($ADU$178&gt;ZS80,ZS80&gt;$ADU$177),ZS80 = $ADU$178),$ADS$178,
IF(OR(AND($ADU$179&gt;ZS80,ZS80&gt;$ADU$178),ZS80 = $ADU$179),$ADS$179,
IF(OR(AND($ADU$180&gt;ZS80,ZS80&gt;$ADU$179),ZS80 = $ADU$180),$ADS$180,
IF(OR(AND($ADU$181&gt;ZS80,ZS80&gt;$ADU$180),ZS80 = $ADU$181),$ADS$181,
IF(OR(AND($ADU$182&gt;ZS80,ZS80&gt;$ADU$181),ZS80 = $ADU$182),$ADS$182,
IF(OR(AND($ADU$183&gt;ZS80,ZS80&gt;$ADU$182),ZS80 = $ADU$183),$ADS$183,
IF(OR(AND($ADU$184&gt;ZS80,ZS80&gt;$ADU$183),ZS80 = $ADU$184),$ADS$184,
IF(OR(AND($ADU$185&gt;ZS80,ZS80&gt;$ADU$184),ZS80 = $ADU$185),$ADS$185,
IF(OR(AND($ADU$186&gt;ZS80,ZS80&gt;$ADU$185),ZS80 = $ADU$186),$ADS$186,
IF(OR(AND($ADU$187&gt;ZS80,ZS80&gt;$ADU$186),ZS80 = $ADU$187),$ADS$187,
IF(OR(AND($ADU$188&gt;ZS80,ZS80&gt;$ADU$187),ZS80 = $ADU$188),$ADS$188,
IF(OR(AND($ADU$189&gt;ZS80,ZS80&gt;$ADU$188),ZS80 = $ADU$189),$ADS$189,
IF(OR(AND($ADU$190&gt;ZS80,ZS80&gt;$ADU$189),ZS80 = $ADU$190),$ADS$190,
IF(OR(AND($ADU$191&gt;ZS80,ZS80&gt;$ADU$190),ZS80 = $ADU$191),$ADS$191,
IF(OR(AND($ADU$192&gt;ZS80,ZS80&gt;$ADU$191),ZS80 = $ADU$192),$ADS$192,
IF(OR(AND($ADU$193&gt;ZS80,ZS80&gt;$ADU$192),ZS80 = $ADU$193),$ADS$193,
IF(OR(AND($ADU$194&gt;ZS80,ZS80&gt;$ADU$193),ZS80 = $ADU$194),$ADS$194,
IF(OR(AND($ADU$195&gt;ZS80,ZS80&gt;$ADU$194),ZS80 = $ADU$195),$ADS$195,
IF(OR(AND($ADU$196&gt;ZS80,ZS80&gt;$ADU$195),ZS80 = $ADU$196),$ADS$196,
IF(OR(AND($ADU$197&gt;ZS80,ZS80&gt;$ADU$196),ZS80 = $ADU$197),$ADS$197,
IF(OR(AND($ADU$198&gt;ZS80,ZS80&gt;$ADU$197),ZS80 = $ADU$198),$ADS$198,
IF(OR(AND($ADU$199&gt;ZS80,ZS80&gt;$ADU$198),ZS80 = $ADU$199),$ADS$199,
IF(OR(AND($ADU$200&gt;ZS80,ZS80&gt;$ADU$199),ZS80 = $ADU$200),$ADS$200,
IF(OR(AND($ADU$201&gt;ZS80,ZS80&gt;$ADU$200),ZS80 = $ADU$201),$ADS$201,
IF(OR(AND($ADU$202&gt;ZS80,ZS80&gt;$ADU$201),ZS80 = $ADU$202),$ADS$202,
IF(OR(AND($ADU$203&gt;ZS80,ZS80&gt;$ADU$202),ZS80 = $ADU$203),$ADS$203,
"Y")))))))))))))))))))))))))))))))))))))))))))))))))))</f>
        <v>Y</v>
      </c>
      <c r="ZT112" s="693" t="str">
        <f t="shared" si="143"/>
        <v>Y</v>
      </c>
      <c r="ZU112" s="693" t="str">
        <f t="shared" si="143"/>
        <v>Y</v>
      </c>
      <c r="ZV112" s="693" t="str">
        <f t="shared" si="143"/>
        <v>Y</v>
      </c>
      <c r="ZW112" s="693" t="str">
        <f t="shared" si="143"/>
        <v>Y</v>
      </c>
      <c r="ZX112" s="693" t="str">
        <f t="shared" si="143"/>
        <v>Y</v>
      </c>
      <c r="ZY112" s="693" t="str">
        <f t="shared" si="143"/>
        <v>Y</v>
      </c>
      <c r="ZZ112" s="693" t="str">
        <f t="shared" si="143"/>
        <v>Y</v>
      </c>
      <c r="AAA112" s="693" t="str">
        <f t="shared" si="143"/>
        <v>Y</v>
      </c>
      <c r="AAB112" s="693" t="str">
        <f t="shared" si="143"/>
        <v>Y</v>
      </c>
      <c r="AAC112" s="693" t="str">
        <f t="shared" si="143"/>
        <v>Y</v>
      </c>
      <c r="AAD112" s="693" t="str">
        <f t="shared" si="143"/>
        <v>Y</v>
      </c>
      <c r="AAE112" s="693" t="str">
        <f t="shared" si="143"/>
        <v>Y</v>
      </c>
      <c r="AAF112" s="693" t="str">
        <f t="shared" si="143"/>
        <v>Y</v>
      </c>
      <c r="AAG112" s="693" t="str">
        <f t="shared" si="143"/>
        <v>Y</v>
      </c>
      <c r="AAH112" s="693" t="str">
        <f t="shared" si="143"/>
        <v>Y</v>
      </c>
      <c r="AAI112" s="693" t="str">
        <f t="shared" si="143"/>
        <v>Y</v>
      </c>
      <c r="AAJ112" s="693" t="str">
        <f t="shared" si="143"/>
        <v>Y</v>
      </c>
      <c r="AAK112" s="693" t="str">
        <f t="shared" si="143"/>
        <v>Y</v>
      </c>
      <c r="AAL112" s="693" t="str">
        <f t="shared" si="143"/>
        <v>Y</v>
      </c>
      <c r="AAM112" s="693" t="str">
        <f t="shared" si="143"/>
        <v>Y</v>
      </c>
      <c r="AAN112" s="693" t="str">
        <f t="shared" si="143"/>
        <v>Y</v>
      </c>
      <c r="AAO112" s="693" t="str">
        <f t="shared" si="143"/>
        <v>Y</v>
      </c>
      <c r="AAP112" s="693" t="str">
        <f t="shared" si="143"/>
        <v>Y</v>
      </c>
      <c r="AAQ112" s="693" t="str">
        <f t="shared" si="143"/>
        <v>Y</v>
      </c>
      <c r="AAR112" s="693" t="str">
        <f t="shared" si="143"/>
        <v>Y</v>
      </c>
      <c r="AAS112" s="693" t="str">
        <f t="shared" si="143"/>
        <v>Y</v>
      </c>
      <c r="AAT112" s="1006"/>
      <c r="AAU112" s="960"/>
      <c r="AAV112" s="1101"/>
      <c r="AAW112" s="1101"/>
      <c r="AAX112" s="1101"/>
      <c r="AAY112" s="1101"/>
      <c r="AAZ112" s="1101"/>
      <c r="ABA112" s="1101"/>
      <c r="ABB112" s="1101"/>
      <c r="ABC112" s="1101"/>
      <c r="ABD112" s="1101"/>
      <c r="ABE112" s="1101"/>
      <c r="ABF112" s="1101"/>
      <c r="ABG112" s="1101"/>
      <c r="ABH112" s="961"/>
      <c r="ABI112" s="158"/>
      <c r="ABJ112" s="158"/>
      <c r="ABK112" s="158"/>
      <c r="ABL112" s="158"/>
      <c r="ABM112" s="158"/>
      <c r="ABN112" s="158"/>
      <c r="ABO112" s="158"/>
      <c r="ABP112" s="163"/>
      <c r="ABW112" s="1516"/>
      <c r="ABX112" s="1517"/>
      <c r="ABY112" s="1517"/>
      <c r="ABZ112" s="1517"/>
      <c r="ACA112" s="1517"/>
      <c r="ACB112" s="1517"/>
      <c r="ACC112" s="1517"/>
      <c r="ACD112" s="1517"/>
      <c r="ACE112" s="1517"/>
      <c r="ACF112" s="1517"/>
      <c r="ACG112" s="1517"/>
      <c r="ACH112" s="1518"/>
      <c r="ACJ112" s="759">
        <v>0.5</v>
      </c>
      <c r="ACK112" s="760"/>
      <c r="ACL112" s="759">
        <v>-0.5</v>
      </c>
      <c r="ACM112" s="760"/>
      <c r="ACN112" s="591">
        <v>28</v>
      </c>
      <c r="ACO112" s="759">
        <f t="shared" si="91"/>
        <v>0.14000000000000001</v>
      </c>
      <c r="ACP112" s="760"/>
      <c r="ACQ112" s="757">
        <f t="shared" si="82"/>
        <v>1.28</v>
      </c>
      <c r="ACR112" s="758"/>
      <c r="ACT112" s="759">
        <v>1.5454545454545501</v>
      </c>
      <c r="ACU112" s="760"/>
      <c r="ACV112" s="759">
        <v>-2.1818181818181799</v>
      </c>
      <c r="ACW112" s="760"/>
      <c r="ACX112" s="591">
        <v>78</v>
      </c>
      <c r="ACY112" s="759">
        <f t="shared" si="92"/>
        <v>0.56909090909091908</v>
      </c>
      <c r="ACZ112" s="760"/>
      <c r="ADA112" s="757">
        <f t="shared" si="83"/>
        <v>1.78</v>
      </c>
      <c r="ADB112" s="758"/>
      <c r="ADD112" s="759">
        <v>1.5454545454545501</v>
      </c>
      <c r="ADE112" s="760"/>
      <c r="ADF112" s="759">
        <v>-2.1818181818181799</v>
      </c>
      <c r="ADG112" s="760"/>
      <c r="ADH112" s="591">
        <v>127</v>
      </c>
      <c r="ADI112" s="759">
        <f t="shared" si="93"/>
        <v>1.3263636363636486</v>
      </c>
      <c r="ADJ112" s="760"/>
      <c r="ADK112" s="757">
        <f t="shared" si="84"/>
        <v>2.27</v>
      </c>
      <c r="ADL112" s="758"/>
      <c r="ADN112" s="759">
        <v>1.5454545454545501</v>
      </c>
      <c r="ADO112" s="760"/>
      <c r="ADP112" s="759">
        <v>-2.1818181818181799</v>
      </c>
      <c r="ADQ112" s="760"/>
      <c r="ADR112" s="591">
        <v>177</v>
      </c>
      <c r="ADS112" s="759">
        <f t="shared" si="94"/>
        <v>2.0990909090909238</v>
      </c>
      <c r="ADT112" s="760"/>
      <c r="ADU112" s="757">
        <f t="shared" si="85"/>
        <v>2.77</v>
      </c>
      <c r="ADV112" s="758"/>
      <c r="ADW112" s="653"/>
      <c r="ADX112" s="759">
        <v>1.5454545454545501</v>
      </c>
      <c r="ADY112" s="760"/>
      <c r="ADZ112" s="759">
        <v>-2.1818181818181799</v>
      </c>
      <c r="AEA112" s="760"/>
      <c r="AEB112" s="591">
        <v>227</v>
      </c>
      <c r="AEC112" s="759">
        <f t="shared" si="134"/>
        <v>2.8718181818181989</v>
      </c>
      <c r="AED112" s="760"/>
      <c r="AEE112" s="757">
        <f t="shared" si="86"/>
        <v>3.27</v>
      </c>
      <c r="AEF112" s="758"/>
      <c r="AEH112" s="759">
        <v>1.5454545454545501</v>
      </c>
      <c r="AEI112" s="760"/>
      <c r="AEJ112" s="759">
        <v>-2.1818181818181799</v>
      </c>
      <c r="AEK112" s="760"/>
      <c r="AEL112" s="591">
        <v>277</v>
      </c>
      <c r="AEM112" s="759">
        <f t="shared" si="101"/>
        <v>3.6445454545454741</v>
      </c>
      <c r="AEN112" s="760"/>
      <c r="AEO112" s="757">
        <f t="shared" si="87"/>
        <v>3.77</v>
      </c>
      <c r="AEP112" s="758"/>
      <c r="AGN112" s="199"/>
      <c r="AGO112" s="852" t="s">
        <v>1739</v>
      </c>
      <c r="AGP112" s="923"/>
      <c r="AGQ112" s="199"/>
      <c r="AGR112" s="1117" t="s">
        <v>1007</v>
      </c>
      <c r="AGS112" s="1118"/>
      <c r="AGT112" s="1118"/>
      <c r="AGU112" s="1118"/>
      <c r="AGV112" s="1118"/>
      <c r="AGW112" s="1118"/>
      <c r="AGX112" s="1118"/>
      <c r="AGY112" s="1118"/>
      <c r="AGZ112" s="1118"/>
      <c r="AHA112" s="1118"/>
      <c r="AHB112" s="1119"/>
      <c r="AHC112" s="199"/>
      <c r="AHQ112" s="130"/>
      <c r="AHR112" s="130"/>
      <c r="AHS112" s="130"/>
      <c r="AHT112" s="130"/>
      <c r="AQO112" s="849"/>
      <c r="AQP112" s="852" t="s">
        <v>416</v>
      </c>
      <c r="AQQ112" s="853"/>
      <c r="AQR112" s="700"/>
      <c r="AQS112" s="78"/>
      <c r="AQT112" s="78"/>
      <c r="AQU112" s="78"/>
      <c r="AQV112" s="78"/>
      <c r="AQW112" s="78"/>
      <c r="AQX112" s="78"/>
      <c r="AQY112" s="700"/>
      <c r="AQZ112" s="76" t="s">
        <v>441</v>
      </c>
      <c r="ARA112" s="854" t="s">
        <v>435</v>
      </c>
      <c r="ARB112" s="855"/>
      <c r="ARC112" s="920" t="s">
        <v>111</v>
      </c>
      <c r="ARD112" s="921"/>
      <c r="ARE112" s="916" t="s">
        <v>704</v>
      </c>
      <c r="ARF112" s="917"/>
      <c r="ARG112" s="906" t="s">
        <v>447</v>
      </c>
      <c r="ARH112" s="907"/>
      <c r="ARI112" s="907"/>
      <c r="ARJ112" s="908"/>
      <c r="ARK112" s="653"/>
      <c r="ARL112" s="653"/>
      <c r="ARM112" s="653"/>
      <c r="ARN112" s="653"/>
      <c r="ARO112" s="653"/>
      <c r="ARU112" s="903"/>
      <c r="ARV112" s="904"/>
      <c r="ARW112" s="905"/>
      <c r="ARX112" s="851"/>
      <c r="ARY112" s="857"/>
      <c r="ARZ112" s="857"/>
      <c r="ASA112" s="857"/>
      <c r="ASB112" s="857"/>
      <c r="ASC112" s="857"/>
      <c r="ASD112" s="857"/>
      <c r="ASE112" s="857"/>
      <c r="ASF112" s="857"/>
      <c r="ASG112" s="857"/>
      <c r="ASH112" s="857"/>
      <c r="ASI112" s="857"/>
      <c r="ASJ112" s="857"/>
      <c r="ASK112" s="857"/>
      <c r="ASL112" s="837"/>
      <c r="ASM112" s="838"/>
      <c r="ASN112" s="777"/>
      <c r="ASO112" s="799"/>
      <c r="ASP112" s="842"/>
      <c r="ASQ112" s="845"/>
      <c r="ASR112" s="846"/>
      <c r="ASS112" s="848"/>
    </row>
    <row r="113" spans="60:920 1133:1226" ht="48" customHeight="1">
      <c r="BW113" s="653"/>
      <c r="BX113" s="653"/>
      <c r="BY113" s="653"/>
      <c r="DL113" s="653"/>
      <c r="DM113" s="653"/>
      <c r="DN113" s="653"/>
      <c r="DO113" s="653"/>
      <c r="DP113" s="653"/>
      <c r="DQ113" s="653"/>
      <c r="FF113" s="126"/>
      <c r="FH113" s="653"/>
      <c r="FI113" s="653"/>
      <c r="FJ113" s="653"/>
      <c r="FK113" s="653"/>
      <c r="FL113" s="653"/>
      <c r="FM113" s="653"/>
      <c r="FN113" s="653"/>
      <c r="FO113" s="126"/>
      <c r="FP113" s="126"/>
      <c r="FQ113" s="126"/>
      <c r="FR113" s="126"/>
      <c r="FS113" s="126"/>
      <c r="FT113" s="126"/>
      <c r="FU113" s="126"/>
      <c r="FV113" s="126"/>
      <c r="FW113" s="126"/>
      <c r="FX113" s="126"/>
      <c r="GC113" s="130"/>
      <c r="GD113" s="130"/>
      <c r="GE113" s="130"/>
      <c r="GF113" s="130"/>
      <c r="GG113" s="130"/>
      <c r="GH113" s="130"/>
      <c r="GI113" s="130"/>
      <c r="GJ113" s="130"/>
      <c r="GK113" s="130"/>
      <c r="GL113" s="130"/>
      <c r="GM113" s="130"/>
      <c r="GN113" s="130"/>
      <c r="GO113" s="130"/>
      <c r="GP113" s="130"/>
      <c r="GQ113" s="130"/>
      <c r="GR113" s="130"/>
      <c r="GS113" s="130"/>
      <c r="GT113" s="130"/>
      <c r="GU113" s="130"/>
      <c r="GV113" s="130"/>
      <c r="LJ113" s="653"/>
      <c r="LK113" s="653"/>
      <c r="LL113" s="653"/>
      <c r="LM113" s="653"/>
      <c r="LN113" s="653"/>
      <c r="LO113" s="653"/>
      <c r="LP113" s="653"/>
      <c r="LQ113" s="653"/>
      <c r="LR113" s="653"/>
      <c r="LX113" s="377"/>
      <c r="LY113" s="373"/>
      <c r="LZ113" s="373"/>
      <c r="MA113" s="373"/>
      <c r="MB113" s="379"/>
      <c r="MC113" s="379"/>
      <c r="MD113" s="379"/>
      <c r="ME113" s="379"/>
      <c r="MF113" s="379"/>
      <c r="MG113" s="379"/>
      <c r="MH113" s="379"/>
      <c r="MI113" s="379"/>
      <c r="MJ113" s="379"/>
      <c r="MK113" s="379"/>
      <c r="ML113" s="379"/>
      <c r="MM113" s="379"/>
      <c r="MN113" s="379"/>
      <c r="MO113" s="379"/>
      <c r="MP113" s="379"/>
      <c r="MQ113" s="379"/>
      <c r="MR113" s="379"/>
      <c r="MS113" s="373"/>
      <c r="MT113" s="373"/>
      <c r="MU113" s="373"/>
      <c r="MV113" s="373"/>
      <c r="MW113" s="373"/>
      <c r="MX113" s="373"/>
      <c r="MY113" s="373"/>
      <c r="MZ113" s="373"/>
      <c r="NA113" s="373"/>
      <c r="NB113" s="373"/>
      <c r="NC113" s="373"/>
      <c r="ND113" s="373"/>
      <c r="NE113" s="373"/>
      <c r="NF113" s="373"/>
      <c r="NG113" s="373"/>
      <c r="NH113" s="373"/>
      <c r="NI113" s="373"/>
      <c r="NJ113" s="373"/>
      <c r="NK113" s="373"/>
      <c r="NL113" s="373"/>
      <c r="NM113" s="373"/>
      <c r="NN113" s="373"/>
      <c r="NO113" s="373"/>
      <c r="NP113" s="373"/>
      <c r="NQ113" s="373"/>
      <c r="NR113" s="373"/>
      <c r="NS113" s="373"/>
      <c r="NT113" s="373"/>
      <c r="NU113" s="373"/>
      <c r="NV113" s="373"/>
      <c r="NW113" s="373"/>
      <c r="NX113" s="373"/>
      <c r="NY113" s="373"/>
      <c r="NZ113" s="373"/>
      <c r="OA113" s="373"/>
      <c r="OB113" s="373"/>
      <c r="OC113" s="373"/>
      <c r="OD113" s="373"/>
      <c r="OE113" s="373"/>
      <c r="OF113" s="373"/>
      <c r="OG113" s="373"/>
      <c r="OH113" s="373"/>
      <c r="OI113" s="373"/>
      <c r="OJ113" s="373"/>
      <c r="OK113" s="373"/>
      <c r="OL113" s="373"/>
      <c r="OM113" s="373"/>
      <c r="ON113" s="373"/>
      <c r="OO113" s="373"/>
      <c r="OP113" s="373"/>
      <c r="OQ113" s="373"/>
      <c r="OR113" s="373"/>
      <c r="OS113" s="373"/>
      <c r="OT113" s="373"/>
      <c r="OU113" s="374"/>
      <c r="OY113" s="130"/>
      <c r="OZ113" s="130"/>
      <c r="PA113" s="130"/>
      <c r="PB113" s="130"/>
      <c r="PC113" s="130"/>
      <c r="PD113" s="130"/>
      <c r="PE113" s="130"/>
      <c r="PF113" s="130"/>
      <c r="RE113" s="653"/>
      <c r="RF113" s="653"/>
      <c r="RG113" s="653"/>
      <c r="RH113" s="653"/>
      <c r="RI113" s="653"/>
      <c r="RJ113" s="653"/>
      <c r="RK113" s="653"/>
      <c r="RL113" s="653"/>
      <c r="RM113" s="653"/>
      <c r="RN113" s="653"/>
      <c r="RO113" s="653"/>
      <c r="RP113" s="653"/>
      <c r="RQ113" s="653"/>
      <c r="RR113" s="653"/>
      <c r="RS113" s="653"/>
      <c r="RT113" s="653"/>
      <c r="RU113" s="653"/>
      <c r="RV113" s="653"/>
      <c r="RW113" s="653"/>
      <c r="RX113" s="653"/>
      <c r="RY113" s="653"/>
      <c r="RZ113" s="653"/>
      <c r="SA113" s="653"/>
      <c r="SB113" s="653"/>
      <c r="SC113" s="653"/>
      <c r="SD113" s="653"/>
      <c r="SE113" s="653"/>
      <c r="SF113" s="653"/>
      <c r="SG113" s="653"/>
      <c r="SH113" s="653"/>
      <c r="SI113" s="653"/>
      <c r="SJ113" s="653"/>
      <c r="SK113" s="653"/>
      <c r="SL113" s="653"/>
      <c r="SM113" s="653"/>
      <c r="SN113" s="653"/>
      <c r="SO113" s="653"/>
      <c r="SP113" s="653"/>
      <c r="SQ113" s="653"/>
      <c r="SR113" s="653"/>
      <c r="SS113" s="653"/>
      <c r="ST113" s="653"/>
      <c r="SU113" s="653"/>
      <c r="SV113" s="653"/>
      <c r="SW113" s="653"/>
      <c r="SX113" s="653"/>
      <c r="SY113" s="653"/>
      <c r="SZ113" s="653"/>
      <c r="TA113" s="653"/>
      <c r="TB113" s="653"/>
      <c r="TC113" s="653"/>
      <c r="TD113" s="653"/>
      <c r="TE113" s="653"/>
      <c r="TF113" s="653"/>
      <c r="TG113" s="653"/>
      <c r="TH113" s="653"/>
      <c r="TI113" s="653"/>
      <c r="TJ113" s="653"/>
      <c r="TK113" s="653"/>
      <c r="TL113" s="653"/>
      <c r="TM113" s="653"/>
      <c r="TN113" s="653"/>
      <c r="TO113" s="653"/>
      <c r="TP113" s="653"/>
      <c r="TQ113" s="653"/>
      <c r="TR113" s="653"/>
      <c r="TS113" s="653"/>
      <c r="TT113" s="653"/>
      <c r="TU113" s="653"/>
      <c r="TV113" s="653"/>
      <c r="TW113" s="653"/>
      <c r="TX113" s="653"/>
      <c r="TY113" s="653"/>
      <c r="TZ113" s="653"/>
      <c r="UA113" s="653"/>
      <c r="UB113" s="653"/>
      <c r="UC113" s="653"/>
      <c r="UD113" s="653"/>
      <c r="UE113" s="653"/>
      <c r="UF113" s="653"/>
      <c r="UG113" s="653"/>
      <c r="UH113" s="653"/>
      <c r="UI113" s="653"/>
      <c r="UJ113" s="653"/>
      <c r="UK113" s="653"/>
      <c r="UL113" s="653"/>
      <c r="UM113" s="653"/>
      <c r="UN113" s="653"/>
      <c r="UO113" s="653"/>
      <c r="UP113" s="653"/>
      <c r="UQ113" s="653"/>
      <c r="UR113" s="653"/>
      <c r="US113" s="653"/>
      <c r="UT113" s="653"/>
      <c r="UU113" s="653"/>
      <c r="UV113" s="653"/>
      <c r="UW113" s="653"/>
      <c r="UX113" s="653"/>
      <c r="UY113" s="653"/>
      <c r="UZ113" s="653"/>
      <c r="WE113" s="996"/>
      <c r="WF113" s="997"/>
      <c r="WG113" s="175"/>
      <c r="WH113" s="173"/>
      <c r="WI113" s="173"/>
      <c r="WJ113" s="173"/>
      <c r="WK113" s="173"/>
      <c r="WL113" s="173"/>
      <c r="WM113" s="173"/>
      <c r="WN113" s="173"/>
      <c r="WO113" s="173"/>
      <c r="WP113" s="173"/>
      <c r="WQ113" s="173"/>
      <c r="WR113" s="173"/>
      <c r="WS113" s="173"/>
      <c r="WT113" s="173"/>
      <c r="WU113" s="173"/>
      <c r="WV113" s="173"/>
      <c r="WW113" s="173"/>
      <c r="WX113" s="173"/>
      <c r="WY113" s="174"/>
      <c r="WZ113" s="1085"/>
      <c r="XA113" s="1085"/>
      <c r="XB113" s="175"/>
      <c r="XC113" s="173"/>
      <c r="XD113" s="173"/>
      <c r="XE113" s="173"/>
      <c r="XF113" s="174"/>
      <c r="XG113" s="693" t="str">
        <f t="shared" ref="XG113:YL113" si="144">IF($AEE$154&lt;0,"Ошибка",
IF(OR(AND($AEE$154&gt;XG80,XG80&gt;$ADU$203),XG80 = $AEE$154),$AEC$154,
IF(OR(AND($AEE$155&gt;XG80,XG80&gt;$AEE$154),XG80 = $AEE$155),$AEC$155,
IF(OR(AND($AEE$156&gt;XG80,XG80&gt;$AEE$155),XG80 = $AEE$156),$AEC$156,
IF(OR(AND($AEE$157&gt;XG80,XG80&gt;$AEE$156),XG80 = $AEE$157),$AEC$157,
IF(OR(AND($AEE$158&gt;XG80,XG80&gt;$AEE$157),XG80 = $AEE$158),$AEC$158,
IF(OR(AND($AEE$159&gt;XG80,XG80&gt;$AEE$158),XG80 = $AEE$159),$AEC$159,
IF(OR(AND($AEE$160&gt;XG80,XG80&gt;$AEE$159),XG80 = $AEE$160),$AEC$160,
IF(OR(AND($AEE$161&gt;XG80,XG80&gt;$AEE$160),XG80 = $AEE$161),$AEC$161,
IF(OR(AND($AEE$162&gt;XG80,XG80&gt;$AEE$161),XG80 = $AEE$162),$AEC$162,
IF(OR(AND($AEE$163&gt;XG80,XG80&gt;$AEE$162),XG80 = $AEE$163),$AEC$163,
IF(OR(AND($AEE$164&gt;XG80,XG80&gt;$AEE$163),XG80 = $AEE$164),$AEC$164,
IF(OR(AND($AEE$165&gt;XG80,XG80&gt;$AEE$164),XG80 = $AEE$165),$AEC$165,
IF(OR(AND($AEE$166&gt;XG80,XG80&gt;$AEE$165),XG80 = $AEE$166),$AEC$166,
IF(OR(AND($AEE$167&gt;XG80,XG80&gt;$AEE$166),XG80 = $AEE$167),$AEC$167,
IF(OR(AND($AEE$168&gt;XG80,XG80&gt;$AEE$167),XG80 = $AEE$168),$AEC$168,
IF(OR(AND($AEE$169&gt;XG80,XG80&gt;$AEE$168),XG80 = $AEE$169),$AEC$169,
IF(OR(AND($AEE$170&gt;XG80,XG80&gt;$AEE$169),XG80 = $AEE$170),$AEC$170,
IF(OR(AND($AEE$171&gt;XG80,XG80&gt;$AEE$170),XG80 = $AEE$171),$AEC$171,
IF(OR(AND($AEE$172&gt;XG80,XG80&gt;$AEE$171),XG80 = $AEE$172),$AEC$172,
IF(OR(AND($AEE$173&gt;XG80,XG80&gt;$AEE$172),XG80 = $AEE$173),$AEC$173,
IF(OR(AND($AEE$174&gt;XG80,XG80&gt;$AEE$173),XG80 = $AEE$174),$AEC$174,
IF(OR(AND($AEE$175&gt;XG80,XG80&gt;$AEE$174),XG80 = $AEE$175),$AEC$175,
IF(OR(AND($AEE$176&gt;XG80,XG80&gt;$AEE$175),XG80 = $AEE$176),$AEC$176,
IF(OR(AND($AEE$177&gt;XG80,XG80&gt;$AEE$176),XG80 = $AEE$177),$AEC$177,
IF(OR(AND($AEE$178&gt;XG80,XG80&gt;$AEE$177),XG80 = $AEE$178),$AEC$178,
IF(OR(AND($AEE$179&gt;XG80,XG80&gt;$AEE$178),XG80 = $AEE$179),$AEC$179,
IF(OR(AND($AEE$180&gt;XG80,XG80&gt;$AEE$179),XG80 = $AEE$180),$AEC$180,
IF(OR(AND($AEE$181&gt;XG80,XG80&gt;$AEE$180),XG80 = $AEE$181),$AEC$181,
IF(OR(AND($AEE$182&gt;XG80,XG80&gt;$AEE$181),XG80 = $AEE$182),$AEC$182,
IF(OR(AND($AEE$183&gt;XG80,XG80&gt;$AEE$182),XG80 = $AEE$183),$AEC$183,
IF(OR(AND($AEE$184&gt;XG80,XG80&gt;$AEE$183),XG80 = $AEE$184),$AEC$184,
IF(OR(AND($AEE$185&gt;XG80,XG80&gt;$AEE$184),XG80 = $AEE$185),$AEC$185,
IF(OR(AND($AEE$186&gt;XG80,XG80&gt;$AEE$185),XG80 = $AEE$186),$AEC$186,
IF(OR(AND($AEE$187&gt;XG80,XG80&gt;$AEE$186),XG80 = $AEE$187),$AEC$187,
IF(OR(AND($AEE$188&gt;XG80,XG80&gt;$AEE$187),XG80 = $AEE$188),$AEC$188,
IF(OR(AND($AEE$189&gt;XG80,XG80&gt;$AEE$188),XG80 = $AEE$189),$AEC$189,
IF(OR(AND($AEE$190&gt;XG80,XG80&gt;$AEE$189),XG80 = $AEE$190),$AEC$190,
IF(OR(AND($AEE$191&gt;XG80,XG80&gt;$AEE$190),XG80 = $AEE$191),$AEC$191,
IF(OR(AND($AEE$192&gt;XG80,XG80&gt;$AEE$191),XG80 = $AEE$192),$AEC$192,
IF(OR(AND($AEE$193&gt;XG80,XG80&gt;$AEE$192),XG80 = $AEE$193),$AEC$193,
IF(OR(AND($AEE$194&gt;XG80,XG80&gt;$AEE$193),XG80 = $AEE$194),$AEC$194,
IF(OR(AND($AEE$195&gt;XG80,XG80&gt;$AEE$194),XG80 = $AEE$195),$AEC$195,
IF(OR(AND($AEE$196&gt;XG80,XG80&gt;$AEE$195),XG80 = $AEE$196),$AEC$196,
IF(OR(AND($AEE$197&gt;XG80,XG80&gt;$AEE$196),XG80 = $AEE$197),$AEC$197,
IF(OR(AND($AEE$198&gt;XG80,XG80&gt;$AEE$197),XG80 = $AEE$198),$AEC$198,
IF(OR(AND($AEE$199&gt;XG80,XG80&gt;$AEE$198),XG80 = $AEE$199),$AEC$199,
IF(OR(AND($AEE$200&gt;XG80,XG80&gt;$AEE$199),XG80 = $AEE$200),$AEC$200,
IF(OR(AND($AEE$201&gt;XG80,XG80&gt;$AEE$200),XG80 = $AEE$201),$AEC$201,
IF(OR(AND($AEE$202&gt;XG80,XG80&gt;$AEE$201),XG80 = $AEE$202),$AEC$202,
IF(OR(AND($AEE$203&gt;XG80,XG80&gt;$AEE$202),XG80 = $AEE$203),$AEC$203,
"Y")))))))))))))))))))))))))))))))))))))))))))))))))))</f>
        <v>Y</v>
      </c>
      <c r="XH113" s="693" t="str">
        <f t="shared" si="144"/>
        <v>Y</v>
      </c>
      <c r="XI113" s="693" t="str">
        <f t="shared" si="144"/>
        <v>Y</v>
      </c>
      <c r="XJ113" s="693" t="str">
        <f t="shared" si="144"/>
        <v>Y</v>
      </c>
      <c r="XK113" s="693" t="str">
        <f t="shared" si="144"/>
        <v>Y</v>
      </c>
      <c r="XL113" s="693" t="str">
        <f t="shared" si="144"/>
        <v>Y</v>
      </c>
      <c r="XM113" s="693" t="str">
        <f t="shared" si="144"/>
        <v>Y</v>
      </c>
      <c r="XN113" s="693" t="str">
        <f t="shared" si="144"/>
        <v>Y</v>
      </c>
      <c r="XO113" s="693" t="str">
        <f t="shared" si="144"/>
        <v>Y</v>
      </c>
      <c r="XP113" s="693" t="str">
        <f t="shared" si="144"/>
        <v>Y</v>
      </c>
      <c r="XQ113" s="693" t="str">
        <f t="shared" si="144"/>
        <v>Y</v>
      </c>
      <c r="XR113" s="693" t="str">
        <f t="shared" si="144"/>
        <v>Y</v>
      </c>
      <c r="XS113" s="693" t="str">
        <f t="shared" si="144"/>
        <v>Y</v>
      </c>
      <c r="XT113" s="693" t="str">
        <f t="shared" si="144"/>
        <v>Y</v>
      </c>
      <c r="XU113" s="693" t="str">
        <f t="shared" si="144"/>
        <v>Y</v>
      </c>
      <c r="XV113" s="693" t="str">
        <f t="shared" si="144"/>
        <v>Y</v>
      </c>
      <c r="XW113" s="693" t="str">
        <f t="shared" si="144"/>
        <v>Y</v>
      </c>
      <c r="XX113" s="693" t="str">
        <f t="shared" si="144"/>
        <v>Y</v>
      </c>
      <c r="XY113" s="693" t="str">
        <f t="shared" si="144"/>
        <v>Y</v>
      </c>
      <c r="XZ113" s="693" t="str">
        <f t="shared" si="144"/>
        <v>Y</v>
      </c>
      <c r="YA113" s="693">
        <f t="shared" si="144"/>
        <v>0.86839999999999984</v>
      </c>
      <c r="YB113" s="693">
        <f t="shared" si="144"/>
        <v>0.86039999999999983</v>
      </c>
      <c r="YC113" s="693">
        <f t="shared" si="144"/>
        <v>0.85239999999999994</v>
      </c>
      <c r="YD113" s="693">
        <f t="shared" si="144"/>
        <v>0.84333333333333338</v>
      </c>
      <c r="YE113" s="693">
        <f t="shared" si="144"/>
        <v>0.83000000000000007</v>
      </c>
      <c r="YF113" s="693">
        <f t="shared" si="144"/>
        <v>0.81933333333333336</v>
      </c>
      <c r="YG113" s="693">
        <f t="shared" si="144"/>
        <v>0.80866666666666676</v>
      </c>
      <c r="YH113" s="693">
        <f t="shared" si="144"/>
        <v>0.79533333333333345</v>
      </c>
      <c r="YI113" s="693">
        <f t="shared" si="144"/>
        <v>0.78466666666666673</v>
      </c>
      <c r="YJ113" s="693">
        <f t="shared" si="144"/>
        <v>0.77400000000000024</v>
      </c>
      <c r="YK113" s="693">
        <f t="shared" si="144"/>
        <v>0.76333333333333353</v>
      </c>
      <c r="YL113" s="693">
        <f t="shared" si="144"/>
        <v>0.75266666666666693</v>
      </c>
      <c r="YM113" s="693" t="str">
        <f t="shared" ref="YM113:ZR113" si="145">IF($AEE$154&lt;0,"Ошибка",
IF(OR(AND($AEE$154&gt;YM80,YM80&gt;$ADU$203),YM80 = $AEE$154),$AEC$154,
IF(OR(AND($AEE$155&gt;YM80,YM80&gt;$AEE$154),YM80 = $AEE$155),$AEC$155,
IF(OR(AND($AEE$156&gt;YM80,YM80&gt;$AEE$155),YM80 = $AEE$156),$AEC$156,
IF(OR(AND($AEE$157&gt;YM80,YM80&gt;$AEE$156),YM80 = $AEE$157),$AEC$157,
IF(OR(AND($AEE$158&gt;YM80,YM80&gt;$AEE$157),YM80 = $AEE$158),$AEC$158,
IF(OR(AND($AEE$159&gt;YM80,YM80&gt;$AEE$158),YM80 = $AEE$159),$AEC$159,
IF(OR(AND($AEE$160&gt;YM80,YM80&gt;$AEE$159),YM80 = $AEE$160),$AEC$160,
IF(OR(AND($AEE$161&gt;YM80,YM80&gt;$AEE$160),YM80 = $AEE$161),$AEC$161,
IF(OR(AND($AEE$162&gt;YM80,YM80&gt;$AEE$161),YM80 = $AEE$162),$AEC$162,
IF(OR(AND($AEE$163&gt;YM80,YM80&gt;$AEE$162),YM80 = $AEE$163),$AEC$163,
IF(OR(AND($AEE$164&gt;YM80,YM80&gt;$AEE$163),YM80 = $AEE$164),$AEC$164,
IF(OR(AND($AEE$165&gt;YM80,YM80&gt;$AEE$164),YM80 = $AEE$165),$AEC$165,
IF(OR(AND($AEE$166&gt;YM80,YM80&gt;$AEE$165),YM80 = $AEE$166),$AEC$166,
IF(OR(AND($AEE$167&gt;YM80,YM80&gt;$AEE$166),YM80 = $AEE$167),$AEC$167,
IF(OR(AND($AEE$168&gt;YM80,YM80&gt;$AEE$167),YM80 = $AEE$168),$AEC$168,
IF(OR(AND($AEE$169&gt;YM80,YM80&gt;$AEE$168),YM80 = $AEE$169),$AEC$169,
IF(OR(AND($AEE$170&gt;YM80,YM80&gt;$AEE$169),YM80 = $AEE$170),$AEC$170,
IF(OR(AND($AEE$171&gt;YM80,YM80&gt;$AEE$170),YM80 = $AEE$171),$AEC$171,
IF(OR(AND($AEE$172&gt;YM80,YM80&gt;$AEE$171),YM80 = $AEE$172),$AEC$172,
IF(OR(AND($AEE$173&gt;YM80,YM80&gt;$AEE$172),YM80 = $AEE$173),$AEC$173,
IF(OR(AND($AEE$174&gt;YM80,YM80&gt;$AEE$173),YM80 = $AEE$174),$AEC$174,
IF(OR(AND($AEE$175&gt;YM80,YM80&gt;$AEE$174),YM80 = $AEE$175),$AEC$175,
IF(OR(AND($AEE$176&gt;YM80,YM80&gt;$AEE$175),YM80 = $AEE$176),$AEC$176,
IF(OR(AND($AEE$177&gt;YM80,YM80&gt;$AEE$176),YM80 = $AEE$177),$AEC$177,
IF(OR(AND($AEE$178&gt;YM80,YM80&gt;$AEE$177),YM80 = $AEE$178),$AEC$178,
IF(OR(AND($AEE$179&gt;YM80,YM80&gt;$AEE$178),YM80 = $AEE$179),$AEC$179,
IF(OR(AND($AEE$180&gt;YM80,YM80&gt;$AEE$179),YM80 = $AEE$180),$AEC$180,
IF(OR(AND($AEE$181&gt;YM80,YM80&gt;$AEE$180),YM80 = $AEE$181),$AEC$181,
IF(OR(AND($AEE$182&gt;YM80,YM80&gt;$AEE$181),YM80 = $AEE$182),$AEC$182,
IF(OR(AND($AEE$183&gt;YM80,YM80&gt;$AEE$182),YM80 = $AEE$183),$AEC$183,
IF(OR(AND($AEE$184&gt;YM80,YM80&gt;$AEE$183),YM80 = $AEE$184),$AEC$184,
IF(OR(AND($AEE$185&gt;YM80,YM80&gt;$AEE$184),YM80 = $AEE$185),$AEC$185,
IF(OR(AND($AEE$186&gt;YM80,YM80&gt;$AEE$185),YM80 = $AEE$186),$AEC$186,
IF(OR(AND($AEE$187&gt;YM80,YM80&gt;$AEE$186),YM80 = $AEE$187),$AEC$187,
IF(OR(AND($AEE$188&gt;YM80,YM80&gt;$AEE$187),YM80 = $AEE$188),$AEC$188,
IF(OR(AND($AEE$189&gt;YM80,YM80&gt;$AEE$188),YM80 = $AEE$189),$AEC$189,
IF(OR(AND($AEE$190&gt;YM80,YM80&gt;$AEE$189),YM80 = $AEE$190),$AEC$190,
IF(OR(AND($AEE$191&gt;YM80,YM80&gt;$AEE$190),YM80 = $AEE$191),$AEC$191,
IF(OR(AND($AEE$192&gt;YM80,YM80&gt;$AEE$191),YM80 = $AEE$192),$AEC$192,
IF(OR(AND($AEE$193&gt;YM80,YM80&gt;$AEE$192),YM80 = $AEE$193),$AEC$193,
IF(OR(AND($AEE$194&gt;YM80,YM80&gt;$AEE$193),YM80 = $AEE$194),$AEC$194,
IF(OR(AND($AEE$195&gt;YM80,YM80&gt;$AEE$194),YM80 = $AEE$195),$AEC$195,
IF(OR(AND($AEE$196&gt;YM80,YM80&gt;$AEE$195),YM80 = $AEE$196),$AEC$196,
IF(OR(AND($AEE$197&gt;YM80,YM80&gt;$AEE$196),YM80 = $AEE$197),$AEC$197,
IF(OR(AND($AEE$198&gt;YM80,YM80&gt;$AEE$197),YM80 = $AEE$198),$AEC$198,
IF(OR(AND($AEE$199&gt;YM80,YM80&gt;$AEE$198),YM80 = $AEE$199),$AEC$199,
IF(OR(AND($AEE$200&gt;YM80,YM80&gt;$AEE$199),YM80 = $AEE$200),$AEC$200,
IF(OR(AND($AEE$201&gt;YM80,YM80&gt;$AEE$200),YM80 = $AEE$201),$AEC$201,
IF(OR(AND($AEE$202&gt;YM80,YM80&gt;$AEE$201),YM80 = $AEE$202),$AEC$202,
IF(OR(AND($AEE$203&gt;YM80,YM80&gt;$AEE$202),YM80 = $AEE$203),$AEC$203,
"Y")))))))))))))))))))))))))))))))))))))))))))))))))))</f>
        <v>Y</v>
      </c>
      <c r="YN113" s="693" t="str">
        <f t="shared" si="145"/>
        <v>Y</v>
      </c>
      <c r="YO113" s="693" t="str">
        <f t="shared" si="145"/>
        <v>Y</v>
      </c>
      <c r="YP113" s="693" t="str">
        <f t="shared" si="145"/>
        <v>Y</v>
      </c>
      <c r="YQ113" s="693" t="str">
        <f t="shared" si="145"/>
        <v>Y</v>
      </c>
      <c r="YR113" s="693" t="str">
        <f t="shared" si="145"/>
        <v>Y</v>
      </c>
      <c r="YS113" s="693" t="str">
        <f t="shared" si="145"/>
        <v>Y</v>
      </c>
      <c r="YT113" s="693" t="str">
        <f t="shared" si="145"/>
        <v>Y</v>
      </c>
      <c r="YU113" s="693" t="str">
        <f t="shared" si="145"/>
        <v>Y</v>
      </c>
      <c r="YV113" s="693" t="str">
        <f t="shared" si="145"/>
        <v>Y</v>
      </c>
      <c r="YW113" s="693" t="str">
        <f t="shared" si="145"/>
        <v>Y</v>
      </c>
      <c r="YX113" s="693" t="str">
        <f t="shared" si="145"/>
        <v>Y</v>
      </c>
      <c r="YY113" s="693" t="str">
        <f t="shared" si="145"/>
        <v>Y</v>
      </c>
      <c r="YZ113" s="693" t="str">
        <f t="shared" si="145"/>
        <v>Y</v>
      </c>
      <c r="ZA113" s="693" t="str">
        <f t="shared" si="145"/>
        <v>Y</v>
      </c>
      <c r="ZB113" s="693" t="str">
        <f t="shared" si="145"/>
        <v>Y</v>
      </c>
      <c r="ZC113" s="693" t="str">
        <f t="shared" si="145"/>
        <v>Y</v>
      </c>
      <c r="ZD113" s="693" t="str">
        <f t="shared" si="145"/>
        <v>Y</v>
      </c>
      <c r="ZE113" s="693" t="str">
        <f t="shared" si="145"/>
        <v>Y</v>
      </c>
      <c r="ZF113" s="693" t="str">
        <f t="shared" si="145"/>
        <v>Y</v>
      </c>
      <c r="ZG113" s="693" t="str">
        <f t="shared" si="145"/>
        <v>Y</v>
      </c>
      <c r="ZH113" s="693" t="str">
        <f t="shared" si="145"/>
        <v>Y</v>
      </c>
      <c r="ZI113" s="693" t="str">
        <f t="shared" si="145"/>
        <v>Y</v>
      </c>
      <c r="ZJ113" s="693" t="str">
        <f t="shared" si="145"/>
        <v>Y</v>
      </c>
      <c r="ZK113" s="693" t="str">
        <f t="shared" si="145"/>
        <v>Y</v>
      </c>
      <c r="ZL113" s="693" t="str">
        <f t="shared" si="145"/>
        <v>Y</v>
      </c>
      <c r="ZM113" s="693" t="str">
        <f t="shared" si="145"/>
        <v>Y</v>
      </c>
      <c r="ZN113" s="693" t="str">
        <f t="shared" si="145"/>
        <v>Y</v>
      </c>
      <c r="ZO113" s="693" t="str">
        <f t="shared" si="145"/>
        <v>Y</v>
      </c>
      <c r="ZP113" s="693" t="str">
        <f t="shared" si="145"/>
        <v>Y</v>
      </c>
      <c r="ZQ113" s="693" t="str">
        <f t="shared" si="145"/>
        <v>Y</v>
      </c>
      <c r="ZR113" s="693" t="str">
        <f t="shared" si="145"/>
        <v>Y</v>
      </c>
      <c r="ZS113" s="693" t="str">
        <f t="shared" ref="ZS113:AAS113" si="146">IF($AEE$154&lt;0,"Ошибка",
IF(OR(AND($AEE$154&gt;ZS80,ZS80&gt;$ADU$203),ZS80 = $AEE$154),$AEC$154,
IF(OR(AND($AEE$155&gt;ZS80,ZS80&gt;$AEE$154),ZS80 = $AEE$155),$AEC$155,
IF(OR(AND($AEE$156&gt;ZS80,ZS80&gt;$AEE$155),ZS80 = $AEE$156),$AEC$156,
IF(OR(AND($AEE$157&gt;ZS80,ZS80&gt;$AEE$156),ZS80 = $AEE$157),$AEC$157,
IF(OR(AND($AEE$158&gt;ZS80,ZS80&gt;$AEE$157),ZS80 = $AEE$158),$AEC$158,
IF(OR(AND($AEE$159&gt;ZS80,ZS80&gt;$AEE$158),ZS80 = $AEE$159),$AEC$159,
IF(OR(AND($AEE$160&gt;ZS80,ZS80&gt;$AEE$159),ZS80 = $AEE$160),$AEC$160,
IF(OR(AND($AEE$161&gt;ZS80,ZS80&gt;$AEE$160),ZS80 = $AEE$161),$AEC$161,
IF(OR(AND($AEE$162&gt;ZS80,ZS80&gt;$AEE$161),ZS80 = $AEE$162),$AEC$162,
IF(OR(AND($AEE$163&gt;ZS80,ZS80&gt;$AEE$162),ZS80 = $AEE$163),$AEC$163,
IF(OR(AND($AEE$164&gt;ZS80,ZS80&gt;$AEE$163),ZS80 = $AEE$164),$AEC$164,
IF(OR(AND($AEE$165&gt;ZS80,ZS80&gt;$AEE$164),ZS80 = $AEE$165),$AEC$165,
IF(OR(AND($AEE$166&gt;ZS80,ZS80&gt;$AEE$165),ZS80 = $AEE$166),$AEC$166,
IF(OR(AND($AEE$167&gt;ZS80,ZS80&gt;$AEE$166),ZS80 = $AEE$167),$AEC$167,
IF(OR(AND($AEE$168&gt;ZS80,ZS80&gt;$AEE$167),ZS80 = $AEE$168),$AEC$168,
IF(OR(AND($AEE$169&gt;ZS80,ZS80&gt;$AEE$168),ZS80 = $AEE$169),$AEC$169,
IF(OR(AND($AEE$170&gt;ZS80,ZS80&gt;$AEE$169),ZS80 = $AEE$170),$AEC$170,
IF(OR(AND($AEE$171&gt;ZS80,ZS80&gt;$AEE$170),ZS80 = $AEE$171),$AEC$171,
IF(OR(AND($AEE$172&gt;ZS80,ZS80&gt;$AEE$171),ZS80 = $AEE$172),$AEC$172,
IF(OR(AND($AEE$173&gt;ZS80,ZS80&gt;$AEE$172),ZS80 = $AEE$173),$AEC$173,
IF(OR(AND($AEE$174&gt;ZS80,ZS80&gt;$AEE$173),ZS80 = $AEE$174),$AEC$174,
IF(OR(AND($AEE$175&gt;ZS80,ZS80&gt;$AEE$174),ZS80 = $AEE$175),$AEC$175,
IF(OR(AND($AEE$176&gt;ZS80,ZS80&gt;$AEE$175),ZS80 = $AEE$176),$AEC$176,
IF(OR(AND($AEE$177&gt;ZS80,ZS80&gt;$AEE$176),ZS80 = $AEE$177),$AEC$177,
IF(OR(AND($AEE$178&gt;ZS80,ZS80&gt;$AEE$177),ZS80 = $AEE$178),$AEC$178,
IF(OR(AND($AEE$179&gt;ZS80,ZS80&gt;$AEE$178),ZS80 = $AEE$179),$AEC$179,
IF(OR(AND($AEE$180&gt;ZS80,ZS80&gt;$AEE$179),ZS80 = $AEE$180),$AEC$180,
IF(OR(AND($AEE$181&gt;ZS80,ZS80&gt;$AEE$180),ZS80 = $AEE$181),$AEC$181,
IF(OR(AND($AEE$182&gt;ZS80,ZS80&gt;$AEE$181),ZS80 = $AEE$182),$AEC$182,
IF(OR(AND($AEE$183&gt;ZS80,ZS80&gt;$AEE$182),ZS80 = $AEE$183),$AEC$183,
IF(OR(AND($AEE$184&gt;ZS80,ZS80&gt;$AEE$183),ZS80 = $AEE$184),$AEC$184,
IF(OR(AND($AEE$185&gt;ZS80,ZS80&gt;$AEE$184),ZS80 = $AEE$185),$AEC$185,
IF(OR(AND($AEE$186&gt;ZS80,ZS80&gt;$AEE$185),ZS80 = $AEE$186),$AEC$186,
IF(OR(AND($AEE$187&gt;ZS80,ZS80&gt;$AEE$186),ZS80 = $AEE$187),$AEC$187,
IF(OR(AND($AEE$188&gt;ZS80,ZS80&gt;$AEE$187),ZS80 = $AEE$188),$AEC$188,
IF(OR(AND($AEE$189&gt;ZS80,ZS80&gt;$AEE$188),ZS80 = $AEE$189),$AEC$189,
IF(OR(AND($AEE$190&gt;ZS80,ZS80&gt;$AEE$189),ZS80 = $AEE$190),$AEC$190,
IF(OR(AND($AEE$191&gt;ZS80,ZS80&gt;$AEE$190),ZS80 = $AEE$191),$AEC$191,
IF(OR(AND($AEE$192&gt;ZS80,ZS80&gt;$AEE$191),ZS80 = $AEE$192),$AEC$192,
IF(OR(AND($AEE$193&gt;ZS80,ZS80&gt;$AEE$192),ZS80 = $AEE$193),$AEC$193,
IF(OR(AND($AEE$194&gt;ZS80,ZS80&gt;$AEE$193),ZS80 = $AEE$194),$AEC$194,
IF(OR(AND($AEE$195&gt;ZS80,ZS80&gt;$AEE$194),ZS80 = $AEE$195),$AEC$195,
IF(OR(AND($AEE$196&gt;ZS80,ZS80&gt;$AEE$195),ZS80 = $AEE$196),$AEC$196,
IF(OR(AND($AEE$197&gt;ZS80,ZS80&gt;$AEE$196),ZS80 = $AEE$197),$AEC$197,
IF(OR(AND($AEE$198&gt;ZS80,ZS80&gt;$AEE$197),ZS80 = $AEE$198),$AEC$198,
IF(OR(AND($AEE$199&gt;ZS80,ZS80&gt;$AEE$198),ZS80 = $AEE$199),$AEC$199,
IF(OR(AND($AEE$200&gt;ZS80,ZS80&gt;$AEE$199),ZS80 = $AEE$200),$AEC$200,
IF(OR(AND($AEE$201&gt;ZS80,ZS80&gt;$AEE$200),ZS80 = $AEE$201),$AEC$201,
IF(OR(AND($AEE$202&gt;ZS80,ZS80&gt;$AEE$201),ZS80 = $AEE$202),$AEC$202,
IF(OR(AND($AEE$203&gt;ZS80,ZS80&gt;$AEE$202),ZS80 = $AEE$203),$AEC$203,
"Y")))))))))))))))))))))))))))))))))))))))))))))))))))</f>
        <v>Y</v>
      </c>
      <c r="ZT113" s="693" t="str">
        <f t="shared" si="146"/>
        <v>Y</v>
      </c>
      <c r="ZU113" s="693" t="str">
        <f t="shared" si="146"/>
        <v>Y</v>
      </c>
      <c r="ZV113" s="693" t="str">
        <f t="shared" si="146"/>
        <v>Y</v>
      </c>
      <c r="ZW113" s="693" t="str">
        <f t="shared" si="146"/>
        <v>Y</v>
      </c>
      <c r="ZX113" s="693" t="str">
        <f t="shared" si="146"/>
        <v>Y</v>
      </c>
      <c r="ZY113" s="693" t="str">
        <f t="shared" si="146"/>
        <v>Y</v>
      </c>
      <c r="ZZ113" s="693" t="str">
        <f t="shared" si="146"/>
        <v>Y</v>
      </c>
      <c r="AAA113" s="693" t="str">
        <f t="shared" si="146"/>
        <v>Y</v>
      </c>
      <c r="AAB113" s="693" t="str">
        <f t="shared" si="146"/>
        <v>Y</v>
      </c>
      <c r="AAC113" s="693" t="str">
        <f t="shared" si="146"/>
        <v>Y</v>
      </c>
      <c r="AAD113" s="693" t="str">
        <f t="shared" si="146"/>
        <v>Y</v>
      </c>
      <c r="AAE113" s="693" t="str">
        <f t="shared" si="146"/>
        <v>Y</v>
      </c>
      <c r="AAF113" s="693" t="str">
        <f t="shared" si="146"/>
        <v>Y</v>
      </c>
      <c r="AAG113" s="693" t="str">
        <f t="shared" si="146"/>
        <v>Y</v>
      </c>
      <c r="AAH113" s="693" t="str">
        <f t="shared" si="146"/>
        <v>Y</v>
      </c>
      <c r="AAI113" s="693" t="str">
        <f t="shared" si="146"/>
        <v>Y</v>
      </c>
      <c r="AAJ113" s="693" t="str">
        <f t="shared" si="146"/>
        <v>Y</v>
      </c>
      <c r="AAK113" s="693" t="str">
        <f t="shared" si="146"/>
        <v>Y</v>
      </c>
      <c r="AAL113" s="693" t="str">
        <f t="shared" si="146"/>
        <v>Y</v>
      </c>
      <c r="AAM113" s="693" t="str">
        <f t="shared" si="146"/>
        <v>Y</v>
      </c>
      <c r="AAN113" s="693" t="str">
        <f t="shared" si="146"/>
        <v>Y</v>
      </c>
      <c r="AAO113" s="693" t="str">
        <f t="shared" si="146"/>
        <v>Y</v>
      </c>
      <c r="AAP113" s="693" t="str">
        <f t="shared" si="146"/>
        <v>Y</v>
      </c>
      <c r="AAQ113" s="693" t="str">
        <f t="shared" si="146"/>
        <v>Y</v>
      </c>
      <c r="AAR113" s="693" t="str">
        <f t="shared" si="146"/>
        <v>Y</v>
      </c>
      <c r="AAS113" s="693" t="str">
        <f t="shared" si="146"/>
        <v>Y</v>
      </c>
      <c r="AAT113" s="1006"/>
      <c r="AAU113" s="960"/>
      <c r="AAV113" s="1101"/>
      <c r="AAW113" s="1101"/>
      <c r="AAX113" s="1101"/>
      <c r="AAY113" s="1101"/>
      <c r="AAZ113" s="1101"/>
      <c r="ABA113" s="1101"/>
      <c r="ABB113" s="1101"/>
      <c r="ABC113" s="1101"/>
      <c r="ABD113" s="1101"/>
      <c r="ABE113" s="1101"/>
      <c r="ABF113" s="1101"/>
      <c r="ABG113" s="1101"/>
      <c r="ABH113" s="961"/>
      <c r="ABI113" s="158"/>
      <c r="ABJ113" s="158"/>
      <c r="ABK113" s="158"/>
      <c r="ABL113" s="158"/>
      <c r="ABM113" s="158"/>
      <c r="ABN113" s="158"/>
      <c r="ABO113" s="158"/>
      <c r="ABP113" s="163"/>
      <c r="ABW113" s="1516"/>
      <c r="ABX113" s="1517"/>
      <c r="ABY113" s="1517"/>
      <c r="ABZ113" s="1517"/>
      <c r="ACA113" s="1517"/>
      <c r="ACB113" s="1517"/>
      <c r="ACC113" s="1517"/>
      <c r="ACD113" s="1517"/>
      <c r="ACE113" s="1517"/>
      <c r="ACF113" s="1517"/>
      <c r="ACG113" s="1517"/>
      <c r="ACH113" s="1518"/>
      <c r="ACJ113" s="759">
        <v>0.5</v>
      </c>
      <c r="ACK113" s="760"/>
      <c r="ACL113" s="759">
        <v>-0.5</v>
      </c>
      <c r="ACM113" s="760"/>
      <c r="ACN113" s="591">
        <v>29</v>
      </c>
      <c r="ACO113" s="759">
        <f t="shared" si="91"/>
        <v>0.14500000000000002</v>
      </c>
      <c r="ACP113" s="760"/>
      <c r="ACQ113" s="757">
        <f t="shared" si="82"/>
        <v>1.29</v>
      </c>
      <c r="ACR113" s="758"/>
      <c r="ACT113" s="759">
        <v>1.5454545454545501</v>
      </c>
      <c r="ACU113" s="760"/>
      <c r="ACV113" s="759">
        <v>-2.1818181818181799</v>
      </c>
      <c r="ACW113" s="760"/>
      <c r="ACX113" s="591">
        <v>79</v>
      </c>
      <c r="ACY113" s="759">
        <f t="shared" si="92"/>
        <v>0.58454545454546469</v>
      </c>
      <c r="ACZ113" s="760"/>
      <c r="ADA113" s="757">
        <f t="shared" si="83"/>
        <v>1.79</v>
      </c>
      <c r="ADB113" s="758"/>
      <c r="ADD113" s="759">
        <v>1.5454545454545501</v>
      </c>
      <c r="ADE113" s="760"/>
      <c r="ADF113" s="759">
        <v>-2.1818181818181799</v>
      </c>
      <c r="ADG113" s="760"/>
      <c r="ADH113" s="591">
        <v>128</v>
      </c>
      <c r="ADI113" s="759">
        <f t="shared" si="93"/>
        <v>1.3418181818181947</v>
      </c>
      <c r="ADJ113" s="760"/>
      <c r="ADK113" s="757">
        <f t="shared" si="84"/>
        <v>2.2800000000000002</v>
      </c>
      <c r="ADL113" s="758"/>
      <c r="ADN113" s="759">
        <v>1.5454545454545501</v>
      </c>
      <c r="ADO113" s="760"/>
      <c r="ADP113" s="759">
        <v>-2.1818181818181799</v>
      </c>
      <c r="ADQ113" s="760"/>
      <c r="ADR113" s="591">
        <v>178</v>
      </c>
      <c r="ADS113" s="759">
        <f t="shared" si="94"/>
        <v>2.1145454545454694</v>
      </c>
      <c r="ADT113" s="760"/>
      <c r="ADU113" s="757">
        <f t="shared" si="85"/>
        <v>2.7800000000000002</v>
      </c>
      <c r="ADV113" s="758"/>
      <c r="ADW113" s="653"/>
      <c r="ADX113" s="759">
        <v>1.5454545454545501</v>
      </c>
      <c r="ADY113" s="760"/>
      <c r="ADZ113" s="759">
        <v>-2.1818181818181799</v>
      </c>
      <c r="AEA113" s="760"/>
      <c r="AEB113" s="591">
        <v>228</v>
      </c>
      <c r="AEC113" s="759">
        <f t="shared" si="134"/>
        <v>2.8872727272727445</v>
      </c>
      <c r="AED113" s="760"/>
      <c r="AEE113" s="757">
        <f t="shared" si="86"/>
        <v>3.2800000000000002</v>
      </c>
      <c r="AEF113" s="758"/>
      <c r="AEH113" s="759">
        <v>1.5454545454545501</v>
      </c>
      <c r="AEI113" s="760"/>
      <c r="AEJ113" s="759">
        <v>-2.1818181818181799</v>
      </c>
      <c r="AEK113" s="760"/>
      <c r="AEL113" s="591">
        <v>278</v>
      </c>
      <c r="AEM113" s="759">
        <f t="shared" si="101"/>
        <v>3.6600000000000197</v>
      </c>
      <c r="AEN113" s="760"/>
      <c r="AEO113" s="757">
        <f t="shared" si="87"/>
        <v>3.7800000000000002</v>
      </c>
      <c r="AEP113" s="758"/>
      <c r="AHO113" s="130"/>
      <c r="AHP113" s="130"/>
      <c r="AHQ113" s="130"/>
      <c r="AQO113" s="850"/>
      <c r="AQP113" s="856"/>
      <c r="AQQ113" s="856"/>
      <c r="AQR113" s="856"/>
      <c r="AQS113" s="856"/>
      <c r="AQT113" s="856"/>
      <c r="AQU113" s="856"/>
      <c r="AQV113" s="856"/>
      <c r="AQW113" s="856"/>
      <c r="AQX113" s="856"/>
      <c r="AQY113" s="856"/>
      <c r="AQZ113" s="856"/>
      <c r="ARA113" s="856"/>
      <c r="ARB113" s="856"/>
      <c r="ARC113" s="835"/>
      <c r="ARD113" s="836"/>
      <c r="ARE113" s="839"/>
      <c r="ARF113" s="840"/>
      <c r="ARG113" s="841"/>
      <c r="ARH113" s="843"/>
      <c r="ARI113" s="844"/>
      <c r="ARJ113" s="847"/>
      <c r="ARK113" s="653"/>
      <c r="ARL113" s="653"/>
      <c r="ARM113" s="653"/>
      <c r="ARN113" s="653"/>
      <c r="ARO113" s="653"/>
      <c r="ARR113" s="199"/>
    </row>
    <row r="114" spans="60:920 1133:1226" ht="48" customHeight="1" thickBot="1">
      <c r="BW114" s="653"/>
      <c r="DL114" s="653"/>
      <c r="DM114" s="653"/>
      <c r="DN114" s="653"/>
      <c r="DO114" s="653"/>
      <c r="DP114" s="653"/>
      <c r="DQ114" s="653"/>
      <c r="DR114" s="130"/>
      <c r="DS114" s="130"/>
      <c r="DT114" s="130"/>
      <c r="DU114" s="130"/>
      <c r="DV114" s="130"/>
      <c r="DW114" s="130"/>
      <c r="FH114" s="653"/>
      <c r="FI114" s="653"/>
      <c r="FJ114" s="653"/>
      <c r="FK114" s="653"/>
      <c r="FL114" s="653"/>
      <c r="FM114" s="653"/>
      <c r="FN114" s="653"/>
      <c r="FO114" s="126"/>
      <c r="FP114" s="126"/>
      <c r="FQ114" s="126"/>
      <c r="FR114" s="126"/>
      <c r="FS114" s="126"/>
      <c r="FT114" s="126"/>
      <c r="FU114" s="126"/>
      <c r="FV114" s="126"/>
      <c r="FW114" s="126"/>
      <c r="FX114" s="126"/>
      <c r="GF114" s="849"/>
      <c r="GG114" s="852" t="s">
        <v>416</v>
      </c>
      <c r="GH114" s="923"/>
      <c r="GI114" s="138"/>
      <c r="GJ114" s="76" t="s">
        <v>441</v>
      </c>
      <c r="GK114" s="854" t="s">
        <v>435</v>
      </c>
      <c r="GL114" s="1111"/>
      <c r="GM114" s="924" t="s">
        <v>111</v>
      </c>
      <c r="GN114" s="925"/>
      <c r="GO114" s="916" t="s">
        <v>704</v>
      </c>
      <c r="GP114" s="917"/>
      <c r="GQ114" s="906" t="s">
        <v>447</v>
      </c>
      <c r="GR114" s="907"/>
      <c r="GS114" s="907"/>
      <c r="GT114" s="908"/>
      <c r="GU114" s="1051" t="s">
        <v>436</v>
      </c>
      <c r="GV114" s="1051"/>
      <c r="GW114" s="1051"/>
      <c r="GX114" s="1051"/>
      <c r="IE114" s="130"/>
      <c r="IF114" s="130"/>
      <c r="IG114" s="130"/>
      <c r="IH114" s="130"/>
      <c r="II114" s="130"/>
      <c r="IJ114" s="3"/>
      <c r="IK114" s="3"/>
      <c r="JT114" s="130"/>
      <c r="JU114" s="653"/>
      <c r="JV114" s="653"/>
      <c r="JW114" s="130"/>
      <c r="JX114" s="130"/>
      <c r="JY114" s="130"/>
      <c r="LJ114" s="653"/>
      <c r="LK114" s="653"/>
      <c r="LL114" s="653"/>
      <c r="LM114" s="653"/>
      <c r="LN114" s="653"/>
      <c r="LO114" s="653"/>
      <c r="LP114" s="653"/>
      <c r="LQ114" s="653"/>
      <c r="LR114" s="653"/>
      <c r="LX114" s="377"/>
      <c r="LY114" s="373"/>
      <c r="LZ114" s="373"/>
      <c r="MA114" s="373"/>
      <c r="MB114" s="373"/>
      <c r="MC114" s="373"/>
      <c r="MD114" s="1839" t="s">
        <v>911</v>
      </c>
      <c r="ME114" s="1840"/>
      <c r="MF114" s="791" t="s">
        <v>1773</v>
      </c>
      <c r="MG114" s="792"/>
      <c r="MH114" s="792"/>
      <c r="MI114" s="792"/>
      <c r="MJ114" s="938"/>
      <c r="MK114" s="373"/>
      <c r="ML114" s="373"/>
      <c r="MM114" s="373"/>
      <c r="MN114" s="373"/>
      <c r="MO114" s="373"/>
      <c r="MP114" s="373"/>
      <c r="MQ114" s="373"/>
      <c r="MR114" s="373"/>
      <c r="MS114" s="373"/>
      <c r="MT114" s="373"/>
      <c r="MU114" s="373"/>
      <c r="MV114" s="373"/>
      <c r="MW114" s="373"/>
      <c r="MX114" s="373"/>
      <c r="MY114" s="373"/>
      <c r="MZ114" s="373"/>
      <c r="NA114" s="373"/>
      <c r="NB114" s="373"/>
      <c r="NC114" s="373"/>
      <c r="ND114" s="373"/>
      <c r="NE114" s="373"/>
      <c r="NF114" s="373"/>
      <c r="NG114" s="373"/>
      <c r="NH114" s="373"/>
      <c r="NI114" s="373"/>
      <c r="NJ114" s="373"/>
      <c r="NK114" s="373"/>
      <c r="NL114" s="373"/>
      <c r="NM114" s="373"/>
      <c r="NN114" s="373"/>
      <c r="NO114" s="1839" t="s">
        <v>911</v>
      </c>
      <c r="NP114" s="1840"/>
      <c r="NQ114" s="791" t="s">
        <v>1773</v>
      </c>
      <c r="NR114" s="792"/>
      <c r="NS114" s="792"/>
      <c r="NT114" s="792"/>
      <c r="NU114" s="938"/>
      <c r="NV114" s="373"/>
      <c r="NW114" s="373"/>
      <c r="NX114" s="373"/>
      <c r="NY114" s="373"/>
      <c r="NZ114" s="373"/>
      <c r="OA114" s="373"/>
      <c r="OB114" s="158"/>
      <c r="OC114" s="158"/>
      <c r="OD114" s="158"/>
      <c r="OE114" s="158"/>
      <c r="OF114" s="158"/>
      <c r="OG114" s="158"/>
      <c r="OH114" s="158"/>
      <c r="OI114" s="373"/>
      <c r="OJ114" s="373"/>
      <c r="OK114" s="373"/>
      <c r="OL114" s="373"/>
      <c r="OM114" s="373"/>
      <c r="ON114" s="373"/>
      <c r="OO114" s="373"/>
      <c r="OP114" s="373"/>
      <c r="OQ114" s="373"/>
      <c r="OR114" s="373"/>
      <c r="OS114" s="373"/>
      <c r="OT114" s="373"/>
      <c r="OU114" s="374"/>
      <c r="OY114" s="130"/>
      <c r="OZ114" s="130"/>
      <c r="PF114" s="130"/>
      <c r="RE114" s="653"/>
      <c r="RF114" s="653"/>
      <c r="RG114" s="653"/>
      <c r="RH114" s="653"/>
      <c r="RI114" s="653"/>
      <c r="RJ114" s="653"/>
      <c r="RK114" s="653"/>
      <c r="RL114" s="653"/>
      <c r="RM114" s="653"/>
      <c r="RN114" s="653"/>
      <c r="RO114" s="653"/>
      <c r="RP114" s="653"/>
      <c r="RQ114" s="653"/>
      <c r="RR114" s="653"/>
      <c r="RS114" s="653"/>
      <c r="RT114" s="653"/>
      <c r="RU114" s="653"/>
      <c r="RV114" s="653"/>
      <c r="RW114" s="653"/>
      <c r="RX114" s="653"/>
      <c r="RY114" s="653"/>
      <c r="RZ114" s="653"/>
      <c r="SA114" s="653"/>
      <c r="SB114" s="653"/>
      <c r="SC114" s="653"/>
      <c r="SD114" s="653"/>
      <c r="SE114" s="653"/>
      <c r="SF114" s="653"/>
      <c r="SG114" s="653"/>
      <c r="SH114" s="653"/>
      <c r="SI114" s="653"/>
      <c r="SJ114" s="653"/>
      <c r="SK114" s="653"/>
      <c r="SL114" s="653"/>
      <c r="SM114" s="653"/>
      <c r="SN114" s="653"/>
      <c r="SO114" s="653"/>
      <c r="SP114" s="653"/>
      <c r="SQ114" s="653"/>
      <c r="SR114" s="653"/>
      <c r="SS114" s="653"/>
      <c r="ST114" s="653"/>
      <c r="SU114" s="653"/>
      <c r="SV114" s="653"/>
      <c r="SW114" s="653"/>
      <c r="SX114" s="653"/>
      <c r="SY114" s="653"/>
      <c r="SZ114" s="653"/>
      <c r="TA114" s="653"/>
      <c r="TB114" s="653"/>
      <c r="TC114" s="653"/>
      <c r="TD114" s="653"/>
      <c r="TE114" s="653"/>
      <c r="TF114" s="653"/>
      <c r="TG114" s="653"/>
      <c r="TH114" s="653"/>
      <c r="TI114" s="653"/>
      <c r="TJ114" s="653"/>
      <c r="TK114" s="653"/>
      <c r="TL114" s="653"/>
      <c r="TM114" s="653"/>
      <c r="TN114" s="653"/>
      <c r="TO114" s="653"/>
      <c r="TP114" s="653"/>
      <c r="TQ114" s="653"/>
      <c r="TR114" s="653"/>
      <c r="TS114" s="653"/>
      <c r="TT114" s="653"/>
      <c r="TU114" s="653"/>
      <c r="TV114" s="653"/>
      <c r="TW114" s="653"/>
      <c r="TX114" s="653"/>
      <c r="TY114" s="653"/>
      <c r="TZ114" s="653"/>
      <c r="UA114" s="653"/>
      <c r="UB114" s="653"/>
      <c r="UC114" s="653"/>
      <c r="UD114" s="653"/>
      <c r="UE114" s="653"/>
      <c r="UF114" s="653"/>
      <c r="UG114" s="653"/>
      <c r="UH114" s="653"/>
      <c r="UI114" s="653"/>
      <c r="UJ114" s="653"/>
      <c r="UK114" s="653"/>
      <c r="UL114" s="653"/>
      <c r="UM114" s="653"/>
      <c r="UN114" s="653"/>
      <c r="UO114" s="653"/>
      <c r="UP114" s="653"/>
      <c r="UQ114" s="653"/>
      <c r="UR114" s="653"/>
      <c r="US114" s="653"/>
      <c r="UT114" s="653"/>
      <c r="UU114" s="653"/>
      <c r="UV114" s="653"/>
      <c r="UW114" s="653"/>
      <c r="UX114" s="653"/>
      <c r="UY114" s="653"/>
      <c r="UZ114" s="653"/>
      <c r="WE114" s="996"/>
      <c r="WF114" s="997"/>
      <c r="WG114" s="175"/>
      <c r="WH114" s="173"/>
      <c r="WI114" s="173"/>
      <c r="WJ114" s="173"/>
      <c r="WK114" s="173"/>
      <c r="WL114" s="173"/>
      <c r="WM114" s="173"/>
      <c r="WN114" s="173"/>
      <c r="WO114" s="173"/>
      <c r="WP114" s="173"/>
      <c r="WQ114" s="173"/>
      <c r="WR114" s="173"/>
      <c r="WS114" s="173"/>
      <c r="WT114" s="173"/>
      <c r="WU114" s="173"/>
      <c r="WV114" s="173"/>
      <c r="WW114" s="173"/>
      <c r="WX114" s="173"/>
      <c r="WY114" s="174"/>
      <c r="WZ114" s="1085"/>
      <c r="XA114" s="1085"/>
      <c r="XB114" s="175"/>
      <c r="XC114" s="173"/>
      <c r="XD114" s="173"/>
      <c r="XE114" s="173"/>
      <c r="XF114" s="174"/>
      <c r="XG114" s="693" t="str">
        <f t="shared" ref="XG114:YL114" si="147">IF($AEO$154&lt;0,"Ошибка",
IF(OR(AND($AEO$154&gt;XG80,XG80&gt;$AEE$203),XG80 = $AEO$154),$AEM$154,
IF(OR(AND($AEO$155&gt;XG80,XG80&gt;$AEO$154),XG80 = $AEO$155),$AEM$155,
IF(OR(AND($AEO$156&gt;XG80,XG80&gt;$AEO$155),XG80 = $AEO$156),$AEM$156,
IF(OR(AND($AEO$157&gt;XG80,XG80&gt;$AEO$156),XG80 = $AEO$157),$AEM$157,
IF(OR(AND($AEO$158&gt;XG80,XG80&gt;$AEO$157),XG80 = $AEO$158),$AEM$158,
IF(OR(AND($AEO$159&gt;XG80,XG80&gt;$AEO$158),XG80 = $AEO$159),$AEM$159,
IF(OR(AND($AEO$160&gt;XG80,XG80&gt;$AEO$159),XG80 = $AEO$160),$AEM$160,
IF(OR(AND($AEO$161&gt;XG80,XG80&gt;$AEO$160),XG80 = $AEO$161),$AEM$161,
IF(OR(AND($AEO$162&gt;XG80,XG80&gt;$AEO$161),XG80 = $AEO$162),$AEM$162,
IF(OR(AND($AEO$163&gt;XG80,XG80&gt;$AEO$162),XG80 = $AEO$163),$AEM$163,
IF(OR(AND($AEO$164&gt;XG80,XG80&gt;$AEO$163),XG80 = $AEO$164),$AEM$164,
IF(OR(AND($AEO$165&gt;XG80,XG80&gt;$AEO$164),XG80 = $AEO$165),$AEM$165,
IF(OR(AND($AEO$166&gt;XG80,XG80&gt;$AEO$165),XG80 = $AEO$166),$AEM$166,
IF(OR(AND($AEO$167&gt;XG80,XG80&gt;$AEO$166),XG80 = $AEO$167),$AEM$167,
IF(OR(AND($AEO$168&gt;XG80,XG80&gt;$AEO$167),XG80 = $AEO$168),$AEM$168,
IF(OR(AND($AEO$169&gt;XG80,XG80&gt;$AEO$168),XG80 = $AEO$169),$AEM$169,
IF(OR(AND($AEO$170&gt;XG80,XG80&gt;$AEO$169),XG80 = $AEO$170),$AEM$170,
IF(OR(AND($AEO$171&gt;XG80,XG80&gt;$AEO$170),XG80 = $AEO$171),$AEM$171,
IF(OR(AND($AEO$172&gt;XG80,XG80&gt;$AEO$171),XG80 = $AEO$172),$AEM$172,
IF(OR(AND($AEO$173&gt;XG80,XG80&gt;$AEO$172),XG80 = $AEO$173),$AEM$173,
IF(OR(AND($AEO$174&gt;XG80,XG80&gt;$AEO$173),XG80 = $AEO$174),$AEM$174,
IF(OR(AND($AEO$175&gt;XG80,XG80&gt;$AEO$174),XG80 = $AEO$175),$AEM$175,
IF(OR(AND($AEO$176&gt;XG80,XG80&gt;$AEO$175),XG80 = $AEO$176),$AEM$176,
IF(OR(AND($AEO$177&gt;XG80,XG80&gt;$AEO$176),XG80 = $AEO$177),$AEM$177,
IF(OR(AND($AEO$178&gt;XG80,XG80&gt;$AEO$177),XG80 = $AEO$178),$AEM$178,
IF(OR(AND($AEO$179&gt;XG80,XG80&gt;$AEO$178),XG80 = $AEO$179),$AEM$179,
IF(OR(AND($AEO$180&gt;XG80,XG80&gt;$AEO$179),XG80 = $AEO$180),$AEM$180,
IF(OR(AND($AEO$181&gt;XG80,XG80&gt;$AEO$180),XG80 = $AEO$181),$AEM$181,
IF(OR(AND($AEO$182&gt;XG80,XG80&gt;$AEO$181),XG80 = $AEO$182),$AEM$182,
IF(OR(AND($AEO$183&gt;XG80,XG80&gt;$AEO$182),XG80 = $AEO$183),$AEM$183,
IF(OR(AND($AEO$184&gt;XG80,XG80&gt;$AEO$183),XG80 = $AEO$184),$AEM$184,
IF(OR(AND($AEO$185&gt;XG80,XG80&gt;$AEO$184),XG80 = $AEO$185),$AEM$185,
IF(OR(AND($AEO$186&gt;XG80,XG80&gt;$AEO$185),XG80 = $AEO$186),$AEM$186,
IF(OR(AND($AEO$187&gt;XG80,XG80&gt;$AEO$186),XG80 = $AEO$187),$AEM$187,
IF(OR(AND($AEO$188&gt;XG80,XG80&gt;$AEO$187),XG80 = $AEO$188),$AEM$188,
IF(OR(AND($AEO$189&gt;XG80,XG80&gt;$AEO$188),XG80 = $AEO$189),$AEM$189,
IF(OR(AND($AEO$190&gt;XG80,XG80&gt;$AEO$189),XG80 = $AEO$190),$AEM$190,
IF(OR(AND($AEO$191&gt;XG80,XG80&gt;$AEO$190),XG80 = $AEO$191),$AEM$191,
IF(OR(AND($AEO$192&gt;XG80,XG80&gt;$AEO$191),XG80 = $AEO$192),$AEM$192,
IF(OR(AND($AEO$193&gt;XG80,XG80&gt;$AEO$192),XG80 = $AEO$193),$AEM$193,
IF(OR(AND($AEO$194&gt;XG80,XG80&gt;$AEO$193),XG80 = $AEO$194),$AEM$194,
IF(OR(AND($AEO$195&gt;XG80,XG80&gt;$AEO$194),XG80 = $AEO$195),$AEM$195,
IF(OR(AND($AEO$196&gt;XG80,XG80&gt;$AEO$195),XG80 = $AEO$196),$AEM$196,
IF(OR(AND($AEO$197&gt;XG80,XG80&gt;$AEO$196),XG80 = $AEO$197),$AEM$197,
IF(OR(AND($AEO$198&gt;XG80,XG80&gt;$AEO$197),XG80 = $AEO$198),$AEM$198,
IF(OR(AND($AEO$199&gt;XG80,XG80&gt;$AEO$198),XG80 = $AEO$199),$AEM$199,
IF(OR(AND($AEO$200&gt;XG80,XG80&gt;$AEO$199),XG80 = $AEO$200),$AEM$200,
IF(OR(AND($AEO$201&gt;XG80,XG80&gt;$AEO$200),XG80 = $AEO$201),$AEM$201,
IF(OR(AND($AEO$202&gt;XG80,XG80&gt;$AEO$201),XG80 = $AEO$202),$AEM$202,
IF(OR(AND($AEO$203&gt;XG80,XG80&gt;$AEO$202),XG80 = $AEO$203),$AEM$203,
"Y")))))))))))))))))))))))))))))))))))))))))))))))))))</f>
        <v>Y</v>
      </c>
      <c r="XH114" s="693" t="str">
        <f t="shared" si="147"/>
        <v>Y</v>
      </c>
      <c r="XI114" s="693" t="str">
        <f t="shared" si="147"/>
        <v>Y</v>
      </c>
      <c r="XJ114" s="693" t="str">
        <f t="shared" si="147"/>
        <v>Y</v>
      </c>
      <c r="XK114" s="693" t="str">
        <f t="shared" si="147"/>
        <v>Y</v>
      </c>
      <c r="XL114" s="693" t="str">
        <f t="shared" si="147"/>
        <v>Y</v>
      </c>
      <c r="XM114" s="693" t="str">
        <f t="shared" si="147"/>
        <v>Y</v>
      </c>
      <c r="XN114" s="693" t="str">
        <f t="shared" si="147"/>
        <v>Y</v>
      </c>
      <c r="XO114" s="693" t="str">
        <f t="shared" si="147"/>
        <v>Y</v>
      </c>
      <c r="XP114" s="693" t="str">
        <f t="shared" si="147"/>
        <v>Y</v>
      </c>
      <c r="XQ114" s="693" t="str">
        <f t="shared" si="147"/>
        <v>Y</v>
      </c>
      <c r="XR114" s="693" t="str">
        <f t="shared" si="147"/>
        <v>Y</v>
      </c>
      <c r="XS114" s="693" t="str">
        <f t="shared" si="147"/>
        <v>Y</v>
      </c>
      <c r="XT114" s="693" t="str">
        <f t="shared" si="147"/>
        <v>Y</v>
      </c>
      <c r="XU114" s="693" t="str">
        <f t="shared" si="147"/>
        <v>Y</v>
      </c>
      <c r="XV114" s="693" t="str">
        <f t="shared" si="147"/>
        <v>Y</v>
      </c>
      <c r="XW114" s="693" t="str">
        <f t="shared" si="147"/>
        <v>Y</v>
      </c>
      <c r="XX114" s="693" t="str">
        <f t="shared" si="147"/>
        <v>Y</v>
      </c>
      <c r="XY114" s="693" t="str">
        <f t="shared" si="147"/>
        <v>Y</v>
      </c>
      <c r="XZ114" s="693" t="str">
        <f t="shared" si="147"/>
        <v>Y</v>
      </c>
      <c r="YA114" s="693" t="str">
        <f t="shared" si="147"/>
        <v>Y</v>
      </c>
      <c r="YB114" s="693" t="str">
        <f t="shared" si="147"/>
        <v>Y</v>
      </c>
      <c r="YC114" s="693" t="str">
        <f t="shared" si="147"/>
        <v>Y</v>
      </c>
      <c r="YD114" s="693" t="str">
        <f t="shared" si="147"/>
        <v>Y</v>
      </c>
      <c r="YE114" s="693" t="str">
        <f t="shared" si="147"/>
        <v>Y</v>
      </c>
      <c r="YF114" s="693" t="str">
        <f t="shared" si="147"/>
        <v>Y</v>
      </c>
      <c r="YG114" s="693" t="str">
        <f t="shared" si="147"/>
        <v>Y</v>
      </c>
      <c r="YH114" s="693" t="str">
        <f t="shared" si="147"/>
        <v>Y</v>
      </c>
      <c r="YI114" s="693" t="str">
        <f t="shared" si="147"/>
        <v>Y</v>
      </c>
      <c r="YJ114" s="693" t="str">
        <f t="shared" si="147"/>
        <v>Y</v>
      </c>
      <c r="YK114" s="693" t="str">
        <f t="shared" si="147"/>
        <v>Y</v>
      </c>
      <c r="YL114" s="693" t="str">
        <f t="shared" si="147"/>
        <v>Y</v>
      </c>
      <c r="YM114" s="693">
        <f t="shared" ref="YM114:ZR114" si="148">IF($AEO$154&lt;0,"Ошибка",
IF(OR(AND($AEO$154&gt;YM80,YM80&gt;$AEE$203),YM80 = $AEO$154),$AEM$154,
IF(OR(AND($AEO$155&gt;YM80,YM80&gt;$AEO$154),YM80 = $AEO$155),$AEM$155,
IF(OR(AND($AEO$156&gt;YM80,YM80&gt;$AEO$155),YM80 = $AEO$156),$AEM$156,
IF(OR(AND($AEO$157&gt;YM80,YM80&gt;$AEO$156),YM80 = $AEO$157),$AEM$157,
IF(OR(AND($AEO$158&gt;YM80,YM80&gt;$AEO$157),YM80 = $AEO$158),$AEM$158,
IF(OR(AND($AEO$159&gt;YM80,YM80&gt;$AEO$158),YM80 = $AEO$159),$AEM$159,
IF(OR(AND($AEO$160&gt;YM80,YM80&gt;$AEO$159),YM80 = $AEO$160),$AEM$160,
IF(OR(AND($AEO$161&gt;YM80,YM80&gt;$AEO$160),YM80 = $AEO$161),$AEM$161,
IF(OR(AND($AEO$162&gt;YM80,YM80&gt;$AEO$161),YM80 = $AEO$162),$AEM$162,
IF(OR(AND($AEO$163&gt;YM80,YM80&gt;$AEO$162),YM80 = $AEO$163),$AEM$163,
IF(OR(AND($AEO$164&gt;YM80,YM80&gt;$AEO$163),YM80 = $AEO$164),$AEM$164,
IF(OR(AND($AEO$165&gt;YM80,YM80&gt;$AEO$164),YM80 = $AEO$165),$AEM$165,
IF(OR(AND($AEO$166&gt;YM80,YM80&gt;$AEO$165),YM80 = $AEO$166),$AEM$166,
IF(OR(AND($AEO$167&gt;YM80,YM80&gt;$AEO$166),YM80 = $AEO$167),$AEM$167,
IF(OR(AND($AEO$168&gt;YM80,YM80&gt;$AEO$167),YM80 = $AEO$168),$AEM$168,
IF(OR(AND($AEO$169&gt;YM80,YM80&gt;$AEO$168),YM80 = $AEO$169),$AEM$169,
IF(OR(AND($AEO$170&gt;YM80,YM80&gt;$AEO$169),YM80 = $AEO$170),$AEM$170,
IF(OR(AND($AEO$171&gt;YM80,YM80&gt;$AEO$170),YM80 = $AEO$171),$AEM$171,
IF(OR(AND($AEO$172&gt;YM80,YM80&gt;$AEO$171),YM80 = $AEO$172),$AEM$172,
IF(OR(AND($AEO$173&gt;YM80,YM80&gt;$AEO$172),YM80 = $AEO$173),$AEM$173,
IF(OR(AND($AEO$174&gt;YM80,YM80&gt;$AEO$173),YM80 = $AEO$174),$AEM$174,
IF(OR(AND($AEO$175&gt;YM80,YM80&gt;$AEO$174),YM80 = $AEO$175),$AEM$175,
IF(OR(AND($AEO$176&gt;YM80,YM80&gt;$AEO$175),YM80 = $AEO$176),$AEM$176,
IF(OR(AND($AEO$177&gt;YM80,YM80&gt;$AEO$176),YM80 = $AEO$177),$AEM$177,
IF(OR(AND($AEO$178&gt;YM80,YM80&gt;$AEO$177),YM80 = $AEO$178),$AEM$178,
IF(OR(AND($AEO$179&gt;YM80,YM80&gt;$AEO$178),YM80 = $AEO$179),$AEM$179,
IF(OR(AND($AEO$180&gt;YM80,YM80&gt;$AEO$179),YM80 = $AEO$180),$AEM$180,
IF(OR(AND($AEO$181&gt;YM80,YM80&gt;$AEO$180),YM80 = $AEO$181),$AEM$181,
IF(OR(AND($AEO$182&gt;YM80,YM80&gt;$AEO$181),YM80 = $AEO$182),$AEM$182,
IF(OR(AND($AEO$183&gt;YM80,YM80&gt;$AEO$182),YM80 = $AEO$183),$AEM$183,
IF(OR(AND($AEO$184&gt;YM80,YM80&gt;$AEO$183),YM80 = $AEO$184),$AEM$184,
IF(OR(AND($AEO$185&gt;YM80,YM80&gt;$AEO$184),YM80 = $AEO$185),$AEM$185,
IF(OR(AND($AEO$186&gt;YM80,YM80&gt;$AEO$185),YM80 = $AEO$186),$AEM$186,
IF(OR(AND($AEO$187&gt;YM80,YM80&gt;$AEO$186),YM80 = $AEO$187),$AEM$187,
IF(OR(AND($AEO$188&gt;YM80,YM80&gt;$AEO$187),YM80 = $AEO$188),$AEM$188,
IF(OR(AND($AEO$189&gt;YM80,YM80&gt;$AEO$188),YM80 = $AEO$189),$AEM$189,
IF(OR(AND($AEO$190&gt;YM80,YM80&gt;$AEO$189),YM80 = $AEO$190),$AEM$190,
IF(OR(AND($AEO$191&gt;YM80,YM80&gt;$AEO$190),YM80 = $AEO$191),$AEM$191,
IF(OR(AND($AEO$192&gt;YM80,YM80&gt;$AEO$191),YM80 = $AEO$192),$AEM$192,
IF(OR(AND($AEO$193&gt;YM80,YM80&gt;$AEO$192),YM80 = $AEO$193),$AEM$193,
IF(OR(AND($AEO$194&gt;YM80,YM80&gt;$AEO$193),YM80 = $AEO$194),$AEM$194,
IF(OR(AND($AEO$195&gt;YM80,YM80&gt;$AEO$194),YM80 = $AEO$195),$AEM$195,
IF(OR(AND($AEO$196&gt;YM80,YM80&gt;$AEO$195),YM80 = $AEO$196),$AEM$196,
IF(OR(AND($AEO$197&gt;YM80,YM80&gt;$AEO$196),YM80 = $AEO$197),$AEM$197,
IF(OR(AND($AEO$198&gt;YM80,YM80&gt;$AEO$197),YM80 = $AEO$198),$AEM$198,
IF(OR(AND($AEO$199&gt;YM80,YM80&gt;$AEO$198),YM80 = $AEO$199),$AEM$199,
IF(OR(AND($AEO$200&gt;YM80,YM80&gt;$AEO$199),YM80 = $AEO$200),$AEM$200,
IF(OR(AND($AEO$201&gt;YM80,YM80&gt;$AEO$200),YM80 = $AEO$201),$AEM$201,
IF(OR(AND($AEO$202&gt;YM80,YM80&gt;$AEO$201),YM80 = $AEO$202),$AEM$202,
IF(OR(AND($AEO$203&gt;YM80,YM80&gt;$AEO$202),YM80 = $AEO$203),$AEM$203,
"Y")))))))))))))))))))))))))))))))))))))))))))))))))))</f>
        <v>0.74466666666666692</v>
      </c>
      <c r="YN114" s="693">
        <f t="shared" si="148"/>
        <v>0.73400000000000409</v>
      </c>
      <c r="YO114" s="693">
        <f t="shared" si="148"/>
        <v>0.72333333333333749</v>
      </c>
      <c r="YP114" s="693">
        <f t="shared" si="148"/>
        <v>0.71266666666667078</v>
      </c>
      <c r="YQ114" s="693">
        <f t="shared" si="148"/>
        <v>0.70466666666667077</v>
      </c>
      <c r="YR114" s="693">
        <f t="shared" si="148"/>
        <v>0.69400000000000417</v>
      </c>
      <c r="YS114" s="693">
        <f t="shared" si="148"/>
        <v>0.68600000000000416</v>
      </c>
      <c r="YT114" s="693">
        <f t="shared" si="148"/>
        <v>0.67533333333333745</v>
      </c>
      <c r="YU114" s="693">
        <f t="shared" si="148"/>
        <v>0.66733333333333744</v>
      </c>
      <c r="YV114" s="693">
        <f t="shared" si="148"/>
        <v>0.65666666666667084</v>
      </c>
      <c r="YW114" s="693">
        <f t="shared" si="148"/>
        <v>0.64866666666667083</v>
      </c>
      <c r="YX114" s="693">
        <f t="shared" si="148"/>
        <v>0.64300000000000013</v>
      </c>
      <c r="YY114" s="693">
        <f t="shared" si="148"/>
        <v>0.63500000000000012</v>
      </c>
      <c r="YZ114" s="693">
        <f t="shared" si="148"/>
        <v>0.62900000000000011</v>
      </c>
      <c r="ZA114" s="693" t="str">
        <f t="shared" si="148"/>
        <v>Y</v>
      </c>
      <c r="ZB114" s="693" t="str">
        <f t="shared" si="148"/>
        <v>Y</v>
      </c>
      <c r="ZC114" s="693" t="str">
        <f t="shared" si="148"/>
        <v>Y</v>
      </c>
      <c r="ZD114" s="693" t="str">
        <f t="shared" si="148"/>
        <v>Y</v>
      </c>
      <c r="ZE114" s="693" t="str">
        <f t="shared" si="148"/>
        <v>Y</v>
      </c>
      <c r="ZF114" s="693" t="str">
        <f t="shared" si="148"/>
        <v>Y</v>
      </c>
      <c r="ZG114" s="693" t="str">
        <f t="shared" si="148"/>
        <v>Y</v>
      </c>
      <c r="ZH114" s="693" t="str">
        <f t="shared" si="148"/>
        <v>Y</v>
      </c>
      <c r="ZI114" s="693" t="str">
        <f t="shared" si="148"/>
        <v>Y</v>
      </c>
      <c r="ZJ114" s="693" t="str">
        <f t="shared" si="148"/>
        <v>Y</v>
      </c>
      <c r="ZK114" s="693" t="str">
        <f t="shared" si="148"/>
        <v>Y</v>
      </c>
      <c r="ZL114" s="693" t="str">
        <f t="shared" si="148"/>
        <v>Y</v>
      </c>
      <c r="ZM114" s="693" t="str">
        <f t="shared" si="148"/>
        <v>Y</v>
      </c>
      <c r="ZN114" s="693" t="str">
        <f t="shared" si="148"/>
        <v>Y</v>
      </c>
      <c r="ZO114" s="693" t="str">
        <f t="shared" si="148"/>
        <v>Y</v>
      </c>
      <c r="ZP114" s="693" t="str">
        <f t="shared" si="148"/>
        <v>Y</v>
      </c>
      <c r="ZQ114" s="693" t="str">
        <f t="shared" si="148"/>
        <v>Y</v>
      </c>
      <c r="ZR114" s="693" t="str">
        <f t="shared" si="148"/>
        <v>Y</v>
      </c>
      <c r="ZS114" s="693" t="str">
        <f t="shared" ref="ZS114:AAS114" si="149">IF($AEO$154&lt;0,"Ошибка",
IF(OR(AND($AEO$154&gt;ZS80,ZS80&gt;$AEE$203),ZS80 = $AEO$154),$AEM$154,
IF(OR(AND($AEO$155&gt;ZS80,ZS80&gt;$AEO$154),ZS80 = $AEO$155),$AEM$155,
IF(OR(AND($AEO$156&gt;ZS80,ZS80&gt;$AEO$155),ZS80 = $AEO$156),$AEM$156,
IF(OR(AND($AEO$157&gt;ZS80,ZS80&gt;$AEO$156),ZS80 = $AEO$157),$AEM$157,
IF(OR(AND($AEO$158&gt;ZS80,ZS80&gt;$AEO$157),ZS80 = $AEO$158),$AEM$158,
IF(OR(AND($AEO$159&gt;ZS80,ZS80&gt;$AEO$158),ZS80 = $AEO$159),$AEM$159,
IF(OR(AND($AEO$160&gt;ZS80,ZS80&gt;$AEO$159),ZS80 = $AEO$160),$AEM$160,
IF(OR(AND($AEO$161&gt;ZS80,ZS80&gt;$AEO$160),ZS80 = $AEO$161),$AEM$161,
IF(OR(AND($AEO$162&gt;ZS80,ZS80&gt;$AEO$161),ZS80 = $AEO$162),$AEM$162,
IF(OR(AND($AEO$163&gt;ZS80,ZS80&gt;$AEO$162),ZS80 = $AEO$163),$AEM$163,
IF(OR(AND($AEO$164&gt;ZS80,ZS80&gt;$AEO$163),ZS80 = $AEO$164),$AEM$164,
IF(OR(AND($AEO$165&gt;ZS80,ZS80&gt;$AEO$164),ZS80 = $AEO$165),$AEM$165,
IF(OR(AND($AEO$166&gt;ZS80,ZS80&gt;$AEO$165),ZS80 = $AEO$166),$AEM$166,
IF(OR(AND($AEO$167&gt;ZS80,ZS80&gt;$AEO$166),ZS80 = $AEO$167),$AEM$167,
IF(OR(AND($AEO$168&gt;ZS80,ZS80&gt;$AEO$167),ZS80 = $AEO$168),$AEM$168,
IF(OR(AND($AEO$169&gt;ZS80,ZS80&gt;$AEO$168),ZS80 = $AEO$169),$AEM$169,
IF(OR(AND($AEO$170&gt;ZS80,ZS80&gt;$AEO$169),ZS80 = $AEO$170),$AEM$170,
IF(OR(AND($AEO$171&gt;ZS80,ZS80&gt;$AEO$170),ZS80 = $AEO$171),$AEM$171,
IF(OR(AND($AEO$172&gt;ZS80,ZS80&gt;$AEO$171),ZS80 = $AEO$172),$AEM$172,
IF(OR(AND($AEO$173&gt;ZS80,ZS80&gt;$AEO$172),ZS80 = $AEO$173),$AEM$173,
IF(OR(AND($AEO$174&gt;ZS80,ZS80&gt;$AEO$173),ZS80 = $AEO$174),$AEM$174,
IF(OR(AND($AEO$175&gt;ZS80,ZS80&gt;$AEO$174),ZS80 = $AEO$175),$AEM$175,
IF(OR(AND($AEO$176&gt;ZS80,ZS80&gt;$AEO$175),ZS80 = $AEO$176),$AEM$176,
IF(OR(AND($AEO$177&gt;ZS80,ZS80&gt;$AEO$176),ZS80 = $AEO$177),$AEM$177,
IF(OR(AND($AEO$178&gt;ZS80,ZS80&gt;$AEO$177),ZS80 = $AEO$178),$AEM$178,
IF(OR(AND($AEO$179&gt;ZS80,ZS80&gt;$AEO$178),ZS80 = $AEO$179),$AEM$179,
IF(OR(AND($AEO$180&gt;ZS80,ZS80&gt;$AEO$179),ZS80 = $AEO$180),$AEM$180,
IF(OR(AND($AEO$181&gt;ZS80,ZS80&gt;$AEO$180),ZS80 = $AEO$181),$AEM$181,
IF(OR(AND($AEO$182&gt;ZS80,ZS80&gt;$AEO$181),ZS80 = $AEO$182),$AEM$182,
IF(OR(AND($AEO$183&gt;ZS80,ZS80&gt;$AEO$182),ZS80 = $AEO$183),$AEM$183,
IF(OR(AND($AEO$184&gt;ZS80,ZS80&gt;$AEO$183),ZS80 = $AEO$184),$AEM$184,
IF(OR(AND($AEO$185&gt;ZS80,ZS80&gt;$AEO$184),ZS80 = $AEO$185),$AEM$185,
IF(OR(AND($AEO$186&gt;ZS80,ZS80&gt;$AEO$185),ZS80 = $AEO$186),$AEM$186,
IF(OR(AND($AEO$187&gt;ZS80,ZS80&gt;$AEO$186),ZS80 = $AEO$187),$AEM$187,
IF(OR(AND($AEO$188&gt;ZS80,ZS80&gt;$AEO$187),ZS80 = $AEO$188),$AEM$188,
IF(OR(AND($AEO$189&gt;ZS80,ZS80&gt;$AEO$188),ZS80 = $AEO$189),$AEM$189,
IF(OR(AND($AEO$190&gt;ZS80,ZS80&gt;$AEO$189),ZS80 = $AEO$190),$AEM$190,
IF(OR(AND($AEO$191&gt;ZS80,ZS80&gt;$AEO$190),ZS80 = $AEO$191),$AEM$191,
IF(OR(AND($AEO$192&gt;ZS80,ZS80&gt;$AEO$191),ZS80 = $AEO$192),$AEM$192,
IF(OR(AND($AEO$193&gt;ZS80,ZS80&gt;$AEO$192),ZS80 = $AEO$193),$AEM$193,
IF(OR(AND($AEO$194&gt;ZS80,ZS80&gt;$AEO$193),ZS80 = $AEO$194),$AEM$194,
IF(OR(AND($AEO$195&gt;ZS80,ZS80&gt;$AEO$194),ZS80 = $AEO$195),$AEM$195,
IF(OR(AND($AEO$196&gt;ZS80,ZS80&gt;$AEO$195),ZS80 = $AEO$196),$AEM$196,
IF(OR(AND($AEO$197&gt;ZS80,ZS80&gt;$AEO$196),ZS80 = $AEO$197),$AEM$197,
IF(OR(AND($AEO$198&gt;ZS80,ZS80&gt;$AEO$197),ZS80 = $AEO$198),$AEM$198,
IF(OR(AND($AEO$199&gt;ZS80,ZS80&gt;$AEO$198),ZS80 = $AEO$199),$AEM$199,
IF(OR(AND($AEO$200&gt;ZS80,ZS80&gt;$AEO$199),ZS80 = $AEO$200),$AEM$200,
IF(OR(AND($AEO$201&gt;ZS80,ZS80&gt;$AEO$200),ZS80 = $AEO$201),$AEM$201,
IF(OR(AND($AEO$202&gt;ZS80,ZS80&gt;$AEO$201),ZS80 = $AEO$202),$AEM$202,
IF(OR(AND($AEO$203&gt;ZS80,ZS80&gt;$AEO$202),ZS80 = $AEO$203),$AEM$203,
"Y")))))))))))))))))))))))))))))))))))))))))))))))))))</f>
        <v>Y</v>
      </c>
      <c r="ZT114" s="693" t="str">
        <f t="shared" si="149"/>
        <v>Y</v>
      </c>
      <c r="ZU114" s="693" t="str">
        <f t="shared" si="149"/>
        <v>Y</v>
      </c>
      <c r="ZV114" s="693" t="str">
        <f t="shared" si="149"/>
        <v>Y</v>
      </c>
      <c r="ZW114" s="693" t="str">
        <f t="shared" si="149"/>
        <v>Y</v>
      </c>
      <c r="ZX114" s="693" t="str">
        <f t="shared" si="149"/>
        <v>Y</v>
      </c>
      <c r="ZY114" s="693" t="str">
        <f t="shared" si="149"/>
        <v>Y</v>
      </c>
      <c r="ZZ114" s="693" t="str">
        <f t="shared" si="149"/>
        <v>Y</v>
      </c>
      <c r="AAA114" s="693" t="str">
        <f t="shared" si="149"/>
        <v>Y</v>
      </c>
      <c r="AAB114" s="693" t="str">
        <f t="shared" si="149"/>
        <v>Y</v>
      </c>
      <c r="AAC114" s="693" t="str">
        <f t="shared" si="149"/>
        <v>Y</v>
      </c>
      <c r="AAD114" s="693" t="str">
        <f t="shared" si="149"/>
        <v>Y</v>
      </c>
      <c r="AAE114" s="693" t="str">
        <f t="shared" si="149"/>
        <v>Y</v>
      </c>
      <c r="AAF114" s="693" t="str">
        <f t="shared" si="149"/>
        <v>Y</v>
      </c>
      <c r="AAG114" s="693" t="str">
        <f t="shared" si="149"/>
        <v>Y</v>
      </c>
      <c r="AAH114" s="693" t="str">
        <f t="shared" si="149"/>
        <v>Y</v>
      </c>
      <c r="AAI114" s="693" t="str">
        <f t="shared" si="149"/>
        <v>Y</v>
      </c>
      <c r="AAJ114" s="693" t="str">
        <f t="shared" si="149"/>
        <v>Y</v>
      </c>
      <c r="AAK114" s="693" t="str">
        <f t="shared" si="149"/>
        <v>Y</v>
      </c>
      <c r="AAL114" s="693" t="str">
        <f t="shared" si="149"/>
        <v>Y</v>
      </c>
      <c r="AAM114" s="693" t="str">
        <f t="shared" si="149"/>
        <v>Y</v>
      </c>
      <c r="AAN114" s="693" t="str">
        <f t="shared" si="149"/>
        <v>Y</v>
      </c>
      <c r="AAO114" s="693" t="str">
        <f t="shared" si="149"/>
        <v>Y</v>
      </c>
      <c r="AAP114" s="693" t="str">
        <f t="shared" si="149"/>
        <v>Y</v>
      </c>
      <c r="AAQ114" s="693" t="str">
        <f t="shared" si="149"/>
        <v>Y</v>
      </c>
      <c r="AAR114" s="693" t="str">
        <f t="shared" si="149"/>
        <v>Y</v>
      </c>
      <c r="AAS114" s="693" t="str">
        <f t="shared" si="149"/>
        <v>Y</v>
      </c>
      <c r="AAT114" s="1006"/>
      <c r="AAU114" s="960"/>
      <c r="AAV114" s="1101"/>
      <c r="AAW114" s="1101"/>
      <c r="AAX114" s="1101"/>
      <c r="AAY114" s="1101"/>
      <c r="AAZ114" s="1101"/>
      <c r="ABA114" s="1101"/>
      <c r="ABB114" s="1101"/>
      <c r="ABC114" s="1101"/>
      <c r="ABD114" s="1101"/>
      <c r="ABE114" s="1101"/>
      <c r="ABF114" s="1101"/>
      <c r="ABG114" s="1101"/>
      <c r="ABH114" s="961"/>
      <c r="ABI114" s="158"/>
      <c r="ABJ114" s="158"/>
      <c r="ABK114" s="158"/>
      <c r="ABL114" s="158"/>
      <c r="ABM114" s="158"/>
      <c r="ABN114" s="158"/>
      <c r="ABO114" s="158"/>
      <c r="ABP114" s="163"/>
      <c r="ABW114" s="1516"/>
      <c r="ABX114" s="1517"/>
      <c r="ABY114" s="1517"/>
      <c r="ABZ114" s="1517"/>
      <c r="ACA114" s="1517"/>
      <c r="ACB114" s="1517"/>
      <c r="ACC114" s="1517"/>
      <c r="ACD114" s="1517"/>
      <c r="ACE114" s="1517"/>
      <c r="ACF114" s="1517"/>
      <c r="ACG114" s="1517"/>
      <c r="ACH114" s="1518"/>
      <c r="ACJ114" s="759">
        <v>0.5</v>
      </c>
      <c r="ACK114" s="760"/>
      <c r="ACL114" s="759">
        <v>-0.5</v>
      </c>
      <c r="ACM114" s="760"/>
      <c r="ACN114" s="591">
        <v>30</v>
      </c>
      <c r="ACO114" s="759">
        <f t="shared" si="91"/>
        <v>0.15000000000000002</v>
      </c>
      <c r="ACP114" s="760"/>
      <c r="ACQ114" s="757">
        <f t="shared" si="82"/>
        <v>1.3</v>
      </c>
      <c r="ACR114" s="758"/>
      <c r="ACT114" s="759">
        <v>1.5454545454545501</v>
      </c>
      <c r="ACU114" s="760"/>
      <c r="ACV114" s="759">
        <v>-2.1818181818181799</v>
      </c>
      <c r="ACW114" s="760"/>
      <c r="ACX114" s="591">
        <v>80</v>
      </c>
      <c r="ACY114" s="759">
        <f t="shared" si="92"/>
        <v>0.6000000000000103</v>
      </c>
      <c r="ACZ114" s="760"/>
      <c r="ADA114" s="757">
        <f t="shared" si="83"/>
        <v>1.8</v>
      </c>
      <c r="ADB114" s="758"/>
      <c r="ADD114" s="759">
        <v>1.5454545454545501</v>
      </c>
      <c r="ADE114" s="760"/>
      <c r="ADF114" s="759">
        <v>-2.1818181818181799</v>
      </c>
      <c r="ADG114" s="760"/>
      <c r="ADH114" s="591">
        <v>129</v>
      </c>
      <c r="ADI114" s="759">
        <f t="shared" si="93"/>
        <v>1.3572727272727398</v>
      </c>
      <c r="ADJ114" s="760"/>
      <c r="ADK114" s="757">
        <f t="shared" si="84"/>
        <v>2.29</v>
      </c>
      <c r="ADL114" s="758"/>
      <c r="ADN114" s="759">
        <v>1.5454545454545501</v>
      </c>
      <c r="ADO114" s="760"/>
      <c r="ADP114" s="759">
        <v>-2.1818181818181799</v>
      </c>
      <c r="ADQ114" s="760"/>
      <c r="ADR114" s="591">
        <v>179</v>
      </c>
      <c r="ADS114" s="759">
        <f t="shared" si="94"/>
        <v>2.130000000000015</v>
      </c>
      <c r="ADT114" s="760"/>
      <c r="ADU114" s="757">
        <f t="shared" si="85"/>
        <v>2.79</v>
      </c>
      <c r="ADV114" s="758"/>
      <c r="ADW114" s="653"/>
      <c r="ADX114" s="759">
        <v>1.5454545454545501</v>
      </c>
      <c r="ADY114" s="760"/>
      <c r="ADZ114" s="759">
        <v>-2.1818181818181799</v>
      </c>
      <c r="AEA114" s="760"/>
      <c r="AEB114" s="591">
        <v>229</v>
      </c>
      <c r="AEC114" s="759">
        <f t="shared" si="134"/>
        <v>2.9027272727272901</v>
      </c>
      <c r="AED114" s="760"/>
      <c r="AEE114" s="757">
        <f t="shared" si="86"/>
        <v>3.29</v>
      </c>
      <c r="AEF114" s="758"/>
      <c r="AEH114" s="759">
        <v>1.5454545454545501</v>
      </c>
      <c r="AEI114" s="760"/>
      <c r="AEJ114" s="759">
        <v>-2.1818181818181799</v>
      </c>
      <c r="AEK114" s="760"/>
      <c r="AEL114" s="591">
        <v>279</v>
      </c>
      <c r="AEM114" s="759">
        <f t="shared" si="101"/>
        <v>3.6754545454545653</v>
      </c>
      <c r="AEN114" s="760"/>
      <c r="AEO114" s="757">
        <f t="shared" si="87"/>
        <v>3.79</v>
      </c>
      <c r="AEP114" s="758"/>
      <c r="AGL114" s="849"/>
      <c r="AGM114" s="852" t="s">
        <v>416</v>
      </c>
      <c r="AGN114" s="853"/>
      <c r="AGO114" s="422"/>
      <c r="AGP114" s="861" t="s">
        <v>1697</v>
      </c>
      <c r="AGQ114" s="861"/>
      <c r="AGR114" s="861"/>
      <c r="AGS114" s="937">
        <f>$AGZ$109</f>
        <v>1.4593700968261183</v>
      </c>
      <c r="AGT114" s="937"/>
      <c r="AGU114" s="78"/>
      <c r="AGV114" s="422"/>
      <c r="AGW114" s="76" t="s">
        <v>441</v>
      </c>
      <c r="AGX114" s="854" t="s">
        <v>435</v>
      </c>
      <c r="AGY114" s="1111"/>
      <c r="AGZ114" s="920" t="s">
        <v>111</v>
      </c>
      <c r="AHA114" s="921"/>
      <c r="AHB114" s="916" t="s">
        <v>704</v>
      </c>
      <c r="AHC114" s="917"/>
      <c r="AHD114" s="906" t="s">
        <v>447</v>
      </c>
      <c r="AHE114" s="907"/>
      <c r="AHF114" s="907"/>
      <c r="AHG114" s="908"/>
      <c r="AHH114" s="1051" t="s">
        <v>436</v>
      </c>
      <c r="AHI114" s="1051"/>
      <c r="AHJ114" s="1051"/>
      <c r="AHK114" s="1051"/>
      <c r="AHL114" s="1051"/>
      <c r="AHM114" s="1051"/>
      <c r="AHN114" s="1051"/>
      <c r="AHO114" s="130"/>
      <c r="AHP114" s="130"/>
      <c r="AHQ114" s="130"/>
      <c r="AID114" s="130"/>
      <c r="AIE114" s="130"/>
      <c r="AIF114" s="130"/>
      <c r="AIG114" s="130"/>
      <c r="AIH114" s="130"/>
      <c r="AII114" s="130"/>
      <c r="AIJ114" s="130"/>
      <c r="AQO114" s="851"/>
      <c r="AQP114" s="857"/>
      <c r="AQQ114" s="857"/>
      <c r="AQR114" s="857"/>
      <c r="AQS114" s="857"/>
      <c r="AQT114" s="857"/>
      <c r="AQU114" s="857"/>
      <c r="AQV114" s="857"/>
      <c r="AQW114" s="857"/>
      <c r="AQX114" s="857"/>
      <c r="AQY114" s="857"/>
      <c r="AQZ114" s="857"/>
      <c r="ARA114" s="857"/>
      <c r="ARB114" s="857"/>
      <c r="ARC114" s="837"/>
      <c r="ARD114" s="838"/>
      <c r="ARE114" s="777"/>
      <c r="ARF114" s="799"/>
      <c r="ARG114" s="842"/>
      <c r="ARH114" s="845"/>
      <c r="ARI114" s="846"/>
      <c r="ARJ114" s="848"/>
      <c r="ARK114" s="653"/>
      <c r="ARL114" s="653"/>
      <c r="ARM114" s="653"/>
      <c r="ARN114" s="653"/>
      <c r="ARO114" s="653"/>
      <c r="ARU114" s="897" t="s">
        <v>974</v>
      </c>
      <c r="ARV114" s="898"/>
      <c r="ARW114" s="899"/>
      <c r="ARX114" s="849"/>
      <c r="ARY114" s="852" t="s">
        <v>416</v>
      </c>
      <c r="ARZ114" s="853"/>
      <c r="ASA114" s="142"/>
      <c r="ASB114" s="78"/>
      <c r="ASC114" s="78"/>
      <c r="ASD114" s="78"/>
      <c r="ASE114" s="737"/>
      <c r="ASF114" s="76" t="s">
        <v>441</v>
      </c>
      <c r="ASG114" s="854" t="s">
        <v>435</v>
      </c>
      <c r="ASH114" s="855"/>
      <c r="ASI114" s="920" t="s">
        <v>111</v>
      </c>
      <c r="ASJ114" s="921"/>
      <c r="ASK114" s="916" t="s">
        <v>704</v>
      </c>
      <c r="ASL114" s="917"/>
      <c r="ASM114" s="906" t="s">
        <v>447</v>
      </c>
      <c r="ASN114" s="907"/>
      <c r="ASO114" s="907"/>
      <c r="ASP114" s="908"/>
    </row>
    <row r="115" spans="60:920 1133:1226" ht="48" customHeight="1">
      <c r="BT115" s="779" t="s">
        <v>1818</v>
      </c>
      <c r="BU115" s="780"/>
      <c r="BV115" s="781"/>
      <c r="BW115" s="652" t="s">
        <v>702</v>
      </c>
      <c r="DH115" s="130"/>
      <c r="DI115" s="130"/>
      <c r="DJ115" s="130"/>
      <c r="DK115" s="130"/>
      <c r="DL115" s="653"/>
      <c r="DM115" s="653"/>
      <c r="DN115" s="653"/>
      <c r="DO115" s="653"/>
      <c r="DP115" s="653"/>
      <c r="DQ115" s="653"/>
      <c r="DR115" s="130"/>
      <c r="DS115" s="130"/>
      <c r="DT115" s="130"/>
      <c r="DU115" s="130"/>
      <c r="DV115" s="130"/>
      <c r="DW115" s="130"/>
      <c r="FH115" s="653"/>
      <c r="FI115" s="653"/>
      <c r="FJ115" s="653"/>
      <c r="FK115" s="653"/>
      <c r="FL115" s="653"/>
      <c r="FM115" s="653"/>
      <c r="FN115" s="653"/>
      <c r="FO115" s="126"/>
      <c r="FP115" s="126"/>
      <c r="FQ115" s="126"/>
      <c r="FR115" s="126"/>
      <c r="FS115" s="126"/>
      <c r="FT115" s="126"/>
      <c r="FU115" s="126"/>
      <c r="FV115" s="126"/>
      <c r="FW115" s="126"/>
      <c r="FX115" s="126"/>
      <c r="GF115" s="850"/>
      <c r="GG115" s="655" t="s">
        <v>448</v>
      </c>
      <c r="GH115" s="761">
        <f>$AP$16</f>
        <v>2</v>
      </c>
      <c r="GI115" s="761"/>
      <c r="GJ115" s="1645" t="s">
        <v>53</v>
      </c>
      <c r="GK115" s="1646"/>
      <c r="GL115" s="1647"/>
      <c r="GM115" s="1167">
        <f>2*SIN((3.14*AP16)/GU16)</f>
        <v>0.27219609584157206</v>
      </c>
      <c r="GN115" s="840"/>
      <c r="GO115" s="1253" t="s">
        <v>851</v>
      </c>
      <c r="GP115" s="1189"/>
      <c r="GQ115" s="1066"/>
      <c r="GR115" s="1148" t="s">
        <v>53</v>
      </c>
      <c r="GS115" s="1149"/>
      <c r="GT115" s="847"/>
      <c r="GU115" s="827"/>
      <c r="GV115" s="947"/>
      <c r="GW115" s="947"/>
      <c r="GX115" s="948"/>
      <c r="IE115" s="130"/>
      <c r="IF115" s="130"/>
      <c r="IG115" s="130"/>
      <c r="IH115" s="130"/>
      <c r="II115" s="130"/>
      <c r="IJ115" s="3"/>
      <c r="IK115" s="3"/>
      <c r="JW115" s="130"/>
      <c r="JX115" s="130"/>
      <c r="JY115" s="130"/>
      <c r="LJ115" s="653"/>
      <c r="LK115" s="653"/>
      <c r="LL115" s="653"/>
      <c r="LM115" s="653"/>
      <c r="LN115" s="653"/>
      <c r="LO115" s="653"/>
      <c r="LP115" s="653"/>
      <c r="LQ115" s="653"/>
      <c r="LR115" s="653"/>
      <c r="LX115" s="377"/>
      <c r="LY115" s="373"/>
      <c r="LZ115" s="373"/>
      <c r="MA115" s="373"/>
      <c r="MB115" s="373"/>
      <c r="MC115" s="373"/>
      <c r="MD115" s="1841"/>
      <c r="ME115" s="1842"/>
      <c r="MF115" s="823"/>
      <c r="MG115" s="824"/>
      <c r="MH115" s="824"/>
      <c r="MI115" s="824"/>
      <c r="MJ115" s="939"/>
      <c r="MK115" s="373"/>
      <c r="ML115" s="722" t="s">
        <v>1283</v>
      </c>
      <c r="MM115" s="1117">
        <f>2/3</f>
        <v>0.66666666666666663</v>
      </c>
      <c r="MN115" s="1119"/>
      <c r="MO115" s="373"/>
      <c r="MP115" s="722" t="s">
        <v>1284</v>
      </c>
      <c r="MQ115" s="1117">
        <v>1</v>
      </c>
      <c r="MR115" s="1119"/>
      <c r="MS115" s="373"/>
      <c r="MT115" s="373"/>
      <c r="MU115" s="373"/>
      <c r="MV115" s="373"/>
      <c r="MW115" s="373"/>
      <c r="MX115" s="373"/>
      <c r="MY115" s="373"/>
      <c r="MZ115" s="373"/>
      <c r="NA115" s="373"/>
      <c r="NB115" s="373"/>
      <c r="NC115" s="373"/>
      <c r="ND115" s="373"/>
      <c r="NE115" s="373"/>
      <c r="NF115" s="373"/>
      <c r="NG115" s="373"/>
      <c r="NH115" s="373"/>
      <c r="NI115" s="373"/>
      <c r="NJ115" s="373"/>
      <c r="NK115" s="373"/>
      <c r="NL115" s="373"/>
      <c r="NM115" s="373"/>
      <c r="NN115" s="373"/>
      <c r="NO115" s="1841"/>
      <c r="NP115" s="1842"/>
      <c r="NQ115" s="823"/>
      <c r="NR115" s="824"/>
      <c r="NS115" s="824"/>
      <c r="NT115" s="824"/>
      <c r="NU115" s="939"/>
      <c r="NV115" s="373"/>
      <c r="NW115" s="722" t="s">
        <v>1283</v>
      </c>
      <c r="NX115" s="1117">
        <f>1/3</f>
        <v>0.33333333333333331</v>
      </c>
      <c r="NY115" s="1119"/>
      <c r="NZ115" s="373"/>
      <c r="OA115" s="722" t="s">
        <v>1284</v>
      </c>
      <c r="OB115" s="1117">
        <f>2/3</f>
        <v>0.66666666666666663</v>
      </c>
      <c r="OC115" s="1119"/>
      <c r="OD115" s="158"/>
      <c r="OE115" s="158"/>
      <c r="OF115" s="158"/>
      <c r="OG115" s="158"/>
      <c r="OH115" s="158"/>
      <c r="OI115" s="373"/>
      <c r="OJ115" s="373"/>
      <c r="OK115" s="373"/>
      <c r="OL115" s="373"/>
      <c r="OM115" s="373"/>
      <c r="ON115" s="373"/>
      <c r="OO115" s="373"/>
      <c r="OP115" s="373"/>
      <c r="OQ115" s="373"/>
      <c r="OR115" s="373"/>
      <c r="OS115" s="373"/>
      <c r="OT115" s="373"/>
      <c r="OU115" s="374"/>
      <c r="OY115" s="130"/>
      <c r="OZ115" s="130"/>
      <c r="PF115" s="130"/>
      <c r="RE115" s="653"/>
      <c r="RF115" s="653"/>
      <c r="RG115" s="653"/>
      <c r="RH115" s="653"/>
      <c r="RI115" s="653"/>
      <c r="RJ115" s="653"/>
      <c r="RK115" s="653"/>
      <c r="RL115" s="653"/>
      <c r="RM115" s="653"/>
      <c r="RN115" s="653"/>
      <c r="RO115" s="653"/>
      <c r="RP115" s="653"/>
      <c r="RQ115" s="653"/>
      <c r="RR115" s="653"/>
      <c r="RS115" s="653"/>
      <c r="RT115" s="653"/>
      <c r="RU115" s="653"/>
      <c r="RV115" s="653"/>
      <c r="RW115" s="653"/>
      <c r="RX115" s="653"/>
      <c r="RY115" s="653"/>
      <c r="RZ115" s="653"/>
      <c r="SA115" s="653"/>
      <c r="SB115" s="653"/>
      <c r="SC115" s="653"/>
      <c r="SD115" s="653"/>
      <c r="SE115" s="653"/>
      <c r="SF115" s="653"/>
      <c r="SG115" s="653"/>
      <c r="SH115" s="653"/>
      <c r="SI115" s="653"/>
      <c r="SJ115" s="653"/>
      <c r="SK115" s="653"/>
      <c r="SL115" s="653"/>
      <c r="SM115" s="653"/>
      <c r="SN115" s="653"/>
      <c r="SO115" s="653"/>
      <c r="SP115" s="653"/>
      <c r="SQ115" s="653"/>
      <c r="SR115" s="653"/>
      <c r="SS115" s="653"/>
      <c r="ST115" s="653"/>
      <c r="SU115" s="653"/>
      <c r="SV115" s="653"/>
      <c r="SW115" s="653"/>
      <c r="SX115" s="653"/>
      <c r="SY115" s="653"/>
      <c r="SZ115" s="653"/>
      <c r="TA115" s="653"/>
      <c r="TB115" s="653"/>
      <c r="TC115" s="653"/>
      <c r="TD115" s="653"/>
      <c r="TE115" s="653"/>
      <c r="TF115" s="653"/>
      <c r="TG115" s="653"/>
      <c r="TH115" s="653"/>
      <c r="TI115" s="653"/>
      <c r="TJ115" s="653"/>
      <c r="TK115" s="653"/>
      <c r="TL115" s="653"/>
      <c r="TM115" s="653"/>
      <c r="TN115" s="653"/>
      <c r="TO115" s="653"/>
      <c r="TP115" s="653"/>
      <c r="TQ115" s="653"/>
      <c r="TR115" s="653"/>
      <c r="TS115" s="653"/>
      <c r="TT115" s="653"/>
      <c r="TU115" s="653"/>
      <c r="TV115" s="653"/>
      <c r="TW115" s="653"/>
      <c r="TX115" s="653"/>
      <c r="TY115" s="653"/>
      <c r="TZ115" s="653"/>
      <c r="UA115" s="653"/>
      <c r="UB115" s="653"/>
      <c r="UC115" s="653"/>
      <c r="UD115" s="653"/>
      <c r="UE115" s="653"/>
      <c r="UF115" s="653"/>
      <c r="UG115" s="653"/>
      <c r="UH115" s="653"/>
      <c r="UI115" s="653"/>
      <c r="UJ115" s="653"/>
      <c r="UK115" s="653"/>
      <c r="UL115" s="653"/>
      <c r="UM115" s="653"/>
      <c r="UN115" s="653"/>
      <c r="UO115" s="653"/>
      <c r="UP115" s="653"/>
      <c r="UQ115" s="653"/>
      <c r="UR115" s="653"/>
      <c r="US115" s="653"/>
      <c r="UT115" s="653"/>
      <c r="UU115" s="653"/>
      <c r="UV115" s="653"/>
      <c r="UW115" s="653"/>
      <c r="UX115" s="653"/>
      <c r="UY115" s="653"/>
      <c r="UZ115" s="653"/>
      <c r="WE115" s="996"/>
      <c r="WF115" s="997"/>
      <c r="WG115" s="175"/>
      <c r="WH115" s="173"/>
      <c r="WI115" s="173"/>
      <c r="WJ115" s="173"/>
      <c r="WK115" s="173"/>
      <c r="WL115" s="173"/>
      <c r="WM115" s="173"/>
      <c r="WN115" s="173"/>
      <c r="WO115" s="173"/>
      <c r="WP115" s="173"/>
      <c r="WQ115" s="173"/>
      <c r="WR115" s="173"/>
      <c r="WS115" s="173"/>
      <c r="WT115" s="173"/>
      <c r="WU115" s="173"/>
      <c r="WV115" s="173"/>
      <c r="WW115" s="173"/>
      <c r="WX115" s="173"/>
      <c r="WY115" s="174"/>
      <c r="WZ115" s="1085"/>
      <c r="XA115" s="1085"/>
      <c r="XB115" s="175"/>
      <c r="XC115" s="173"/>
      <c r="XD115" s="173"/>
      <c r="XE115" s="173"/>
      <c r="XF115" s="174"/>
      <c r="XG115" s="693" t="str">
        <f t="shared" ref="XG115:YL115" si="150">IF($AEY$154&lt;0,"Ошибка",
IF(OR(AND($AEY$154&gt;XG80,XG80&gt;$AEO$203),XG80 = $AEY$154),$AEW$154,
IF(OR(AND($AEY$155&gt;XG80,XG80&gt;$AEY$154),XG80 = $AEY$155),$AEW$155,
IF(OR(AND($AEY$156&gt;XG80,XG80&gt;$AEY$155),XG80 = $AEY$156),$AEW$156,
IF(OR(AND($AEY$157&gt;XG80,XG80&gt;$AEY$156),XG80 = $AEY$157),$AEW$157,
IF(OR(AND($AEY$158&gt;XG80,XG80&gt;$AEY$157),XG80 = $AEY$158),$AEW$158,
IF(OR(AND($AEY$159&gt;XG80,XG80&gt;$AEY$158),XG80 = $AEY$159),$AEW$159,
IF(OR(AND($AEY$160&gt;XG80,XG80&gt;$AEY$159),XG80 = $AEY$160),$AEW$160,
IF(OR(AND($AEY$161&gt;XG80,XG80&gt;$AEY$160),XG80 = $AEY$161),$AEW$161,
IF(OR(AND($AEY$162&gt;XG80,XG80&gt;$AEY$161),XG80 = $AEY$162),$AEW$162,
IF(OR(AND($AEY$163&gt;XG80,XG80&gt;$AEY$162),XG80 = $AEY$163),$AEW$163,
IF(OR(AND($AEY$164&gt;XG80,XG80&gt;$AEY$163),XG80 = $AEY$164),$AEW$164,
IF(OR(AND($AEY$165&gt;XG80,XG80&gt;$AEY$164),XG80 = $AEY$165),$AEW$165,
IF(OR(AND($AEY$166&gt;XG80,XG80&gt;$AEY$165),XG80 = $AEY$166),$AEW$166,
IF(OR(AND($AEY$167&gt;XG80,XG80&gt;$AEY$166),XG80 = $AEY$167),$AEW$167,
IF(OR(AND($AEY$168&gt;XG80,XG80&gt;$AEY$167),XG80 = $AEY$168),$AEW$168,
IF(OR(AND($AEY$169&gt;XG80,XG80&gt;$AEY$168),XG80 = $AEY$169),$AEW$169,
IF(OR(AND($AEY$170&gt;XG80,XG80&gt;$AEY$169),XG80 = $AEY$170),$AEW$170,
IF(OR(AND($AEY$171&gt;XG80,XG80&gt;$AEY$170),XG80 = $AEY$171),$AEW$171,
IF(OR(AND($AEY$172&gt;XG80,XG80&gt;$AEY$171),XG80 = $AEY$172),$AEW$172,
IF(OR(AND($AEY$173&gt;XG80,XG80&gt;$AEY$172),XG80 = $AEY$173),$AEW$173,
IF(OR(AND($AEY$174&gt;XG80,XG80&gt;$AEY$173),XG80 = $AEY$174),$AEW$174,
IF(OR(AND($AEY$175&gt;XG80,XG80&gt;$AEY$174),XG80 = $AEY$175),$AEW$175,
IF(OR(AND($AEY$176&gt;XG80,XG80&gt;$AEY$175),XG80 = $AEY$176),$AEW$176,
IF(OR(AND($AEY$177&gt;XG80,XG80&gt;$AEY$176),XG80 = $AEY$177),$AEW$177,
IF(OR(AND($AEY$178&gt;XG80,XG80&gt;$AEY$177),XG80 = $AEY$178),$AEW$178,
IF(OR(AND($AEY$179&gt;XG80,XG80&gt;$AEY$178),XG80 = $AEY$179),$AEW$179,
IF(OR(AND($AEY$180&gt;XG80,XG80&gt;$AEY$179),XG80 = $AEY$180),$AEW$180,
IF(OR(AND($AEY$181&gt;XG80,XG80&gt;$AEY$180),XG80 = $AEY$181),$AEW$181,
IF(OR(AND($AEY$182&gt;XG80,XG80&gt;$AEY$181),XG80 = $AEY$182),$AEW$182,
IF(OR(AND($AEY$183&gt;XG80,XG80&gt;$AEY$182),XG80 = $AEY$183),$AEW$183,
IF(OR(AND($AEY$184&gt;XG80,XG80&gt;$AEY$183),XG80 = $AEY$184),$AEW$184,
IF(OR(AND($AEY$185&gt;XG80,XG80&gt;$AEY$184),XG80 = $AEY$185),$AEW$185,
IF(OR(AND($AEY$186&gt;XG80,XG80&gt;$AEY$185),XG80 = $AEY$186),$AEW$186,
IF(OR(AND($AEY$187&gt;XG80,XG80&gt;$AEY$186),XG80 = $AEY$187),$AEW$187,
IF(OR(AND($AEY$188&gt;XG80,XG80&gt;$AEY$187),XG80 = $AEY$188),$AEW$188,
IF(OR(AND($AEY$189&gt;XG80,XG80&gt;$AEY$188),XG80 = $AEY$189),$AEW$189,
IF(OR(AND($AEY$190&gt;XG80,XG80&gt;$AEY$189),XG80 = $AEY$190),$AEW$190,
IF(OR(AND($AEY$191&gt;XG80,XG80&gt;$AEY$190),XG80 = $AEY$191),$AEW$191,
IF(OR(AND($AEY$192&gt;XG80,XG80&gt;$AEY$191),XG80 = $AEY$192),$AEW$192,
IF(OR(AND($AEY$193&gt;XG80,XG80&gt;$AEY$192),XG80 = $AEY$193),$AEW$193,
IF(OR(AND($AEY$194&gt;XG80,XG80&gt;$AEY$193),XG80 = $AEY$194),$AEW$194,
IF(OR(AND($AEY$195&gt;XG80,XG80&gt;$AEY$194),XG80 = $AEY$195),$AEW$195,
IF(OR(AND($AEY$196&gt;XG80,XG80&gt;$AEY$195),XG80 = $AEY$196),$AEW$196,
IF(OR(AND($AEY$197&gt;XG80,XG80&gt;$AEY$196),XG80 = $AEY$197),$AEW$197,
IF(OR(AND($AEY$198&gt;XG80,XG80&gt;$AEY$197),XG80 = $AEY$198),$AEW$198,
IF(OR(AND($AEY$199&gt;XG80,XG80&gt;$AEY$198),XG80 = $AEY$199),$AEW$199,
IF(OR(AND($AEY$200&gt;XG80,XG80&gt;$AEY$199),XG80 = $AEY$200),$AEW$200,
IF(OR(AND($AEY$201&gt;XG80,XG80&gt;$AEY$200),XG80 = $AEY$201),$AEW$201,
IF(OR(AND($AEY$202&gt;XG80,XG80&gt;$AEY$201),XG80 = $AEY$202),$AEW$202,
IF(OR(AND($AEY$203&gt;XG80,XG80&gt;$AEY$202),XG80 = $AEY$203),$AEW$203,
"Y")))))))))))))))))))))))))))))))))))))))))))))))))))</f>
        <v>Y</v>
      </c>
      <c r="XH115" s="693" t="str">
        <f t="shared" si="150"/>
        <v>Y</v>
      </c>
      <c r="XI115" s="693" t="str">
        <f t="shared" si="150"/>
        <v>Y</v>
      </c>
      <c r="XJ115" s="693" t="str">
        <f t="shared" si="150"/>
        <v>Y</v>
      </c>
      <c r="XK115" s="693" t="str">
        <f t="shared" si="150"/>
        <v>Y</v>
      </c>
      <c r="XL115" s="693" t="str">
        <f t="shared" si="150"/>
        <v>Y</v>
      </c>
      <c r="XM115" s="693" t="str">
        <f t="shared" si="150"/>
        <v>Y</v>
      </c>
      <c r="XN115" s="693" t="str">
        <f t="shared" si="150"/>
        <v>Y</v>
      </c>
      <c r="XO115" s="693" t="str">
        <f t="shared" si="150"/>
        <v>Y</v>
      </c>
      <c r="XP115" s="693" t="str">
        <f t="shared" si="150"/>
        <v>Y</v>
      </c>
      <c r="XQ115" s="693" t="str">
        <f t="shared" si="150"/>
        <v>Y</v>
      </c>
      <c r="XR115" s="693" t="str">
        <f t="shared" si="150"/>
        <v>Y</v>
      </c>
      <c r="XS115" s="693" t="str">
        <f t="shared" si="150"/>
        <v>Y</v>
      </c>
      <c r="XT115" s="693" t="str">
        <f t="shared" si="150"/>
        <v>Y</v>
      </c>
      <c r="XU115" s="693" t="str">
        <f t="shared" si="150"/>
        <v>Y</v>
      </c>
      <c r="XV115" s="693" t="str">
        <f t="shared" si="150"/>
        <v>Y</v>
      </c>
      <c r="XW115" s="693" t="str">
        <f t="shared" si="150"/>
        <v>Y</v>
      </c>
      <c r="XX115" s="693" t="str">
        <f t="shared" si="150"/>
        <v>Y</v>
      </c>
      <c r="XY115" s="693" t="str">
        <f t="shared" si="150"/>
        <v>Y</v>
      </c>
      <c r="XZ115" s="693" t="str">
        <f t="shared" si="150"/>
        <v>Y</v>
      </c>
      <c r="YA115" s="693" t="str">
        <f t="shared" si="150"/>
        <v>Y</v>
      </c>
      <c r="YB115" s="693" t="str">
        <f t="shared" si="150"/>
        <v>Y</v>
      </c>
      <c r="YC115" s="693" t="str">
        <f t="shared" si="150"/>
        <v>Y</v>
      </c>
      <c r="YD115" s="693" t="str">
        <f t="shared" si="150"/>
        <v>Y</v>
      </c>
      <c r="YE115" s="693" t="str">
        <f t="shared" si="150"/>
        <v>Y</v>
      </c>
      <c r="YF115" s="693" t="str">
        <f t="shared" si="150"/>
        <v>Y</v>
      </c>
      <c r="YG115" s="693" t="str">
        <f t="shared" si="150"/>
        <v>Y</v>
      </c>
      <c r="YH115" s="693" t="str">
        <f t="shared" si="150"/>
        <v>Y</v>
      </c>
      <c r="YI115" s="693" t="str">
        <f t="shared" si="150"/>
        <v>Y</v>
      </c>
      <c r="YJ115" s="693" t="str">
        <f t="shared" si="150"/>
        <v>Y</v>
      </c>
      <c r="YK115" s="693" t="str">
        <f t="shared" si="150"/>
        <v>Y</v>
      </c>
      <c r="YL115" s="693" t="str">
        <f t="shared" si="150"/>
        <v>Y</v>
      </c>
      <c r="YM115" s="693" t="str">
        <f t="shared" ref="YM115:ZR115" si="151">IF($AEY$154&lt;0,"Ошибка",
IF(OR(AND($AEY$154&gt;YM80,YM80&gt;$AEO$203),YM80 = $AEY$154),$AEW$154,
IF(OR(AND($AEY$155&gt;YM80,YM80&gt;$AEY$154),YM80 = $AEY$155),$AEW$155,
IF(OR(AND($AEY$156&gt;YM80,YM80&gt;$AEY$155),YM80 = $AEY$156),$AEW$156,
IF(OR(AND($AEY$157&gt;YM80,YM80&gt;$AEY$156),YM80 = $AEY$157),$AEW$157,
IF(OR(AND($AEY$158&gt;YM80,YM80&gt;$AEY$157),YM80 = $AEY$158),$AEW$158,
IF(OR(AND($AEY$159&gt;YM80,YM80&gt;$AEY$158),YM80 = $AEY$159),$AEW$159,
IF(OR(AND($AEY$160&gt;YM80,YM80&gt;$AEY$159),YM80 = $AEY$160),$AEW$160,
IF(OR(AND($AEY$161&gt;YM80,YM80&gt;$AEY$160),YM80 = $AEY$161),$AEW$161,
IF(OR(AND($AEY$162&gt;YM80,YM80&gt;$AEY$161),YM80 = $AEY$162),$AEW$162,
IF(OR(AND($AEY$163&gt;YM80,YM80&gt;$AEY$162),YM80 = $AEY$163),$AEW$163,
IF(OR(AND($AEY$164&gt;YM80,YM80&gt;$AEY$163),YM80 = $AEY$164),$AEW$164,
IF(OR(AND($AEY$165&gt;YM80,YM80&gt;$AEY$164),YM80 = $AEY$165),$AEW$165,
IF(OR(AND($AEY$166&gt;YM80,YM80&gt;$AEY$165),YM80 = $AEY$166),$AEW$166,
IF(OR(AND($AEY$167&gt;YM80,YM80&gt;$AEY$166),YM80 = $AEY$167),$AEW$167,
IF(OR(AND($AEY$168&gt;YM80,YM80&gt;$AEY$167),YM80 = $AEY$168),$AEW$168,
IF(OR(AND($AEY$169&gt;YM80,YM80&gt;$AEY$168),YM80 = $AEY$169),$AEW$169,
IF(OR(AND($AEY$170&gt;YM80,YM80&gt;$AEY$169),YM80 = $AEY$170),$AEW$170,
IF(OR(AND($AEY$171&gt;YM80,YM80&gt;$AEY$170),YM80 = $AEY$171),$AEW$171,
IF(OR(AND($AEY$172&gt;YM80,YM80&gt;$AEY$171),YM80 = $AEY$172),$AEW$172,
IF(OR(AND($AEY$173&gt;YM80,YM80&gt;$AEY$172),YM80 = $AEY$173),$AEW$173,
IF(OR(AND($AEY$174&gt;YM80,YM80&gt;$AEY$173),YM80 = $AEY$174),$AEW$174,
IF(OR(AND($AEY$175&gt;YM80,YM80&gt;$AEY$174),YM80 = $AEY$175),$AEW$175,
IF(OR(AND($AEY$176&gt;YM80,YM80&gt;$AEY$175),YM80 = $AEY$176),$AEW$176,
IF(OR(AND($AEY$177&gt;YM80,YM80&gt;$AEY$176),YM80 = $AEY$177),$AEW$177,
IF(OR(AND($AEY$178&gt;YM80,YM80&gt;$AEY$177),YM80 = $AEY$178),$AEW$178,
IF(OR(AND($AEY$179&gt;YM80,YM80&gt;$AEY$178),YM80 = $AEY$179),$AEW$179,
IF(OR(AND($AEY$180&gt;YM80,YM80&gt;$AEY$179),YM80 = $AEY$180),$AEW$180,
IF(OR(AND($AEY$181&gt;YM80,YM80&gt;$AEY$180),YM80 = $AEY$181),$AEW$181,
IF(OR(AND($AEY$182&gt;YM80,YM80&gt;$AEY$181),YM80 = $AEY$182),$AEW$182,
IF(OR(AND($AEY$183&gt;YM80,YM80&gt;$AEY$182),YM80 = $AEY$183),$AEW$183,
IF(OR(AND($AEY$184&gt;YM80,YM80&gt;$AEY$183),YM80 = $AEY$184),$AEW$184,
IF(OR(AND($AEY$185&gt;YM80,YM80&gt;$AEY$184),YM80 = $AEY$185),$AEW$185,
IF(OR(AND($AEY$186&gt;YM80,YM80&gt;$AEY$185),YM80 = $AEY$186),$AEW$186,
IF(OR(AND($AEY$187&gt;YM80,YM80&gt;$AEY$186),YM80 = $AEY$187),$AEW$187,
IF(OR(AND($AEY$188&gt;YM80,YM80&gt;$AEY$187),YM80 = $AEY$188),$AEW$188,
IF(OR(AND($AEY$189&gt;YM80,YM80&gt;$AEY$188),YM80 = $AEY$189),$AEW$189,
IF(OR(AND($AEY$190&gt;YM80,YM80&gt;$AEY$189),YM80 = $AEY$190),$AEW$190,
IF(OR(AND($AEY$191&gt;YM80,YM80&gt;$AEY$190),YM80 = $AEY$191),$AEW$191,
IF(OR(AND($AEY$192&gt;YM80,YM80&gt;$AEY$191),YM80 = $AEY$192),$AEW$192,
IF(OR(AND($AEY$193&gt;YM80,YM80&gt;$AEY$192),YM80 = $AEY$193),$AEW$193,
IF(OR(AND($AEY$194&gt;YM80,YM80&gt;$AEY$193),YM80 = $AEY$194),$AEW$194,
IF(OR(AND($AEY$195&gt;YM80,YM80&gt;$AEY$194),YM80 = $AEY$195),$AEW$195,
IF(OR(AND($AEY$196&gt;YM80,YM80&gt;$AEY$195),YM80 = $AEY$196),$AEW$196,
IF(OR(AND($AEY$197&gt;YM80,YM80&gt;$AEY$196),YM80 = $AEY$197),$AEW$197,
IF(OR(AND($AEY$198&gt;YM80,YM80&gt;$AEY$197),YM80 = $AEY$198),$AEW$198,
IF(OR(AND($AEY$199&gt;YM80,YM80&gt;$AEY$198),YM80 = $AEY$199),$AEW$199,
IF(OR(AND($AEY$200&gt;YM80,YM80&gt;$AEY$199),YM80 = $AEY$200),$AEW$200,
IF(OR(AND($AEY$201&gt;YM80,YM80&gt;$AEY$200),YM80 = $AEY$201),$AEW$201,
IF(OR(AND($AEY$202&gt;YM80,YM80&gt;$AEY$201),YM80 = $AEY$202),$AEW$202,
IF(OR(AND($AEY$203&gt;YM80,YM80&gt;$AEY$202),YM80 = $AEY$203),$AEW$203,
"Y")))))))))))))))))))))))))))))))))))))))))))))))))))</f>
        <v>Y</v>
      </c>
      <c r="YN115" s="693" t="str">
        <f t="shared" si="151"/>
        <v>Y</v>
      </c>
      <c r="YO115" s="693" t="str">
        <f t="shared" si="151"/>
        <v>Y</v>
      </c>
      <c r="YP115" s="693" t="str">
        <f t="shared" si="151"/>
        <v>Y</v>
      </c>
      <c r="YQ115" s="693" t="str">
        <f t="shared" si="151"/>
        <v>Y</v>
      </c>
      <c r="YR115" s="693" t="str">
        <f t="shared" si="151"/>
        <v>Y</v>
      </c>
      <c r="YS115" s="693" t="str">
        <f t="shared" si="151"/>
        <v>Y</v>
      </c>
      <c r="YT115" s="693" t="str">
        <f t="shared" si="151"/>
        <v>Y</v>
      </c>
      <c r="YU115" s="693" t="str">
        <f t="shared" si="151"/>
        <v>Y</v>
      </c>
      <c r="YV115" s="693" t="str">
        <f t="shared" si="151"/>
        <v>Y</v>
      </c>
      <c r="YW115" s="693" t="str">
        <f t="shared" si="151"/>
        <v>Y</v>
      </c>
      <c r="YX115" s="693" t="str">
        <f t="shared" si="151"/>
        <v>Y</v>
      </c>
      <c r="YY115" s="693" t="str">
        <f t="shared" si="151"/>
        <v>Y</v>
      </c>
      <c r="YZ115" s="693" t="str">
        <f t="shared" si="151"/>
        <v>Y</v>
      </c>
      <c r="ZA115" s="693">
        <f t="shared" si="151"/>
        <v>0.62300000000000011</v>
      </c>
      <c r="ZB115" s="693">
        <f t="shared" si="151"/>
        <v>0.6170000000000001</v>
      </c>
      <c r="ZC115" s="693">
        <f t="shared" si="151"/>
        <v>0.6110000000000001</v>
      </c>
      <c r="ZD115" s="693">
        <f t="shared" si="151"/>
        <v>0.60300000000000009</v>
      </c>
      <c r="ZE115" s="693">
        <f t="shared" si="151"/>
        <v>0.5970000000000002</v>
      </c>
      <c r="ZF115" s="693">
        <f t="shared" si="151"/>
        <v>0.59100000000000263</v>
      </c>
      <c r="ZG115" s="693">
        <f t="shared" si="151"/>
        <v>0.58500000000000263</v>
      </c>
      <c r="ZH115" s="693">
        <f t="shared" si="151"/>
        <v>0.57900000000000262</v>
      </c>
      <c r="ZI115" s="693">
        <f t="shared" si="151"/>
        <v>0.57300000000000262</v>
      </c>
      <c r="ZJ115" s="693">
        <f t="shared" si="151"/>
        <v>0.56700000000000272</v>
      </c>
      <c r="ZK115" s="693">
        <f t="shared" si="151"/>
        <v>0.56100000000000272</v>
      </c>
      <c r="ZL115" s="693">
        <f t="shared" si="151"/>
        <v>0.55700000000000272</v>
      </c>
      <c r="ZM115" s="693">
        <f t="shared" si="151"/>
        <v>0.55100000000000271</v>
      </c>
      <c r="ZN115" s="693">
        <f t="shared" si="151"/>
        <v>0.54800000000000004</v>
      </c>
      <c r="ZO115" s="693">
        <f t="shared" si="151"/>
        <v>0.54559999999999986</v>
      </c>
      <c r="ZP115" s="693">
        <f t="shared" si="151"/>
        <v>0.54319999999999991</v>
      </c>
      <c r="ZQ115" s="693">
        <f t="shared" si="151"/>
        <v>0.54079999999999995</v>
      </c>
      <c r="ZR115" s="693" t="str">
        <f t="shared" si="151"/>
        <v>Y</v>
      </c>
      <c r="ZS115" s="693" t="str">
        <f t="shared" ref="ZS115:AAS115" si="152">IF($AEY$154&lt;0,"Ошибка",
IF(OR(AND($AEY$154&gt;ZS80,ZS80&gt;$AEO$203),ZS80 = $AEY$154),$AEW$154,
IF(OR(AND($AEY$155&gt;ZS80,ZS80&gt;$AEY$154),ZS80 = $AEY$155),$AEW$155,
IF(OR(AND($AEY$156&gt;ZS80,ZS80&gt;$AEY$155),ZS80 = $AEY$156),$AEW$156,
IF(OR(AND($AEY$157&gt;ZS80,ZS80&gt;$AEY$156),ZS80 = $AEY$157),$AEW$157,
IF(OR(AND($AEY$158&gt;ZS80,ZS80&gt;$AEY$157),ZS80 = $AEY$158),$AEW$158,
IF(OR(AND($AEY$159&gt;ZS80,ZS80&gt;$AEY$158),ZS80 = $AEY$159),$AEW$159,
IF(OR(AND($AEY$160&gt;ZS80,ZS80&gt;$AEY$159),ZS80 = $AEY$160),$AEW$160,
IF(OR(AND($AEY$161&gt;ZS80,ZS80&gt;$AEY$160),ZS80 = $AEY$161),$AEW$161,
IF(OR(AND($AEY$162&gt;ZS80,ZS80&gt;$AEY$161),ZS80 = $AEY$162),$AEW$162,
IF(OR(AND($AEY$163&gt;ZS80,ZS80&gt;$AEY$162),ZS80 = $AEY$163),$AEW$163,
IF(OR(AND($AEY$164&gt;ZS80,ZS80&gt;$AEY$163),ZS80 = $AEY$164),$AEW$164,
IF(OR(AND($AEY$165&gt;ZS80,ZS80&gt;$AEY$164),ZS80 = $AEY$165),$AEW$165,
IF(OR(AND($AEY$166&gt;ZS80,ZS80&gt;$AEY$165),ZS80 = $AEY$166),$AEW$166,
IF(OR(AND($AEY$167&gt;ZS80,ZS80&gt;$AEY$166),ZS80 = $AEY$167),$AEW$167,
IF(OR(AND($AEY$168&gt;ZS80,ZS80&gt;$AEY$167),ZS80 = $AEY$168),$AEW$168,
IF(OR(AND($AEY$169&gt;ZS80,ZS80&gt;$AEY$168),ZS80 = $AEY$169),$AEW$169,
IF(OR(AND($AEY$170&gt;ZS80,ZS80&gt;$AEY$169),ZS80 = $AEY$170),$AEW$170,
IF(OR(AND($AEY$171&gt;ZS80,ZS80&gt;$AEY$170),ZS80 = $AEY$171),$AEW$171,
IF(OR(AND($AEY$172&gt;ZS80,ZS80&gt;$AEY$171),ZS80 = $AEY$172),$AEW$172,
IF(OR(AND($AEY$173&gt;ZS80,ZS80&gt;$AEY$172),ZS80 = $AEY$173),$AEW$173,
IF(OR(AND($AEY$174&gt;ZS80,ZS80&gt;$AEY$173),ZS80 = $AEY$174),$AEW$174,
IF(OR(AND($AEY$175&gt;ZS80,ZS80&gt;$AEY$174),ZS80 = $AEY$175),$AEW$175,
IF(OR(AND($AEY$176&gt;ZS80,ZS80&gt;$AEY$175),ZS80 = $AEY$176),$AEW$176,
IF(OR(AND($AEY$177&gt;ZS80,ZS80&gt;$AEY$176),ZS80 = $AEY$177),$AEW$177,
IF(OR(AND($AEY$178&gt;ZS80,ZS80&gt;$AEY$177),ZS80 = $AEY$178),$AEW$178,
IF(OR(AND($AEY$179&gt;ZS80,ZS80&gt;$AEY$178),ZS80 = $AEY$179),$AEW$179,
IF(OR(AND($AEY$180&gt;ZS80,ZS80&gt;$AEY$179),ZS80 = $AEY$180),$AEW$180,
IF(OR(AND($AEY$181&gt;ZS80,ZS80&gt;$AEY$180),ZS80 = $AEY$181),$AEW$181,
IF(OR(AND($AEY$182&gt;ZS80,ZS80&gt;$AEY$181),ZS80 = $AEY$182),$AEW$182,
IF(OR(AND($AEY$183&gt;ZS80,ZS80&gt;$AEY$182),ZS80 = $AEY$183),$AEW$183,
IF(OR(AND($AEY$184&gt;ZS80,ZS80&gt;$AEY$183),ZS80 = $AEY$184),$AEW$184,
IF(OR(AND($AEY$185&gt;ZS80,ZS80&gt;$AEY$184),ZS80 = $AEY$185),$AEW$185,
IF(OR(AND($AEY$186&gt;ZS80,ZS80&gt;$AEY$185),ZS80 = $AEY$186),$AEW$186,
IF(OR(AND($AEY$187&gt;ZS80,ZS80&gt;$AEY$186),ZS80 = $AEY$187),$AEW$187,
IF(OR(AND($AEY$188&gt;ZS80,ZS80&gt;$AEY$187),ZS80 = $AEY$188),$AEW$188,
IF(OR(AND($AEY$189&gt;ZS80,ZS80&gt;$AEY$188),ZS80 = $AEY$189),$AEW$189,
IF(OR(AND($AEY$190&gt;ZS80,ZS80&gt;$AEY$189),ZS80 = $AEY$190),$AEW$190,
IF(OR(AND($AEY$191&gt;ZS80,ZS80&gt;$AEY$190),ZS80 = $AEY$191),$AEW$191,
IF(OR(AND($AEY$192&gt;ZS80,ZS80&gt;$AEY$191),ZS80 = $AEY$192),$AEW$192,
IF(OR(AND($AEY$193&gt;ZS80,ZS80&gt;$AEY$192),ZS80 = $AEY$193),$AEW$193,
IF(OR(AND($AEY$194&gt;ZS80,ZS80&gt;$AEY$193),ZS80 = $AEY$194),$AEW$194,
IF(OR(AND($AEY$195&gt;ZS80,ZS80&gt;$AEY$194),ZS80 = $AEY$195),$AEW$195,
IF(OR(AND($AEY$196&gt;ZS80,ZS80&gt;$AEY$195),ZS80 = $AEY$196),$AEW$196,
IF(OR(AND($AEY$197&gt;ZS80,ZS80&gt;$AEY$196),ZS80 = $AEY$197),$AEW$197,
IF(OR(AND($AEY$198&gt;ZS80,ZS80&gt;$AEY$197),ZS80 = $AEY$198),$AEW$198,
IF(OR(AND($AEY$199&gt;ZS80,ZS80&gt;$AEY$198),ZS80 = $AEY$199),$AEW$199,
IF(OR(AND($AEY$200&gt;ZS80,ZS80&gt;$AEY$199),ZS80 = $AEY$200),$AEW$200,
IF(OR(AND($AEY$201&gt;ZS80,ZS80&gt;$AEY$200),ZS80 = $AEY$201),$AEW$201,
IF(OR(AND($AEY$202&gt;ZS80,ZS80&gt;$AEY$201),ZS80 = $AEY$202),$AEW$202,
IF(OR(AND($AEY$203&gt;ZS80,ZS80&gt;$AEY$202),ZS80 = $AEY$203),$AEW$203,
"Y")))))))))))))))))))))))))))))))))))))))))))))))))))</f>
        <v>Y</v>
      </c>
      <c r="ZT115" s="693" t="str">
        <f t="shared" si="152"/>
        <v>Y</v>
      </c>
      <c r="ZU115" s="693" t="str">
        <f t="shared" si="152"/>
        <v>Y</v>
      </c>
      <c r="ZV115" s="693" t="str">
        <f t="shared" si="152"/>
        <v>Y</v>
      </c>
      <c r="ZW115" s="693" t="str">
        <f t="shared" si="152"/>
        <v>Y</v>
      </c>
      <c r="ZX115" s="693" t="str">
        <f t="shared" si="152"/>
        <v>Y</v>
      </c>
      <c r="ZY115" s="693" t="str">
        <f t="shared" si="152"/>
        <v>Y</v>
      </c>
      <c r="ZZ115" s="693" t="str">
        <f t="shared" si="152"/>
        <v>Y</v>
      </c>
      <c r="AAA115" s="693" t="str">
        <f t="shared" si="152"/>
        <v>Y</v>
      </c>
      <c r="AAB115" s="693" t="str">
        <f t="shared" si="152"/>
        <v>Y</v>
      </c>
      <c r="AAC115" s="693" t="str">
        <f t="shared" si="152"/>
        <v>Y</v>
      </c>
      <c r="AAD115" s="693" t="str">
        <f t="shared" si="152"/>
        <v>Y</v>
      </c>
      <c r="AAE115" s="693" t="str">
        <f t="shared" si="152"/>
        <v>Y</v>
      </c>
      <c r="AAF115" s="693" t="str">
        <f t="shared" si="152"/>
        <v>Y</v>
      </c>
      <c r="AAG115" s="693" t="str">
        <f t="shared" si="152"/>
        <v>Y</v>
      </c>
      <c r="AAH115" s="693" t="str">
        <f t="shared" si="152"/>
        <v>Y</v>
      </c>
      <c r="AAI115" s="693" t="str">
        <f t="shared" si="152"/>
        <v>Y</v>
      </c>
      <c r="AAJ115" s="693" t="str">
        <f t="shared" si="152"/>
        <v>Y</v>
      </c>
      <c r="AAK115" s="693" t="str">
        <f t="shared" si="152"/>
        <v>Y</v>
      </c>
      <c r="AAL115" s="693" t="str">
        <f t="shared" si="152"/>
        <v>Y</v>
      </c>
      <c r="AAM115" s="693" t="str">
        <f t="shared" si="152"/>
        <v>Y</v>
      </c>
      <c r="AAN115" s="693" t="str">
        <f t="shared" si="152"/>
        <v>Y</v>
      </c>
      <c r="AAO115" s="693" t="str">
        <f t="shared" si="152"/>
        <v>Y</v>
      </c>
      <c r="AAP115" s="693" t="str">
        <f t="shared" si="152"/>
        <v>Y</v>
      </c>
      <c r="AAQ115" s="693" t="str">
        <f t="shared" si="152"/>
        <v>Y</v>
      </c>
      <c r="AAR115" s="693" t="str">
        <f t="shared" si="152"/>
        <v>Y</v>
      </c>
      <c r="AAS115" s="693" t="str">
        <f t="shared" si="152"/>
        <v>Y</v>
      </c>
      <c r="AAT115" s="1006"/>
      <c r="AAU115" s="960"/>
      <c r="AAV115" s="1101"/>
      <c r="AAW115" s="1101"/>
      <c r="AAX115" s="1101"/>
      <c r="AAY115" s="1101"/>
      <c r="AAZ115" s="1101"/>
      <c r="ABA115" s="1101"/>
      <c r="ABB115" s="1101"/>
      <c r="ABC115" s="1101"/>
      <c r="ABD115" s="1101"/>
      <c r="ABE115" s="1101"/>
      <c r="ABF115" s="1101"/>
      <c r="ABG115" s="1101"/>
      <c r="ABH115" s="961"/>
      <c r="ABI115" s="158"/>
      <c r="ABJ115" s="158"/>
      <c r="ABK115" s="158"/>
      <c r="ABL115" s="158"/>
      <c r="ABM115" s="158"/>
      <c r="ABN115" s="158"/>
      <c r="ABO115" s="158"/>
      <c r="ABP115" s="163"/>
      <c r="ABW115" s="1519"/>
      <c r="ABX115" s="1520"/>
      <c r="ABY115" s="1520"/>
      <c r="ABZ115" s="1520"/>
      <c r="ACA115" s="1520"/>
      <c r="ACB115" s="1520"/>
      <c r="ACC115" s="1520"/>
      <c r="ACD115" s="1520"/>
      <c r="ACE115" s="1520"/>
      <c r="ACF115" s="1520"/>
      <c r="ACG115" s="1520"/>
      <c r="ACH115" s="1521"/>
      <c r="ACJ115" s="759">
        <v>0.99999999999999956</v>
      </c>
      <c r="ACK115" s="760"/>
      <c r="ACL115" s="759">
        <v>-1.1999999999999993</v>
      </c>
      <c r="ACM115" s="760"/>
      <c r="ACN115" s="592">
        <v>31</v>
      </c>
      <c r="ACO115" s="759">
        <f t="shared" si="91"/>
        <v>0.1100000000000001</v>
      </c>
      <c r="ACP115" s="760"/>
      <c r="ACQ115" s="757">
        <f t="shared" si="82"/>
        <v>1.31</v>
      </c>
      <c r="ACR115" s="758"/>
      <c r="ACT115" s="759">
        <v>1.5454545454545501</v>
      </c>
      <c r="ACU115" s="760"/>
      <c r="ACV115" s="759">
        <v>-2.1818181818181799</v>
      </c>
      <c r="ACW115" s="760"/>
      <c r="ACX115" s="591">
        <v>81</v>
      </c>
      <c r="ACY115" s="759">
        <f t="shared" si="92"/>
        <v>0.61545454545455591</v>
      </c>
      <c r="ACZ115" s="760"/>
      <c r="ADA115" s="757">
        <f t="shared" si="83"/>
        <v>1.81</v>
      </c>
      <c r="ADB115" s="758"/>
      <c r="ADD115" s="759">
        <v>1.5454545454545501</v>
      </c>
      <c r="ADE115" s="760"/>
      <c r="ADF115" s="759">
        <v>-2.1818181818181799</v>
      </c>
      <c r="ADG115" s="760"/>
      <c r="ADH115" s="591">
        <v>130</v>
      </c>
      <c r="ADI115" s="759">
        <f t="shared" si="93"/>
        <v>1.372727272727285</v>
      </c>
      <c r="ADJ115" s="760"/>
      <c r="ADK115" s="757">
        <f t="shared" si="84"/>
        <v>2.2999999999999998</v>
      </c>
      <c r="ADL115" s="758"/>
      <c r="ADN115" s="759">
        <v>1.5454545454545501</v>
      </c>
      <c r="ADO115" s="760"/>
      <c r="ADP115" s="759">
        <v>-2.1818181818181799</v>
      </c>
      <c r="ADQ115" s="760"/>
      <c r="ADR115" s="591">
        <v>180</v>
      </c>
      <c r="ADS115" s="759">
        <f t="shared" si="94"/>
        <v>2.1454545454545597</v>
      </c>
      <c r="ADT115" s="760"/>
      <c r="ADU115" s="757">
        <f t="shared" si="85"/>
        <v>2.8</v>
      </c>
      <c r="ADV115" s="758"/>
      <c r="ADW115" s="653"/>
      <c r="ADX115" s="759">
        <v>1.5454545454545501</v>
      </c>
      <c r="ADY115" s="760"/>
      <c r="ADZ115" s="759">
        <v>-2.1818181818181799</v>
      </c>
      <c r="AEA115" s="760"/>
      <c r="AEB115" s="591">
        <v>230</v>
      </c>
      <c r="AEC115" s="759">
        <f t="shared" si="134"/>
        <v>2.9181818181818358</v>
      </c>
      <c r="AED115" s="760"/>
      <c r="AEE115" s="757">
        <f t="shared" si="86"/>
        <v>3.3000000000000003</v>
      </c>
      <c r="AEF115" s="758"/>
      <c r="AEH115" s="759">
        <v>1.5454545454545501</v>
      </c>
      <c r="AEI115" s="760"/>
      <c r="AEJ115" s="759">
        <v>-2.1818181818181799</v>
      </c>
      <c r="AEK115" s="760"/>
      <c r="AEL115" s="591">
        <v>280</v>
      </c>
      <c r="AEM115" s="759">
        <f t="shared" si="101"/>
        <v>3.6909090909091109</v>
      </c>
      <c r="AEN115" s="760"/>
      <c r="AEO115" s="757">
        <f t="shared" si="87"/>
        <v>3.8000000000000003</v>
      </c>
      <c r="AEP115" s="758"/>
      <c r="AGL115" s="850"/>
      <c r="AGM115" s="861" t="s">
        <v>1264</v>
      </c>
      <c r="AGN115" s="861"/>
      <c r="AGO115" s="937">
        <f>$MQ$212</f>
        <v>2.5479278737632125</v>
      </c>
      <c r="AGP115" s="937"/>
      <c r="AGQ115" s="792" t="s">
        <v>1416</v>
      </c>
      <c r="AGR115" s="792"/>
      <c r="AGS115" s="792"/>
      <c r="AGT115" s="792"/>
      <c r="AGU115" s="792"/>
      <c r="AGV115" s="792"/>
      <c r="AGW115" s="792"/>
      <c r="AGX115" s="792"/>
      <c r="AGY115" s="793"/>
      <c r="AGZ115" s="835">
        <f>(AGS114+AGO116+AGO117)/(AGO115+AGO116+AGO117)</f>
        <v>0.75548439321349448</v>
      </c>
      <c r="AHA115" s="836"/>
      <c r="AHB115" s="1341" t="s">
        <v>729</v>
      </c>
      <c r="AHC115" s="1342"/>
      <c r="AHD115" s="841"/>
      <c r="AHE115" s="843" t="s">
        <v>1383</v>
      </c>
      <c r="AHF115" s="844"/>
      <c r="AHG115" s="847"/>
      <c r="AHH115" s="1052"/>
      <c r="AHI115" s="1052"/>
      <c r="AHJ115" s="1052"/>
      <c r="AHK115" s="1052"/>
      <c r="AHL115" s="1052"/>
      <c r="AHM115" s="1052"/>
      <c r="AHN115" s="1052"/>
      <c r="AHO115" s="130"/>
      <c r="AHP115" s="130"/>
      <c r="AHQ115" s="130"/>
      <c r="AID115" s="130"/>
      <c r="AIE115" s="130"/>
      <c r="AIF115" s="130"/>
      <c r="AIG115" s="130"/>
      <c r="AIH115" s="130"/>
      <c r="AII115" s="130"/>
      <c r="AIJ115" s="130"/>
      <c r="AQV115" s="653"/>
      <c r="AQW115" s="653"/>
      <c r="AQX115" s="653"/>
      <c r="AQY115" s="653"/>
      <c r="AQZ115" s="653"/>
      <c r="ARA115" s="653"/>
      <c r="ARB115" s="653"/>
      <c r="ARC115" s="653"/>
      <c r="ARD115" s="653"/>
      <c r="ARE115" s="653"/>
      <c r="ARF115" s="653"/>
      <c r="ARG115" s="653"/>
      <c r="ARH115" s="653"/>
      <c r="ARI115" s="653"/>
      <c r="ARJ115" s="653"/>
      <c r="ARK115" s="653"/>
      <c r="ARL115" s="653"/>
      <c r="ARM115" s="653"/>
      <c r="ARN115" s="653"/>
      <c r="ARO115" s="653"/>
      <c r="ARU115" s="900"/>
      <c r="ARV115" s="901"/>
      <c r="ARW115" s="902"/>
      <c r="ARX115" s="850"/>
      <c r="ARY115" s="652" t="s">
        <v>702</v>
      </c>
      <c r="ARZ115" s="806" t="s">
        <v>1850</v>
      </c>
      <c r="ASA115" s="807"/>
      <c r="ASB115" s="808"/>
      <c r="ASC115" s="797" t="s">
        <v>908</v>
      </c>
      <c r="ASD115" s="797"/>
      <c r="ASE115" s="797"/>
      <c r="ASF115" s="797"/>
      <c r="ASG115" s="797"/>
      <c r="ASH115" s="798"/>
      <c r="ASI115" s="1471">
        <v>155</v>
      </c>
      <c r="ASJ115" s="1472"/>
      <c r="ASK115" s="839"/>
      <c r="ASL115" s="840"/>
      <c r="ASM115" s="841"/>
      <c r="ASN115" s="843" t="s">
        <v>416</v>
      </c>
      <c r="ASO115" s="844"/>
      <c r="ASP115" s="847"/>
    </row>
    <row r="116" spans="60:920 1133:1226" ht="48" customHeight="1" thickBot="1">
      <c r="BW116" s="653"/>
      <c r="CZ116" s="653"/>
      <c r="DA116" s="653"/>
      <c r="DB116" s="653"/>
      <c r="DC116" s="653"/>
      <c r="DD116" s="653"/>
      <c r="DH116" s="130"/>
      <c r="DI116" s="130"/>
      <c r="DL116" s="653"/>
      <c r="DM116" s="653"/>
      <c r="DN116" s="653"/>
      <c r="DO116" s="653"/>
      <c r="DP116" s="653"/>
      <c r="DQ116" s="653"/>
      <c r="DU116" s="130"/>
      <c r="DV116" s="130"/>
      <c r="FH116" s="653"/>
      <c r="FI116" s="653"/>
      <c r="FJ116" s="653"/>
      <c r="FK116" s="653"/>
      <c r="FL116" s="653"/>
      <c r="FM116" s="653"/>
      <c r="FN116" s="653"/>
      <c r="GF116" s="851"/>
      <c r="GG116" s="656" t="s">
        <v>1070</v>
      </c>
      <c r="GH116" s="879">
        <f>$GU$16</f>
        <v>46</v>
      </c>
      <c r="GI116" s="1632"/>
      <c r="GJ116" s="1648"/>
      <c r="GK116" s="1649"/>
      <c r="GL116" s="1650"/>
      <c r="GM116" s="1169"/>
      <c r="GN116" s="799"/>
      <c r="GO116" s="1254"/>
      <c r="GP116" s="1191"/>
      <c r="GQ116" s="1067"/>
      <c r="GR116" s="1150"/>
      <c r="GS116" s="1151"/>
      <c r="GT116" s="848"/>
      <c r="GU116" s="828"/>
      <c r="GV116" s="949"/>
      <c r="GW116" s="949"/>
      <c r="GX116" s="950"/>
      <c r="HQ116" s="130"/>
      <c r="HR116" s="130"/>
      <c r="IE116" s="130"/>
      <c r="IF116" s="130"/>
      <c r="IG116" s="130"/>
      <c r="IH116" s="130"/>
      <c r="II116" s="130"/>
      <c r="IJ116" s="3"/>
      <c r="IK116" s="3"/>
      <c r="JW116" s="130"/>
      <c r="JX116" s="130"/>
      <c r="JY116" s="130"/>
      <c r="LJ116" s="653"/>
      <c r="LK116" s="653"/>
      <c r="LL116" s="653"/>
      <c r="LM116" s="653"/>
      <c r="LN116" s="653"/>
      <c r="LO116" s="653"/>
      <c r="LP116" s="653"/>
      <c r="LQ116" s="653"/>
      <c r="LR116" s="653"/>
      <c r="LS116" s="130"/>
      <c r="LX116" s="377"/>
      <c r="LY116" s="373"/>
      <c r="LZ116" s="373"/>
      <c r="MA116" s="373"/>
      <c r="MB116" s="373"/>
      <c r="MC116" s="373"/>
      <c r="MD116" s="1843"/>
      <c r="ME116" s="1844"/>
      <c r="MF116" s="909"/>
      <c r="MG116" s="910"/>
      <c r="MH116" s="910"/>
      <c r="MI116" s="910"/>
      <c r="MJ116" s="1239"/>
      <c r="MK116" s="373"/>
      <c r="ML116" s="373"/>
      <c r="MM116" s="373"/>
      <c r="MN116" s="373"/>
      <c r="MO116" s="373"/>
      <c r="MP116" s="373"/>
      <c r="MQ116" s="373"/>
      <c r="MR116" s="373"/>
      <c r="MS116" s="373"/>
      <c r="MT116" s="373"/>
      <c r="MU116" s="373"/>
      <c r="MV116" s="373"/>
      <c r="MW116" s="373"/>
      <c r="MX116" s="373"/>
      <c r="MY116" s="373"/>
      <c r="MZ116" s="373"/>
      <c r="NA116" s="373"/>
      <c r="NB116" s="373"/>
      <c r="NC116" s="373"/>
      <c r="ND116" s="373"/>
      <c r="NE116" s="373"/>
      <c r="NF116" s="373"/>
      <c r="NG116" s="373"/>
      <c r="NH116" s="373"/>
      <c r="NI116" s="373"/>
      <c r="NJ116" s="373"/>
      <c r="NK116" s="373"/>
      <c r="NL116" s="373"/>
      <c r="NM116" s="373"/>
      <c r="NN116" s="373"/>
      <c r="NO116" s="1843"/>
      <c r="NP116" s="1844"/>
      <c r="NQ116" s="909"/>
      <c r="NR116" s="910"/>
      <c r="NS116" s="910"/>
      <c r="NT116" s="910"/>
      <c r="NU116" s="1239"/>
      <c r="NV116" s="373"/>
      <c r="NW116" s="373"/>
      <c r="NX116" s="373"/>
      <c r="NY116" s="373"/>
      <c r="NZ116" s="373"/>
      <c r="OA116" s="373"/>
      <c r="OB116" s="373"/>
      <c r="OC116" s="373"/>
      <c r="OD116" s="373"/>
      <c r="OE116" s="373"/>
      <c r="OF116" s="373"/>
      <c r="OG116" s="373"/>
      <c r="OH116" s="373"/>
      <c r="OI116" s="373"/>
      <c r="OJ116" s="373"/>
      <c r="OK116" s="373"/>
      <c r="OL116" s="373"/>
      <c r="OM116" s="373"/>
      <c r="ON116" s="373"/>
      <c r="OO116" s="373"/>
      <c r="OP116" s="373"/>
      <c r="OQ116" s="373"/>
      <c r="OR116" s="373"/>
      <c r="OS116" s="373"/>
      <c r="OT116" s="373"/>
      <c r="OU116" s="374"/>
      <c r="OY116" s="130"/>
      <c r="OZ116" s="130"/>
      <c r="PA116" s="130"/>
      <c r="PB116" s="130"/>
      <c r="PC116" s="130"/>
      <c r="PD116" s="130"/>
      <c r="PE116" s="130"/>
      <c r="PF116" s="130"/>
      <c r="RE116" s="653"/>
      <c r="RF116" s="653"/>
      <c r="RG116" s="653"/>
      <c r="RH116" s="653"/>
      <c r="RI116" s="653"/>
      <c r="RJ116" s="653"/>
      <c r="RK116" s="653"/>
      <c r="RL116" s="653"/>
      <c r="RM116" s="653"/>
      <c r="RN116" s="653"/>
      <c r="RO116" s="653"/>
      <c r="RP116" s="653"/>
      <c r="RQ116" s="653"/>
      <c r="RR116" s="653"/>
      <c r="RS116" s="653"/>
      <c r="RT116" s="653"/>
      <c r="RU116" s="653"/>
      <c r="RV116" s="653"/>
      <c r="RW116" s="653"/>
      <c r="RX116" s="653"/>
      <c r="RY116" s="653"/>
      <c r="RZ116" s="653"/>
      <c r="SA116" s="653"/>
      <c r="SB116" s="653"/>
      <c r="SC116" s="653"/>
      <c r="SD116" s="653"/>
      <c r="SE116" s="653"/>
      <c r="SF116" s="653"/>
      <c r="SG116" s="653"/>
      <c r="SH116" s="653"/>
      <c r="SI116" s="653"/>
      <c r="SJ116" s="653"/>
      <c r="SK116" s="653"/>
      <c r="SL116" s="653"/>
      <c r="SM116" s="653"/>
      <c r="SN116" s="653"/>
      <c r="SO116" s="653"/>
      <c r="SP116" s="653"/>
      <c r="SQ116" s="653"/>
      <c r="SR116" s="653"/>
      <c r="SS116" s="653"/>
      <c r="ST116" s="653"/>
      <c r="SU116" s="653"/>
      <c r="SV116" s="653"/>
      <c r="SW116" s="653"/>
      <c r="SX116" s="653"/>
      <c r="SY116" s="653"/>
      <c r="SZ116" s="653"/>
      <c r="TA116" s="653"/>
      <c r="TB116" s="653"/>
      <c r="TC116" s="653"/>
      <c r="TD116" s="653"/>
      <c r="TE116" s="653"/>
      <c r="TF116" s="653"/>
      <c r="TG116" s="653"/>
      <c r="TH116" s="653"/>
      <c r="TI116" s="653"/>
      <c r="TJ116" s="653"/>
      <c r="TK116" s="653"/>
      <c r="TL116" s="653"/>
      <c r="TM116" s="653"/>
      <c r="TN116" s="653"/>
      <c r="TO116" s="653"/>
      <c r="TP116" s="653"/>
      <c r="TQ116" s="653"/>
      <c r="TR116" s="653"/>
      <c r="TS116" s="653"/>
      <c r="TT116" s="653"/>
      <c r="TU116" s="653"/>
      <c r="TV116" s="653"/>
      <c r="TW116" s="653"/>
      <c r="TX116" s="653"/>
      <c r="TY116" s="653"/>
      <c r="TZ116" s="653"/>
      <c r="UA116" s="653"/>
      <c r="UB116" s="653"/>
      <c r="UC116" s="653"/>
      <c r="UD116" s="653"/>
      <c r="UE116" s="653"/>
      <c r="UF116" s="653"/>
      <c r="UG116" s="653"/>
      <c r="UH116" s="653"/>
      <c r="UI116" s="653"/>
      <c r="UJ116" s="653"/>
      <c r="UK116" s="653"/>
      <c r="UL116" s="653"/>
      <c r="UM116" s="653"/>
      <c r="UN116" s="653"/>
      <c r="UO116" s="653"/>
      <c r="UP116" s="653"/>
      <c r="UQ116" s="653"/>
      <c r="UR116" s="653"/>
      <c r="US116" s="653"/>
      <c r="UT116" s="653"/>
      <c r="UU116" s="653"/>
      <c r="UV116" s="653"/>
      <c r="UW116" s="653"/>
      <c r="UX116" s="653"/>
      <c r="UY116" s="653"/>
      <c r="UZ116" s="653"/>
      <c r="WE116" s="996"/>
      <c r="WF116" s="997"/>
      <c r="WG116" s="175"/>
      <c r="WH116" s="173"/>
      <c r="WI116" s="173"/>
      <c r="WJ116" s="173"/>
      <c r="WK116" s="173"/>
      <c r="WL116" s="173"/>
      <c r="WM116" s="173"/>
      <c r="WN116" s="173"/>
      <c r="WO116" s="173"/>
      <c r="WP116" s="173"/>
      <c r="WQ116" s="173"/>
      <c r="WR116" s="173"/>
      <c r="WS116" s="173"/>
      <c r="WT116" s="173"/>
      <c r="WU116" s="173"/>
      <c r="WV116" s="173"/>
      <c r="WW116" s="173"/>
      <c r="WX116" s="173"/>
      <c r="WY116" s="174"/>
      <c r="WZ116" s="1085"/>
      <c r="XA116" s="1085"/>
      <c r="XB116" s="175"/>
      <c r="XC116" s="173"/>
      <c r="XD116" s="173"/>
      <c r="XE116" s="173"/>
      <c r="XF116" s="174"/>
      <c r="XG116" s="693" t="str">
        <f t="shared" ref="XG116:YL116" si="153">IF($AFI$154&lt;0,"Ошибка",
IF(OR(AND($AFI$154&gt;XG80,XG80&gt;$AEY$203),XG80 = $AFI$154),$AFG$154,
IF(OR(AND($AFI$155&gt;XG80,XG80&gt;$AFI$154),XG80 = $AFI$155),$AFG$155,
IF(OR(AND($AFI$156&gt;XG80,XG80&gt;$AFI$155),XG80 = $AFI$156),$AFG$156,
IF(OR(AND($AFI$157&gt;XG80,XG80&gt;$AFI$156),XG80 = $AFI$157),$AFG$157,
IF(OR(AND($AFI$158&gt;XG80,XG80&gt;$AFI$157),XG80 = $AFI$158),$AFG$158,
IF(OR(AND($AFI$159&gt;XG80,XG80&gt;$AFI$158),XG80 = $AFI$159),$AFG$159,
IF(OR(AND($AFI$160&gt;XG80,XG80&gt;$AFI$159),XG80 = $AFI$160),$AFG$160,
IF(OR(AND($AFI$161&gt;XG80,XG80&gt;$AFI$160),XG80 = $AFI$161),$AFG$161,
IF(OR(AND($AFI$162&gt;XG80,XG80&gt;$AFI$161),XG80 = $AFI$162),$AFG$162,
IF(OR(AND($AFI$163&gt;XG80,XG80&gt;$AFI$162),XG80 = $AFI$163),$AFG$163,
IF(OR(AND($AFI$164&gt;XG80,XG80&gt;$AFI$163),XG80 = $AFI$164),$AFG$164,
IF(OR(AND($AFI$165&gt;XG80,XG80&gt;$AFI$164),XG80 = $AFI$165),$AFG$165,
IF(OR(AND($AFI$166&gt;XG80,XG80&gt;$AFI$165),XG80 = $AFI$166),$AFG$166,
IF(OR(AND($AFI$167&gt;XG80,XG80&gt;$AFI$166),XG80 = $AFI$167),$AFG$167,
IF(OR(AND($AFI$168&gt;XG80,XG80&gt;$AFI$167),XG80 = $AFI$168),$AFG$168,
IF(OR(AND($AFI$169&gt;XG80,XG80&gt;$AFI$168),XG80 = $AFI$169),$AFG$169,
IF(OR(AND($AFI$170&gt;XG80,XG80&gt;$AFI$169),XG80 = $AFI$170),$AFG$170,
IF(OR(AND($AFI$171&gt;XG80,XG80&gt;$AFI$170),XG80 = $AFI$171),$AFG$171,
IF(OR(AND($AFI$172&gt;XG80,XG80&gt;$AFI$171),XG80 = $AFI$172),$AFG$172,
IF(OR(AND($AFI$173&gt;XG80,XG80&gt;$AFI$172),XG80 = $AFI$173),$AFG$173,
IF(OR(AND($AFI$174&gt;XG80,XG80&gt;$AFI$173),XG80 = $AFI$174),$AFG$174,
IF(OR(AND($AFI$175&gt;XG80,XG80&gt;$AFI$174),XG80 = $AFI$175),$AFG$175,
IF(OR(AND($AFI$176&gt;XG80,XG80&gt;$AFI$175),XG80 = $AFI$176),$AFG$176,
IF(OR(AND($AFI$177&gt;XG80,XG80&gt;$AFI$176),XG80 = $AFI$177),$AFG$177,
IF(OR(AND($AFI$178&gt;XG80,XG80&gt;$AFI$177),XG80 = $AFI$178),$AFG$178,
IF(OR(AND($AFI$179&gt;XG80,XG80&gt;$AFI$178),XG80 = $AFI$179),$AFG$179,
IF(OR(AND($AFI$180&gt;XG80,XG80&gt;$AFI$179),XG80 = $AFI$180),$AFG$180,
IF(OR(AND($AFI$181&gt;XG80,XG80&gt;$AFI$180),XG80 = $AFI$181),$AFG$181,
IF(OR(AND($AFI$182&gt;XG80,XG80&gt;$AFI$181),XG80 = $AFI$182),$AFG$182,
IF(OR(AND($AFI$183&gt;XG80,XG80&gt;$AFI$182),XG80 = $AFI$183),$AFG$183,
IF(OR(AND($AFI$184&gt;XG80,XG80&gt;$AFI$183),XG80 = $AFI$184),$AFG$184,
IF(OR(AND($AFI$185&gt;XG80,XG80&gt;$AFI$184),XG80 = $AFI$185),$AFG$185,
IF(OR(AND($AFI$186&gt;XG80,XG80&gt;$AFI$185),XG80 = $AFI$186),$AFG$186,
IF(OR(AND($AFI$187&gt;XG80,XG80&gt;$AFI$186),XG80 = $AFI$187),$AFG$187,
IF(OR(AND($AFI$188&gt;XG80,XG80&gt;$AFI$187),XG80 = $AFI$188),$AFG$188,
IF(OR(AND($AFI$189&gt;XG80,XG80&gt;$AFI$188),XG80 = $AFI$189),$AFG$189,
IF(OR(AND($AFI$190&gt;XG80,XG80&gt;$AFI$189),XG80 = $AFI$190),$AFG$190,
IF(OR(AND($AFI$191&gt;XG80,XG80&gt;$AFI$190),XG80 = $AFI$191),$AFG$191,
IF(OR(AND($AFI$192&gt;XG80,XG80&gt;$AFI$191),XG80 = $AFI$192),$AFG$192,
IF(OR(AND($AFI$193&gt;XG80,XG80&gt;$AFI$192),XG80 = $AFI$193),$AFG$193,
IF(OR(AND($AFI$194&gt;XG80,XG80&gt;$AFI$193),XG80 = $AFI$194),$AFG$194,
IF(OR(AND($AFI$195&gt;XG80,XG80&gt;$AFI$194),XG80 = $AFI$195),$AFG$195,
IF(OR(AND($AFI$196&gt;XG80,XG80&gt;$AFI$195),XG80 = $AFI$196),$AFG$196,
IF(OR(AND($AFI$197&gt;XG80,XG80&gt;$AFI$196),XG80 = $AFI$197),$AFG$197,
IF(OR(AND($AFI$198&gt;XG80,XG80&gt;$AFI$197),XG80 = $AFI$198),$AFG$198,
IF(OR(AND($AFI$199&gt;XG80,XG80&gt;$AFI$198),XG80 = $AFI$199),$AFG$199,
IF(OR(AND($AFI$200&gt;XG80,XG80&gt;$AFI$199),XG80 = $AFI$200),$AFG$200,
IF(OR(AND($AFI$201&gt;XG80,XG80&gt;$AFI$200),XG80 = $AFI$201),$AFG$201,
IF(OR(AND($AFI$202&gt;XG80,XG80&gt;$AFI$201),XG80 = $AFI$202),$AFG$202,
IF(OR(AND($AFI$203&gt;XG80,XG80&gt;$AFI$202),XG80 = $AFI$203),$AFG$203,
"Y")))))))))))))))))))))))))))))))))))))))))))))))))))</f>
        <v>Y</v>
      </c>
      <c r="XH116" s="693" t="str">
        <f t="shared" si="153"/>
        <v>Y</v>
      </c>
      <c r="XI116" s="693" t="str">
        <f t="shared" si="153"/>
        <v>Y</v>
      </c>
      <c r="XJ116" s="693" t="str">
        <f t="shared" si="153"/>
        <v>Y</v>
      </c>
      <c r="XK116" s="693" t="str">
        <f t="shared" si="153"/>
        <v>Y</v>
      </c>
      <c r="XL116" s="693" t="str">
        <f t="shared" si="153"/>
        <v>Y</v>
      </c>
      <c r="XM116" s="693" t="str">
        <f t="shared" si="153"/>
        <v>Y</v>
      </c>
      <c r="XN116" s="693" t="str">
        <f t="shared" si="153"/>
        <v>Y</v>
      </c>
      <c r="XO116" s="693" t="str">
        <f t="shared" si="153"/>
        <v>Y</v>
      </c>
      <c r="XP116" s="693" t="str">
        <f t="shared" si="153"/>
        <v>Y</v>
      </c>
      <c r="XQ116" s="693" t="str">
        <f t="shared" si="153"/>
        <v>Y</v>
      </c>
      <c r="XR116" s="693" t="str">
        <f t="shared" si="153"/>
        <v>Y</v>
      </c>
      <c r="XS116" s="693" t="str">
        <f t="shared" si="153"/>
        <v>Y</v>
      </c>
      <c r="XT116" s="693" t="str">
        <f t="shared" si="153"/>
        <v>Y</v>
      </c>
      <c r="XU116" s="693" t="str">
        <f t="shared" si="153"/>
        <v>Y</v>
      </c>
      <c r="XV116" s="693" t="str">
        <f t="shared" si="153"/>
        <v>Y</v>
      </c>
      <c r="XW116" s="693" t="str">
        <f t="shared" si="153"/>
        <v>Y</v>
      </c>
      <c r="XX116" s="693" t="str">
        <f t="shared" si="153"/>
        <v>Y</v>
      </c>
      <c r="XY116" s="693" t="str">
        <f t="shared" si="153"/>
        <v>Y</v>
      </c>
      <c r="XZ116" s="693" t="str">
        <f t="shared" si="153"/>
        <v>Y</v>
      </c>
      <c r="YA116" s="693" t="str">
        <f t="shared" si="153"/>
        <v>Y</v>
      </c>
      <c r="YB116" s="693" t="str">
        <f t="shared" si="153"/>
        <v>Y</v>
      </c>
      <c r="YC116" s="693" t="str">
        <f t="shared" si="153"/>
        <v>Y</v>
      </c>
      <c r="YD116" s="693" t="str">
        <f t="shared" si="153"/>
        <v>Y</v>
      </c>
      <c r="YE116" s="693" t="str">
        <f t="shared" si="153"/>
        <v>Y</v>
      </c>
      <c r="YF116" s="693" t="str">
        <f t="shared" si="153"/>
        <v>Y</v>
      </c>
      <c r="YG116" s="693" t="str">
        <f t="shared" si="153"/>
        <v>Y</v>
      </c>
      <c r="YH116" s="693" t="str">
        <f t="shared" si="153"/>
        <v>Y</v>
      </c>
      <c r="YI116" s="693" t="str">
        <f t="shared" si="153"/>
        <v>Y</v>
      </c>
      <c r="YJ116" s="693" t="str">
        <f t="shared" si="153"/>
        <v>Y</v>
      </c>
      <c r="YK116" s="693" t="str">
        <f t="shared" si="153"/>
        <v>Y</v>
      </c>
      <c r="YL116" s="693" t="str">
        <f t="shared" si="153"/>
        <v>Y</v>
      </c>
      <c r="YM116" s="693" t="str">
        <f t="shared" ref="YM116:ZR116" si="154">IF($AFI$154&lt;0,"Ошибка",
IF(OR(AND($AFI$154&gt;YM80,YM80&gt;$AEY$203),YM80 = $AFI$154),$AFG$154,
IF(OR(AND($AFI$155&gt;YM80,YM80&gt;$AFI$154),YM80 = $AFI$155),$AFG$155,
IF(OR(AND($AFI$156&gt;YM80,YM80&gt;$AFI$155),YM80 = $AFI$156),$AFG$156,
IF(OR(AND($AFI$157&gt;YM80,YM80&gt;$AFI$156),YM80 = $AFI$157),$AFG$157,
IF(OR(AND($AFI$158&gt;YM80,YM80&gt;$AFI$157),YM80 = $AFI$158),$AFG$158,
IF(OR(AND($AFI$159&gt;YM80,YM80&gt;$AFI$158),YM80 = $AFI$159),$AFG$159,
IF(OR(AND($AFI$160&gt;YM80,YM80&gt;$AFI$159),YM80 = $AFI$160),$AFG$160,
IF(OR(AND($AFI$161&gt;YM80,YM80&gt;$AFI$160),YM80 = $AFI$161),$AFG$161,
IF(OR(AND($AFI$162&gt;YM80,YM80&gt;$AFI$161),YM80 = $AFI$162),$AFG$162,
IF(OR(AND($AFI$163&gt;YM80,YM80&gt;$AFI$162),YM80 = $AFI$163),$AFG$163,
IF(OR(AND($AFI$164&gt;YM80,YM80&gt;$AFI$163),YM80 = $AFI$164),$AFG$164,
IF(OR(AND($AFI$165&gt;YM80,YM80&gt;$AFI$164),YM80 = $AFI$165),$AFG$165,
IF(OR(AND($AFI$166&gt;YM80,YM80&gt;$AFI$165),YM80 = $AFI$166),$AFG$166,
IF(OR(AND($AFI$167&gt;YM80,YM80&gt;$AFI$166),YM80 = $AFI$167),$AFG$167,
IF(OR(AND($AFI$168&gt;YM80,YM80&gt;$AFI$167),YM80 = $AFI$168),$AFG$168,
IF(OR(AND($AFI$169&gt;YM80,YM80&gt;$AFI$168),YM80 = $AFI$169),$AFG$169,
IF(OR(AND($AFI$170&gt;YM80,YM80&gt;$AFI$169),YM80 = $AFI$170),$AFG$170,
IF(OR(AND($AFI$171&gt;YM80,YM80&gt;$AFI$170),YM80 = $AFI$171),$AFG$171,
IF(OR(AND($AFI$172&gt;YM80,YM80&gt;$AFI$171),YM80 = $AFI$172),$AFG$172,
IF(OR(AND($AFI$173&gt;YM80,YM80&gt;$AFI$172),YM80 = $AFI$173),$AFG$173,
IF(OR(AND($AFI$174&gt;YM80,YM80&gt;$AFI$173),YM80 = $AFI$174),$AFG$174,
IF(OR(AND($AFI$175&gt;YM80,YM80&gt;$AFI$174),YM80 = $AFI$175),$AFG$175,
IF(OR(AND($AFI$176&gt;YM80,YM80&gt;$AFI$175),YM80 = $AFI$176),$AFG$176,
IF(OR(AND($AFI$177&gt;YM80,YM80&gt;$AFI$176),YM80 = $AFI$177),$AFG$177,
IF(OR(AND($AFI$178&gt;YM80,YM80&gt;$AFI$177),YM80 = $AFI$178),$AFG$178,
IF(OR(AND($AFI$179&gt;YM80,YM80&gt;$AFI$178),YM80 = $AFI$179),$AFG$179,
IF(OR(AND($AFI$180&gt;YM80,YM80&gt;$AFI$179),YM80 = $AFI$180),$AFG$180,
IF(OR(AND($AFI$181&gt;YM80,YM80&gt;$AFI$180),YM80 = $AFI$181),$AFG$181,
IF(OR(AND($AFI$182&gt;YM80,YM80&gt;$AFI$181),YM80 = $AFI$182),$AFG$182,
IF(OR(AND($AFI$183&gt;YM80,YM80&gt;$AFI$182),YM80 = $AFI$183),$AFG$183,
IF(OR(AND($AFI$184&gt;YM80,YM80&gt;$AFI$183),YM80 = $AFI$184),$AFG$184,
IF(OR(AND($AFI$185&gt;YM80,YM80&gt;$AFI$184),YM80 = $AFI$185),$AFG$185,
IF(OR(AND($AFI$186&gt;YM80,YM80&gt;$AFI$185),YM80 = $AFI$186),$AFG$186,
IF(OR(AND($AFI$187&gt;YM80,YM80&gt;$AFI$186),YM80 = $AFI$187),$AFG$187,
IF(OR(AND($AFI$188&gt;YM80,YM80&gt;$AFI$187),YM80 = $AFI$188),$AFG$188,
IF(OR(AND($AFI$189&gt;YM80,YM80&gt;$AFI$188),YM80 = $AFI$189),$AFG$189,
IF(OR(AND($AFI$190&gt;YM80,YM80&gt;$AFI$189),YM80 = $AFI$190),$AFG$190,
IF(OR(AND($AFI$191&gt;YM80,YM80&gt;$AFI$190),YM80 = $AFI$191),$AFG$191,
IF(OR(AND($AFI$192&gt;YM80,YM80&gt;$AFI$191),YM80 = $AFI$192),$AFG$192,
IF(OR(AND($AFI$193&gt;YM80,YM80&gt;$AFI$192),YM80 = $AFI$193),$AFG$193,
IF(OR(AND($AFI$194&gt;YM80,YM80&gt;$AFI$193),YM80 = $AFI$194),$AFG$194,
IF(OR(AND($AFI$195&gt;YM80,YM80&gt;$AFI$194),YM80 = $AFI$195),$AFG$195,
IF(OR(AND($AFI$196&gt;YM80,YM80&gt;$AFI$195),YM80 = $AFI$196),$AFG$196,
IF(OR(AND($AFI$197&gt;YM80,YM80&gt;$AFI$196),YM80 = $AFI$197),$AFG$197,
IF(OR(AND($AFI$198&gt;YM80,YM80&gt;$AFI$197),YM80 = $AFI$198),$AFG$198,
IF(OR(AND($AFI$199&gt;YM80,YM80&gt;$AFI$198),YM80 = $AFI$199),$AFG$199,
IF(OR(AND($AFI$200&gt;YM80,YM80&gt;$AFI$199),YM80 = $AFI$200),$AFG$200,
IF(OR(AND($AFI$201&gt;YM80,YM80&gt;$AFI$200),YM80 = $AFI$201),$AFG$201,
IF(OR(AND($AFI$202&gt;YM80,YM80&gt;$AFI$201),YM80 = $AFI$202),$AFG$202,
IF(OR(AND($AFI$203&gt;YM80,YM80&gt;$AFI$202),YM80 = $AFI$203),$AFG$203,
"Y")))))))))))))))))))))))))))))))))))))))))))))))))))</f>
        <v>Y</v>
      </c>
      <c r="YN116" s="693" t="str">
        <f t="shared" si="154"/>
        <v>Y</v>
      </c>
      <c r="YO116" s="693" t="str">
        <f t="shared" si="154"/>
        <v>Y</v>
      </c>
      <c r="YP116" s="693" t="str">
        <f t="shared" si="154"/>
        <v>Y</v>
      </c>
      <c r="YQ116" s="693" t="str">
        <f t="shared" si="154"/>
        <v>Y</v>
      </c>
      <c r="YR116" s="693" t="str">
        <f t="shared" si="154"/>
        <v>Y</v>
      </c>
      <c r="YS116" s="693" t="str">
        <f t="shared" si="154"/>
        <v>Y</v>
      </c>
      <c r="YT116" s="693" t="str">
        <f t="shared" si="154"/>
        <v>Y</v>
      </c>
      <c r="YU116" s="693" t="str">
        <f t="shared" si="154"/>
        <v>Y</v>
      </c>
      <c r="YV116" s="693" t="str">
        <f t="shared" si="154"/>
        <v>Y</v>
      </c>
      <c r="YW116" s="693" t="str">
        <f t="shared" si="154"/>
        <v>Y</v>
      </c>
      <c r="YX116" s="693" t="str">
        <f t="shared" si="154"/>
        <v>Y</v>
      </c>
      <c r="YY116" s="693" t="str">
        <f t="shared" si="154"/>
        <v>Y</v>
      </c>
      <c r="YZ116" s="693" t="str">
        <f t="shared" si="154"/>
        <v>Y</v>
      </c>
      <c r="ZA116" s="693" t="str">
        <f t="shared" si="154"/>
        <v>Y</v>
      </c>
      <c r="ZB116" s="693" t="str">
        <f t="shared" si="154"/>
        <v>Y</v>
      </c>
      <c r="ZC116" s="693" t="str">
        <f t="shared" si="154"/>
        <v>Y</v>
      </c>
      <c r="ZD116" s="693" t="str">
        <f t="shared" si="154"/>
        <v>Y</v>
      </c>
      <c r="ZE116" s="693" t="str">
        <f t="shared" si="154"/>
        <v>Y</v>
      </c>
      <c r="ZF116" s="693" t="str">
        <f t="shared" si="154"/>
        <v>Y</v>
      </c>
      <c r="ZG116" s="693" t="str">
        <f t="shared" si="154"/>
        <v>Y</v>
      </c>
      <c r="ZH116" s="693" t="str">
        <f t="shared" si="154"/>
        <v>Y</v>
      </c>
      <c r="ZI116" s="693" t="str">
        <f t="shared" si="154"/>
        <v>Y</v>
      </c>
      <c r="ZJ116" s="693" t="str">
        <f t="shared" si="154"/>
        <v>Y</v>
      </c>
      <c r="ZK116" s="693" t="str">
        <f t="shared" si="154"/>
        <v>Y</v>
      </c>
      <c r="ZL116" s="693" t="str">
        <f t="shared" si="154"/>
        <v>Y</v>
      </c>
      <c r="ZM116" s="693" t="str">
        <f t="shared" si="154"/>
        <v>Y</v>
      </c>
      <c r="ZN116" s="693" t="str">
        <f t="shared" si="154"/>
        <v>Y</v>
      </c>
      <c r="ZO116" s="693" t="str">
        <f t="shared" si="154"/>
        <v>Y</v>
      </c>
      <c r="ZP116" s="693" t="str">
        <f t="shared" si="154"/>
        <v>Y</v>
      </c>
      <c r="ZQ116" s="693" t="str">
        <f t="shared" si="154"/>
        <v>Y</v>
      </c>
      <c r="ZR116" s="693">
        <f t="shared" si="154"/>
        <v>0.53920000000000001</v>
      </c>
      <c r="ZS116" s="693">
        <f t="shared" ref="ZS116:AAS116" si="155">IF($AFI$154&lt;0,"Ошибка",
IF(OR(AND($AFI$154&gt;ZS80,ZS80&gt;$AEY$203),ZS80 = $AFI$154),$AFG$154,
IF(OR(AND($AFI$155&gt;ZS80,ZS80&gt;$AFI$154),ZS80 = $AFI$155),$AFG$155,
IF(OR(AND($AFI$156&gt;ZS80,ZS80&gt;$AFI$155),ZS80 = $AFI$156),$AFG$156,
IF(OR(AND($AFI$157&gt;ZS80,ZS80&gt;$AFI$156),ZS80 = $AFI$157),$AFG$157,
IF(OR(AND($AFI$158&gt;ZS80,ZS80&gt;$AFI$157),ZS80 = $AFI$158),$AFG$158,
IF(OR(AND($AFI$159&gt;ZS80,ZS80&gt;$AFI$158),ZS80 = $AFI$159),$AFG$159,
IF(OR(AND($AFI$160&gt;ZS80,ZS80&gt;$AFI$159),ZS80 = $AFI$160),$AFG$160,
IF(OR(AND($AFI$161&gt;ZS80,ZS80&gt;$AFI$160),ZS80 = $AFI$161),$AFG$161,
IF(OR(AND($AFI$162&gt;ZS80,ZS80&gt;$AFI$161),ZS80 = $AFI$162),$AFG$162,
IF(OR(AND($AFI$163&gt;ZS80,ZS80&gt;$AFI$162),ZS80 = $AFI$163),$AFG$163,
IF(OR(AND($AFI$164&gt;ZS80,ZS80&gt;$AFI$163),ZS80 = $AFI$164),$AFG$164,
IF(OR(AND($AFI$165&gt;ZS80,ZS80&gt;$AFI$164),ZS80 = $AFI$165),$AFG$165,
IF(OR(AND($AFI$166&gt;ZS80,ZS80&gt;$AFI$165),ZS80 = $AFI$166),$AFG$166,
IF(OR(AND($AFI$167&gt;ZS80,ZS80&gt;$AFI$166),ZS80 = $AFI$167),$AFG$167,
IF(OR(AND($AFI$168&gt;ZS80,ZS80&gt;$AFI$167),ZS80 = $AFI$168),$AFG$168,
IF(OR(AND($AFI$169&gt;ZS80,ZS80&gt;$AFI$168),ZS80 = $AFI$169),$AFG$169,
IF(OR(AND($AFI$170&gt;ZS80,ZS80&gt;$AFI$169),ZS80 = $AFI$170),$AFG$170,
IF(OR(AND($AFI$171&gt;ZS80,ZS80&gt;$AFI$170),ZS80 = $AFI$171),$AFG$171,
IF(OR(AND($AFI$172&gt;ZS80,ZS80&gt;$AFI$171),ZS80 = $AFI$172),$AFG$172,
IF(OR(AND($AFI$173&gt;ZS80,ZS80&gt;$AFI$172),ZS80 = $AFI$173),$AFG$173,
IF(OR(AND($AFI$174&gt;ZS80,ZS80&gt;$AFI$173),ZS80 = $AFI$174),$AFG$174,
IF(OR(AND($AFI$175&gt;ZS80,ZS80&gt;$AFI$174),ZS80 = $AFI$175),$AFG$175,
IF(OR(AND($AFI$176&gt;ZS80,ZS80&gt;$AFI$175),ZS80 = $AFI$176),$AFG$176,
IF(OR(AND($AFI$177&gt;ZS80,ZS80&gt;$AFI$176),ZS80 = $AFI$177),$AFG$177,
IF(OR(AND($AFI$178&gt;ZS80,ZS80&gt;$AFI$177),ZS80 = $AFI$178),$AFG$178,
IF(OR(AND($AFI$179&gt;ZS80,ZS80&gt;$AFI$178),ZS80 = $AFI$179),$AFG$179,
IF(OR(AND($AFI$180&gt;ZS80,ZS80&gt;$AFI$179),ZS80 = $AFI$180),$AFG$180,
IF(OR(AND($AFI$181&gt;ZS80,ZS80&gt;$AFI$180),ZS80 = $AFI$181),$AFG$181,
IF(OR(AND($AFI$182&gt;ZS80,ZS80&gt;$AFI$181),ZS80 = $AFI$182),$AFG$182,
IF(OR(AND($AFI$183&gt;ZS80,ZS80&gt;$AFI$182),ZS80 = $AFI$183),$AFG$183,
IF(OR(AND($AFI$184&gt;ZS80,ZS80&gt;$AFI$183),ZS80 = $AFI$184),$AFG$184,
IF(OR(AND($AFI$185&gt;ZS80,ZS80&gt;$AFI$184),ZS80 = $AFI$185),$AFG$185,
IF(OR(AND($AFI$186&gt;ZS80,ZS80&gt;$AFI$185),ZS80 = $AFI$186),$AFG$186,
IF(OR(AND($AFI$187&gt;ZS80,ZS80&gt;$AFI$186),ZS80 = $AFI$187),$AFG$187,
IF(OR(AND($AFI$188&gt;ZS80,ZS80&gt;$AFI$187),ZS80 = $AFI$188),$AFG$188,
IF(OR(AND($AFI$189&gt;ZS80,ZS80&gt;$AFI$188),ZS80 = $AFI$189),$AFG$189,
IF(OR(AND($AFI$190&gt;ZS80,ZS80&gt;$AFI$189),ZS80 = $AFI$190),$AFG$190,
IF(OR(AND($AFI$191&gt;ZS80,ZS80&gt;$AFI$190),ZS80 = $AFI$191),$AFG$191,
IF(OR(AND($AFI$192&gt;ZS80,ZS80&gt;$AFI$191),ZS80 = $AFI$192),$AFG$192,
IF(OR(AND($AFI$193&gt;ZS80,ZS80&gt;$AFI$192),ZS80 = $AFI$193),$AFG$193,
IF(OR(AND($AFI$194&gt;ZS80,ZS80&gt;$AFI$193),ZS80 = $AFI$194),$AFG$194,
IF(OR(AND($AFI$195&gt;ZS80,ZS80&gt;$AFI$194),ZS80 = $AFI$195),$AFG$195,
IF(OR(AND($AFI$196&gt;ZS80,ZS80&gt;$AFI$195),ZS80 = $AFI$196),$AFG$196,
IF(OR(AND($AFI$197&gt;ZS80,ZS80&gt;$AFI$196),ZS80 = $AFI$197),$AFG$197,
IF(OR(AND($AFI$198&gt;ZS80,ZS80&gt;$AFI$197),ZS80 = $AFI$198),$AFG$198,
IF(OR(AND($AFI$199&gt;ZS80,ZS80&gt;$AFI$198),ZS80 = $AFI$199),$AFG$199,
IF(OR(AND($AFI$200&gt;ZS80,ZS80&gt;$AFI$199),ZS80 = $AFI$200),$AFG$200,
IF(OR(AND($AFI$201&gt;ZS80,ZS80&gt;$AFI$200),ZS80 = $AFI$201),$AFG$201,
IF(OR(AND($AFI$202&gt;ZS80,ZS80&gt;$AFI$201),ZS80 = $AFI$202),$AFG$202,
IF(OR(AND($AFI$203&gt;ZS80,ZS80&gt;$AFI$202),ZS80 = $AFI$203),$AFG$203,
"Y")))))))))))))))))))))))))))))))))))))))))))))))))))</f>
        <v>0.53679999999999994</v>
      </c>
      <c r="ZT116" s="693">
        <f t="shared" si="155"/>
        <v>0.53439999999999999</v>
      </c>
      <c r="ZU116" s="693">
        <f t="shared" si="155"/>
        <v>0.53279999999999994</v>
      </c>
      <c r="ZV116" s="693">
        <f t="shared" si="155"/>
        <v>0.53039999999999998</v>
      </c>
      <c r="ZW116" s="693">
        <f t="shared" si="155"/>
        <v>0.52800000000000002</v>
      </c>
      <c r="ZX116" s="693">
        <f t="shared" si="155"/>
        <v>0.52639999999999998</v>
      </c>
      <c r="ZY116" s="693">
        <f t="shared" si="155"/>
        <v>0.52400000000000002</v>
      </c>
      <c r="ZZ116" s="693">
        <f t="shared" si="155"/>
        <v>0.52159999999999995</v>
      </c>
      <c r="AAA116" s="693">
        <f t="shared" si="155"/>
        <v>0.51999999999999991</v>
      </c>
      <c r="AAB116" s="693">
        <f t="shared" si="155"/>
        <v>0.51759999999999995</v>
      </c>
      <c r="AAC116" s="693">
        <f t="shared" si="155"/>
        <v>0.5159999999999999</v>
      </c>
      <c r="AAD116" s="693">
        <f t="shared" si="155"/>
        <v>0.51359999999999995</v>
      </c>
      <c r="AAE116" s="693">
        <f t="shared" si="155"/>
        <v>0.5119999999999999</v>
      </c>
      <c r="AAF116" s="693">
        <f t="shared" si="155"/>
        <v>0.50959999999999994</v>
      </c>
      <c r="AAG116" s="693">
        <f t="shared" si="155"/>
        <v>0.5079999999999999</v>
      </c>
      <c r="AAH116" s="693">
        <f t="shared" si="155"/>
        <v>0.50559999999999994</v>
      </c>
      <c r="AAI116" s="693">
        <f t="shared" si="155"/>
        <v>0.50399999999999989</v>
      </c>
      <c r="AAJ116" s="693">
        <f t="shared" si="155"/>
        <v>0.50159999999999993</v>
      </c>
      <c r="AAK116" s="693">
        <f t="shared" si="155"/>
        <v>0.49999999999999989</v>
      </c>
      <c r="AAL116" s="693" t="str">
        <f t="shared" si="155"/>
        <v>Y</v>
      </c>
      <c r="AAM116" s="693" t="str">
        <f t="shared" si="155"/>
        <v>Y</v>
      </c>
      <c r="AAN116" s="693" t="str">
        <f t="shared" si="155"/>
        <v>Y</v>
      </c>
      <c r="AAO116" s="693" t="str">
        <f t="shared" si="155"/>
        <v>Y</v>
      </c>
      <c r="AAP116" s="693" t="str">
        <f t="shared" si="155"/>
        <v>Y</v>
      </c>
      <c r="AAQ116" s="693" t="str">
        <f t="shared" si="155"/>
        <v>Y</v>
      </c>
      <c r="AAR116" s="693" t="str">
        <f t="shared" si="155"/>
        <v>Y</v>
      </c>
      <c r="AAS116" s="693" t="str">
        <f t="shared" si="155"/>
        <v>Y</v>
      </c>
      <c r="AAT116" s="1006"/>
      <c r="AAU116" s="960"/>
      <c r="AAV116" s="1101"/>
      <c r="AAW116" s="1101"/>
      <c r="AAX116" s="1101"/>
      <c r="AAY116" s="1101"/>
      <c r="AAZ116" s="1101"/>
      <c r="ABA116" s="1101"/>
      <c r="ABB116" s="1101"/>
      <c r="ABC116" s="1101"/>
      <c r="ABD116" s="1101"/>
      <c r="ABE116" s="1101"/>
      <c r="ABF116" s="1101"/>
      <c r="ABG116" s="1101"/>
      <c r="ABH116" s="961"/>
      <c r="ABI116" s="158"/>
      <c r="ABJ116" s="158"/>
      <c r="ABK116" s="158"/>
      <c r="ABL116" s="158"/>
      <c r="ABM116" s="158"/>
      <c r="ABN116" s="158"/>
      <c r="ABO116" s="158"/>
      <c r="ABP116" s="163"/>
      <c r="ACJ116" s="759">
        <v>0.99999999999999956</v>
      </c>
      <c r="ACK116" s="760"/>
      <c r="ACL116" s="759">
        <v>-1.1999999999999993</v>
      </c>
      <c r="ACM116" s="760"/>
      <c r="ACN116" s="592">
        <v>32</v>
      </c>
      <c r="ACO116" s="759">
        <f t="shared" si="91"/>
        <v>0.12000000000000011</v>
      </c>
      <c r="ACP116" s="760"/>
      <c r="ACQ116" s="757">
        <f t="shared" si="82"/>
        <v>1.32</v>
      </c>
      <c r="ACR116" s="758"/>
      <c r="ACT116" s="759">
        <v>1.5454545454545501</v>
      </c>
      <c r="ACU116" s="760"/>
      <c r="ACV116" s="759">
        <v>-2.1818181818181799</v>
      </c>
      <c r="ACW116" s="760"/>
      <c r="ACX116" s="591">
        <v>82</v>
      </c>
      <c r="ACY116" s="759">
        <f t="shared" si="92"/>
        <v>0.63090909090910152</v>
      </c>
      <c r="ACZ116" s="760"/>
      <c r="ADA116" s="757">
        <f t="shared" si="83"/>
        <v>1.82</v>
      </c>
      <c r="ADB116" s="758"/>
      <c r="ADD116" s="759">
        <v>1.5454545454545501</v>
      </c>
      <c r="ADE116" s="760"/>
      <c r="ADF116" s="759">
        <v>-2.1818181818181799</v>
      </c>
      <c r="ADG116" s="760"/>
      <c r="ADH116" s="591">
        <v>131</v>
      </c>
      <c r="ADI116" s="759">
        <f t="shared" si="93"/>
        <v>1.3881818181818311</v>
      </c>
      <c r="ADJ116" s="760"/>
      <c r="ADK116" s="757">
        <f t="shared" si="84"/>
        <v>2.31</v>
      </c>
      <c r="ADL116" s="758"/>
      <c r="ADN116" s="759">
        <v>1.5454545454545501</v>
      </c>
      <c r="ADO116" s="760"/>
      <c r="ADP116" s="759">
        <v>-2.1818181818181799</v>
      </c>
      <c r="ADQ116" s="760"/>
      <c r="ADR116" s="591">
        <v>181</v>
      </c>
      <c r="ADS116" s="759">
        <f t="shared" si="94"/>
        <v>2.1609090909091062</v>
      </c>
      <c r="ADT116" s="760"/>
      <c r="ADU116" s="757">
        <f t="shared" si="85"/>
        <v>2.81</v>
      </c>
      <c r="ADV116" s="758"/>
      <c r="ADW116" s="653"/>
      <c r="ADX116" s="759">
        <v>1.5454545454545501</v>
      </c>
      <c r="ADY116" s="760"/>
      <c r="ADZ116" s="759">
        <v>-2.1818181818181799</v>
      </c>
      <c r="AEA116" s="760"/>
      <c r="AEB116" s="591">
        <v>231</v>
      </c>
      <c r="AEC116" s="759">
        <f t="shared" si="134"/>
        <v>2.9336363636363814</v>
      </c>
      <c r="AED116" s="760"/>
      <c r="AEE116" s="757">
        <f t="shared" si="86"/>
        <v>3.31</v>
      </c>
      <c r="AEF116" s="758"/>
      <c r="AEH116" s="759">
        <v>1.5454545454545501</v>
      </c>
      <c r="AEI116" s="760"/>
      <c r="AEJ116" s="759">
        <v>-2.1818181818181799</v>
      </c>
      <c r="AEK116" s="760"/>
      <c r="AEL116" s="591">
        <v>281</v>
      </c>
      <c r="AEM116" s="759">
        <f t="shared" si="101"/>
        <v>3.7063636363636556</v>
      </c>
      <c r="AEN116" s="760"/>
      <c r="AEO116" s="757">
        <f t="shared" si="87"/>
        <v>3.81</v>
      </c>
      <c r="AEP116" s="758"/>
      <c r="AGL116" s="850"/>
      <c r="AGM116" s="861" t="s">
        <v>1265</v>
      </c>
      <c r="AGN116" s="861"/>
      <c r="AGO116" s="937">
        <f>$MP$234</f>
        <v>0.61171910270933894</v>
      </c>
      <c r="AGP116" s="937"/>
      <c r="AGQ116" s="824"/>
      <c r="AGR116" s="824"/>
      <c r="AGS116" s="824"/>
      <c r="AGT116" s="824"/>
      <c r="AGU116" s="824"/>
      <c r="AGV116" s="824"/>
      <c r="AGW116" s="824"/>
      <c r="AGX116" s="824"/>
      <c r="AGY116" s="1049"/>
      <c r="AGZ116" s="837"/>
      <c r="AHA116" s="838"/>
      <c r="AHB116" s="1355"/>
      <c r="AHC116" s="1356"/>
      <c r="AHD116" s="842"/>
      <c r="AHE116" s="845"/>
      <c r="AHF116" s="846"/>
      <c r="AHG116" s="848"/>
      <c r="AHH116" s="1052"/>
      <c r="AHI116" s="1052"/>
      <c r="AHJ116" s="1052"/>
      <c r="AHK116" s="1052"/>
      <c r="AHL116" s="1052"/>
      <c r="AHM116" s="1052"/>
      <c r="AHN116" s="1052"/>
      <c r="AHO116" s="130"/>
      <c r="AHP116" s="130"/>
      <c r="AHQ116" s="130"/>
      <c r="AHR116" s="130"/>
      <c r="AHS116" s="130"/>
      <c r="AHT116" s="130"/>
      <c r="AID116" s="130"/>
      <c r="AIE116" s="130"/>
      <c r="AIF116" s="130"/>
      <c r="AIG116" s="130"/>
      <c r="AIH116" s="130"/>
      <c r="AII116" s="130"/>
      <c r="AIJ116" s="130"/>
      <c r="AQO116" s="849"/>
      <c r="AQP116" s="852" t="s">
        <v>416</v>
      </c>
      <c r="AQQ116" s="853"/>
      <c r="AQR116" s="700"/>
      <c r="AQS116" s="78"/>
      <c r="AQT116" s="78"/>
      <c r="AQU116" s="78"/>
      <c r="AQV116" s="78"/>
      <c r="AQW116" s="78"/>
      <c r="AQX116" s="78"/>
      <c r="AQY116" s="700"/>
      <c r="AQZ116" s="76" t="s">
        <v>441</v>
      </c>
      <c r="ARA116" s="854" t="s">
        <v>435</v>
      </c>
      <c r="ARB116" s="855"/>
      <c r="ARC116" s="920" t="s">
        <v>111</v>
      </c>
      <c r="ARD116" s="921"/>
      <c r="ARE116" s="916" t="s">
        <v>704</v>
      </c>
      <c r="ARF116" s="917"/>
      <c r="ARG116" s="906" t="s">
        <v>447</v>
      </c>
      <c r="ARH116" s="907"/>
      <c r="ARI116" s="907"/>
      <c r="ARJ116" s="908"/>
      <c r="ARU116" s="903"/>
      <c r="ARV116" s="904"/>
      <c r="ARW116" s="905"/>
      <c r="ARX116" s="851"/>
      <c r="ARY116" s="740" t="s">
        <v>702</v>
      </c>
      <c r="ARZ116" s="820" t="s">
        <v>1851</v>
      </c>
      <c r="ASA116" s="821"/>
      <c r="ASB116" s="822"/>
      <c r="ASC116" s="778"/>
      <c r="ASD116" s="778"/>
      <c r="ASE116" s="778"/>
      <c r="ASF116" s="778"/>
      <c r="ASG116" s="778"/>
      <c r="ASH116" s="799"/>
      <c r="ASI116" s="1473"/>
      <c r="ASJ116" s="1474"/>
      <c r="ASK116" s="777"/>
      <c r="ASL116" s="799"/>
      <c r="ASM116" s="842"/>
      <c r="ASN116" s="845"/>
      <c r="ASO116" s="846"/>
      <c r="ASP116" s="848"/>
    </row>
    <row r="117" spans="60:920 1133:1226" ht="48" customHeight="1" thickBot="1">
      <c r="BW117" s="653"/>
      <c r="BZ117" s="504"/>
      <c r="CA117" s="470"/>
      <c r="CB117" s="529">
        <v>0.503</v>
      </c>
      <c r="CC117" s="529">
        <v>0.56699999999999995</v>
      </c>
      <c r="CD117" s="529">
        <v>0.63600000000000001</v>
      </c>
      <c r="CE117" s="529">
        <v>0.70899999999999996</v>
      </c>
      <c r="CF117" s="529">
        <v>0.78500000000000003</v>
      </c>
      <c r="CG117" s="529">
        <v>0.88300000000000001</v>
      </c>
      <c r="CH117" s="529">
        <v>0.98499999999999999</v>
      </c>
      <c r="CI117" s="529">
        <v>1.0940000000000001</v>
      </c>
      <c r="CJ117" s="529">
        <v>1.2270000000000001</v>
      </c>
      <c r="CK117" s="529">
        <v>1.3680000000000001</v>
      </c>
      <c r="CL117" s="529">
        <v>1.5389999999999999</v>
      </c>
      <c r="CM117" s="529">
        <v>1.7669999999999999</v>
      </c>
      <c r="CN117" s="529">
        <v>2.0110000000000001</v>
      </c>
      <c r="CO117" s="529">
        <v>2.27</v>
      </c>
      <c r="CP117" s="529">
        <v>2.54</v>
      </c>
      <c r="CQ117" s="529">
        <v>2.83</v>
      </c>
      <c r="CR117" s="529">
        <v>3.14</v>
      </c>
      <c r="CS117" s="529">
        <v>3.53</v>
      </c>
      <c r="CT117" s="541">
        <v>3.94</v>
      </c>
      <c r="CU117" s="541">
        <v>4.3600000000000003</v>
      </c>
      <c r="CV117" s="541">
        <v>4.91</v>
      </c>
      <c r="CW117" s="504"/>
      <c r="CX117" s="470"/>
      <c r="CY117" s="476"/>
      <c r="CZ117" s="653"/>
      <c r="DA117" s="653"/>
      <c r="DB117" s="653"/>
      <c r="DC117" s="653"/>
      <c r="DD117" s="653"/>
      <c r="DH117" s="130"/>
      <c r="DI117" s="130"/>
      <c r="DL117" s="653"/>
      <c r="DM117" s="653"/>
      <c r="DN117" s="653"/>
      <c r="DO117" s="653"/>
      <c r="DP117" s="653"/>
      <c r="DQ117" s="653"/>
      <c r="DU117" s="130"/>
      <c r="DV117" s="130"/>
      <c r="FE117" s="6"/>
      <c r="FF117" s="126"/>
      <c r="HJ117" s="130"/>
      <c r="HK117" s="130"/>
      <c r="HL117" s="130"/>
      <c r="HM117" s="130"/>
      <c r="HN117" s="220"/>
      <c r="HO117" s="130"/>
      <c r="HP117" s="130"/>
      <c r="HQ117" s="130"/>
      <c r="HR117" s="130"/>
      <c r="IE117" s="130"/>
      <c r="IF117" s="130"/>
      <c r="IG117" s="130"/>
      <c r="IH117" s="130"/>
      <c r="II117" s="130"/>
      <c r="IJ117" s="3"/>
      <c r="IK117" s="3"/>
      <c r="JW117" s="130"/>
      <c r="JX117" s="130"/>
      <c r="JY117" s="130"/>
      <c r="LJ117" s="653"/>
      <c r="LK117" s="653"/>
      <c r="LL117" s="653"/>
      <c r="LM117" s="653"/>
      <c r="LN117" s="653"/>
      <c r="LO117" s="653"/>
      <c r="LP117" s="653"/>
      <c r="LQ117" s="653"/>
      <c r="LR117" s="653"/>
      <c r="LS117" s="130"/>
      <c r="LX117" s="377"/>
      <c r="LY117" s="373"/>
      <c r="LZ117" s="373"/>
      <c r="MA117" s="373"/>
      <c r="MB117" s="373"/>
      <c r="MC117" s="373"/>
      <c r="MD117" s="373"/>
      <c r="ME117" s="373"/>
      <c r="MF117" s="373"/>
      <c r="MG117" s="373"/>
      <c r="MH117" s="373"/>
      <c r="MI117" s="373"/>
      <c r="MJ117" s="373"/>
      <c r="MK117" s="373"/>
      <c r="ML117" s="373"/>
      <c r="MM117" s="373"/>
      <c r="MN117" s="373"/>
      <c r="MO117" s="373"/>
      <c r="MP117" s="373"/>
      <c r="MQ117" s="373"/>
      <c r="MR117" s="373"/>
      <c r="MS117" s="373"/>
      <c r="MT117" s="373"/>
      <c r="MU117" s="373"/>
      <c r="MV117" s="373"/>
      <c r="MW117" s="373"/>
      <c r="MX117" s="373"/>
      <c r="MY117" s="373"/>
      <c r="MZ117" s="373"/>
      <c r="NA117" s="373"/>
      <c r="NB117" s="373"/>
      <c r="NC117" s="373"/>
      <c r="ND117" s="373"/>
      <c r="NE117" s="373"/>
      <c r="NF117" s="373"/>
      <c r="NG117" s="373"/>
      <c r="NH117" s="373"/>
      <c r="NI117" s="373"/>
      <c r="NJ117" s="373"/>
      <c r="NK117" s="373"/>
      <c r="NL117" s="373"/>
      <c r="NM117" s="373"/>
      <c r="NN117" s="373"/>
      <c r="NO117" s="373"/>
      <c r="NP117" s="373"/>
      <c r="NQ117" s="373"/>
      <c r="NR117" s="373"/>
      <c r="NS117" s="373"/>
      <c r="NT117" s="373"/>
      <c r="NU117" s="373"/>
      <c r="NV117" s="373"/>
      <c r="NW117" s="373"/>
      <c r="NX117" s="373"/>
      <c r="NY117" s="373"/>
      <c r="NZ117" s="373"/>
      <c r="OA117" s="373"/>
      <c r="OB117" s="158"/>
      <c r="OC117" s="158"/>
      <c r="OD117" s="158"/>
      <c r="OE117" s="158"/>
      <c r="OF117" s="158"/>
      <c r="OG117" s="158"/>
      <c r="OH117" s="158"/>
      <c r="OI117" s="158"/>
      <c r="OJ117" s="373"/>
      <c r="OK117" s="373"/>
      <c r="OL117" s="373"/>
      <c r="OM117" s="373"/>
      <c r="ON117" s="373"/>
      <c r="OO117" s="373"/>
      <c r="OP117" s="373"/>
      <c r="OQ117" s="373"/>
      <c r="OR117" s="373"/>
      <c r="OS117" s="373"/>
      <c r="OT117" s="373"/>
      <c r="OU117" s="374"/>
      <c r="PN117" s="466"/>
      <c r="PO117" s="852" t="s">
        <v>1516</v>
      </c>
      <c r="PP117" s="923"/>
      <c r="PQ117" s="466"/>
      <c r="PR117" s="1069" t="s">
        <v>1522</v>
      </c>
      <c r="PS117" s="1070"/>
      <c r="PT117" s="1070"/>
      <c r="PU117" s="1070"/>
      <c r="PV117" s="1070"/>
      <c r="PW117" s="1070"/>
      <c r="PX117" s="1070"/>
      <c r="PY117" s="1070"/>
      <c r="PZ117" s="1070"/>
      <c r="QA117" s="1070"/>
      <c r="QB117" s="1071"/>
      <c r="QC117" s="466"/>
      <c r="RE117" s="653"/>
      <c r="RF117" s="653"/>
      <c r="RG117" s="653"/>
      <c r="RH117" s="653"/>
      <c r="RI117" s="653"/>
      <c r="RJ117" s="653"/>
      <c r="RK117" s="653"/>
      <c r="RL117" s="653"/>
      <c r="RM117" s="653"/>
      <c r="RN117" s="653"/>
      <c r="RO117" s="653"/>
      <c r="RP117" s="653"/>
      <c r="RQ117" s="653"/>
      <c r="RR117" s="653"/>
      <c r="RS117" s="653"/>
      <c r="RT117" s="653"/>
      <c r="RU117" s="653"/>
      <c r="RV117" s="653"/>
      <c r="RW117" s="653"/>
      <c r="RX117" s="653"/>
      <c r="RY117" s="653"/>
      <c r="RZ117" s="653"/>
      <c r="SA117" s="653"/>
      <c r="SB117" s="653"/>
      <c r="SC117" s="653"/>
      <c r="SD117" s="653"/>
      <c r="SE117" s="653"/>
      <c r="SF117" s="653"/>
      <c r="SG117" s="653"/>
      <c r="SH117" s="653"/>
      <c r="SI117" s="653"/>
      <c r="SJ117" s="653"/>
      <c r="SK117" s="653"/>
      <c r="SL117" s="653"/>
      <c r="SM117" s="653"/>
      <c r="SN117" s="653"/>
      <c r="SO117" s="653"/>
      <c r="SP117" s="653"/>
      <c r="SQ117" s="653"/>
      <c r="SR117" s="653"/>
      <c r="SS117" s="653"/>
      <c r="ST117" s="653"/>
      <c r="SU117" s="653"/>
      <c r="SV117" s="653"/>
      <c r="SW117" s="653"/>
      <c r="SX117" s="653"/>
      <c r="SY117" s="653"/>
      <c r="SZ117" s="653"/>
      <c r="TA117" s="653"/>
      <c r="TB117" s="653"/>
      <c r="TC117" s="653"/>
      <c r="TD117" s="653"/>
      <c r="TE117" s="653"/>
      <c r="TF117" s="653"/>
      <c r="TG117" s="653"/>
      <c r="TH117" s="653"/>
      <c r="TI117" s="653"/>
      <c r="TJ117" s="653"/>
      <c r="TK117" s="653"/>
      <c r="TL117" s="653"/>
      <c r="TM117" s="653"/>
      <c r="TN117" s="653"/>
      <c r="TO117" s="653"/>
      <c r="TP117" s="653"/>
      <c r="TQ117" s="653"/>
      <c r="TR117" s="653"/>
      <c r="TS117" s="653"/>
      <c r="TT117" s="653"/>
      <c r="TU117" s="653"/>
      <c r="TV117" s="653"/>
      <c r="TW117" s="653"/>
      <c r="TX117" s="653"/>
      <c r="TY117" s="653"/>
      <c r="TZ117" s="653"/>
      <c r="UA117" s="653"/>
      <c r="UB117" s="653"/>
      <c r="UC117" s="653"/>
      <c r="UD117" s="653"/>
      <c r="UE117" s="653"/>
      <c r="UF117" s="653"/>
      <c r="UG117" s="653"/>
      <c r="UH117" s="653"/>
      <c r="UI117" s="653"/>
      <c r="UJ117" s="653"/>
      <c r="UK117" s="653"/>
      <c r="UL117" s="653"/>
      <c r="UM117" s="653"/>
      <c r="UN117" s="653"/>
      <c r="UO117" s="653"/>
      <c r="UP117" s="653"/>
      <c r="UQ117" s="653"/>
      <c r="UR117" s="653"/>
      <c r="US117" s="653"/>
      <c r="UT117" s="653"/>
      <c r="UU117" s="653"/>
      <c r="UV117" s="653"/>
      <c r="UW117" s="653"/>
      <c r="UX117" s="653"/>
      <c r="UY117" s="653"/>
      <c r="UZ117" s="653"/>
      <c r="WE117" s="996"/>
      <c r="WF117" s="997"/>
      <c r="WG117" s="175"/>
      <c r="WH117" s="173"/>
      <c r="WI117" s="173"/>
      <c r="WJ117" s="173"/>
      <c r="WK117" s="173"/>
      <c r="WL117" s="173"/>
      <c r="WM117" s="173"/>
      <c r="WN117" s="173"/>
      <c r="WO117" s="173"/>
      <c r="WP117" s="173"/>
      <c r="WQ117" s="173"/>
      <c r="WR117" s="173"/>
      <c r="WS117" s="173"/>
      <c r="WT117" s="173"/>
      <c r="WU117" s="173"/>
      <c r="WV117" s="173"/>
      <c r="WW117" s="173"/>
      <c r="WX117" s="173"/>
      <c r="WY117" s="174"/>
      <c r="WZ117" s="1085"/>
      <c r="XA117" s="1085"/>
      <c r="XB117" s="175"/>
      <c r="XC117" s="173"/>
      <c r="XD117" s="173"/>
      <c r="XE117" s="173"/>
      <c r="XF117" s="174"/>
      <c r="XG117" s="693" t="str">
        <f t="shared" ref="XG117:YL117" si="156">IF($AFS$154&lt;0,"Ошибка",
IF(OR(AND($AFS$154&gt;XG80,XG80&gt;$AFI$203),XG80 = $AFS$154),$AFQ$154,
IF(OR(AND($AFS$155&gt;XG80,XG80&gt;$AFS$154),XG80 = $AFS$155),$AFQ$155,
IF(OR(AND($AFS$156&gt;XG80,XG80&gt;$AFS$155),XG80 = $AFS$156),$AFQ$156,
IF(OR(AND($AFS$157&gt;XG80,XG80&gt;$AFS$156),XG80 = $AFS$157),$AFQ$157,
IF(OR(AND($AFS$158&gt;XG80,XG80&gt;$AFS$157),XG80 = $AFS$158),$AFQ$158,
IF(OR(AND($AFS$159&gt;XG80,XG80&gt;$AFS$158),XG80 = $AFS$159),$AFQ$159,
IF(OR(AND($AFS$160&gt;XG80,XG80&gt;$AFS$159),XG80 = $AFS$160),$AFQ$160,
IF(OR(AND($AFS$161&gt;XG80,XG80&gt;$AFS$160),XG80 = $AFS$161),$AFQ$161,
IF(OR(AND($AFS$162&gt;XG80,XG80&gt;$AFS$161),XG80 = $AFS$162),$AFQ$162,
IF(OR(AND($AFS$163&gt;XG80,XG80&gt;$AFS$162),XG80 = $AFS$163),$AFQ$163,
IF(OR(AND($AFS$164&gt;XG80,XG80&gt;$AFS$163),XG80 = $AFS$164),$AFQ$164,
IF(OR(AND($AFS$165&gt;XG80,XG80&gt;$AFS$164),XG80 = $AFS$165),$AFQ$165,
IF(OR(AND($AFS$166&gt;XG80,XG80&gt;$AFS$165),XG80 = $AFS$166),$AFQ$166,
IF(OR(AND($AFS$167&gt;XG80,XG80&gt;$AFS$166),XG80 = $AFS$167),$AFQ$167,
IF(OR(AND($AFS$168&gt;XG80,XG80&gt;$AFS$167),XG80 = $AFS$168),$AFQ$168,
IF(OR(AND($AFS$169&gt;XG80,XG80&gt;$AFS$168),XG80 = $AFS$169),$AFQ$169,
IF(OR(AND($AFS$170&gt;XG80,XG80&gt;$AFS$169),XG80 = $AFS$170),$AFQ$170,
IF(OR(AND($AFS$171&gt;XG80,XG80&gt;$AFS$170),XG80 = $AFS$171),$AFQ$171,
IF(OR(AND($AFS$172&gt;XG80,XG80&gt;$AFS$171),XG80 = $AFS$172),$AFQ$172,
IF(OR(AND($AFS$173&gt;XG80,XG80&gt;$AFS$172),XG80 = $AFS$173),$AFQ$173,
IF(OR(AND($AFS$174&gt;XG80,XG80&gt;$AFS$173),XG80 = $AFS$174),$AFQ$174,
IF(OR(AND($AFS$175&gt;XG80,XG80&gt;$AFS$174),XG80 = $AFS$175),$AFQ$175,
IF(OR(AND($AFS$176&gt;XG80,XG80&gt;$AFS$175),XG80 = $AFS$176),$AFQ$176,
IF(OR(AND($AFS$177&gt;XG80,XG80&gt;$AFS$176),XG80 = $AFS$177),$AFQ$177,
IF(OR(AND($AFS$178&gt;XG80,XG80&gt;$AFS$177),XG80 = $AFS$178),$AFQ$178,
IF(OR(AND($AFS$179&gt;XG80,XG80&gt;$AFS$178),XG80 = $AFS$179),$AFQ$179,
IF(OR(AND($AFS$180&gt;XG80,XG80&gt;$AFS$179),XG80 = $AFS$180),$AFQ$180,
IF(OR(AND($AFS$181&gt;XG80,XG80&gt;$AFS$180),XG80 = $AFS$181),$AFQ$181,
IF(OR(AND($AFS$182&gt;XG80,XG80&gt;$AFS$181),XG80 = $AFS$182),$AFQ$182,
IF(OR(AND($AFS$183&gt;XG80,XG80&gt;$AFS$182),XG80 = $AFS$183),$AFQ$183,
IF(OR(AND($AFS$184&gt;XG80,XG80&gt;$AFS$183),XG80 = $AFS$184),$AFQ$184,
IF(OR(AND($AFS$185&gt;XG80,XG80&gt;$AFS$184),XG80 = $AFS$185),$AFQ$185,
IF(OR(AND($AFS$186&gt;XG80,XG80&gt;$AFS$185),XG80 = $AFS$186),$AFQ$186,
IF(OR(AND($AFS$187&gt;XG80,XG80&gt;$AFS$186),XG80 = $AFS$187),$AFQ$187,
IF(OR(AND($AFS$188&gt;XG80,XG80&gt;$AFS$187),XG80 = $AFS$188),$AFQ$188,
IF(OR(AND($AFS$189&gt;XG80,XG80&gt;$AFS$188),XG80 = $AFS$189),$AFQ$189,
IF(OR(AND($AFS$190&gt;XG80,XG80&gt;$AFS$189),XG80 = $AFS$190),$AFQ$190,
IF(OR(AND($AFS$191&gt;XG80,XG80&gt;$AFS$190),XG80 = $AFS$191),$AFQ$191,
IF(OR(AND($AFS$192&gt;XG80,XG80&gt;$AFS$191),XG80 = $AFS$192),$AFQ$192,
IF(OR(AND($AFS$193&gt;XG80,XG80&gt;$AFS$192),XG80 = $AFS$193),$AFQ$193,
IF(OR(AND($AFS$194&gt;XG80,XG80&gt;$AFS$193),XG80 = $AFS$194),$AFQ$194,
IF(OR(AND($AFS$195&gt;XG80,XG80&gt;$AFS$194),XG80 = $AFS$195),$AFQ$195,
IF(OR(AND($AFS$196&gt;XG80,XG80&gt;$AFS$195),XG80 = $AFS$196),$AFQ$196,
IF(OR(AND($AFS$197&gt;XG80,XG80&gt;$AFS$196),XG80 = $AFS$197),$AFQ$197,
IF(OR(AND($AFS$198&gt;XG80,XG80&gt;$AFS$197),XG80 = $AFS$198),$AFQ$198,
IF(OR(AND($AFS$199&gt;XG80,XG80&gt;$AFS$198),XG80 = $AFS$199),$AFQ$199,
IF(OR(AND($AFS$200&gt;XG80,XG80&gt;$AFS$199),XG80 = $AFS$200),$AFQ$200,
IF(OR(AND($AFS$201&gt;XG80,XG80&gt;$AFS$200),XG80 = $AFS$201),$AFQ$201,
IF(OR(AND($AFS$202&gt;XG80,XG80&gt;$AFS$201),XG80 = $AFS$202),$AFQ$202,
IF(OR(AND($AFS$203&gt;XG80,XG80&gt;$AFS$202),XG80 = $AFS$203),$AFQ$203,
"Y")))))))))))))))))))))))))))))))))))))))))))))))))))</f>
        <v>Y</v>
      </c>
      <c r="XH117" s="693" t="str">
        <f t="shared" si="156"/>
        <v>Y</v>
      </c>
      <c r="XI117" s="693" t="str">
        <f t="shared" si="156"/>
        <v>Y</v>
      </c>
      <c r="XJ117" s="693" t="str">
        <f t="shared" si="156"/>
        <v>Y</v>
      </c>
      <c r="XK117" s="693" t="str">
        <f t="shared" si="156"/>
        <v>Y</v>
      </c>
      <c r="XL117" s="693" t="str">
        <f t="shared" si="156"/>
        <v>Y</v>
      </c>
      <c r="XM117" s="693" t="str">
        <f t="shared" si="156"/>
        <v>Y</v>
      </c>
      <c r="XN117" s="693" t="str">
        <f t="shared" si="156"/>
        <v>Y</v>
      </c>
      <c r="XO117" s="693" t="str">
        <f t="shared" si="156"/>
        <v>Y</v>
      </c>
      <c r="XP117" s="693" t="str">
        <f t="shared" si="156"/>
        <v>Y</v>
      </c>
      <c r="XQ117" s="693" t="str">
        <f t="shared" si="156"/>
        <v>Y</v>
      </c>
      <c r="XR117" s="693" t="str">
        <f t="shared" si="156"/>
        <v>Y</v>
      </c>
      <c r="XS117" s="693" t="str">
        <f t="shared" si="156"/>
        <v>Y</v>
      </c>
      <c r="XT117" s="693" t="str">
        <f t="shared" si="156"/>
        <v>Y</v>
      </c>
      <c r="XU117" s="693" t="str">
        <f t="shared" si="156"/>
        <v>Y</v>
      </c>
      <c r="XV117" s="693" t="str">
        <f t="shared" si="156"/>
        <v>Y</v>
      </c>
      <c r="XW117" s="693" t="str">
        <f t="shared" si="156"/>
        <v>Y</v>
      </c>
      <c r="XX117" s="693" t="str">
        <f t="shared" si="156"/>
        <v>Y</v>
      </c>
      <c r="XY117" s="693" t="str">
        <f t="shared" si="156"/>
        <v>Y</v>
      </c>
      <c r="XZ117" s="693" t="str">
        <f t="shared" si="156"/>
        <v>Y</v>
      </c>
      <c r="YA117" s="693" t="str">
        <f t="shared" si="156"/>
        <v>Y</v>
      </c>
      <c r="YB117" s="693" t="str">
        <f t="shared" si="156"/>
        <v>Y</v>
      </c>
      <c r="YC117" s="693" t="str">
        <f t="shared" si="156"/>
        <v>Y</v>
      </c>
      <c r="YD117" s="693" t="str">
        <f t="shared" si="156"/>
        <v>Y</v>
      </c>
      <c r="YE117" s="693" t="str">
        <f t="shared" si="156"/>
        <v>Y</v>
      </c>
      <c r="YF117" s="693" t="str">
        <f t="shared" si="156"/>
        <v>Y</v>
      </c>
      <c r="YG117" s="693" t="str">
        <f t="shared" si="156"/>
        <v>Y</v>
      </c>
      <c r="YH117" s="693" t="str">
        <f t="shared" si="156"/>
        <v>Y</v>
      </c>
      <c r="YI117" s="693" t="str">
        <f t="shared" si="156"/>
        <v>Y</v>
      </c>
      <c r="YJ117" s="693" t="str">
        <f t="shared" si="156"/>
        <v>Y</v>
      </c>
      <c r="YK117" s="693" t="str">
        <f t="shared" si="156"/>
        <v>Y</v>
      </c>
      <c r="YL117" s="693" t="str">
        <f t="shared" si="156"/>
        <v>Y</v>
      </c>
      <c r="YM117" s="693" t="str">
        <f t="shared" ref="YM117:ZR117" si="157">IF($AFS$154&lt;0,"Ошибка",
IF(OR(AND($AFS$154&gt;YM80,YM80&gt;$AFI$203),YM80 = $AFS$154),$AFQ$154,
IF(OR(AND($AFS$155&gt;YM80,YM80&gt;$AFS$154),YM80 = $AFS$155),$AFQ$155,
IF(OR(AND($AFS$156&gt;YM80,YM80&gt;$AFS$155),YM80 = $AFS$156),$AFQ$156,
IF(OR(AND($AFS$157&gt;YM80,YM80&gt;$AFS$156),YM80 = $AFS$157),$AFQ$157,
IF(OR(AND($AFS$158&gt;YM80,YM80&gt;$AFS$157),YM80 = $AFS$158),$AFQ$158,
IF(OR(AND($AFS$159&gt;YM80,YM80&gt;$AFS$158),YM80 = $AFS$159),$AFQ$159,
IF(OR(AND($AFS$160&gt;YM80,YM80&gt;$AFS$159),YM80 = $AFS$160),$AFQ$160,
IF(OR(AND($AFS$161&gt;YM80,YM80&gt;$AFS$160),YM80 = $AFS$161),$AFQ$161,
IF(OR(AND($AFS$162&gt;YM80,YM80&gt;$AFS$161),YM80 = $AFS$162),$AFQ$162,
IF(OR(AND($AFS$163&gt;YM80,YM80&gt;$AFS$162),YM80 = $AFS$163),$AFQ$163,
IF(OR(AND($AFS$164&gt;YM80,YM80&gt;$AFS$163),YM80 = $AFS$164),$AFQ$164,
IF(OR(AND($AFS$165&gt;YM80,YM80&gt;$AFS$164),YM80 = $AFS$165),$AFQ$165,
IF(OR(AND($AFS$166&gt;YM80,YM80&gt;$AFS$165),YM80 = $AFS$166),$AFQ$166,
IF(OR(AND($AFS$167&gt;YM80,YM80&gt;$AFS$166),YM80 = $AFS$167),$AFQ$167,
IF(OR(AND($AFS$168&gt;YM80,YM80&gt;$AFS$167),YM80 = $AFS$168),$AFQ$168,
IF(OR(AND($AFS$169&gt;YM80,YM80&gt;$AFS$168),YM80 = $AFS$169),$AFQ$169,
IF(OR(AND($AFS$170&gt;YM80,YM80&gt;$AFS$169),YM80 = $AFS$170),$AFQ$170,
IF(OR(AND($AFS$171&gt;YM80,YM80&gt;$AFS$170),YM80 = $AFS$171),$AFQ$171,
IF(OR(AND($AFS$172&gt;YM80,YM80&gt;$AFS$171),YM80 = $AFS$172),$AFQ$172,
IF(OR(AND($AFS$173&gt;YM80,YM80&gt;$AFS$172),YM80 = $AFS$173),$AFQ$173,
IF(OR(AND($AFS$174&gt;YM80,YM80&gt;$AFS$173),YM80 = $AFS$174),$AFQ$174,
IF(OR(AND($AFS$175&gt;YM80,YM80&gt;$AFS$174),YM80 = $AFS$175),$AFQ$175,
IF(OR(AND($AFS$176&gt;YM80,YM80&gt;$AFS$175),YM80 = $AFS$176),$AFQ$176,
IF(OR(AND($AFS$177&gt;YM80,YM80&gt;$AFS$176),YM80 = $AFS$177),$AFQ$177,
IF(OR(AND($AFS$178&gt;YM80,YM80&gt;$AFS$177),YM80 = $AFS$178),$AFQ$178,
IF(OR(AND($AFS$179&gt;YM80,YM80&gt;$AFS$178),YM80 = $AFS$179),$AFQ$179,
IF(OR(AND($AFS$180&gt;YM80,YM80&gt;$AFS$179),YM80 = $AFS$180),$AFQ$180,
IF(OR(AND($AFS$181&gt;YM80,YM80&gt;$AFS$180),YM80 = $AFS$181),$AFQ$181,
IF(OR(AND($AFS$182&gt;YM80,YM80&gt;$AFS$181),YM80 = $AFS$182),$AFQ$182,
IF(OR(AND($AFS$183&gt;YM80,YM80&gt;$AFS$182),YM80 = $AFS$183),$AFQ$183,
IF(OR(AND($AFS$184&gt;YM80,YM80&gt;$AFS$183),YM80 = $AFS$184),$AFQ$184,
IF(OR(AND($AFS$185&gt;YM80,YM80&gt;$AFS$184),YM80 = $AFS$185),$AFQ$185,
IF(OR(AND($AFS$186&gt;YM80,YM80&gt;$AFS$185),YM80 = $AFS$186),$AFQ$186,
IF(OR(AND($AFS$187&gt;YM80,YM80&gt;$AFS$186),YM80 = $AFS$187),$AFQ$187,
IF(OR(AND($AFS$188&gt;YM80,YM80&gt;$AFS$187),YM80 = $AFS$188),$AFQ$188,
IF(OR(AND($AFS$189&gt;YM80,YM80&gt;$AFS$188),YM80 = $AFS$189),$AFQ$189,
IF(OR(AND($AFS$190&gt;YM80,YM80&gt;$AFS$189),YM80 = $AFS$190),$AFQ$190,
IF(OR(AND($AFS$191&gt;YM80,YM80&gt;$AFS$190),YM80 = $AFS$191),$AFQ$191,
IF(OR(AND($AFS$192&gt;YM80,YM80&gt;$AFS$191),YM80 = $AFS$192),$AFQ$192,
IF(OR(AND($AFS$193&gt;YM80,YM80&gt;$AFS$192),YM80 = $AFS$193),$AFQ$193,
IF(OR(AND($AFS$194&gt;YM80,YM80&gt;$AFS$193),YM80 = $AFS$194),$AFQ$194,
IF(OR(AND($AFS$195&gt;YM80,YM80&gt;$AFS$194),YM80 = $AFS$195),$AFQ$195,
IF(OR(AND($AFS$196&gt;YM80,YM80&gt;$AFS$195),YM80 = $AFS$196),$AFQ$196,
IF(OR(AND($AFS$197&gt;YM80,YM80&gt;$AFS$196),YM80 = $AFS$197),$AFQ$197,
IF(OR(AND($AFS$198&gt;YM80,YM80&gt;$AFS$197),YM80 = $AFS$198),$AFQ$198,
IF(OR(AND($AFS$199&gt;YM80,YM80&gt;$AFS$198),YM80 = $AFS$199),$AFQ$199,
IF(OR(AND($AFS$200&gt;YM80,YM80&gt;$AFS$199),YM80 = $AFS$200),$AFQ$200,
IF(OR(AND($AFS$201&gt;YM80,YM80&gt;$AFS$200),YM80 = $AFS$201),$AFQ$201,
IF(OR(AND($AFS$202&gt;YM80,YM80&gt;$AFS$201),YM80 = $AFS$202),$AFQ$202,
IF(OR(AND($AFS$203&gt;YM80,YM80&gt;$AFS$202),YM80 = $AFS$203),$AFQ$203,
"Y")))))))))))))))))))))))))))))))))))))))))))))))))))</f>
        <v>Y</v>
      </c>
      <c r="YN117" s="693" t="str">
        <f t="shared" si="157"/>
        <v>Y</v>
      </c>
      <c r="YO117" s="693" t="str">
        <f t="shared" si="157"/>
        <v>Y</v>
      </c>
      <c r="YP117" s="693" t="str">
        <f t="shared" si="157"/>
        <v>Y</v>
      </c>
      <c r="YQ117" s="693" t="str">
        <f t="shared" si="157"/>
        <v>Y</v>
      </c>
      <c r="YR117" s="693" t="str">
        <f t="shared" si="157"/>
        <v>Y</v>
      </c>
      <c r="YS117" s="693" t="str">
        <f t="shared" si="157"/>
        <v>Y</v>
      </c>
      <c r="YT117" s="693" t="str">
        <f t="shared" si="157"/>
        <v>Y</v>
      </c>
      <c r="YU117" s="693" t="str">
        <f t="shared" si="157"/>
        <v>Y</v>
      </c>
      <c r="YV117" s="693" t="str">
        <f t="shared" si="157"/>
        <v>Y</v>
      </c>
      <c r="YW117" s="693" t="str">
        <f t="shared" si="157"/>
        <v>Y</v>
      </c>
      <c r="YX117" s="693" t="str">
        <f t="shared" si="157"/>
        <v>Y</v>
      </c>
      <c r="YY117" s="693" t="str">
        <f t="shared" si="157"/>
        <v>Y</v>
      </c>
      <c r="YZ117" s="693" t="str">
        <f t="shared" si="157"/>
        <v>Y</v>
      </c>
      <c r="ZA117" s="693" t="str">
        <f t="shared" si="157"/>
        <v>Y</v>
      </c>
      <c r="ZB117" s="693" t="str">
        <f t="shared" si="157"/>
        <v>Y</v>
      </c>
      <c r="ZC117" s="693" t="str">
        <f t="shared" si="157"/>
        <v>Y</v>
      </c>
      <c r="ZD117" s="693" t="str">
        <f t="shared" si="157"/>
        <v>Y</v>
      </c>
      <c r="ZE117" s="693" t="str">
        <f t="shared" si="157"/>
        <v>Y</v>
      </c>
      <c r="ZF117" s="693" t="str">
        <f t="shared" si="157"/>
        <v>Y</v>
      </c>
      <c r="ZG117" s="693" t="str">
        <f t="shared" si="157"/>
        <v>Y</v>
      </c>
      <c r="ZH117" s="693" t="str">
        <f t="shared" si="157"/>
        <v>Y</v>
      </c>
      <c r="ZI117" s="693" t="str">
        <f t="shared" si="157"/>
        <v>Y</v>
      </c>
      <c r="ZJ117" s="693" t="str">
        <f t="shared" si="157"/>
        <v>Y</v>
      </c>
      <c r="ZK117" s="693" t="str">
        <f t="shared" si="157"/>
        <v>Y</v>
      </c>
      <c r="ZL117" s="693" t="str">
        <f t="shared" si="157"/>
        <v>Y</v>
      </c>
      <c r="ZM117" s="693" t="str">
        <f t="shared" si="157"/>
        <v>Y</v>
      </c>
      <c r="ZN117" s="693" t="str">
        <f t="shared" si="157"/>
        <v>Y</v>
      </c>
      <c r="ZO117" s="693" t="str">
        <f t="shared" si="157"/>
        <v>Y</v>
      </c>
      <c r="ZP117" s="693" t="str">
        <f t="shared" si="157"/>
        <v>Y</v>
      </c>
      <c r="ZQ117" s="693" t="str">
        <f t="shared" si="157"/>
        <v>Y</v>
      </c>
      <c r="ZR117" s="693" t="str">
        <f t="shared" si="157"/>
        <v>Y</v>
      </c>
      <c r="ZS117" s="693" t="str">
        <f t="shared" ref="ZS117:AAS117" si="158">IF($AFS$154&lt;0,"Ошибка",
IF(OR(AND($AFS$154&gt;ZS80,ZS80&gt;$AFI$203),ZS80 = $AFS$154),$AFQ$154,
IF(OR(AND($AFS$155&gt;ZS80,ZS80&gt;$AFS$154),ZS80 = $AFS$155),$AFQ$155,
IF(OR(AND($AFS$156&gt;ZS80,ZS80&gt;$AFS$155),ZS80 = $AFS$156),$AFQ$156,
IF(OR(AND($AFS$157&gt;ZS80,ZS80&gt;$AFS$156),ZS80 = $AFS$157),$AFQ$157,
IF(OR(AND($AFS$158&gt;ZS80,ZS80&gt;$AFS$157),ZS80 = $AFS$158),$AFQ$158,
IF(OR(AND($AFS$159&gt;ZS80,ZS80&gt;$AFS$158),ZS80 = $AFS$159),$AFQ$159,
IF(OR(AND($AFS$160&gt;ZS80,ZS80&gt;$AFS$159),ZS80 = $AFS$160),$AFQ$160,
IF(OR(AND($AFS$161&gt;ZS80,ZS80&gt;$AFS$160),ZS80 = $AFS$161),$AFQ$161,
IF(OR(AND($AFS$162&gt;ZS80,ZS80&gt;$AFS$161),ZS80 = $AFS$162),$AFQ$162,
IF(OR(AND($AFS$163&gt;ZS80,ZS80&gt;$AFS$162),ZS80 = $AFS$163),$AFQ$163,
IF(OR(AND($AFS$164&gt;ZS80,ZS80&gt;$AFS$163),ZS80 = $AFS$164),$AFQ$164,
IF(OR(AND($AFS$165&gt;ZS80,ZS80&gt;$AFS$164),ZS80 = $AFS$165),$AFQ$165,
IF(OR(AND($AFS$166&gt;ZS80,ZS80&gt;$AFS$165),ZS80 = $AFS$166),$AFQ$166,
IF(OR(AND($AFS$167&gt;ZS80,ZS80&gt;$AFS$166),ZS80 = $AFS$167),$AFQ$167,
IF(OR(AND($AFS$168&gt;ZS80,ZS80&gt;$AFS$167),ZS80 = $AFS$168),$AFQ$168,
IF(OR(AND($AFS$169&gt;ZS80,ZS80&gt;$AFS$168),ZS80 = $AFS$169),$AFQ$169,
IF(OR(AND($AFS$170&gt;ZS80,ZS80&gt;$AFS$169),ZS80 = $AFS$170),$AFQ$170,
IF(OR(AND($AFS$171&gt;ZS80,ZS80&gt;$AFS$170),ZS80 = $AFS$171),$AFQ$171,
IF(OR(AND($AFS$172&gt;ZS80,ZS80&gt;$AFS$171),ZS80 = $AFS$172),$AFQ$172,
IF(OR(AND($AFS$173&gt;ZS80,ZS80&gt;$AFS$172),ZS80 = $AFS$173),$AFQ$173,
IF(OR(AND($AFS$174&gt;ZS80,ZS80&gt;$AFS$173),ZS80 = $AFS$174),$AFQ$174,
IF(OR(AND($AFS$175&gt;ZS80,ZS80&gt;$AFS$174),ZS80 = $AFS$175),$AFQ$175,
IF(OR(AND($AFS$176&gt;ZS80,ZS80&gt;$AFS$175),ZS80 = $AFS$176),$AFQ$176,
IF(OR(AND($AFS$177&gt;ZS80,ZS80&gt;$AFS$176),ZS80 = $AFS$177),$AFQ$177,
IF(OR(AND($AFS$178&gt;ZS80,ZS80&gt;$AFS$177),ZS80 = $AFS$178),$AFQ$178,
IF(OR(AND($AFS$179&gt;ZS80,ZS80&gt;$AFS$178),ZS80 = $AFS$179),$AFQ$179,
IF(OR(AND($AFS$180&gt;ZS80,ZS80&gt;$AFS$179),ZS80 = $AFS$180),$AFQ$180,
IF(OR(AND($AFS$181&gt;ZS80,ZS80&gt;$AFS$180),ZS80 = $AFS$181),$AFQ$181,
IF(OR(AND($AFS$182&gt;ZS80,ZS80&gt;$AFS$181),ZS80 = $AFS$182),$AFQ$182,
IF(OR(AND($AFS$183&gt;ZS80,ZS80&gt;$AFS$182),ZS80 = $AFS$183),$AFQ$183,
IF(OR(AND($AFS$184&gt;ZS80,ZS80&gt;$AFS$183),ZS80 = $AFS$184),$AFQ$184,
IF(OR(AND($AFS$185&gt;ZS80,ZS80&gt;$AFS$184),ZS80 = $AFS$185),$AFQ$185,
IF(OR(AND($AFS$186&gt;ZS80,ZS80&gt;$AFS$185),ZS80 = $AFS$186),$AFQ$186,
IF(OR(AND($AFS$187&gt;ZS80,ZS80&gt;$AFS$186),ZS80 = $AFS$187),$AFQ$187,
IF(OR(AND($AFS$188&gt;ZS80,ZS80&gt;$AFS$187),ZS80 = $AFS$188),$AFQ$188,
IF(OR(AND($AFS$189&gt;ZS80,ZS80&gt;$AFS$188),ZS80 = $AFS$189),$AFQ$189,
IF(OR(AND($AFS$190&gt;ZS80,ZS80&gt;$AFS$189),ZS80 = $AFS$190),$AFQ$190,
IF(OR(AND($AFS$191&gt;ZS80,ZS80&gt;$AFS$190),ZS80 = $AFS$191),$AFQ$191,
IF(OR(AND($AFS$192&gt;ZS80,ZS80&gt;$AFS$191),ZS80 = $AFS$192),$AFQ$192,
IF(OR(AND($AFS$193&gt;ZS80,ZS80&gt;$AFS$192),ZS80 = $AFS$193),$AFQ$193,
IF(OR(AND($AFS$194&gt;ZS80,ZS80&gt;$AFS$193),ZS80 = $AFS$194),$AFQ$194,
IF(OR(AND($AFS$195&gt;ZS80,ZS80&gt;$AFS$194),ZS80 = $AFS$195),$AFQ$195,
IF(OR(AND($AFS$196&gt;ZS80,ZS80&gt;$AFS$195),ZS80 = $AFS$196),$AFQ$196,
IF(OR(AND($AFS$197&gt;ZS80,ZS80&gt;$AFS$196),ZS80 = $AFS$197),$AFQ$197,
IF(OR(AND($AFS$198&gt;ZS80,ZS80&gt;$AFS$197),ZS80 = $AFS$198),$AFQ$198,
IF(OR(AND($AFS$199&gt;ZS80,ZS80&gt;$AFS$198),ZS80 = $AFS$199),$AFQ$199,
IF(OR(AND($AFS$200&gt;ZS80,ZS80&gt;$AFS$199),ZS80 = $AFS$200),$AFQ$200,
IF(OR(AND($AFS$201&gt;ZS80,ZS80&gt;$AFS$200),ZS80 = $AFS$201),$AFQ$201,
IF(OR(AND($AFS$202&gt;ZS80,ZS80&gt;$AFS$201),ZS80 = $AFS$202),$AFQ$202,
IF(OR(AND($AFS$203&gt;ZS80,ZS80&gt;$AFS$202),ZS80 = $AFS$203),$AFQ$203,
"Y")))))))))))))))))))))))))))))))))))))))))))))))))))</f>
        <v>Y</v>
      </c>
      <c r="ZT117" s="693" t="str">
        <f t="shared" si="158"/>
        <v>Y</v>
      </c>
      <c r="ZU117" s="693" t="str">
        <f t="shared" si="158"/>
        <v>Y</v>
      </c>
      <c r="ZV117" s="693" t="str">
        <f t="shared" si="158"/>
        <v>Y</v>
      </c>
      <c r="ZW117" s="693" t="str">
        <f t="shared" si="158"/>
        <v>Y</v>
      </c>
      <c r="ZX117" s="693" t="str">
        <f t="shared" si="158"/>
        <v>Y</v>
      </c>
      <c r="ZY117" s="693" t="str">
        <f t="shared" si="158"/>
        <v>Y</v>
      </c>
      <c r="ZZ117" s="693" t="str">
        <f t="shared" si="158"/>
        <v>Y</v>
      </c>
      <c r="AAA117" s="693" t="str">
        <f t="shared" si="158"/>
        <v>Y</v>
      </c>
      <c r="AAB117" s="693" t="str">
        <f t="shared" si="158"/>
        <v>Y</v>
      </c>
      <c r="AAC117" s="693" t="str">
        <f t="shared" si="158"/>
        <v>Y</v>
      </c>
      <c r="AAD117" s="693" t="str">
        <f t="shared" si="158"/>
        <v>Y</v>
      </c>
      <c r="AAE117" s="693" t="str">
        <f t="shared" si="158"/>
        <v>Y</v>
      </c>
      <c r="AAF117" s="693" t="str">
        <f t="shared" si="158"/>
        <v>Y</v>
      </c>
      <c r="AAG117" s="693" t="str">
        <f t="shared" si="158"/>
        <v>Y</v>
      </c>
      <c r="AAH117" s="693" t="str">
        <f t="shared" si="158"/>
        <v>Y</v>
      </c>
      <c r="AAI117" s="693" t="str">
        <f t="shared" si="158"/>
        <v>Y</v>
      </c>
      <c r="AAJ117" s="693" t="str">
        <f t="shared" si="158"/>
        <v>Y</v>
      </c>
      <c r="AAK117" s="693" t="str">
        <f t="shared" si="158"/>
        <v>Y</v>
      </c>
      <c r="AAL117" s="693">
        <f t="shared" si="158"/>
        <v>0.496</v>
      </c>
      <c r="AAM117" s="693">
        <f t="shared" si="158"/>
        <v>0.49</v>
      </c>
      <c r="AAN117" s="693">
        <f t="shared" si="158"/>
        <v>0.48599999999999999</v>
      </c>
      <c r="AAO117" s="693">
        <f t="shared" si="158"/>
        <v>0.48</v>
      </c>
      <c r="AAP117" s="693">
        <f t="shared" si="158"/>
        <v>0.47599999999999998</v>
      </c>
      <c r="AAQ117" s="693">
        <f t="shared" si="158"/>
        <v>0.47199999999999998</v>
      </c>
      <c r="AAR117" s="693">
        <f t="shared" si="158"/>
        <v>0.46600000000000008</v>
      </c>
      <c r="AAS117" s="693">
        <f t="shared" si="158"/>
        <v>0.46200000000000008</v>
      </c>
      <c r="AAT117" s="1006"/>
      <c r="AAU117" s="960"/>
      <c r="AAV117" s="1101"/>
      <c r="AAW117" s="1101"/>
      <c r="AAX117" s="1101"/>
      <c r="AAY117" s="1101"/>
      <c r="AAZ117" s="1101"/>
      <c r="ABA117" s="1101"/>
      <c r="ABB117" s="1101"/>
      <c r="ABC117" s="1101"/>
      <c r="ABD117" s="1101"/>
      <c r="ABE117" s="1101"/>
      <c r="ABF117" s="1101"/>
      <c r="ABG117" s="1101"/>
      <c r="ABH117" s="961"/>
      <c r="ABI117" s="158"/>
      <c r="ABJ117" s="158"/>
      <c r="ABK117" s="158"/>
      <c r="ABL117" s="158"/>
      <c r="ABM117" s="158"/>
      <c r="ABN117" s="158"/>
      <c r="ABO117" s="158"/>
      <c r="ABP117" s="163"/>
      <c r="ABX117" s="1287" t="s">
        <v>1009</v>
      </c>
      <c r="ABY117" s="1287"/>
      <c r="ABZ117" s="1287"/>
      <c r="ACA117" s="1287"/>
      <c r="ACB117" s="1287"/>
      <c r="ACC117" s="1287"/>
      <c r="ACD117" s="1287"/>
      <c r="ACE117" s="1287"/>
      <c r="ACF117" s="1287"/>
      <c r="ACG117" s="1287"/>
      <c r="ACH117" s="677"/>
      <c r="ACJ117" s="759">
        <v>1</v>
      </c>
      <c r="ACK117" s="760"/>
      <c r="ACL117" s="759">
        <v>-1.2</v>
      </c>
      <c r="ACM117" s="760"/>
      <c r="ACN117" s="592">
        <v>33</v>
      </c>
      <c r="ACO117" s="759">
        <f t="shared" si="91"/>
        <v>0.13000000000000012</v>
      </c>
      <c r="ACP117" s="760"/>
      <c r="ACQ117" s="757">
        <f t="shared" ref="ACQ117:ACQ134" si="159">(3/$ACN$77 *ACN117) + 1</f>
        <v>1.33</v>
      </c>
      <c r="ACR117" s="758"/>
      <c r="ACT117" s="759">
        <v>1.5454545454545501</v>
      </c>
      <c r="ACU117" s="760"/>
      <c r="ACV117" s="759">
        <v>-2.1818181818181799</v>
      </c>
      <c r="ACW117" s="760"/>
      <c r="ACX117" s="591">
        <v>83</v>
      </c>
      <c r="ACY117" s="759">
        <f t="shared" si="92"/>
        <v>0.64636363636364669</v>
      </c>
      <c r="ACZ117" s="760"/>
      <c r="ADA117" s="757">
        <f t="shared" ref="ADA117:ADA134" si="160">(3/$ACN$77 *ACX117) + 1</f>
        <v>1.83</v>
      </c>
      <c r="ADB117" s="758"/>
      <c r="ADD117" s="759">
        <v>1.5454545454545501</v>
      </c>
      <c r="ADE117" s="760"/>
      <c r="ADF117" s="759">
        <v>-2.1818181818181799</v>
      </c>
      <c r="ADG117" s="760"/>
      <c r="ADH117" s="591">
        <v>132</v>
      </c>
      <c r="ADI117" s="759">
        <f t="shared" si="93"/>
        <v>1.4036363636363767</v>
      </c>
      <c r="ADJ117" s="760"/>
      <c r="ADK117" s="757">
        <f t="shared" ref="ADK117:ADK134" si="161">(3/$ACN$77 *ADH117) + 1</f>
        <v>2.3200000000000003</v>
      </c>
      <c r="ADL117" s="758"/>
      <c r="ADN117" s="759">
        <v>1.5454545454545501</v>
      </c>
      <c r="ADO117" s="760"/>
      <c r="ADP117" s="759">
        <v>-2.1818181818181799</v>
      </c>
      <c r="ADQ117" s="760"/>
      <c r="ADR117" s="591">
        <v>182</v>
      </c>
      <c r="ADS117" s="759">
        <f t="shared" si="94"/>
        <v>2.1763636363636518</v>
      </c>
      <c r="ADT117" s="760"/>
      <c r="ADU117" s="757">
        <f t="shared" ref="ADU117:ADU134" si="162">(3/$ACN$77 *ADR117) + 1</f>
        <v>2.8200000000000003</v>
      </c>
      <c r="ADV117" s="758"/>
      <c r="ADW117" s="653"/>
      <c r="ADX117" s="759">
        <v>1.5454545454545501</v>
      </c>
      <c r="ADY117" s="760"/>
      <c r="ADZ117" s="759">
        <v>-2.1818181818181799</v>
      </c>
      <c r="AEA117" s="760"/>
      <c r="AEB117" s="591">
        <v>232</v>
      </c>
      <c r="AEC117" s="759">
        <f t="shared" si="134"/>
        <v>2.9490909090909261</v>
      </c>
      <c r="AED117" s="760"/>
      <c r="AEE117" s="757">
        <f t="shared" ref="AEE117:AEE134" si="163">(3/$ACN$77 *AEB117) + 1</f>
        <v>3.32</v>
      </c>
      <c r="AEF117" s="758"/>
      <c r="AEH117" s="759">
        <v>1.5454545454545501</v>
      </c>
      <c r="AEI117" s="760"/>
      <c r="AEJ117" s="759">
        <v>-2.1818181818181799</v>
      </c>
      <c r="AEK117" s="760"/>
      <c r="AEL117" s="591">
        <v>282</v>
      </c>
      <c r="AEM117" s="759">
        <f t="shared" si="101"/>
        <v>3.7218181818182012</v>
      </c>
      <c r="AEN117" s="760"/>
      <c r="AEO117" s="757">
        <f t="shared" ref="AEO117:AEO135" si="164">(3/$ACN$77 *AEL117) + 1</f>
        <v>3.82</v>
      </c>
      <c r="AEP117" s="758"/>
      <c r="AGL117" s="851"/>
      <c r="AGM117" s="1163" t="s">
        <v>1266</v>
      </c>
      <c r="AGN117" s="1163"/>
      <c r="AGO117" s="774">
        <f>$MN$216</f>
        <v>1.2922478994547311</v>
      </c>
      <c r="AGP117" s="774"/>
      <c r="AGQ117" s="795"/>
      <c r="AGR117" s="795"/>
      <c r="AGS117" s="795"/>
      <c r="AGT117" s="795"/>
      <c r="AGU117" s="795"/>
      <c r="AGV117" s="795"/>
      <c r="AGW117" s="795"/>
      <c r="AGX117" s="795"/>
      <c r="AGY117" s="796"/>
      <c r="AGZ117" s="812"/>
      <c r="AHA117" s="813"/>
      <c r="AHB117" s="813"/>
      <c r="AHC117" s="813"/>
      <c r="AHD117" s="813"/>
      <c r="AHE117" s="813"/>
      <c r="AHF117" s="813"/>
      <c r="AHG117" s="814"/>
      <c r="AHH117" s="1053"/>
      <c r="AHI117" s="1053"/>
      <c r="AHJ117" s="1053"/>
      <c r="AHK117" s="1053"/>
      <c r="AHL117" s="1053"/>
      <c r="AHM117" s="1053"/>
      <c r="AHN117" s="1053"/>
      <c r="AHO117" s="130"/>
      <c r="AHP117" s="130"/>
      <c r="AHQ117" s="130"/>
      <c r="AHR117" s="130"/>
      <c r="AHS117" s="130"/>
      <c r="AHT117" s="130"/>
      <c r="AHY117" s="130"/>
      <c r="AHZ117" s="130"/>
      <c r="AIA117" s="130"/>
      <c r="AIB117" s="130"/>
      <c r="AIC117" s="130"/>
      <c r="AID117" s="130"/>
      <c r="AIE117" s="130"/>
      <c r="AIF117" s="130"/>
      <c r="AIG117" s="130"/>
      <c r="AIH117" s="130"/>
      <c r="AII117" s="130"/>
      <c r="AIJ117" s="130"/>
      <c r="AQO117" s="850"/>
      <c r="AQP117" s="856"/>
      <c r="AQQ117" s="856"/>
      <c r="AQR117" s="856"/>
      <c r="AQS117" s="856"/>
      <c r="AQT117" s="856"/>
      <c r="AQU117" s="856"/>
      <c r="AQV117" s="856"/>
      <c r="AQW117" s="856"/>
      <c r="AQX117" s="856"/>
      <c r="AQY117" s="856"/>
      <c r="AQZ117" s="856"/>
      <c r="ARA117" s="856"/>
      <c r="ARB117" s="856"/>
      <c r="ARC117" s="835"/>
      <c r="ARD117" s="836"/>
      <c r="ARE117" s="839"/>
      <c r="ARF117" s="840"/>
      <c r="ARG117" s="841"/>
      <c r="ARH117" s="843"/>
      <c r="ARI117" s="844"/>
      <c r="ARJ117" s="847"/>
    </row>
    <row r="118" spans="60:920 1133:1226" ht="48" customHeight="1" thickBot="1">
      <c r="BW118" s="653"/>
      <c r="BZ118" s="897" t="s">
        <v>973</v>
      </c>
      <c r="CA118" s="898"/>
      <c r="CB118" s="899"/>
      <c r="CC118" s="849"/>
      <c r="CD118" s="852" t="s">
        <v>416</v>
      </c>
      <c r="CE118" s="853"/>
      <c r="CF118" s="132"/>
      <c r="CG118" s="779" t="s">
        <v>1826</v>
      </c>
      <c r="CH118" s="780"/>
      <c r="CI118" s="781"/>
      <c r="CJ118" s="75" t="s">
        <v>451</v>
      </c>
      <c r="CK118" s="132"/>
      <c r="CL118" s="76" t="s">
        <v>441</v>
      </c>
      <c r="CM118" s="854" t="s">
        <v>435</v>
      </c>
      <c r="CN118" s="855"/>
      <c r="CO118" s="920" t="s">
        <v>111</v>
      </c>
      <c r="CP118" s="921"/>
      <c r="CQ118" s="916" t="s">
        <v>704</v>
      </c>
      <c r="CR118" s="917"/>
      <c r="CS118" s="906" t="s">
        <v>447</v>
      </c>
      <c r="CT118" s="1140"/>
      <c r="CU118" s="1140"/>
      <c r="CV118" s="908"/>
      <c r="CW118" s="906" t="s">
        <v>863</v>
      </c>
      <c r="CX118" s="907"/>
      <c r="CY118" s="908"/>
      <c r="CZ118" s="653"/>
      <c r="DA118" s="653"/>
      <c r="DB118" s="653"/>
      <c r="DC118" s="653"/>
      <c r="DD118" s="653"/>
      <c r="DH118" s="130"/>
      <c r="DI118" s="130"/>
      <c r="DL118" s="653"/>
      <c r="DM118" s="653"/>
      <c r="DN118" s="653"/>
      <c r="DO118" s="653"/>
      <c r="DP118" s="653"/>
      <c r="DQ118" s="653"/>
      <c r="DZ118" s="849"/>
      <c r="EA118" s="852" t="s">
        <v>416</v>
      </c>
      <c r="EB118" s="853"/>
      <c r="EC118" s="138"/>
      <c r="ED118" s="439" t="s">
        <v>1487</v>
      </c>
      <c r="EE118" s="766">
        <f>$CH$67</f>
        <v>17</v>
      </c>
      <c r="EF118" s="766"/>
      <c r="EG118" s="78"/>
      <c r="EH118" s="78"/>
      <c r="EI118" s="78"/>
      <c r="EJ118" s="78"/>
      <c r="EK118" s="78"/>
      <c r="EL118" s="78"/>
      <c r="EM118" s="138"/>
      <c r="EN118" s="76" t="s">
        <v>441</v>
      </c>
      <c r="EO118" s="854" t="s">
        <v>435</v>
      </c>
      <c r="EP118" s="855"/>
      <c r="EQ118" s="920" t="s">
        <v>111</v>
      </c>
      <c r="ER118" s="921"/>
      <c r="ES118" s="916" t="s">
        <v>704</v>
      </c>
      <c r="ET118" s="917"/>
      <c r="EU118" s="906" t="s">
        <v>447</v>
      </c>
      <c r="EV118" s="907"/>
      <c r="EW118" s="907"/>
      <c r="EX118" s="908"/>
      <c r="EY118" s="1051" t="s">
        <v>436</v>
      </c>
      <c r="EZ118" s="1051"/>
      <c r="FA118" s="1051"/>
      <c r="FB118" s="1051"/>
      <c r="FC118" s="1051"/>
      <c r="FD118" s="1051"/>
      <c r="FF118" s="126"/>
      <c r="GF118" s="849"/>
      <c r="GG118" s="852" t="s">
        <v>416</v>
      </c>
      <c r="GH118" s="923"/>
      <c r="GI118" s="138"/>
      <c r="GJ118" s="76" t="s">
        <v>441</v>
      </c>
      <c r="GK118" s="854" t="s">
        <v>435</v>
      </c>
      <c r="GL118" s="1111"/>
      <c r="GM118" s="924" t="s">
        <v>111</v>
      </c>
      <c r="GN118" s="925"/>
      <c r="GO118" s="916" t="s">
        <v>704</v>
      </c>
      <c r="GP118" s="922"/>
      <c r="GQ118" s="917"/>
      <c r="GR118" s="906" t="s">
        <v>447</v>
      </c>
      <c r="GS118" s="907"/>
      <c r="GT118" s="907"/>
      <c r="GU118" s="908"/>
      <c r="GV118" s="1051" t="s">
        <v>436</v>
      </c>
      <c r="GW118" s="1051"/>
      <c r="GX118" s="1051"/>
      <c r="GY118" s="1051"/>
      <c r="HJ118" s="130"/>
      <c r="HK118" s="130"/>
      <c r="HL118" s="130"/>
      <c r="HM118" s="130"/>
      <c r="HP118" s="130"/>
      <c r="HQ118" s="130"/>
      <c r="HR118" s="130"/>
      <c r="IE118" s="130"/>
      <c r="IF118" s="130"/>
      <c r="IG118" s="130"/>
      <c r="IH118" s="130"/>
      <c r="II118" s="130"/>
      <c r="IJ118" s="3"/>
      <c r="IK118" s="3"/>
      <c r="JW118" s="130"/>
      <c r="JX118" s="130"/>
      <c r="JY118" s="130"/>
      <c r="LJ118" s="653"/>
      <c r="LK118" s="653"/>
      <c r="LL118" s="653"/>
      <c r="LM118" s="653"/>
      <c r="LN118" s="653"/>
      <c r="LO118" s="653"/>
      <c r="LP118" s="653"/>
      <c r="LQ118" s="653"/>
      <c r="LR118" s="653"/>
      <c r="LS118" s="130"/>
      <c r="LV118" s="130"/>
      <c r="LW118" s="130"/>
      <c r="LX118" s="377"/>
      <c r="LY118" s="373"/>
      <c r="LZ118" s="373"/>
      <c r="MA118" s="373"/>
      <c r="MB118" s="76" t="s">
        <v>1654</v>
      </c>
      <c r="MC118" s="890" t="s">
        <v>1288</v>
      </c>
      <c r="MD118" s="890"/>
      <c r="ME118" s="371"/>
      <c r="MF118" s="78"/>
      <c r="MG118" s="78"/>
      <c r="MH118" s="78"/>
      <c r="MI118" s="78"/>
      <c r="MJ118" s="78"/>
      <c r="MK118" s="78"/>
      <c r="ML118" s="371"/>
      <c r="MM118" s="76" t="s">
        <v>441</v>
      </c>
      <c r="MN118" s="854" t="s">
        <v>435</v>
      </c>
      <c r="MO118" s="855"/>
      <c r="MP118" s="924" t="s">
        <v>111</v>
      </c>
      <c r="MQ118" s="925"/>
      <c r="MR118" s="916" t="s">
        <v>704</v>
      </c>
      <c r="MS118" s="917"/>
      <c r="MT118" s="906" t="s">
        <v>447</v>
      </c>
      <c r="MU118" s="907"/>
      <c r="MV118" s="907"/>
      <c r="MW118" s="907"/>
      <c r="MX118" s="908"/>
      <c r="MY118" s="158"/>
      <c r="MZ118" s="373"/>
      <c r="NA118" s="373"/>
      <c r="NB118" s="373"/>
      <c r="NC118" s="373"/>
      <c r="ND118" s="373"/>
      <c r="NE118" s="373"/>
      <c r="NF118" s="373"/>
      <c r="NG118" s="373"/>
      <c r="NH118" s="373"/>
      <c r="NI118" s="373"/>
      <c r="NJ118" s="373"/>
      <c r="NK118" s="373"/>
      <c r="NL118" s="373"/>
      <c r="NM118" s="197" t="s">
        <v>849</v>
      </c>
      <c r="NN118" s="890" t="s">
        <v>1289</v>
      </c>
      <c r="NO118" s="890"/>
      <c r="NP118" s="371"/>
      <c r="NQ118" s="78"/>
      <c r="NR118" s="78"/>
      <c r="NS118" s="78"/>
      <c r="NT118" s="78"/>
      <c r="NU118" s="78"/>
      <c r="NV118" s="78"/>
      <c r="NW118" s="371"/>
      <c r="NX118" s="76" t="s">
        <v>441</v>
      </c>
      <c r="NY118" s="854" t="s">
        <v>435</v>
      </c>
      <c r="NZ118" s="855"/>
      <c r="OA118" s="920" t="s">
        <v>111</v>
      </c>
      <c r="OB118" s="921"/>
      <c r="OC118" s="916" t="s">
        <v>704</v>
      </c>
      <c r="OD118" s="922"/>
      <c r="OE118" s="1051" t="s">
        <v>447</v>
      </c>
      <c r="OF118" s="1051"/>
      <c r="OG118" s="1051"/>
      <c r="OH118" s="1051"/>
      <c r="OI118" s="1051"/>
      <c r="OJ118" s="373"/>
      <c r="OK118" s="373"/>
      <c r="OL118" s="373"/>
      <c r="OM118" s="373"/>
      <c r="ON118" s="373"/>
      <c r="OO118" s="373"/>
      <c r="OP118" s="373"/>
      <c r="OQ118" s="373"/>
      <c r="OR118" s="373"/>
      <c r="OS118" s="373"/>
      <c r="OT118" s="373"/>
      <c r="OU118" s="374"/>
      <c r="RE118" s="653"/>
      <c r="RF118" s="653"/>
      <c r="RG118" s="653"/>
      <c r="RH118" s="653"/>
      <c r="RI118" s="653"/>
      <c r="RJ118" s="653"/>
      <c r="RK118" s="653"/>
      <c r="RL118" s="653"/>
      <c r="RM118" s="653"/>
      <c r="RN118" s="653"/>
      <c r="RO118" s="653"/>
      <c r="RP118" s="653"/>
      <c r="RQ118" s="653"/>
      <c r="RR118" s="653"/>
      <c r="RS118" s="653"/>
      <c r="RT118" s="653"/>
      <c r="RU118" s="653"/>
      <c r="RV118" s="653"/>
      <c r="RW118" s="653"/>
      <c r="RX118" s="653"/>
      <c r="RY118" s="653"/>
      <c r="RZ118" s="653"/>
      <c r="SA118" s="653"/>
      <c r="SB118" s="653"/>
      <c r="SC118" s="653"/>
      <c r="SD118" s="653"/>
      <c r="SE118" s="653"/>
      <c r="SF118" s="653"/>
      <c r="SG118" s="653"/>
      <c r="SH118" s="653"/>
      <c r="SI118" s="653"/>
      <c r="SJ118" s="653"/>
      <c r="SK118" s="653"/>
      <c r="SL118" s="653"/>
      <c r="SM118" s="653"/>
      <c r="SN118" s="653"/>
      <c r="SO118" s="653"/>
      <c r="SP118" s="653"/>
      <c r="SQ118" s="653"/>
      <c r="SR118" s="653"/>
      <c r="SS118" s="653"/>
      <c r="ST118" s="653"/>
      <c r="SU118" s="653"/>
      <c r="SV118" s="653"/>
      <c r="SW118" s="653"/>
      <c r="SX118" s="653"/>
      <c r="SY118" s="653"/>
      <c r="SZ118" s="653"/>
      <c r="TA118" s="653"/>
      <c r="TB118" s="653"/>
      <c r="TC118" s="653"/>
      <c r="TD118" s="653"/>
      <c r="TE118" s="653"/>
      <c r="TF118" s="653"/>
      <c r="TG118" s="653"/>
      <c r="TH118" s="653"/>
      <c r="TI118" s="653"/>
      <c r="TJ118" s="653"/>
      <c r="TK118" s="653"/>
      <c r="TL118" s="653"/>
      <c r="TM118" s="653"/>
      <c r="TN118" s="653"/>
      <c r="TO118" s="653"/>
      <c r="TP118" s="653"/>
      <c r="TQ118" s="653"/>
      <c r="TR118" s="653"/>
      <c r="TS118" s="653"/>
      <c r="TT118" s="653"/>
      <c r="TU118" s="653"/>
      <c r="TV118" s="653"/>
      <c r="TW118" s="653"/>
      <c r="TX118" s="653"/>
      <c r="TY118" s="653"/>
      <c r="TZ118" s="653"/>
      <c r="UA118" s="653"/>
      <c r="UB118" s="653"/>
      <c r="UC118" s="653"/>
      <c r="UD118" s="653"/>
      <c r="UE118" s="653"/>
      <c r="UF118" s="653"/>
      <c r="UG118" s="653"/>
      <c r="UH118" s="653"/>
      <c r="UI118" s="653"/>
      <c r="UJ118" s="653"/>
      <c r="UK118" s="653"/>
      <c r="UL118" s="653"/>
      <c r="UM118" s="653"/>
      <c r="UN118" s="653"/>
      <c r="UO118" s="653"/>
      <c r="UP118" s="653"/>
      <c r="UQ118" s="653"/>
      <c r="UR118" s="653"/>
      <c r="US118" s="653"/>
      <c r="UT118" s="653"/>
      <c r="UU118" s="653"/>
      <c r="UV118" s="653"/>
      <c r="UW118" s="653"/>
      <c r="UX118" s="653"/>
      <c r="UY118" s="653"/>
      <c r="UZ118" s="653"/>
      <c r="WE118" s="996"/>
      <c r="WF118" s="997"/>
      <c r="WG118" s="175"/>
      <c r="WH118" s="173"/>
      <c r="WI118" s="173"/>
      <c r="WJ118" s="173"/>
      <c r="WK118" s="173"/>
      <c r="WL118" s="173"/>
      <c r="WM118" s="173"/>
      <c r="WN118" s="173"/>
      <c r="WO118" s="173"/>
      <c r="WP118" s="173"/>
      <c r="WQ118" s="173"/>
      <c r="WR118" s="173"/>
      <c r="WS118" s="173"/>
      <c r="WT118" s="173"/>
      <c r="WU118" s="173"/>
      <c r="WV118" s="173"/>
      <c r="WW118" s="173"/>
      <c r="WX118" s="173"/>
      <c r="WY118" s="174"/>
      <c r="WZ118" s="1085"/>
      <c r="XA118" s="1085"/>
      <c r="XB118" s="169"/>
      <c r="XC118" s="170"/>
      <c r="XD118" s="170"/>
      <c r="XE118" s="170"/>
      <c r="XF118" s="172"/>
      <c r="XG118" s="693" t="str">
        <f t="shared" ref="XG118:YL118" si="165">IF($AGC$154&lt;0,"Ошибка",
IF(OR(AND($AGC$154&gt;XG80,XG80&gt;$AFS$203),XG80 = $AGC$154),$AGA$154,
IF(OR(AND($AGC$155&gt;XG80,XG80&gt;$AGC$154),XG80 = $AGC$155),$AGA$155,
IF(OR(AND($AGC$156&gt;XG80,XG80&gt;$AGC$155),XG80 = $AGC$156),$AGA$156,
IF(OR(AND($AGC$157&gt;XG80,XG80&gt;$AGC$156),XG80 = $AGC$157),$AGA$157,
IF(OR(AND($AGC$158&gt;XG80,XG80&gt;$AGC$157),XG80 = $AGC$158),$AGA$158,
IF(OR(AND($AGC$159&gt;XG80,XG80&gt;$AGC$158),XG80 = $AGC$159),$AGA$159,
IF(OR(AND($AGC$160&gt;XG80,XG80&gt;$AGC$159),XG80 = $AGC$160),$AGA$160,
IF(OR(AND($AGC$161&gt;XG80,XG80&gt;$AGC$160),XG80 = $AGC$161),$AGA$161,
IF(OR(AND($AGC$162&gt;XG80,XG80&gt;$AGC$161),XG80 = $AGC$162),$AGA$162,
IF(OR(AND($AGC$163&gt;XG80,XG80&gt;$AGC$162),XG80 = $AGC$163),$AGA$163,
IF(OR(AND($AGC$164&gt;XG80,XG80&gt;$AGC$163),XG80 = $AGC$164),$AGA$164,
IF(OR(AND($AGC$165&gt;XG80,XG80&gt;$AGC$164),XG80 = $AGC$165),$AGA$165,
IF(OR(AND($AGC$166&gt;XG80,XG80&gt;$AGC$165),XG80 = $AGC$166),$AGA$166,
IF(OR(AND($AGC$167&gt;XG80,XG80&gt;$AGC$166),XG80 = $AGC$167),$AGA$167,
IF(OR(AND($AGC$168&gt;XG80,XG80&gt;$AGC$167),XG80 = $AGC$168),$AGA$168,
IF(OR(AND($AGC$169&gt;XG80,XG80&gt;$AGC$168),XG80 = $AGC$169),$AGA$169,
IF(OR(AND($AGC$170&gt;XG80,XG80&gt;$AGC$169),XG80 = $AGC$170),$AGA$170,
IF(OR(AND($AGC$171&gt;XG80,XG80&gt;$AGC$170),XG80 = $AGC$171),$AGA$171,
IF(OR(AND($AGC$172&gt;XG80,XG80&gt;$AGC$171),XG80 = $AGC$172),$AGA$172,
IF(OR(AND($AGC$173&gt;XG80,XG80&gt;$AGC$172),XG80 = $AGC$173),$AGA$173,
IF(OR(AND($AGC$174&gt;XG80,XG80&gt;$AGC$173),XG80 = $AGC$174),$AGA$174,
IF(OR(AND($AGC$175&gt;XG80,XG80&gt;$AGC$174),XG80 = $AGC$175),$AGA$175,
IF(OR(AND($AGC$176&gt;XG80,XG80&gt;$AGC$175),XG80 = $AGC$176),$AGA$176,
IF(OR(AND($AGC$177&gt;XG80,XG80&gt;$AGC$176),XG80 = $AGC$177),$AGA$177,
IF(OR(AND($AGC$178&gt;XG80,XG80&gt;$AGC$177),XG80 = $AGC$178),$AGA$178,
IF(OR(AND($AGC$179&gt;XG80,XG80&gt;$AGC$178),XG80 = $AGC$179),$AGA$179,
IF(OR(AND($AGC$180&gt;XG80,XG80&gt;$AGC$179),XG80 = $AGC$180),$AGA$180,
IF(OR(AND($AGC$181&gt;XG80,XG80&gt;$AGC$180),XG80 = $AGC$181),$AGA$181,
IF(OR(AND($AGC$182&gt;XG80,XG80&gt;$AGC$181),XG80 = $AGC$182),$AGA$182,
IF(OR(AND($AGC$183&gt;XG80,XG80&gt;$AGC$182),XG80 = $AGC$183),$AGA$183,
IF(OR(AND($AGC$184&gt;XG80,XG80&gt;$AGC$183),XG80 = $AGC$184),$AGA$184,
IF(OR(AND($AGC$185&gt;XG80,XG80&gt;$AGC$184),XG80 = $AGC$185),$AGA$185,
IF(OR(AND($AGC$186&gt;XG80,XG80&gt;$AGC$185),XG80 = $AGC$186),$AGA$186,
IF(OR(AND($AGC$187&gt;XG80,XG80&gt;$AGC$186),XG80 = $AGC$187),$AGA$187,
IF(OR(AND($AGC$188&gt;XG80,XG80&gt;$AGC$187),XG80 = $AGC$188),$AGA$188,
IF(OR(AND($AGC$189&gt;XG80,XG80&gt;$AGC$188),XG80 = $AGC$189),$AGA$189,
IF(OR(AND($AGC$190&gt;XG80,XG80&gt;$AGC$189),XG80 = $AGC$190),$AGA$190,
IF(OR(AND($AGC$191&gt;XG80,XG80&gt;$AGC$190),XG80 = $AGC$191),$AGA$191,
IF(OR(AND($AGC$192&gt;XG80,XG80&gt;$AGC$191),XG80 = $AGC$192),$AGA$192,
IF(OR(AND($AGC$193&gt;XG80,XG80&gt;$AGC$192),XG80 = $AGC$193),$AGA$193,
IF(OR(AND($AGC$194&gt;XG80,XG80&gt;$AGC$193),XG80 = $AGC$194),$AGA$194,
IF(OR(AND($AGC$195&gt;XG80,XG80&gt;$AGC$194),XG80 = $AGC$195),$AGA$195,
IF(OR(AND($AGC$196&gt;XG80,XG80&gt;$AGC$195),XG80 = $AGC$196),$AGA$196,
IF(OR(AND($AGC$197&gt;XG80,XG80&gt;$AGC$196),XG80 = $AGC$197),$AGA$197,
IF(OR(AND($AGC$198&gt;XG80,XG80&gt;$AGC$197),XG80 = $AGC$198),$AGA$198,
IF(OR(AND($AGC$199&gt;XG80,XG80&gt;$AGC$198),XG80 = $AGC$199),$AGA$199,
IF(OR(AND($AGC$200&gt;XG80,XG80&gt;$AGC$199),XG80 = $AGC$200),$AGA$200,
IF(OR(AND($AGC$201&gt;XG80,XG80&gt;$AGC$200),XG80 = $AGC$201),$AGA$201,
IF(OR(AND($AGC$202&gt;XG80,XG80&gt;$AGC$201),XG80 = $AGC$202),$AGA$202,
IF(OR(AND($AGC$203&gt;XG80,XG80&gt;$AGC$202),XG80 = $AGC$203),$AGA$203,
"Y")))))))))))))))))))))))))))))))))))))))))))))))))))</f>
        <v>Y</v>
      </c>
      <c r="XH118" s="693" t="str">
        <f t="shared" si="165"/>
        <v>Y</v>
      </c>
      <c r="XI118" s="693" t="str">
        <f t="shared" si="165"/>
        <v>Y</v>
      </c>
      <c r="XJ118" s="693" t="str">
        <f t="shared" si="165"/>
        <v>Y</v>
      </c>
      <c r="XK118" s="693" t="str">
        <f t="shared" si="165"/>
        <v>Y</v>
      </c>
      <c r="XL118" s="693" t="str">
        <f t="shared" si="165"/>
        <v>Y</v>
      </c>
      <c r="XM118" s="693" t="str">
        <f t="shared" si="165"/>
        <v>Y</v>
      </c>
      <c r="XN118" s="693" t="str">
        <f t="shared" si="165"/>
        <v>Y</v>
      </c>
      <c r="XO118" s="693" t="str">
        <f t="shared" si="165"/>
        <v>Y</v>
      </c>
      <c r="XP118" s="693" t="str">
        <f t="shared" si="165"/>
        <v>Y</v>
      </c>
      <c r="XQ118" s="693" t="str">
        <f t="shared" si="165"/>
        <v>Y</v>
      </c>
      <c r="XR118" s="693" t="str">
        <f t="shared" si="165"/>
        <v>Y</v>
      </c>
      <c r="XS118" s="693" t="str">
        <f t="shared" si="165"/>
        <v>Y</v>
      </c>
      <c r="XT118" s="693" t="str">
        <f t="shared" si="165"/>
        <v>Y</v>
      </c>
      <c r="XU118" s="693" t="str">
        <f t="shared" si="165"/>
        <v>Y</v>
      </c>
      <c r="XV118" s="693" t="str">
        <f t="shared" si="165"/>
        <v>Y</v>
      </c>
      <c r="XW118" s="693" t="str">
        <f t="shared" si="165"/>
        <v>Y</v>
      </c>
      <c r="XX118" s="693" t="str">
        <f t="shared" si="165"/>
        <v>Y</v>
      </c>
      <c r="XY118" s="693" t="str">
        <f t="shared" si="165"/>
        <v>Y</v>
      </c>
      <c r="XZ118" s="693" t="str">
        <f t="shared" si="165"/>
        <v>Y</v>
      </c>
      <c r="YA118" s="693" t="str">
        <f t="shared" si="165"/>
        <v>Y</v>
      </c>
      <c r="YB118" s="693" t="str">
        <f t="shared" si="165"/>
        <v>Y</v>
      </c>
      <c r="YC118" s="693" t="str">
        <f t="shared" si="165"/>
        <v>Y</v>
      </c>
      <c r="YD118" s="693" t="str">
        <f t="shared" si="165"/>
        <v>Y</v>
      </c>
      <c r="YE118" s="693" t="str">
        <f t="shared" si="165"/>
        <v>Y</v>
      </c>
      <c r="YF118" s="693" t="str">
        <f t="shared" si="165"/>
        <v>Y</v>
      </c>
      <c r="YG118" s="693" t="str">
        <f t="shared" si="165"/>
        <v>Y</v>
      </c>
      <c r="YH118" s="693" t="str">
        <f t="shared" si="165"/>
        <v>Y</v>
      </c>
      <c r="YI118" s="693" t="str">
        <f t="shared" si="165"/>
        <v>Y</v>
      </c>
      <c r="YJ118" s="693" t="str">
        <f t="shared" si="165"/>
        <v>Y</v>
      </c>
      <c r="YK118" s="693" t="str">
        <f t="shared" si="165"/>
        <v>Y</v>
      </c>
      <c r="YL118" s="693" t="str">
        <f t="shared" si="165"/>
        <v>Y</v>
      </c>
      <c r="YM118" s="693" t="str">
        <f t="shared" ref="YM118:ZR118" si="166">IF($AGC$154&lt;0,"Ошибка",
IF(OR(AND($AGC$154&gt;YM80,YM80&gt;$AFS$203),YM80 = $AGC$154),$AGA$154,
IF(OR(AND($AGC$155&gt;YM80,YM80&gt;$AGC$154),YM80 = $AGC$155),$AGA$155,
IF(OR(AND($AGC$156&gt;YM80,YM80&gt;$AGC$155),YM80 = $AGC$156),$AGA$156,
IF(OR(AND($AGC$157&gt;YM80,YM80&gt;$AGC$156),YM80 = $AGC$157),$AGA$157,
IF(OR(AND($AGC$158&gt;YM80,YM80&gt;$AGC$157),YM80 = $AGC$158),$AGA$158,
IF(OR(AND($AGC$159&gt;YM80,YM80&gt;$AGC$158),YM80 = $AGC$159),$AGA$159,
IF(OR(AND($AGC$160&gt;YM80,YM80&gt;$AGC$159),YM80 = $AGC$160),$AGA$160,
IF(OR(AND($AGC$161&gt;YM80,YM80&gt;$AGC$160),YM80 = $AGC$161),$AGA$161,
IF(OR(AND($AGC$162&gt;YM80,YM80&gt;$AGC$161),YM80 = $AGC$162),$AGA$162,
IF(OR(AND($AGC$163&gt;YM80,YM80&gt;$AGC$162),YM80 = $AGC$163),$AGA$163,
IF(OR(AND($AGC$164&gt;YM80,YM80&gt;$AGC$163),YM80 = $AGC$164),$AGA$164,
IF(OR(AND($AGC$165&gt;YM80,YM80&gt;$AGC$164),YM80 = $AGC$165),$AGA$165,
IF(OR(AND($AGC$166&gt;YM80,YM80&gt;$AGC$165),YM80 = $AGC$166),$AGA$166,
IF(OR(AND($AGC$167&gt;YM80,YM80&gt;$AGC$166),YM80 = $AGC$167),$AGA$167,
IF(OR(AND($AGC$168&gt;YM80,YM80&gt;$AGC$167),YM80 = $AGC$168),$AGA$168,
IF(OR(AND($AGC$169&gt;YM80,YM80&gt;$AGC$168),YM80 = $AGC$169),$AGA$169,
IF(OR(AND($AGC$170&gt;YM80,YM80&gt;$AGC$169),YM80 = $AGC$170),$AGA$170,
IF(OR(AND($AGC$171&gt;YM80,YM80&gt;$AGC$170),YM80 = $AGC$171),$AGA$171,
IF(OR(AND($AGC$172&gt;YM80,YM80&gt;$AGC$171),YM80 = $AGC$172),$AGA$172,
IF(OR(AND($AGC$173&gt;YM80,YM80&gt;$AGC$172),YM80 = $AGC$173),$AGA$173,
IF(OR(AND($AGC$174&gt;YM80,YM80&gt;$AGC$173),YM80 = $AGC$174),$AGA$174,
IF(OR(AND($AGC$175&gt;YM80,YM80&gt;$AGC$174),YM80 = $AGC$175),$AGA$175,
IF(OR(AND($AGC$176&gt;YM80,YM80&gt;$AGC$175),YM80 = $AGC$176),$AGA$176,
IF(OR(AND($AGC$177&gt;YM80,YM80&gt;$AGC$176),YM80 = $AGC$177),$AGA$177,
IF(OR(AND($AGC$178&gt;YM80,YM80&gt;$AGC$177),YM80 = $AGC$178),$AGA$178,
IF(OR(AND($AGC$179&gt;YM80,YM80&gt;$AGC$178),YM80 = $AGC$179),$AGA$179,
IF(OR(AND($AGC$180&gt;YM80,YM80&gt;$AGC$179),YM80 = $AGC$180),$AGA$180,
IF(OR(AND($AGC$181&gt;YM80,YM80&gt;$AGC$180),YM80 = $AGC$181),$AGA$181,
IF(OR(AND($AGC$182&gt;YM80,YM80&gt;$AGC$181),YM80 = $AGC$182),$AGA$182,
IF(OR(AND($AGC$183&gt;YM80,YM80&gt;$AGC$182),YM80 = $AGC$183),$AGA$183,
IF(OR(AND($AGC$184&gt;YM80,YM80&gt;$AGC$183),YM80 = $AGC$184),$AGA$184,
IF(OR(AND($AGC$185&gt;YM80,YM80&gt;$AGC$184),YM80 = $AGC$185),$AGA$185,
IF(OR(AND($AGC$186&gt;YM80,YM80&gt;$AGC$185),YM80 = $AGC$186),$AGA$186,
IF(OR(AND($AGC$187&gt;YM80,YM80&gt;$AGC$186),YM80 = $AGC$187),$AGA$187,
IF(OR(AND($AGC$188&gt;YM80,YM80&gt;$AGC$187),YM80 = $AGC$188),$AGA$188,
IF(OR(AND($AGC$189&gt;YM80,YM80&gt;$AGC$188),YM80 = $AGC$189),$AGA$189,
IF(OR(AND($AGC$190&gt;YM80,YM80&gt;$AGC$189),YM80 = $AGC$190),$AGA$190,
IF(OR(AND($AGC$191&gt;YM80,YM80&gt;$AGC$190),YM80 = $AGC$191),$AGA$191,
IF(OR(AND($AGC$192&gt;YM80,YM80&gt;$AGC$191),YM80 = $AGC$192),$AGA$192,
IF(OR(AND($AGC$193&gt;YM80,YM80&gt;$AGC$192),YM80 = $AGC$193),$AGA$193,
IF(OR(AND($AGC$194&gt;YM80,YM80&gt;$AGC$193),YM80 = $AGC$194),$AGA$194,
IF(OR(AND($AGC$195&gt;YM80,YM80&gt;$AGC$194),YM80 = $AGC$195),$AGA$195,
IF(OR(AND($AGC$196&gt;YM80,YM80&gt;$AGC$195),YM80 = $AGC$196),$AGA$196,
IF(OR(AND($AGC$197&gt;YM80,YM80&gt;$AGC$196),YM80 = $AGC$197),$AGA$197,
IF(OR(AND($AGC$198&gt;YM80,YM80&gt;$AGC$197),YM80 = $AGC$198),$AGA$198,
IF(OR(AND($AGC$199&gt;YM80,YM80&gt;$AGC$198),YM80 = $AGC$199),$AGA$199,
IF(OR(AND($AGC$200&gt;YM80,YM80&gt;$AGC$199),YM80 = $AGC$200),$AGA$200,
IF(OR(AND($AGC$201&gt;YM80,YM80&gt;$AGC$200),YM80 = $AGC$201),$AGA$201,
IF(OR(AND($AGC$202&gt;YM80,YM80&gt;$AGC$201),YM80 = $AGC$202),$AGA$202,
IF(OR(AND($AGC$203&gt;YM80,YM80&gt;$AGC$202),YM80 = $AGC$203),$AGA$203,
"Y")))))))))))))))))))))))))))))))))))))))))))))))))))</f>
        <v>Y</v>
      </c>
      <c r="YN118" s="693" t="str">
        <f t="shared" si="166"/>
        <v>Y</v>
      </c>
      <c r="YO118" s="693" t="str">
        <f t="shared" si="166"/>
        <v>Y</v>
      </c>
      <c r="YP118" s="693" t="str">
        <f t="shared" si="166"/>
        <v>Y</v>
      </c>
      <c r="YQ118" s="693" t="str">
        <f t="shared" si="166"/>
        <v>Y</v>
      </c>
      <c r="YR118" s="693" t="str">
        <f t="shared" si="166"/>
        <v>Y</v>
      </c>
      <c r="YS118" s="693" t="str">
        <f t="shared" si="166"/>
        <v>Y</v>
      </c>
      <c r="YT118" s="693" t="str">
        <f t="shared" si="166"/>
        <v>Y</v>
      </c>
      <c r="YU118" s="693" t="str">
        <f t="shared" si="166"/>
        <v>Y</v>
      </c>
      <c r="YV118" s="693" t="str">
        <f t="shared" si="166"/>
        <v>Y</v>
      </c>
      <c r="YW118" s="693" t="str">
        <f t="shared" si="166"/>
        <v>Y</v>
      </c>
      <c r="YX118" s="693" t="str">
        <f t="shared" si="166"/>
        <v>Y</v>
      </c>
      <c r="YY118" s="693" t="str">
        <f t="shared" si="166"/>
        <v>Y</v>
      </c>
      <c r="YZ118" s="693" t="str">
        <f t="shared" si="166"/>
        <v>Y</v>
      </c>
      <c r="ZA118" s="693" t="str">
        <f t="shared" si="166"/>
        <v>Y</v>
      </c>
      <c r="ZB118" s="693" t="str">
        <f t="shared" si="166"/>
        <v>Y</v>
      </c>
      <c r="ZC118" s="693" t="str">
        <f t="shared" si="166"/>
        <v>Y</v>
      </c>
      <c r="ZD118" s="693" t="str">
        <f t="shared" si="166"/>
        <v>Y</v>
      </c>
      <c r="ZE118" s="693" t="str">
        <f t="shared" si="166"/>
        <v>Y</v>
      </c>
      <c r="ZF118" s="693" t="str">
        <f t="shared" si="166"/>
        <v>Y</v>
      </c>
      <c r="ZG118" s="693" t="str">
        <f t="shared" si="166"/>
        <v>Y</v>
      </c>
      <c r="ZH118" s="693" t="str">
        <f t="shared" si="166"/>
        <v>Y</v>
      </c>
      <c r="ZI118" s="693" t="str">
        <f t="shared" si="166"/>
        <v>Y</v>
      </c>
      <c r="ZJ118" s="693" t="str">
        <f t="shared" si="166"/>
        <v>Y</v>
      </c>
      <c r="ZK118" s="693" t="str">
        <f t="shared" si="166"/>
        <v>Y</v>
      </c>
      <c r="ZL118" s="693" t="str">
        <f t="shared" si="166"/>
        <v>Y</v>
      </c>
      <c r="ZM118" s="693" t="str">
        <f t="shared" si="166"/>
        <v>Y</v>
      </c>
      <c r="ZN118" s="693" t="str">
        <f t="shared" si="166"/>
        <v>Y</v>
      </c>
      <c r="ZO118" s="693" t="str">
        <f t="shared" si="166"/>
        <v>Y</v>
      </c>
      <c r="ZP118" s="693" t="str">
        <f t="shared" si="166"/>
        <v>Y</v>
      </c>
      <c r="ZQ118" s="693" t="str">
        <f t="shared" si="166"/>
        <v>Y</v>
      </c>
      <c r="ZR118" s="693" t="str">
        <f t="shared" si="166"/>
        <v>Y</v>
      </c>
      <c r="ZS118" s="693" t="str">
        <f t="shared" ref="ZS118:AAS118" si="167">IF($AGC$154&lt;0,"Ошибка",
IF(OR(AND($AGC$154&gt;ZS80,ZS80&gt;$AFS$203),ZS80 = $AGC$154),$AGA$154,
IF(OR(AND($AGC$155&gt;ZS80,ZS80&gt;$AGC$154),ZS80 = $AGC$155),$AGA$155,
IF(OR(AND($AGC$156&gt;ZS80,ZS80&gt;$AGC$155),ZS80 = $AGC$156),$AGA$156,
IF(OR(AND($AGC$157&gt;ZS80,ZS80&gt;$AGC$156),ZS80 = $AGC$157),$AGA$157,
IF(OR(AND($AGC$158&gt;ZS80,ZS80&gt;$AGC$157),ZS80 = $AGC$158),$AGA$158,
IF(OR(AND($AGC$159&gt;ZS80,ZS80&gt;$AGC$158),ZS80 = $AGC$159),$AGA$159,
IF(OR(AND($AGC$160&gt;ZS80,ZS80&gt;$AGC$159),ZS80 = $AGC$160),$AGA$160,
IF(OR(AND($AGC$161&gt;ZS80,ZS80&gt;$AGC$160),ZS80 = $AGC$161),$AGA$161,
IF(OR(AND($AGC$162&gt;ZS80,ZS80&gt;$AGC$161),ZS80 = $AGC$162),$AGA$162,
IF(OR(AND($AGC$163&gt;ZS80,ZS80&gt;$AGC$162),ZS80 = $AGC$163),$AGA$163,
IF(OR(AND($AGC$164&gt;ZS80,ZS80&gt;$AGC$163),ZS80 = $AGC$164),$AGA$164,
IF(OR(AND($AGC$165&gt;ZS80,ZS80&gt;$AGC$164),ZS80 = $AGC$165),$AGA$165,
IF(OR(AND($AGC$166&gt;ZS80,ZS80&gt;$AGC$165),ZS80 = $AGC$166),$AGA$166,
IF(OR(AND($AGC$167&gt;ZS80,ZS80&gt;$AGC$166),ZS80 = $AGC$167),$AGA$167,
IF(OR(AND($AGC$168&gt;ZS80,ZS80&gt;$AGC$167),ZS80 = $AGC$168),$AGA$168,
IF(OR(AND($AGC$169&gt;ZS80,ZS80&gt;$AGC$168),ZS80 = $AGC$169),$AGA$169,
IF(OR(AND($AGC$170&gt;ZS80,ZS80&gt;$AGC$169),ZS80 = $AGC$170),$AGA$170,
IF(OR(AND($AGC$171&gt;ZS80,ZS80&gt;$AGC$170),ZS80 = $AGC$171),$AGA$171,
IF(OR(AND($AGC$172&gt;ZS80,ZS80&gt;$AGC$171),ZS80 = $AGC$172),$AGA$172,
IF(OR(AND($AGC$173&gt;ZS80,ZS80&gt;$AGC$172),ZS80 = $AGC$173),$AGA$173,
IF(OR(AND($AGC$174&gt;ZS80,ZS80&gt;$AGC$173),ZS80 = $AGC$174),$AGA$174,
IF(OR(AND($AGC$175&gt;ZS80,ZS80&gt;$AGC$174),ZS80 = $AGC$175),$AGA$175,
IF(OR(AND($AGC$176&gt;ZS80,ZS80&gt;$AGC$175),ZS80 = $AGC$176),$AGA$176,
IF(OR(AND($AGC$177&gt;ZS80,ZS80&gt;$AGC$176),ZS80 = $AGC$177),$AGA$177,
IF(OR(AND($AGC$178&gt;ZS80,ZS80&gt;$AGC$177),ZS80 = $AGC$178),$AGA$178,
IF(OR(AND($AGC$179&gt;ZS80,ZS80&gt;$AGC$178),ZS80 = $AGC$179),$AGA$179,
IF(OR(AND($AGC$180&gt;ZS80,ZS80&gt;$AGC$179),ZS80 = $AGC$180),$AGA$180,
IF(OR(AND($AGC$181&gt;ZS80,ZS80&gt;$AGC$180),ZS80 = $AGC$181),$AGA$181,
IF(OR(AND($AGC$182&gt;ZS80,ZS80&gt;$AGC$181),ZS80 = $AGC$182),$AGA$182,
IF(OR(AND($AGC$183&gt;ZS80,ZS80&gt;$AGC$182),ZS80 = $AGC$183),$AGA$183,
IF(OR(AND($AGC$184&gt;ZS80,ZS80&gt;$AGC$183),ZS80 = $AGC$184),$AGA$184,
IF(OR(AND($AGC$185&gt;ZS80,ZS80&gt;$AGC$184),ZS80 = $AGC$185),$AGA$185,
IF(OR(AND($AGC$186&gt;ZS80,ZS80&gt;$AGC$185),ZS80 = $AGC$186),$AGA$186,
IF(OR(AND($AGC$187&gt;ZS80,ZS80&gt;$AGC$186),ZS80 = $AGC$187),$AGA$187,
IF(OR(AND($AGC$188&gt;ZS80,ZS80&gt;$AGC$187),ZS80 = $AGC$188),$AGA$188,
IF(OR(AND($AGC$189&gt;ZS80,ZS80&gt;$AGC$188),ZS80 = $AGC$189),$AGA$189,
IF(OR(AND($AGC$190&gt;ZS80,ZS80&gt;$AGC$189),ZS80 = $AGC$190),$AGA$190,
IF(OR(AND($AGC$191&gt;ZS80,ZS80&gt;$AGC$190),ZS80 = $AGC$191),$AGA$191,
IF(OR(AND($AGC$192&gt;ZS80,ZS80&gt;$AGC$191),ZS80 = $AGC$192),$AGA$192,
IF(OR(AND($AGC$193&gt;ZS80,ZS80&gt;$AGC$192),ZS80 = $AGC$193),$AGA$193,
IF(OR(AND($AGC$194&gt;ZS80,ZS80&gt;$AGC$193),ZS80 = $AGC$194),$AGA$194,
IF(OR(AND($AGC$195&gt;ZS80,ZS80&gt;$AGC$194),ZS80 = $AGC$195),$AGA$195,
IF(OR(AND($AGC$196&gt;ZS80,ZS80&gt;$AGC$195),ZS80 = $AGC$196),$AGA$196,
IF(OR(AND($AGC$197&gt;ZS80,ZS80&gt;$AGC$196),ZS80 = $AGC$197),$AGA$197,
IF(OR(AND($AGC$198&gt;ZS80,ZS80&gt;$AGC$197),ZS80 = $AGC$198),$AGA$198,
IF(OR(AND($AGC$199&gt;ZS80,ZS80&gt;$AGC$198),ZS80 = $AGC$199),$AGA$199,
IF(OR(AND($AGC$200&gt;ZS80,ZS80&gt;$AGC$199),ZS80 = $AGC$200),$AGA$200,
IF(OR(AND($AGC$201&gt;ZS80,ZS80&gt;$AGC$200),ZS80 = $AGC$201),$AGA$201,
IF(OR(AND($AGC$202&gt;ZS80,ZS80&gt;$AGC$201),ZS80 = $AGC$202),$AGA$202,
IF(OR(AND($AGC$203&gt;ZS80,ZS80&gt;$AGC$202),ZS80 = $AGC$203),$AGA$203,
"Y")))))))))))))))))))))))))))))))))))))))))))))))))))</f>
        <v>Y</v>
      </c>
      <c r="ZT118" s="693" t="str">
        <f t="shared" si="167"/>
        <v>Y</v>
      </c>
      <c r="ZU118" s="693" t="str">
        <f t="shared" si="167"/>
        <v>Y</v>
      </c>
      <c r="ZV118" s="693" t="str">
        <f t="shared" si="167"/>
        <v>Y</v>
      </c>
      <c r="ZW118" s="693" t="str">
        <f t="shared" si="167"/>
        <v>Y</v>
      </c>
      <c r="ZX118" s="693" t="str">
        <f t="shared" si="167"/>
        <v>Y</v>
      </c>
      <c r="ZY118" s="693" t="str">
        <f t="shared" si="167"/>
        <v>Y</v>
      </c>
      <c r="ZZ118" s="693" t="str">
        <f t="shared" si="167"/>
        <v>Y</v>
      </c>
      <c r="AAA118" s="693" t="str">
        <f t="shared" si="167"/>
        <v>Y</v>
      </c>
      <c r="AAB118" s="693" t="str">
        <f t="shared" si="167"/>
        <v>Y</v>
      </c>
      <c r="AAC118" s="693" t="str">
        <f t="shared" si="167"/>
        <v>Y</v>
      </c>
      <c r="AAD118" s="693" t="str">
        <f t="shared" si="167"/>
        <v>Y</v>
      </c>
      <c r="AAE118" s="693" t="str">
        <f t="shared" si="167"/>
        <v>Y</v>
      </c>
      <c r="AAF118" s="693" t="str">
        <f t="shared" si="167"/>
        <v>Y</v>
      </c>
      <c r="AAG118" s="693" t="str">
        <f t="shared" si="167"/>
        <v>Y</v>
      </c>
      <c r="AAH118" s="693" t="str">
        <f t="shared" si="167"/>
        <v>Y</v>
      </c>
      <c r="AAI118" s="693" t="str">
        <f t="shared" si="167"/>
        <v>Y</v>
      </c>
      <c r="AAJ118" s="693" t="str">
        <f t="shared" si="167"/>
        <v>Y</v>
      </c>
      <c r="AAK118" s="693" t="str">
        <f t="shared" si="167"/>
        <v>Y</v>
      </c>
      <c r="AAL118" s="693" t="str">
        <f t="shared" si="167"/>
        <v>Y</v>
      </c>
      <c r="AAM118" s="693" t="str">
        <f t="shared" si="167"/>
        <v>Y</v>
      </c>
      <c r="AAN118" s="693" t="str">
        <f t="shared" si="167"/>
        <v>Y</v>
      </c>
      <c r="AAO118" s="693" t="str">
        <f t="shared" si="167"/>
        <v>Y</v>
      </c>
      <c r="AAP118" s="693" t="str">
        <f t="shared" si="167"/>
        <v>Y</v>
      </c>
      <c r="AAQ118" s="693" t="str">
        <f t="shared" si="167"/>
        <v>Y</v>
      </c>
      <c r="AAR118" s="693" t="str">
        <f t="shared" si="167"/>
        <v>Y</v>
      </c>
      <c r="AAS118" s="693" t="str">
        <f t="shared" si="167"/>
        <v>Y</v>
      </c>
      <c r="AAT118" s="1006"/>
      <c r="AAU118" s="962"/>
      <c r="AAV118" s="1059"/>
      <c r="AAW118" s="1059"/>
      <c r="AAX118" s="1059"/>
      <c r="AAY118" s="1059"/>
      <c r="AAZ118" s="1059"/>
      <c r="ABA118" s="1059"/>
      <c r="ABB118" s="1059"/>
      <c r="ABC118" s="1059"/>
      <c r="ABD118" s="1059"/>
      <c r="ABE118" s="1059"/>
      <c r="ABF118" s="1059"/>
      <c r="ABG118" s="1059"/>
      <c r="ABH118" s="963"/>
      <c r="ABI118" s="158"/>
      <c r="ABJ118" s="158"/>
      <c r="ABK118" s="158"/>
      <c r="ABL118" s="158"/>
      <c r="ABM118" s="158"/>
      <c r="ABN118" s="158"/>
      <c r="ABO118" s="158"/>
      <c r="ABP118" s="163"/>
      <c r="ABX118" s="1527"/>
      <c r="ABY118" s="1527"/>
      <c r="ABZ118" s="1527"/>
      <c r="ACA118" s="1527"/>
      <c r="ACB118" s="1527"/>
      <c r="ACC118" s="1527"/>
      <c r="ACD118" s="1527"/>
      <c r="ACE118" s="1527"/>
      <c r="ACF118" s="1527"/>
      <c r="ACG118" s="1527"/>
      <c r="ACH118" s="1527"/>
      <c r="ACJ118" s="759">
        <v>1</v>
      </c>
      <c r="ACK118" s="760"/>
      <c r="ACL118" s="759">
        <v>-1.2</v>
      </c>
      <c r="ACM118" s="760"/>
      <c r="ACN118" s="592">
        <v>34</v>
      </c>
      <c r="ACO118" s="759">
        <f t="shared" si="91"/>
        <v>0.14000000000000012</v>
      </c>
      <c r="ACP118" s="760"/>
      <c r="ACQ118" s="757">
        <f t="shared" si="159"/>
        <v>1.34</v>
      </c>
      <c r="ACR118" s="758"/>
      <c r="ACT118" s="759">
        <v>1.5454545454545501</v>
      </c>
      <c r="ACU118" s="760"/>
      <c r="ACV118" s="759">
        <v>-2.1818181818181799</v>
      </c>
      <c r="ACW118" s="760"/>
      <c r="ACX118" s="591">
        <v>84</v>
      </c>
      <c r="ACY118" s="759">
        <f t="shared" si="92"/>
        <v>0.66181818181819185</v>
      </c>
      <c r="ACZ118" s="760"/>
      <c r="ADA118" s="757">
        <f t="shared" si="160"/>
        <v>1.8399999999999999</v>
      </c>
      <c r="ADB118" s="758"/>
      <c r="ADD118" s="759">
        <v>1.5454545454545501</v>
      </c>
      <c r="ADE118" s="760"/>
      <c r="ADF118" s="759">
        <v>-2.1818181818181799</v>
      </c>
      <c r="ADG118" s="760"/>
      <c r="ADH118" s="591">
        <v>133</v>
      </c>
      <c r="ADI118" s="759">
        <f t="shared" si="93"/>
        <v>1.4190909090909218</v>
      </c>
      <c r="ADJ118" s="760"/>
      <c r="ADK118" s="757">
        <f t="shared" si="161"/>
        <v>2.33</v>
      </c>
      <c r="ADL118" s="758"/>
      <c r="ADN118" s="759">
        <v>1.5454545454545501</v>
      </c>
      <c r="ADO118" s="760"/>
      <c r="ADP118" s="759">
        <v>-2.1818181818181799</v>
      </c>
      <c r="ADQ118" s="760"/>
      <c r="ADR118" s="591">
        <v>183</v>
      </c>
      <c r="ADS118" s="759">
        <f t="shared" si="94"/>
        <v>2.1918181818181965</v>
      </c>
      <c r="ADT118" s="760"/>
      <c r="ADU118" s="757">
        <f t="shared" si="162"/>
        <v>2.83</v>
      </c>
      <c r="ADV118" s="758"/>
      <c r="ADW118" s="653"/>
      <c r="ADX118" s="759">
        <v>1.5454545454545501</v>
      </c>
      <c r="ADY118" s="760"/>
      <c r="ADZ118" s="759">
        <v>-2.1818181818181799</v>
      </c>
      <c r="AEA118" s="760"/>
      <c r="AEB118" s="591">
        <v>233</v>
      </c>
      <c r="AEC118" s="759">
        <f t="shared" si="134"/>
        <v>2.9645454545454717</v>
      </c>
      <c r="AED118" s="760"/>
      <c r="AEE118" s="757">
        <f t="shared" si="163"/>
        <v>3.33</v>
      </c>
      <c r="AEF118" s="758"/>
      <c r="AEH118" s="759">
        <v>1.5454545454545501</v>
      </c>
      <c r="AEI118" s="760"/>
      <c r="AEJ118" s="759">
        <v>-2.1818181818181799</v>
      </c>
      <c r="AEK118" s="760"/>
      <c r="AEL118" s="591">
        <v>283</v>
      </c>
      <c r="AEM118" s="759">
        <f t="shared" si="101"/>
        <v>3.7372727272727468</v>
      </c>
      <c r="AEN118" s="760"/>
      <c r="AEO118" s="757">
        <f t="shared" si="164"/>
        <v>3.83</v>
      </c>
      <c r="AEP118" s="758"/>
      <c r="AHV118" s="130"/>
      <c r="AHW118" s="130"/>
      <c r="AHX118" s="130"/>
      <c r="AHY118" s="130"/>
      <c r="AHZ118" s="130"/>
      <c r="AIA118" s="130"/>
      <c r="AIB118" s="130"/>
      <c r="AIC118" s="130"/>
      <c r="AID118" s="130"/>
      <c r="AIE118" s="130"/>
      <c r="AIF118" s="130"/>
      <c r="AIG118" s="130"/>
      <c r="AIH118" s="130"/>
      <c r="AII118" s="130"/>
      <c r="AIJ118" s="130"/>
      <c r="AQO118" s="851"/>
      <c r="AQP118" s="857"/>
      <c r="AQQ118" s="857"/>
      <c r="AQR118" s="857"/>
      <c r="AQS118" s="857"/>
      <c r="AQT118" s="857"/>
      <c r="AQU118" s="857"/>
      <c r="AQV118" s="857"/>
      <c r="AQW118" s="857"/>
      <c r="AQX118" s="857"/>
      <c r="AQY118" s="857"/>
      <c r="AQZ118" s="857"/>
      <c r="ARA118" s="857"/>
      <c r="ARB118" s="857"/>
      <c r="ARC118" s="837"/>
      <c r="ARD118" s="838"/>
      <c r="ARE118" s="777"/>
      <c r="ARF118" s="799"/>
      <c r="ARG118" s="842"/>
      <c r="ARH118" s="845"/>
      <c r="ARI118" s="846"/>
      <c r="ARJ118" s="848"/>
      <c r="ARU118" s="897" t="s">
        <v>974</v>
      </c>
      <c r="ARV118" s="898"/>
      <c r="ARW118" s="899"/>
      <c r="ARX118" s="849"/>
      <c r="ARY118" s="852" t="s">
        <v>416</v>
      </c>
      <c r="ARZ118" s="853"/>
      <c r="ASA118" s="142"/>
      <c r="ASB118" s="78"/>
      <c r="ASC118" s="78"/>
      <c r="ASD118" s="78"/>
      <c r="ASE118" s="142"/>
      <c r="ASF118" s="76" t="s">
        <v>441</v>
      </c>
      <c r="ASG118" s="854" t="s">
        <v>435</v>
      </c>
      <c r="ASH118" s="855"/>
      <c r="ASI118" s="920" t="s">
        <v>111</v>
      </c>
      <c r="ASJ118" s="921"/>
      <c r="ASK118" s="916" t="s">
        <v>704</v>
      </c>
      <c r="ASL118" s="917"/>
      <c r="ASM118" s="906" t="s">
        <v>447</v>
      </c>
      <c r="ASN118" s="907"/>
      <c r="ASO118" s="907"/>
      <c r="ASP118" s="908"/>
    </row>
    <row r="119" spans="60:920 1133:1226" ht="48" customHeight="1" thickBot="1">
      <c r="BV119" s="653"/>
      <c r="BW119" s="653"/>
      <c r="BZ119" s="900"/>
      <c r="CA119" s="901"/>
      <c r="CB119" s="902"/>
      <c r="CC119" s="850"/>
      <c r="CD119" s="810" t="s">
        <v>758</v>
      </c>
      <c r="CE119" s="770"/>
      <c r="CF119" s="770"/>
      <c r="CG119" s="770"/>
      <c r="CH119" s="770"/>
      <c r="CI119" s="770"/>
      <c r="CJ119" s="770"/>
      <c r="CK119" s="770"/>
      <c r="CL119" s="770"/>
      <c r="CM119" s="770"/>
      <c r="CN119" s="770"/>
      <c r="CO119" s="1453">
        <f>CG117</f>
        <v>0.88300000000000001</v>
      </c>
      <c r="CP119" s="1454"/>
      <c r="CQ119" s="927" t="s">
        <v>757</v>
      </c>
      <c r="CR119" s="928"/>
      <c r="CS119" s="1773"/>
      <c r="CT119" s="1482" t="s">
        <v>762</v>
      </c>
      <c r="CU119" s="1483"/>
      <c r="CV119" s="841"/>
      <c r="CW119" s="1203" t="s">
        <v>862</v>
      </c>
      <c r="CX119" s="1275"/>
      <c r="CY119" s="1204"/>
      <c r="CZ119" s="653"/>
      <c r="DA119" s="653"/>
      <c r="DB119" s="653"/>
      <c r="DC119" s="653"/>
      <c r="DD119" s="653"/>
      <c r="DH119" s="130"/>
      <c r="DI119" s="130"/>
      <c r="DY119" s="130"/>
      <c r="DZ119" s="850"/>
      <c r="EA119" s="516" t="s">
        <v>1627</v>
      </c>
      <c r="EB119" s="766">
        <f>$EN$88</f>
        <v>191.46140281004224</v>
      </c>
      <c r="EC119" s="766"/>
      <c r="ED119" s="791" t="s">
        <v>784</v>
      </c>
      <c r="EE119" s="792"/>
      <c r="EF119" s="792"/>
      <c r="EG119" s="792"/>
      <c r="EH119" s="792"/>
      <c r="EI119" s="792"/>
      <c r="EJ119" s="792"/>
      <c r="EK119" s="792"/>
      <c r="EL119" s="792"/>
      <c r="EM119" s="792"/>
      <c r="EN119" s="792"/>
      <c r="EO119" s="792"/>
      <c r="EP119" s="792"/>
      <c r="EQ119" s="1167">
        <f>((EB120^2)*EE118*EB121)/EB119</f>
        <v>0.69235468901018193</v>
      </c>
      <c r="ER119" s="840"/>
      <c r="ES119" s="1634" t="s">
        <v>729</v>
      </c>
      <c r="ET119" s="1635"/>
      <c r="EU119" s="841"/>
      <c r="EV119" s="893" t="s">
        <v>789</v>
      </c>
      <c r="EW119" s="894"/>
      <c r="EX119" s="1289"/>
      <c r="EY119" s="1052"/>
      <c r="EZ119" s="1052"/>
      <c r="FA119" s="1052"/>
      <c r="FB119" s="1052"/>
      <c r="FC119" s="1052"/>
      <c r="FD119" s="1052"/>
      <c r="FF119" s="126"/>
      <c r="GF119" s="850"/>
      <c r="GG119" s="791" t="s">
        <v>1770</v>
      </c>
      <c r="GH119" s="797"/>
      <c r="GI119" s="797"/>
      <c r="GJ119" s="797"/>
      <c r="GK119" s="797"/>
      <c r="GL119" s="797"/>
      <c r="GM119" s="1167">
        <f>0.85*GR103</f>
        <v>2.125</v>
      </c>
      <c r="GN119" s="840"/>
      <c r="GO119" s="1253" t="s">
        <v>786</v>
      </c>
      <c r="GP119" s="1188"/>
      <c r="GQ119" s="1189"/>
      <c r="GR119" s="1066"/>
      <c r="GS119" s="1170" t="s">
        <v>989</v>
      </c>
      <c r="GT119" s="1172"/>
      <c r="GU119" s="847"/>
      <c r="GV119" s="827"/>
      <c r="GW119" s="947"/>
      <c r="GX119" s="947"/>
      <c r="GY119" s="948"/>
      <c r="HJ119" s="130"/>
      <c r="HK119" s="130"/>
      <c r="HL119" s="130"/>
      <c r="HM119" s="130"/>
      <c r="HN119" s="220"/>
      <c r="HO119" s="130"/>
      <c r="HP119" s="130"/>
      <c r="HQ119" s="130"/>
      <c r="HR119" s="130"/>
      <c r="IE119" s="130"/>
      <c r="IF119" s="130"/>
      <c r="IG119" s="130"/>
      <c r="IH119" s="130"/>
      <c r="II119" s="130"/>
      <c r="IJ119" s="3"/>
      <c r="IK119" s="3"/>
      <c r="JW119" s="130"/>
      <c r="JX119" s="130"/>
      <c r="JY119" s="130"/>
      <c r="LJ119" s="653"/>
      <c r="LK119" s="653"/>
      <c r="LL119" s="653"/>
      <c r="LM119" s="653"/>
      <c r="LN119" s="653"/>
      <c r="LO119" s="653"/>
      <c r="LP119" s="653"/>
      <c r="LQ119" s="653"/>
      <c r="LR119" s="653"/>
      <c r="LS119" s="130"/>
      <c r="LV119" s="130"/>
      <c r="LW119" s="130"/>
      <c r="LX119" s="377"/>
      <c r="LY119" s="373"/>
      <c r="LZ119" s="54"/>
      <c r="MA119" s="381" t="s">
        <v>1297</v>
      </c>
      <c r="MB119" s="849"/>
      <c r="MC119" s="791" t="s">
        <v>1276</v>
      </c>
      <c r="MD119" s="792"/>
      <c r="ME119" s="792"/>
      <c r="MF119" s="792"/>
      <c r="MG119" s="792"/>
      <c r="MH119" s="792"/>
      <c r="MI119" s="792"/>
      <c r="MJ119" s="792"/>
      <c r="MK119" s="792"/>
      <c r="ML119" s="792"/>
      <c r="MM119" s="792"/>
      <c r="MN119" s="792"/>
      <c r="MO119" s="793"/>
      <c r="MP119" s="1404">
        <f>IF(AND(ML111&gt;MM115,OR(ML111&lt;MQ115,MQ115=ML111)),ML111," Другая формула")</f>
        <v>1</v>
      </c>
      <c r="MQ119" s="1405"/>
      <c r="MR119" s="1183" t="s">
        <v>729</v>
      </c>
      <c r="MS119" s="1184"/>
      <c r="MT119" s="1066"/>
      <c r="MU119" s="893" t="s">
        <v>1282</v>
      </c>
      <c r="MV119" s="1081"/>
      <c r="MW119" s="894"/>
      <c r="MX119" s="847"/>
      <c r="MY119" s="158"/>
      <c r="MZ119" s="373"/>
      <c r="NA119" s="373"/>
      <c r="NB119" s="373"/>
      <c r="NC119" s="373"/>
      <c r="ND119" s="373"/>
      <c r="NE119" s="373"/>
      <c r="NF119" s="373"/>
      <c r="NG119" s="373"/>
      <c r="NH119" s="373"/>
      <c r="NI119" s="373"/>
      <c r="NJ119" s="373"/>
      <c r="NK119" s="54"/>
      <c r="NL119" s="381" t="s">
        <v>1297</v>
      </c>
      <c r="NM119" s="849"/>
      <c r="NN119" s="791" t="s">
        <v>1281</v>
      </c>
      <c r="NO119" s="792"/>
      <c r="NP119" s="792"/>
      <c r="NQ119" s="792"/>
      <c r="NR119" s="792"/>
      <c r="NS119" s="792"/>
      <c r="NT119" s="792"/>
      <c r="NU119" s="792"/>
      <c r="NV119" s="792"/>
      <c r="NW119" s="792"/>
      <c r="NX119" s="792"/>
      <c r="NY119" s="792"/>
      <c r="NZ119" s="793"/>
      <c r="OA119" s="1404" t="str">
        <f>IF(AND(OR(ML111&gt;NX115,ML111=NX115),OR(ML111&lt;OB115,ML111=OB115)),ML111,"Другая формула")</f>
        <v>Другая формула</v>
      </c>
      <c r="OB119" s="1405"/>
      <c r="OC119" s="1183" t="s">
        <v>729</v>
      </c>
      <c r="OD119" s="1184"/>
      <c r="OE119" s="1289"/>
      <c r="OF119" s="893" t="s">
        <v>1285</v>
      </c>
      <c r="OG119" s="1081"/>
      <c r="OH119" s="894"/>
      <c r="OI119" s="1289"/>
      <c r="OJ119" s="373"/>
      <c r="OK119" s="373"/>
      <c r="OL119" s="373"/>
      <c r="OM119" s="373"/>
      <c r="ON119" s="373"/>
      <c r="OO119" s="373"/>
      <c r="OP119" s="373"/>
      <c r="OQ119" s="373"/>
      <c r="OR119" s="373"/>
      <c r="OS119" s="373"/>
      <c r="OT119" s="373"/>
      <c r="OU119" s="374"/>
      <c r="OX119" s="130"/>
      <c r="PL119" s="849"/>
      <c r="PM119" s="1257" t="s">
        <v>416</v>
      </c>
      <c r="PN119" s="1257"/>
      <c r="PO119" s="629"/>
      <c r="PP119" s="78"/>
      <c r="PQ119" s="78"/>
      <c r="PR119" s="78"/>
      <c r="PS119" s="629"/>
      <c r="PT119" s="76" t="s">
        <v>441</v>
      </c>
      <c r="PU119" s="854" t="s">
        <v>435</v>
      </c>
      <c r="PV119" s="1111"/>
      <c r="PW119" s="920" t="s">
        <v>111</v>
      </c>
      <c r="PX119" s="921"/>
      <c r="PY119" s="916" t="s">
        <v>704</v>
      </c>
      <c r="PZ119" s="917"/>
      <c r="QA119" s="906" t="s">
        <v>447</v>
      </c>
      <c r="QB119" s="907"/>
      <c r="QC119" s="907"/>
      <c r="QD119" s="907"/>
      <c r="QE119" s="908"/>
      <c r="QF119" s="1051" t="s">
        <v>436</v>
      </c>
      <c r="QG119" s="1051"/>
      <c r="QH119" s="1051"/>
      <c r="QI119" s="1051"/>
      <c r="QJ119" s="1051"/>
      <c r="QK119" s="1051"/>
      <c r="QL119" s="1051"/>
      <c r="RE119" s="653"/>
      <c r="RF119" s="653"/>
      <c r="RG119" s="653"/>
      <c r="RH119" s="653"/>
      <c r="RI119" s="653"/>
      <c r="RJ119" s="653"/>
      <c r="RK119" s="653"/>
      <c r="RL119" s="653"/>
      <c r="RM119" s="653"/>
      <c r="RN119" s="653"/>
      <c r="RO119" s="653"/>
      <c r="RP119" s="653"/>
      <c r="RQ119" s="653"/>
      <c r="RR119" s="653"/>
      <c r="RS119" s="653"/>
      <c r="RT119" s="653"/>
      <c r="RU119" s="653"/>
      <c r="RV119" s="653"/>
      <c r="RW119" s="653"/>
      <c r="RX119" s="653"/>
      <c r="RY119" s="653"/>
      <c r="RZ119" s="653"/>
      <c r="SA119" s="653"/>
      <c r="SB119" s="653"/>
      <c r="SC119" s="653"/>
      <c r="SD119" s="653"/>
      <c r="SE119" s="653"/>
      <c r="SF119" s="653"/>
      <c r="SG119" s="653"/>
      <c r="SH119" s="653"/>
      <c r="SI119" s="653"/>
      <c r="SJ119" s="653"/>
      <c r="SK119" s="653"/>
      <c r="SL119" s="653"/>
      <c r="SM119" s="653"/>
      <c r="SN119" s="653"/>
      <c r="SO119" s="653"/>
      <c r="SP119" s="653"/>
      <c r="SQ119" s="653"/>
      <c r="SR119" s="653"/>
      <c r="SS119" s="653"/>
      <c r="ST119" s="653"/>
      <c r="SU119" s="653"/>
      <c r="SV119" s="653"/>
      <c r="SW119" s="653"/>
      <c r="SX119" s="653"/>
      <c r="SY119" s="653"/>
      <c r="SZ119" s="653"/>
      <c r="TA119" s="653"/>
      <c r="TB119" s="653"/>
      <c r="TC119" s="653"/>
      <c r="TD119" s="653"/>
      <c r="TE119" s="653"/>
      <c r="TF119" s="653"/>
      <c r="TG119" s="653"/>
      <c r="TH119" s="653"/>
      <c r="TI119" s="653"/>
      <c r="TJ119" s="653"/>
      <c r="TK119" s="653"/>
      <c r="TL119" s="653"/>
      <c r="TM119" s="653"/>
      <c r="TN119" s="653"/>
      <c r="TO119" s="653"/>
      <c r="TP119" s="653"/>
      <c r="TQ119" s="653"/>
      <c r="TR119" s="653"/>
      <c r="TS119" s="653"/>
      <c r="TT119" s="653"/>
      <c r="TU119" s="653"/>
      <c r="TV119" s="653"/>
      <c r="TW119" s="653"/>
      <c r="TX119" s="653"/>
      <c r="TY119" s="653"/>
      <c r="TZ119" s="653"/>
      <c r="UA119" s="653"/>
      <c r="UB119" s="653"/>
      <c r="UC119" s="653"/>
      <c r="UD119" s="653"/>
      <c r="UE119" s="653"/>
      <c r="UF119" s="653"/>
      <c r="UG119" s="653"/>
      <c r="UH119" s="653"/>
      <c r="UI119" s="653"/>
      <c r="UJ119" s="653"/>
      <c r="UK119" s="653"/>
      <c r="UL119" s="653"/>
      <c r="UM119" s="653"/>
      <c r="UN119" s="653"/>
      <c r="UO119" s="653"/>
      <c r="UP119" s="653"/>
      <c r="UQ119" s="653"/>
      <c r="UR119" s="653"/>
      <c r="US119" s="653"/>
      <c r="UT119" s="653"/>
      <c r="UU119" s="653"/>
      <c r="UV119" s="653"/>
      <c r="UW119" s="653"/>
      <c r="UX119" s="653"/>
      <c r="UY119" s="653"/>
      <c r="UZ119" s="653"/>
      <c r="WE119" s="996"/>
      <c r="WF119" s="997"/>
      <c r="WG119" s="175"/>
      <c r="WH119" s="173"/>
      <c r="WI119" s="173"/>
      <c r="WJ119" s="173"/>
      <c r="WK119" s="173"/>
      <c r="WL119" s="173"/>
      <c r="WM119" s="173"/>
      <c r="WN119" s="173"/>
      <c r="WO119" s="173"/>
      <c r="WP119" s="173"/>
      <c r="WQ119" s="173"/>
      <c r="WR119" s="173"/>
      <c r="WS119" s="173"/>
      <c r="WT119" s="173"/>
      <c r="WU119" s="173"/>
      <c r="WV119" s="173"/>
      <c r="WW119" s="173"/>
      <c r="WX119" s="1525" t="s">
        <v>1654</v>
      </c>
      <c r="WY119" s="1525"/>
      <c r="WZ119" s="1135" t="s">
        <v>729</v>
      </c>
      <c r="XA119" s="1135"/>
      <c r="XB119" s="167"/>
      <c r="XC119" s="168"/>
      <c r="XD119" s="168"/>
      <c r="XE119" s="168"/>
      <c r="XF119" s="171"/>
      <c r="XG119" s="1016">
        <f xml:space="preserve">
IF(XG109 = "Y",
IF(XG110 = "Y",
IF(XG111 = "Y",
IF(XG112 = "Y",
IF(XG113 = "Y",
IF(XG114 = "Y",
IF(XG115 = "Y",
IF(XG116 = "Y",
IF(XG117 = "Y",
IF(XG118 = "Y",Ошибка,XG118),
XG117),
XG116),
XG115),
XG114),
XG113),
XG112),
XG111),
XG110),
XG109)</f>
        <v>0.98899999999999999</v>
      </c>
      <c r="XH119" s="1016">
        <f xml:space="preserve">
IF(XH109 = "Y",
IF(XH110 = "Y",
IF(XH111 = "Y",
IF(XH112 = "Y",
IF(XH113 = "Y",
IF(XH114 = "Y",
IF(XH115 = "Y",
IF(XH116 = "Y",
IF(XH117 = "Y",
IF(XH118 = "Y",Ошибка,XH118),
XH117),
XH116),
XH115),
XH114),
XH113),
XH112),
XH111),
XH110),
XH109)</f>
        <v>0.98424999999999996</v>
      </c>
      <c r="XI119" s="1016">
        <f xml:space="preserve">
IF(XI109 = "Y",
IF(XI110 = "Y",
IF(XI111 = "Y",
IF(XI112 = "Y",
IF(XI113 = "Y",
IF(XI114 = "Y",
IF(XI115 = "Y",
IF(XI116 = "Y",
IF(XI117 = "Y",
IF(XI118 = "Y",Ошибка,XI118),
XI117),
XI116),
XI115),
XI114),
XI113),
XI112),
XI111),
XI110),
XI109)</f>
        <v>0.98099999999999998</v>
      </c>
      <c r="XJ119" s="1016">
        <f xml:space="preserve">
IF(XJ109 = "Y",
IF(XJ110 = "Y",
IF(XJ111 = "Y",
IF(XJ112 = "Y",
IF(XJ113 = "Y",
IF(XJ114 = "Y",
IF(XJ115 = "Y",
IF(XJ116 = "Y",
IF(XJ117 = "Y",
IF(XJ118 = "Y",Ошибка,XJ118),
XJ117),
XJ116),
XJ115),
XJ114),
XJ113),
XJ112),
XJ111),
XJ110),
XJ109)</f>
        <v>0.97799999999999998</v>
      </c>
      <c r="XK119" s="1016">
        <f xml:space="preserve">
IF(XK109 = "Y",
IF(XK110 = "Y",
IF(XK111 = "Y",
IF(XK112 = "Y",
IF(XK113 = "Y",
IF(XK114 = "Y",
IF(XK115 = "Y",
IF(XK116 = "Y",
IF(XK117 = "Y",
IF(XK118 = "Y",Ошибка,XK118),
XK117),
XK116),
XK115),
XK114),
XK113),
XK112),
XK111),
XK110),
XK109)</f>
        <v>0.97524999999999995</v>
      </c>
      <c r="XL119" s="1016">
        <f xml:space="preserve">
IF(XL109 = "Y",
IF(XL110 = "Y",
IF(XL111 = "Y",
IF(XL112 = "Y",
IF(XL113 = "Y",
IF(XL114 = "Y",
IF(XL115 = "Y",
IF(XL116 = "Y",
IF(XL117 = "Y",
IF(XL118 = "Y",Ошибка,XL118),
XL117),
XL116),
XL115),
XL114),
XL113),
XL112),
XL111),
XL110),
XL109)</f>
        <v>0.96966666666667001</v>
      </c>
      <c r="XM119" s="1016">
        <f xml:space="preserve">
IF(XM109 = "Y",
IF(XM110 = "Y",
IF(XM111 = "Y",
IF(XM112 = "Y",
IF(XM113 = "Y",
IF(XM114 = "Y",
IF(XM115 = "Y",
IF(XM116 = "Y",
IF(XM117 = "Y",
IF(XM118 = "Y",Ошибка,XM118),
XM117),
XM116),
XM115),
XM114),
XM113),
XM112),
XM111),
XM110),
XM109)</f>
        <v>0.96366666666667</v>
      </c>
      <c r="XN119" s="1016">
        <f xml:space="preserve">
IF(XN109 = "Y",
IF(XN110 = "Y",
IF(XN111 = "Y",
IF(XN112 = "Y",
IF(XN113 = "Y",
IF(XN114 = "Y",
IF(XN115 = "Y",
IF(XN116 = "Y",
IF(XN117 = "Y",
IF(XN118 = "Y",Ошибка,XN118),
XN117),
XN116),
XN115),
XN114),
XN113),
XN112),
XN111),
XN110),
XN109)</f>
        <v>0.9583333333333367</v>
      </c>
      <c r="XO119" s="1016">
        <f xml:space="preserve">
IF(XO109 = "Y",
IF(XO110 = "Y",
IF(XO111 = "Y",
IF(XO112 = "Y",
IF(XO113 = "Y",
IF(XO114 = "Y",
IF(XO115 = "Y",
IF(XO116 = "Y",
IF(XO117 = "Y",
IF(XO118 = "Y",Ошибка,XO118),
XO117),
XO116),
XO115),
XO114),
XO113),
XO112),
XO111),
XO110),
XO109)</f>
        <v>0.95366666666666999</v>
      </c>
      <c r="XP119" s="1016">
        <f xml:space="preserve">
IF(XP109 = "Y",
IF(XP110 = "Y",
IF(XP111 = "Y",
IF(XP112 = "Y",
IF(XP113 = "Y",
IF(XP114 = "Y",
IF(XP115 = "Y",
IF(XP116 = "Y",
IF(XP117 = "Y",
IF(XP118 = "Y",Ошибка,XP118),
XP117),
XP116),
XP115),
XP114),
XP113),
XP112),
XP111),
XP110),
XP109)</f>
        <v>0.94828571428571429</v>
      </c>
      <c r="XQ119" s="1016">
        <f xml:space="preserve">
IF(XQ109 = "Y",
IF(XQ110 = "Y",
IF(XQ111 = "Y",
IF(XQ112 = "Y",
IF(XQ113 = "Y",
IF(XQ114 = "Y",
IF(XQ115 = "Y",
IF(XQ116 = "Y",
IF(XQ117 = "Y",
IF(XQ118 = "Y",Ошибка,XQ118),
XQ117),
XQ116),
XQ115),
XQ114),
XQ113),
XQ112),
XQ111),
XQ110),
XQ109)</f>
        <v>0.94028571428571706</v>
      </c>
      <c r="XR119" s="1016">
        <f xml:space="preserve">
IF(XR109 = "Y",
IF(XR110 = "Y",
IF(XR111 = "Y",
IF(XR112 = "Y",
IF(XR113 = "Y",
IF(XR114 = "Y",
IF(XR115 = "Y",
IF(XR116 = "Y",
IF(XR117 = "Y",
IF(XR118 = "Y",Ошибка,XR118),
XR117),
XR116),
XR115),
XR114),
XR113),
XR112),
XR111),
XR110),
XR109)</f>
        <v>0.93342857142857416</v>
      </c>
      <c r="XS119" s="1016">
        <f xml:space="preserve">
IF(XS109 = "Y",
IF(XS110 = "Y",
IF(XS111 = "Y",
IF(XS112 = "Y",
IF(XS113 = "Y",
IF(XS114 = "Y",
IF(XS115 = "Y",
IF(XS116 = "Y",
IF(XS117 = "Y",
IF(XS118 = "Y",Ошибка,XS118),
XS117),
XS116),
XS115),
XS114),
XS113),
XS112),
XS111),
XS110),
XS109)</f>
        <v>0.92542857142857415</v>
      </c>
      <c r="XT119" s="1016">
        <f xml:space="preserve">
IF(XT109 = "Y",
IF(XT110 = "Y",
IF(XT111 = "Y",
IF(XT112 = "Y",
IF(XT113 = "Y",
IF(XT114 = "Y",
IF(XT115 = "Y",
IF(XT116 = "Y",
IF(XT117 = "Y",
IF(XT118 = "Y",Ошибка,XT118),
XT117),
XT116),
XT115),
XT114),
XT113),
XT112),
XT111),
XT110),
XT109)</f>
        <v>0.91857142857143137</v>
      </c>
      <c r="XU119" s="1016">
        <f xml:space="preserve">
IF(XU109 = "Y",
IF(XU110 = "Y",
IF(XU111 = "Y",
IF(XU112 = "Y",
IF(XU113 = "Y",
IF(XU114 = "Y",
IF(XU115 = "Y",
IF(XU116 = "Y",
IF(XU117 = "Y",
IF(XU118 = "Y",Ошибка,XU118),
XU117),
XU116),
XU115),
XU114),
XU113),
XU112),
XU111),
XU110),
XU109)</f>
        <v>0.91285714285714559</v>
      </c>
      <c r="XV119" s="1016">
        <f xml:space="preserve">
IF(XV109 = "Y",
IF(XV110 = "Y",
IF(XV111 = "Y",
IF(XV112 = "Y",
IF(XV113 = "Y",
IF(XV114 = "Y",
IF(XV115 = "Y",
IF(XV116 = "Y",
IF(XV117 = "Y",
IF(XV118 = "Y",Ошибка,XV118),
XV117),
XV116),
XV115),
XV114),
XV113),
XV112),
XV111),
XV110),
XV109)</f>
        <v>0.9060000000000028</v>
      </c>
      <c r="XW119" s="1016">
        <f xml:space="preserve">
IF(XW109 = "Y",
IF(XW110 = "Y",
IF(XW111 = "Y",
IF(XW112 = "Y",
IF(XW113 = "Y",
IF(XW114 = "Y",
IF(XW115 = "Y",
IF(XW116 = "Y",
IF(XW117 = "Y",
IF(XW118 = "Y",Ошибка,XW118),
XW117),
XW116),
XW115),
XW114),
XW113),
XW112),
XW111),
XW110),
XW109)</f>
        <v>0.90028571428571702</v>
      </c>
      <c r="XX119" s="1016">
        <f xml:space="preserve">
IF(XX109 = "Y",
IF(XX110 = "Y",
IF(XX111 = "Y",
IF(XX112 = "Y",
IF(XX113 = "Y",
IF(XX114 = "Y",
IF(XX115 = "Y",
IF(XX116 = "Y",
IF(XX117 = "Y",
IF(XX118 = "Y",Ошибка,XX118),
XX117),
XX116),
XX115),
XX114),
XX113),
XX112),
XX111),
XX110),
XX109)</f>
        <v>0.89079999999999993</v>
      </c>
      <c r="XY119" s="1016">
        <f xml:space="preserve">
IF(XY109 = "Y",
IF(XY110 = "Y",
IF(XY111 = "Y",
IF(XY112 = "Y",
IF(XY113 = "Y",
IF(XY114 = "Y",
IF(XY115 = "Y",
IF(XY116 = "Y",
IF(XY117 = "Y",
IF(XY118 = "Y",Ошибка,XY118),
XY117),
XY116),
XY115),
XY114),
XY113),
XY112),
XY111),
XY110),
XY109)</f>
        <v>0.88279999999999992</v>
      </c>
      <c r="XZ119" s="1016">
        <f xml:space="preserve">
IF(XZ109 = "Y",
IF(XZ110 = "Y",
IF(XZ111 = "Y",
IF(XZ112 = "Y",
IF(XZ113 = "Y",
IF(XZ114 = "Y",
IF(XZ115 = "Y",
IF(XZ116 = "Y",
IF(XZ117 = "Y",
IF(XZ118 = "Y",Ошибка,XZ118),
XZ117),
XZ116),
XZ115),
XZ114),
XZ113),
XZ112),
XZ111),
XZ110),
XZ109)</f>
        <v>0.87479999999999991</v>
      </c>
      <c r="YA119" s="1016">
        <f xml:space="preserve">
IF(YA109 = "Y",
IF(YA110 = "Y",
IF(YA111 = "Y",
IF(YA112 = "Y",
IF(YA113 = "Y",
IF(YA114 = "Y",
IF(YA115 = "Y",
IF(YA116 = "Y",
IF(YA117 = "Y",
IF(YA118 = "Y",Ошибка,YA118),
YA117),
YA116),
YA115),
YA114),
YA113),
YA112),
YA111),
YA110),
YA109)</f>
        <v>0.86839999999999984</v>
      </c>
      <c r="YB119" s="1016">
        <f xml:space="preserve">
IF(YB109 = "Y",
IF(YB110 = "Y",
IF(YB111 = "Y",
IF(YB112 = "Y",
IF(YB113 = "Y",
IF(YB114 = "Y",
IF(YB115 = "Y",
IF(YB116 = "Y",
IF(YB117 = "Y",
IF(YB118 = "Y",Ошибка,YB118),
YB117),
YB116),
YB115),
YB114),
YB113),
YB112),
YB111),
YB110),
YB109)</f>
        <v>0.86039999999999983</v>
      </c>
      <c r="YC119" s="1016">
        <f xml:space="preserve">
IF(YC109 = "Y",
IF(YC110 = "Y",
IF(YC111 = "Y",
IF(YC112 = "Y",
IF(YC113 = "Y",
IF(YC114 = "Y",
IF(YC115 = "Y",
IF(YC116 = "Y",
IF(YC117 = "Y",
IF(YC118 = "Y",Ошибка,YC118),
YC117),
YC116),
YC115),
YC114),
YC113),
YC112),
YC111),
YC110),
YC109)</f>
        <v>0.85239999999999994</v>
      </c>
      <c r="YD119" s="1016">
        <f xml:space="preserve">
IF(YD109 = "Y",
IF(YD110 = "Y",
IF(YD111 = "Y",
IF(YD112 = "Y",
IF(YD113 = "Y",
IF(YD114 = "Y",
IF(YD115 = "Y",
IF(YD116 = "Y",
IF(YD117 = "Y",
IF(YD118 = "Y",Ошибка,YD118),
YD117),
YD116),
YD115),
YD114),
YD113),
YD112),
YD111),
YD110),
YD109)</f>
        <v>0.84333333333333338</v>
      </c>
      <c r="YE119" s="1016">
        <f xml:space="preserve">
IF(YE109 = "Y",
IF(YE110 = "Y",
IF(YE111 = "Y",
IF(YE112 = "Y",
IF(YE113 = "Y",
IF(YE114 = "Y",
IF(YE115 = "Y",
IF(YE116 = "Y",
IF(YE117 = "Y",
IF(YE118 = "Y",Ошибка,YE118),
YE117),
YE116),
YE115),
YE114),
YE113),
YE112),
YE111),
YE110),
YE109)</f>
        <v>0.83000000000000007</v>
      </c>
      <c r="YF119" s="1016">
        <f xml:space="preserve">
IF(YF109 = "Y",
IF(YF110 = "Y",
IF(YF111 = "Y",
IF(YF112 = "Y",
IF(YF113 = "Y",
IF(YF114 = "Y",
IF(YF115 = "Y",
IF(YF116 = "Y",
IF(YF117 = "Y",
IF(YF118 = "Y",Ошибка,YF118),
YF117),
YF116),
YF115),
YF114),
YF113),
YF112),
YF111),
YF110),
YF109)</f>
        <v>0.81933333333333336</v>
      </c>
      <c r="YG119" s="1016">
        <f xml:space="preserve">
IF(YG109 = "Y",
IF(YG110 = "Y",
IF(YG111 = "Y",
IF(YG112 = "Y",
IF(YG113 = "Y",
IF(YG114 = "Y",
IF(YG115 = "Y",
IF(YG116 = "Y",
IF(YG117 = "Y",
IF(YG118 = "Y",Ошибка,YG118),
YG117),
YG116),
YG115),
YG114),
YG113),
YG112),
YG111),
YG110),
YG109)</f>
        <v>0.80866666666666676</v>
      </c>
      <c r="YH119" s="1016">
        <f xml:space="preserve">
IF(YH109 = "Y",
IF(YH110 = "Y",
IF(YH111 = "Y",
IF(YH112 = "Y",
IF(YH113 = "Y",
IF(YH114 = "Y",
IF(YH115 = "Y",
IF(YH116 = "Y",
IF(YH117 = "Y",
IF(YH118 = "Y",Ошибка,YH118),
YH117),
YH116),
YH115),
YH114),
YH113),
YH112),
YH111),
YH110),
YH109)</f>
        <v>0.79533333333333345</v>
      </c>
      <c r="YI119" s="1016">
        <f xml:space="preserve">
IF(YI109 = "Y",
IF(YI110 = "Y",
IF(YI111 = "Y",
IF(YI112 = "Y",
IF(YI113 = "Y",
IF(YI114 = "Y",
IF(YI115 = "Y",
IF(YI116 = "Y",
IF(YI117 = "Y",
IF(YI118 = "Y",Ошибка,YI118),
YI117),
YI116),
YI115),
YI114),
YI113),
YI112),
YI111),
YI110),
YI109)</f>
        <v>0.78466666666666673</v>
      </c>
      <c r="YJ119" s="1016">
        <f xml:space="preserve">
IF(YJ109 = "Y",
IF(YJ110 = "Y",
IF(YJ111 = "Y",
IF(YJ112 = "Y",
IF(YJ113 = "Y",
IF(YJ114 = "Y",
IF(YJ115 = "Y",
IF(YJ116 = "Y",
IF(YJ117 = "Y",
IF(YJ118 = "Y",Ошибка,YJ118),
YJ117),
YJ116),
YJ115),
YJ114),
YJ113),
YJ112),
YJ111),
YJ110),
YJ109)</f>
        <v>0.77400000000000024</v>
      </c>
      <c r="YK119" s="1016">
        <f xml:space="preserve">
IF(YK109 = "Y",
IF(YK110 = "Y",
IF(YK111 = "Y",
IF(YK112 = "Y",
IF(YK113 = "Y",
IF(YK114 = "Y",
IF(YK115 = "Y",
IF(YK116 = "Y",
IF(YK117 = "Y",
IF(YK118 = "Y",Ошибка,YK118),
YK117),
YK116),
YK115),
YK114),
YK113),
YK112),
YK111),
YK110),
YK109)</f>
        <v>0.76333333333333353</v>
      </c>
      <c r="YL119" s="1016">
        <f xml:space="preserve">
IF(YL109 = "Y",
IF(YL110 = "Y",
IF(YL111 = "Y",
IF(YL112 = "Y",
IF(YL113 = "Y",
IF(YL114 = "Y",
IF(YL115 = "Y",
IF(YL116 = "Y",
IF(YL117 = "Y",
IF(YL118 = "Y",Ошибка,YL118),
YL117),
YL116),
YL115),
YL114),
YL113),
YL112),
YL111),
YL110),
YL109)</f>
        <v>0.75266666666666693</v>
      </c>
      <c r="YM119" s="1016">
        <f xml:space="preserve">
IF(YM109 = "Y",
IF(YM110 = "Y",
IF(YM111 = "Y",
IF(YM112 = "Y",
IF(YM113 = "Y",
IF(YM114 = "Y",
IF(YM115 = "Y",
IF(YM116 = "Y",
IF(YM117 = "Y",
IF(YM118 = "Y",Ошибка,YM118),
YM117),
YM116),
YM115),
YM114),
YM113),
YM112),
YM111),
YM110),
YM109)</f>
        <v>0.74466666666666692</v>
      </c>
      <c r="YN119" s="1016">
        <f xml:space="preserve">
IF(YN109 = "Y",
IF(YN110 = "Y",
IF(YN111 = "Y",
IF(YN112 = "Y",
IF(YN113 = "Y",
IF(YN114 = "Y",
IF(YN115 = "Y",
IF(YN116 = "Y",
IF(YN117 = "Y",
IF(YN118 = "Y",Ошибка,YN118),
YN117),
YN116),
YN115),
YN114),
YN113),
YN112),
YN111),
YN110),
YN109)</f>
        <v>0.73400000000000409</v>
      </c>
      <c r="YO119" s="1016">
        <f xml:space="preserve">
IF(YO109 = "Y",
IF(YO110 = "Y",
IF(YO111 = "Y",
IF(YO112 = "Y",
IF(YO113 = "Y",
IF(YO114 = "Y",
IF(YO115 = "Y",
IF(YO116 = "Y",
IF(YO117 = "Y",
IF(YO118 = "Y",Ошибка,YO118),
YO117),
YO116),
YO115),
YO114),
YO113),
YO112),
YO111),
YO110),
YO109)</f>
        <v>0.72333333333333749</v>
      </c>
      <c r="YP119" s="1016">
        <f xml:space="preserve">
IF(YP109 = "Y",
IF(YP110 = "Y",
IF(YP111 = "Y",
IF(YP112 = "Y",
IF(YP113 = "Y",
IF(YP114 = "Y",
IF(YP115 = "Y",
IF(YP116 = "Y",
IF(YP117 = "Y",
IF(YP118 = "Y",Ошибка,YP118),
YP117),
YP116),
YP115),
YP114),
YP113),
YP112),
YP111),
YP110),
YP109)</f>
        <v>0.71266666666667078</v>
      </c>
      <c r="YQ119" s="1016">
        <f xml:space="preserve">
IF(YQ109 = "Y",
IF(YQ110 = "Y",
IF(YQ111 = "Y",
IF(YQ112 = "Y",
IF(YQ113 = "Y",
IF(YQ114 = "Y",
IF(YQ115 = "Y",
IF(YQ116 = "Y",
IF(YQ117 = "Y",
IF(YQ118 = "Y",Ошибка,YQ118),
YQ117),
YQ116),
YQ115),
YQ114),
YQ113),
YQ112),
YQ111),
YQ110),
YQ109)</f>
        <v>0.70466666666667077</v>
      </c>
      <c r="YR119" s="1016">
        <f xml:space="preserve">
IF(YR109 = "Y",
IF(YR110 = "Y",
IF(YR111 = "Y",
IF(YR112 = "Y",
IF(YR113 = "Y",
IF(YR114 = "Y",
IF(YR115 = "Y",
IF(YR116 = "Y",
IF(YR117 = "Y",
IF(YR118 = "Y",Ошибка,YR118),
YR117),
YR116),
YR115),
YR114),
YR113),
YR112),
YR111),
YR110),
YR109)</f>
        <v>0.69400000000000417</v>
      </c>
      <c r="YS119" s="1016">
        <f xml:space="preserve">
IF(YS109 = "Y",
IF(YS110 = "Y",
IF(YS111 = "Y",
IF(YS112 = "Y",
IF(YS113 = "Y",
IF(YS114 = "Y",
IF(YS115 = "Y",
IF(YS116 = "Y",
IF(YS117 = "Y",
IF(YS118 = "Y",Ошибка,YS118),
YS117),
YS116),
YS115),
YS114),
YS113),
YS112),
YS111),
YS110),
YS109)</f>
        <v>0.68600000000000416</v>
      </c>
      <c r="YT119" s="1016">
        <f xml:space="preserve">
IF(YT109 = "Y",
IF(YT110 = "Y",
IF(YT111 = "Y",
IF(YT112 = "Y",
IF(YT113 = "Y",
IF(YT114 = "Y",
IF(YT115 = "Y",
IF(YT116 = "Y",
IF(YT117 = "Y",
IF(YT118 = "Y",Ошибка,YT118),
YT117),
YT116),
YT115),
YT114),
YT113),
YT112),
YT111),
YT110),
YT109)</f>
        <v>0.67533333333333745</v>
      </c>
      <c r="YU119" s="1016">
        <f xml:space="preserve">
IF(YU109 = "Y",
IF(YU110 = "Y",
IF(YU111 = "Y",
IF(YU112 = "Y",
IF(YU113 = "Y",
IF(YU114 = "Y",
IF(YU115 = "Y",
IF(YU116 = "Y",
IF(YU117 = "Y",
IF(YU118 = "Y",Ошибка,YU118),
YU117),
YU116),
YU115),
YU114),
YU113),
YU112),
YU111),
YU110),
YU109)</f>
        <v>0.66733333333333744</v>
      </c>
      <c r="YV119" s="1016">
        <f xml:space="preserve">
IF(YV109 = "Y",
IF(YV110 = "Y",
IF(YV111 = "Y",
IF(YV112 = "Y",
IF(YV113 = "Y",
IF(YV114 = "Y",
IF(YV115 = "Y",
IF(YV116 = "Y",
IF(YV117 = "Y",
IF(YV118 = "Y",Ошибка,YV118),
YV117),
YV116),
YV115),
YV114),
YV113),
YV112),
YV111),
YV110),
YV109)</f>
        <v>0.65666666666667084</v>
      </c>
      <c r="YW119" s="1016">
        <f xml:space="preserve">
IF(YW109 = "Y",
IF(YW110 = "Y",
IF(YW111 = "Y",
IF(YW112 = "Y",
IF(YW113 = "Y",
IF(YW114 = "Y",
IF(YW115 = "Y",
IF(YW116 = "Y",
IF(YW117 = "Y",
IF(YW118 = "Y",Ошибка,YW118),
YW117),
YW116),
YW115),
YW114),
YW113),
YW112),
YW111),
YW110),
YW109)</f>
        <v>0.64866666666667083</v>
      </c>
      <c r="YX119" s="1016">
        <f xml:space="preserve">
IF(YX109 = "Y",
IF(YX110 = "Y",
IF(YX111 = "Y",
IF(YX112 = "Y",
IF(YX113 = "Y",
IF(YX114 = "Y",
IF(YX115 = "Y",
IF(YX116 = "Y",
IF(YX117 = "Y",
IF(YX118 = "Y",Ошибка,YX118),
YX117),
YX116),
YX115),
YX114),
YX113),
YX112),
YX111),
YX110),
YX109)</f>
        <v>0.64300000000000013</v>
      </c>
      <c r="YY119" s="1016">
        <f xml:space="preserve">
IF(YY109 = "Y",
IF(YY110 = "Y",
IF(YY111 = "Y",
IF(YY112 = "Y",
IF(YY113 = "Y",
IF(YY114 = "Y",
IF(YY115 = "Y",
IF(YY116 = "Y",
IF(YY117 = "Y",
IF(YY118 = "Y",Ошибка,YY118),
YY117),
YY116),
YY115),
YY114),
YY113),
YY112),
YY111),
YY110),
YY109)</f>
        <v>0.63500000000000012</v>
      </c>
      <c r="YZ119" s="1016">
        <f xml:space="preserve">
IF(YZ109 = "Y",
IF(YZ110 = "Y",
IF(YZ111 = "Y",
IF(YZ112 = "Y",
IF(YZ113 = "Y",
IF(YZ114 = "Y",
IF(YZ115 = "Y",
IF(YZ116 = "Y",
IF(YZ117 = "Y",
IF(YZ118 = "Y",Ошибка,YZ118),
YZ117),
YZ116),
YZ115),
YZ114),
YZ113),
YZ112),
YZ111),
YZ110),
YZ109)</f>
        <v>0.62900000000000011</v>
      </c>
      <c r="ZA119" s="1016">
        <f xml:space="preserve">
IF(ZA109 = "Y",
IF(ZA110 = "Y",
IF(ZA111 = "Y",
IF(ZA112 = "Y",
IF(ZA113 = "Y",
IF(ZA114 = "Y",
IF(ZA115 = "Y",
IF(ZA116 = "Y",
IF(ZA117 = "Y",
IF(ZA118 = "Y",Ошибка,ZA118),
ZA117),
ZA116),
ZA115),
ZA114),
ZA113),
ZA112),
ZA111),
ZA110),
ZA109)</f>
        <v>0.62300000000000011</v>
      </c>
      <c r="ZB119" s="1016">
        <f xml:space="preserve">
IF(ZB109 = "Y",
IF(ZB110 = "Y",
IF(ZB111 = "Y",
IF(ZB112 = "Y",
IF(ZB113 = "Y",
IF(ZB114 = "Y",
IF(ZB115 = "Y",
IF(ZB116 = "Y",
IF(ZB117 = "Y",
IF(ZB118 = "Y",Ошибка,ZB118),
ZB117),
ZB116),
ZB115),
ZB114),
ZB113),
ZB112),
ZB111),
ZB110),
ZB109)</f>
        <v>0.6170000000000001</v>
      </c>
      <c r="ZC119" s="1016">
        <f xml:space="preserve">
IF(ZC109 = "Y",
IF(ZC110 = "Y",
IF(ZC111 = "Y",
IF(ZC112 = "Y",
IF(ZC113 = "Y",
IF(ZC114 = "Y",
IF(ZC115 = "Y",
IF(ZC116 = "Y",
IF(ZC117 = "Y",
IF(ZC118 = "Y",Ошибка,ZC118),
ZC117),
ZC116),
ZC115),
ZC114),
ZC113),
ZC112),
ZC111),
ZC110),
ZC109)</f>
        <v>0.6110000000000001</v>
      </c>
      <c r="ZD119" s="1016">
        <f xml:space="preserve">
IF(ZD109 = "Y",
IF(ZD110 = "Y",
IF(ZD111 = "Y",
IF(ZD112 = "Y",
IF(ZD113 = "Y",
IF(ZD114 = "Y",
IF(ZD115 = "Y",
IF(ZD116 = "Y",
IF(ZD117 = "Y",
IF(ZD118 = "Y",Ошибка,ZD118),
ZD117),
ZD116),
ZD115),
ZD114),
ZD113),
ZD112),
ZD111),
ZD110),
ZD109)</f>
        <v>0.60300000000000009</v>
      </c>
      <c r="ZE119" s="1016">
        <f xml:space="preserve">
IF(ZE109 = "Y",
IF(ZE110 = "Y",
IF(ZE111 = "Y",
IF(ZE112 = "Y",
IF(ZE113 = "Y",
IF(ZE114 = "Y",
IF(ZE115 = "Y",
IF(ZE116 = "Y",
IF(ZE117 = "Y",
IF(ZE118 = "Y",Ошибка,ZE118),
ZE117),
ZE116),
ZE115),
ZE114),
ZE113),
ZE112),
ZE111),
ZE110),
ZE109)</f>
        <v>0.5970000000000002</v>
      </c>
      <c r="ZF119" s="1016">
        <f xml:space="preserve">
IF(ZF109 = "Y",
IF(ZF110 = "Y",
IF(ZF111 = "Y",
IF(ZF112 = "Y",
IF(ZF113 = "Y",
IF(ZF114 = "Y",
IF(ZF115 = "Y",
IF(ZF116 = "Y",
IF(ZF117 = "Y",
IF(ZF118 = "Y",Ошибка,ZF118),
ZF117),
ZF116),
ZF115),
ZF114),
ZF113),
ZF112),
ZF111),
ZF110),
ZF109)</f>
        <v>0.59100000000000263</v>
      </c>
      <c r="ZG119" s="1016">
        <f xml:space="preserve">
IF(ZG109 = "Y",
IF(ZG110 = "Y",
IF(ZG111 = "Y",
IF(ZG112 = "Y",
IF(ZG113 = "Y",
IF(ZG114 = "Y",
IF(ZG115 = "Y",
IF(ZG116 = "Y",
IF(ZG117 = "Y",
IF(ZG118 = "Y",Ошибка,ZG118),
ZG117),
ZG116),
ZG115),
ZG114),
ZG113),
ZG112),
ZG111),
ZG110),
ZG109)</f>
        <v>0.58500000000000263</v>
      </c>
      <c r="ZH119" s="1016">
        <f xml:space="preserve">
IF(ZH109 = "Y",
IF(ZH110 = "Y",
IF(ZH111 = "Y",
IF(ZH112 = "Y",
IF(ZH113 = "Y",
IF(ZH114 = "Y",
IF(ZH115 = "Y",
IF(ZH116 = "Y",
IF(ZH117 = "Y",
IF(ZH118 = "Y",Ошибка,ZH118),
ZH117),
ZH116),
ZH115),
ZH114),
ZH113),
ZH112),
ZH111),
ZH110),
ZH109)</f>
        <v>0.57900000000000262</v>
      </c>
      <c r="ZI119" s="1016">
        <f xml:space="preserve">
IF(ZI109 = "Y",
IF(ZI110 = "Y",
IF(ZI111 = "Y",
IF(ZI112 = "Y",
IF(ZI113 = "Y",
IF(ZI114 = "Y",
IF(ZI115 = "Y",
IF(ZI116 = "Y",
IF(ZI117 = "Y",
IF(ZI118 = "Y",Ошибка,ZI118),
ZI117),
ZI116),
ZI115),
ZI114),
ZI113),
ZI112),
ZI111),
ZI110),
ZI109)</f>
        <v>0.57300000000000262</v>
      </c>
      <c r="ZJ119" s="1016">
        <f xml:space="preserve">
IF(ZJ109 = "Y",
IF(ZJ110 = "Y",
IF(ZJ111 = "Y",
IF(ZJ112 = "Y",
IF(ZJ113 = "Y",
IF(ZJ114 = "Y",
IF(ZJ115 = "Y",
IF(ZJ116 = "Y",
IF(ZJ117 = "Y",
IF(ZJ118 = "Y",Ошибка,ZJ118),
ZJ117),
ZJ116),
ZJ115),
ZJ114),
ZJ113),
ZJ112),
ZJ111),
ZJ110),
ZJ109)</f>
        <v>0.56700000000000272</v>
      </c>
      <c r="ZK119" s="1016">
        <f xml:space="preserve">
IF(ZK109 = "Y",
IF(ZK110 = "Y",
IF(ZK111 = "Y",
IF(ZK112 = "Y",
IF(ZK113 = "Y",
IF(ZK114 = "Y",
IF(ZK115 = "Y",
IF(ZK116 = "Y",
IF(ZK117 = "Y",
IF(ZK118 = "Y",Ошибка,ZK118),
ZK117),
ZK116),
ZK115),
ZK114),
ZK113),
ZK112),
ZK111),
ZK110),
ZK109)</f>
        <v>0.56100000000000272</v>
      </c>
      <c r="ZL119" s="1016">
        <f xml:space="preserve">
IF(ZL109 = "Y",
IF(ZL110 = "Y",
IF(ZL111 = "Y",
IF(ZL112 = "Y",
IF(ZL113 = "Y",
IF(ZL114 = "Y",
IF(ZL115 = "Y",
IF(ZL116 = "Y",
IF(ZL117 = "Y",
IF(ZL118 = "Y",Ошибка,ZL118),
ZL117),
ZL116),
ZL115),
ZL114),
ZL113),
ZL112),
ZL111),
ZL110),
ZL109)</f>
        <v>0.55700000000000272</v>
      </c>
      <c r="ZM119" s="1016">
        <f xml:space="preserve">
IF(ZM109 = "Y",
IF(ZM110 = "Y",
IF(ZM111 = "Y",
IF(ZM112 = "Y",
IF(ZM113 = "Y",
IF(ZM114 = "Y",
IF(ZM115 = "Y",
IF(ZM116 = "Y",
IF(ZM117 = "Y",
IF(ZM118 = "Y",Ошибка,ZM118),
ZM117),
ZM116),
ZM115),
ZM114),
ZM113),
ZM112),
ZM111),
ZM110),
ZM109)</f>
        <v>0.55100000000000271</v>
      </c>
      <c r="ZN119" s="1016">
        <f xml:space="preserve">
IF(ZN109 = "Y",
IF(ZN110 = "Y",
IF(ZN111 = "Y",
IF(ZN112 = "Y",
IF(ZN113 = "Y",
IF(ZN114 = "Y",
IF(ZN115 = "Y",
IF(ZN116 = "Y",
IF(ZN117 = "Y",
IF(ZN118 = "Y",Ошибка,ZN118),
ZN117),
ZN116),
ZN115),
ZN114),
ZN113),
ZN112),
ZN111),
ZN110),
ZN109)</f>
        <v>0.54800000000000004</v>
      </c>
      <c r="ZO119" s="1016">
        <f xml:space="preserve">
IF(ZO109 = "Y",
IF(ZO110 = "Y",
IF(ZO111 = "Y",
IF(ZO112 = "Y",
IF(ZO113 = "Y",
IF(ZO114 = "Y",
IF(ZO115 = "Y",
IF(ZO116 = "Y",
IF(ZO117 = "Y",
IF(ZO118 = "Y",Ошибка,ZO118),
ZO117),
ZO116),
ZO115),
ZO114),
ZO113),
ZO112),
ZO111),
ZO110),
ZO109)</f>
        <v>0.54559999999999986</v>
      </c>
      <c r="ZP119" s="1016">
        <f xml:space="preserve">
IF(ZP109 = "Y",
IF(ZP110 = "Y",
IF(ZP111 = "Y",
IF(ZP112 = "Y",
IF(ZP113 = "Y",
IF(ZP114 = "Y",
IF(ZP115 = "Y",
IF(ZP116 = "Y",
IF(ZP117 = "Y",
IF(ZP118 = "Y",Ошибка,ZP118),
ZP117),
ZP116),
ZP115),
ZP114),
ZP113),
ZP112),
ZP111),
ZP110),
ZP109)</f>
        <v>0.54319999999999991</v>
      </c>
      <c r="ZQ119" s="1016">
        <f xml:space="preserve">
IF(ZQ109 = "Y",
IF(ZQ110 = "Y",
IF(ZQ111 = "Y",
IF(ZQ112 = "Y",
IF(ZQ113 = "Y",
IF(ZQ114 = "Y",
IF(ZQ115 = "Y",
IF(ZQ116 = "Y",
IF(ZQ117 = "Y",
IF(ZQ118 = "Y",Ошибка,ZQ118),
ZQ117),
ZQ116),
ZQ115),
ZQ114),
ZQ113),
ZQ112),
ZQ111),
ZQ110),
ZQ109)</f>
        <v>0.54079999999999995</v>
      </c>
      <c r="ZR119" s="1016">
        <f xml:space="preserve">
IF(ZR109 = "Y",
IF(ZR110 = "Y",
IF(ZR111 = "Y",
IF(ZR112 = "Y",
IF(ZR113 = "Y",
IF(ZR114 = "Y",
IF(ZR115 = "Y",
IF(ZR116 = "Y",
IF(ZR117 = "Y",
IF(ZR118 = "Y",Ошибка,ZR118),
ZR117),
ZR116),
ZR115),
ZR114),
ZR113),
ZR112),
ZR111),
ZR110),
ZR109)</f>
        <v>0.53920000000000001</v>
      </c>
      <c r="ZS119" s="1016">
        <f xml:space="preserve">
IF(ZS109 = "Y",
IF(ZS110 = "Y",
IF(ZS111 = "Y",
IF(ZS112 = "Y",
IF(ZS113 = "Y",
IF(ZS114 = "Y",
IF(ZS115 = "Y",
IF(ZS116 = "Y",
IF(ZS117 = "Y",
IF(ZS118 = "Y",Ошибка,ZS118),
ZS117),
ZS116),
ZS115),
ZS114),
ZS113),
ZS112),
ZS111),
ZS110),
ZS109)</f>
        <v>0.53679999999999994</v>
      </c>
      <c r="ZT119" s="1016">
        <f xml:space="preserve">
IF(ZT109 = "Y",
IF(ZT110 = "Y",
IF(ZT111 = "Y",
IF(ZT112 = "Y",
IF(ZT113 = "Y",
IF(ZT114 = "Y",
IF(ZT115 = "Y",
IF(ZT116 = "Y",
IF(ZT117 = "Y",
IF(ZT118 = "Y",Ошибка,ZT118),
ZT117),
ZT116),
ZT115),
ZT114),
ZT113),
ZT112),
ZT111),
ZT110),
ZT109)</f>
        <v>0.53439999999999999</v>
      </c>
      <c r="ZU119" s="1016">
        <f xml:space="preserve">
IF(ZU109 = "Y",
IF(ZU110 = "Y",
IF(ZU111 = "Y",
IF(ZU112 = "Y",
IF(ZU113 = "Y",
IF(ZU114 = "Y",
IF(ZU115 = "Y",
IF(ZU116 = "Y",
IF(ZU117 = "Y",
IF(ZU118 = "Y",Ошибка,ZU118),
ZU117),
ZU116),
ZU115),
ZU114),
ZU113),
ZU112),
ZU111),
ZU110),
ZU109)</f>
        <v>0.53279999999999994</v>
      </c>
      <c r="ZV119" s="1016">
        <f xml:space="preserve">
IF(ZV109 = "Y",
IF(ZV110 = "Y",
IF(ZV111 = "Y",
IF(ZV112 = "Y",
IF(ZV113 = "Y",
IF(ZV114 = "Y",
IF(ZV115 = "Y",
IF(ZV116 = "Y",
IF(ZV117 = "Y",
IF(ZV118 = "Y",Ошибка,ZV118),
ZV117),
ZV116),
ZV115),
ZV114),
ZV113),
ZV112),
ZV111),
ZV110),
ZV109)</f>
        <v>0.53039999999999998</v>
      </c>
      <c r="ZW119" s="1016">
        <f xml:space="preserve">
IF(ZW109 = "Y",
IF(ZW110 = "Y",
IF(ZW111 = "Y",
IF(ZW112 = "Y",
IF(ZW113 = "Y",
IF(ZW114 = "Y",
IF(ZW115 = "Y",
IF(ZW116 = "Y",
IF(ZW117 = "Y",
IF(ZW118 = "Y",Ошибка,ZW118),
ZW117),
ZW116),
ZW115),
ZW114),
ZW113),
ZW112),
ZW111),
ZW110),
ZW109)</f>
        <v>0.52800000000000002</v>
      </c>
      <c r="ZX119" s="1016">
        <f xml:space="preserve">
IF(ZX109 = "Y",
IF(ZX110 = "Y",
IF(ZX111 = "Y",
IF(ZX112 = "Y",
IF(ZX113 = "Y",
IF(ZX114 = "Y",
IF(ZX115 = "Y",
IF(ZX116 = "Y",
IF(ZX117 = "Y",
IF(ZX118 = "Y",Ошибка,ZX118),
ZX117),
ZX116),
ZX115),
ZX114),
ZX113),
ZX112),
ZX111),
ZX110),
ZX109)</f>
        <v>0.52639999999999998</v>
      </c>
      <c r="ZY119" s="1016">
        <f xml:space="preserve">
IF(ZY109 = "Y",
IF(ZY110 = "Y",
IF(ZY111 = "Y",
IF(ZY112 = "Y",
IF(ZY113 = "Y",
IF(ZY114 = "Y",
IF(ZY115 = "Y",
IF(ZY116 = "Y",
IF(ZY117 = "Y",
IF(ZY118 = "Y",Ошибка,ZY118),
ZY117),
ZY116),
ZY115),
ZY114),
ZY113),
ZY112),
ZY111),
ZY110),
ZY109)</f>
        <v>0.52400000000000002</v>
      </c>
      <c r="ZZ119" s="1016">
        <f xml:space="preserve">
IF(ZZ109 = "Y",
IF(ZZ110 = "Y",
IF(ZZ111 = "Y",
IF(ZZ112 = "Y",
IF(ZZ113 = "Y",
IF(ZZ114 = "Y",
IF(ZZ115 = "Y",
IF(ZZ116 = "Y",
IF(ZZ117 = "Y",
IF(ZZ118 = "Y",Ошибка,ZZ118),
ZZ117),
ZZ116),
ZZ115),
ZZ114),
ZZ113),
ZZ112),
ZZ111),
ZZ110),
ZZ109)</f>
        <v>0.52159999999999995</v>
      </c>
      <c r="AAA119" s="1016">
        <f xml:space="preserve">
IF(AAA109 = "Y",
IF(AAA110 = "Y",
IF(AAA111 = "Y",
IF(AAA112 = "Y",
IF(AAA113 = "Y",
IF(AAA114 = "Y",
IF(AAA115 = "Y",
IF(AAA116 = "Y",
IF(AAA117 = "Y",
IF(AAA118 = "Y",Ошибка,AAA118),
AAA117),
AAA116),
AAA115),
AAA114),
AAA113),
AAA112),
AAA111),
AAA110),
AAA109)</f>
        <v>0.51999999999999991</v>
      </c>
      <c r="AAB119" s="1016">
        <f xml:space="preserve">
IF(AAB109 = "Y",
IF(AAB110 = "Y",
IF(AAB111 = "Y",
IF(AAB112 = "Y",
IF(AAB113 = "Y",
IF(AAB114 = "Y",
IF(AAB115 = "Y",
IF(AAB116 = "Y",
IF(AAB117 = "Y",
IF(AAB118 = "Y",Ошибка,AAB118),
AAB117),
AAB116),
AAB115),
AAB114),
AAB113),
AAB112),
AAB111),
AAB110),
AAB109)</f>
        <v>0.51759999999999995</v>
      </c>
      <c r="AAC119" s="1016">
        <f xml:space="preserve">
IF(AAC109 = "Y",
IF(AAC110 = "Y",
IF(AAC111 = "Y",
IF(AAC112 = "Y",
IF(AAC113 = "Y",
IF(AAC114 = "Y",
IF(AAC115 = "Y",
IF(AAC116 = "Y",
IF(AAC117 = "Y",
IF(AAC118 = "Y",Ошибка,AAC118),
AAC117),
AAC116),
AAC115),
AAC114),
AAC113),
AAC112),
AAC111),
AAC110),
AAC109)</f>
        <v>0.5159999999999999</v>
      </c>
      <c r="AAD119" s="1016">
        <f xml:space="preserve">
IF(AAD109 = "Y",
IF(AAD110 = "Y",
IF(AAD111 = "Y",
IF(AAD112 = "Y",
IF(AAD113 = "Y",
IF(AAD114 = "Y",
IF(AAD115 = "Y",
IF(AAD116 = "Y",
IF(AAD117 = "Y",
IF(AAD118 = "Y",Ошибка,AAD118),
AAD117),
AAD116),
AAD115),
AAD114),
AAD113),
AAD112),
AAD111),
AAD110),
AAD109)</f>
        <v>0.51359999999999995</v>
      </c>
      <c r="AAE119" s="1016">
        <f xml:space="preserve">
IF(AAE109 = "Y",
IF(AAE110 = "Y",
IF(AAE111 = "Y",
IF(AAE112 = "Y",
IF(AAE113 = "Y",
IF(AAE114 = "Y",
IF(AAE115 = "Y",
IF(AAE116 = "Y",
IF(AAE117 = "Y",
IF(AAE118 = "Y",Ошибка,AAE118),
AAE117),
AAE116),
AAE115),
AAE114),
AAE113),
AAE112),
AAE111),
AAE110),
AAE109)</f>
        <v>0.5119999999999999</v>
      </c>
      <c r="AAF119" s="1016">
        <f xml:space="preserve">
IF(AAF109 = "Y",
IF(AAF110 = "Y",
IF(AAF111 = "Y",
IF(AAF112 = "Y",
IF(AAF113 = "Y",
IF(AAF114 = "Y",
IF(AAF115 = "Y",
IF(AAF116 = "Y",
IF(AAF117 = "Y",
IF(AAF118 = "Y",Ошибка,AAF118),
AAF117),
AAF116),
AAF115),
AAF114),
AAF113),
AAF112),
AAF111),
AAF110),
AAF109)</f>
        <v>0.50959999999999994</v>
      </c>
      <c r="AAG119" s="1016">
        <f xml:space="preserve">
IF(AAG109 = "Y",
IF(AAG110 = "Y",
IF(AAG111 = "Y",
IF(AAG112 = "Y",
IF(AAG113 = "Y",
IF(AAG114 = "Y",
IF(AAG115 = "Y",
IF(AAG116 = "Y",
IF(AAG117 = "Y",
IF(AAG118 = "Y",Ошибка,AAG118),
AAG117),
AAG116),
AAG115),
AAG114),
AAG113),
AAG112),
AAG111),
AAG110),
AAG109)</f>
        <v>0.5079999999999999</v>
      </c>
      <c r="AAH119" s="1016">
        <f xml:space="preserve">
IF(AAH109 = "Y",
IF(AAH110 = "Y",
IF(AAH111 = "Y",
IF(AAH112 = "Y",
IF(AAH113 = "Y",
IF(AAH114 = "Y",
IF(AAH115 = "Y",
IF(AAH116 = "Y",
IF(AAH117 = "Y",
IF(AAH118 = "Y",Ошибка,AAH118),
AAH117),
AAH116),
AAH115),
AAH114),
AAH113),
AAH112),
AAH111),
AAH110),
AAH109)</f>
        <v>0.50559999999999994</v>
      </c>
      <c r="AAI119" s="1016">
        <f xml:space="preserve">
IF(AAI109 = "Y",
IF(AAI110 = "Y",
IF(AAI111 = "Y",
IF(AAI112 = "Y",
IF(AAI113 = "Y",
IF(AAI114 = "Y",
IF(AAI115 = "Y",
IF(AAI116 = "Y",
IF(AAI117 = "Y",
IF(AAI118 = "Y",Ошибка,AAI118),
AAI117),
AAI116),
AAI115),
AAI114),
AAI113),
AAI112),
AAI111),
AAI110),
AAI109)</f>
        <v>0.50399999999999989</v>
      </c>
      <c r="AAJ119" s="1016">
        <f xml:space="preserve">
IF(AAJ109 = "Y",
IF(AAJ110 = "Y",
IF(AAJ111 = "Y",
IF(AAJ112 = "Y",
IF(AAJ113 = "Y",
IF(AAJ114 = "Y",
IF(AAJ115 = "Y",
IF(AAJ116 = "Y",
IF(AAJ117 = "Y",
IF(AAJ118 = "Y",Ошибка,AAJ118),
AAJ117),
AAJ116),
AAJ115),
AAJ114),
AAJ113),
AAJ112),
AAJ111),
AAJ110),
AAJ109)</f>
        <v>0.50159999999999993</v>
      </c>
      <c r="AAK119" s="1016">
        <f xml:space="preserve">
IF(AAK109 = "Y",
IF(AAK110 = "Y",
IF(AAK111 = "Y",
IF(AAK112 = "Y",
IF(AAK113 = "Y",
IF(AAK114 = "Y",
IF(AAK115 = "Y",
IF(AAK116 = "Y",
IF(AAK117 = "Y",
IF(AAK118 = "Y",Ошибка,AAK118),
AAK117),
AAK116),
AAK115),
AAK114),
AAK113),
AAK112),
AAK111),
AAK110),
AAK109)</f>
        <v>0.49999999999999989</v>
      </c>
      <c r="AAL119" s="1016">
        <f xml:space="preserve">
IF(AAL109 = "Y",
IF(AAL110 = "Y",
IF(AAL111 = "Y",
IF(AAL112 = "Y",
IF(AAL113 = "Y",
IF(AAL114 = "Y",
IF(AAL115 = "Y",
IF(AAL116 = "Y",
IF(AAL117 = "Y",
IF(AAL118 = "Y",Ошибка,AAL118),
AAL117),
AAL116),
AAL115),
AAL114),
AAL113),
AAL112),
AAL111),
AAL110),
AAL109)</f>
        <v>0.496</v>
      </c>
      <c r="AAM119" s="1016">
        <f xml:space="preserve">
IF(AAM109 = "Y",
IF(AAM110 = "Y",
IF(AAM111 = "Y",
IF(AAM112 = "Y",
IF(AAM113 = "Y",
IF(AAM114 = "Y",
IF(AAM115 = "Y",
IF(AAM116 = "Y",
IF(AAM117 = "Y",
IF(AAM118 = "Y",Ошибка,AAM118),
AAM117),
AAM116),
AAM115),
AAM114),
AAM113),
AAM112),
AAM111),
AAM110),
AAM109)</f>
        <v>0.49</v>
      </c>
      <c r="AAN119" s="1016">
        <f xml:space="preserve">
IF(AAN109 = "Y",
IF(AAN110 = "Y",
IF(AAN111 = "Y",
IF(AAN112 = "Y",
IF(AAN113 = "Y",
IF(AAN114 = "Y",
IF(AAN115 = "Y",
IF(AAN116 = "Y",
IF(AAN117 = "Y",
IF(AAN118 = "Y",Ошибка,AAN118),
AAN117),
AAN116),
AAN115),
AAN114),
AAN113),
AAN112),
AAN111),
AAN110),
AAN109)</f>
        <v>0.48599999999999999</v>
      </c>
      <c r="AAO119" s="1016">
        <f xml:space="preserve">
IF(AAO109 = "Y",
IF(AAO110 = "Y",
IF(AAO111 = "Y",
IF(AAO112 = "Y",
IF(AAO113 = "Y",
IF(AAO114 = "Y",
IF(AAO115 = "Y",
IF(AAO116 = "Y",
IF(AAO117 = "Y",
IF(AAO118 = "Y",Ошибка,AAO118),
AAO117),
AAO116),
AAO115),
AAO114),
AAO113),
AAO112),
AAO111),
AAO110),
AAO109)</f>
        <v>0.48</v>
      </c>
      <c r="AAP119" s="1016">
        <f xml:space="preserve">
IF(AAP109 = "Y",
IF(AAP110 = "Y",
IF(AAP111 = "Y",
IF(AAP112 = "Y",
IF(AAP113 = "Y",
IF(AAP114 = "Y",
IF(AAP115 = "Y",
IF(AAP116 = "Y",
IF(AAP117 = "Y",
IF(AAP118 = "Y",Ошибка,AAP118),
AAP117),
AAP116),
AAP115),
AAP114),
AAP113),
AAP112),
AAP111),
AAP110),
AAP109)</f>
        <v>0.47599999999999998</v>
      </c>
      <c r="AAQ119" s="1016">
        <f xml:space="preserve">
IF(AAQ109 = "Y",
IF(AAQ110 = "Y",
IF(AAQ111 = "Y",
IF(AAQ112 = "Y",
IF(AAQ113 = "Y",
IF(AAQ114 = "Y",
IF(AAQ115 = "Y",
IF(AAQ116 = "Y",
IF(AAQ117 = "Y",
IF(AAQ118 = "Y",Ошибка,AAQ118),
AAQ117),
AAQ116),
AAQ115),
AAQ114),
AAQ113),
AAQ112),
AAQ111),
AAQ110),
AAQ109)</f>
        <v>0.47199999999999998</v>
      </c>
      <c r="AAR119" s="1016">
        <f xml:space="preserve">
IF(AAR109 = "Y",
IF(AAR110 = "Y",
IF(AAR111 = "Y",
IF(AAR112 = "Y",
IF(AAR113 = "Y",
IF(AAR114 = "Y",
IF(AAR115 = "Y",
IF(AAR116 = "Y",
IF(AAR117 = "Y",
IF(AAR118 = "Y",Ошибка,AAR118),
AAR117),
AAR116),
AAR115),
AAR114),
AAR113),
AAR112),
AAR111),
AAR110),
AAR109)</f>
        <v>0.46600000000000008</v>
      </c>
      <c r="AAS119" s="1016">
        <f xml:space="preserve">
IF(AAS109 = "Y",
IF(AAS110 = "Y",
IF(AAS111 = "Y",
IF(AAS112 = "Y",
IF(AAS113 = "Y",
IF(AAS114 = "Y",
IF(AAS115 = "Y",
IF(AAS116 = "Y",
IF(AAS117 = "Y",
IF(AAS118 = "Y",Ошибка,AAS118),
AAS117),
AAS116),
AAS115),
AAS114),
AAS113),
AAS112),
AAS111),
AAS110),
AAS109)</f>
        <v>0.46200000000000008</v>
      </c>
      <c r="AAT119" s="1006"/>
      <c r="AAU119" s="960"/>
      <c r="AAV119" s="1101"/>
      <c r="AAW119" s="1101"/>
      <c r="AAX119" s="1101"/>
      <c r="AAY119" s="1101"/>
      <c r="AAZ119" s="1101"/>
      <c r="ABA119" s="1101"/>
      <c r="ABB119" s="1101"/>
      <c r="ABC119" s="961"/>
      <c r="ABD119" s="162"/>
      <c r="ABE119" s="158"/>
      <c r="ABF119" s="158"/>
      <c r="ABG119" s="158"/>
      <c r="ABH119" s="158"/>
      <c r="ABI119" s="158"/>
      <c r="ABJ119" s="158"/>
      <c r="ABK119" s="158"/>
      <c r="ABL119" s="158"/>
      <c r="ABM119" s="158"/>
      <c r="ABN119" s="158"/>
      <c r="ABO119" s="158"/>
      <c r="ABP119" s="163"/>
      <c r="ABX119" s="1527"/>
      <c r="ABY119" s="1527"/>
      <c r="ABZ119" s="1527"/>
      <c r="ACA119" s="1527"/>
      <c r="ACB119" s="1527"/>
      <c r="ACC119" s="1527"/>
      <c r="ACD119" s="1527"/>
      <c r="ACE119" s="1527"/>
      <c r="ACF119" s="1527"/>
      <c r="ACG119" s="1527"/>
      <c r="ACH119" s="1527"/>
      <c r="ACJ119" s="759">
        <v>1</v>
      </c>
      <c r="ACK119" s="760"/>
      <c r="ACL119" s="759">
        <v>-1.2</v>
      </c>
      <c r="ACM119" s="760"/>
      <c r="ACN119" s="592">
        <v>35</v>
      </c>
      <c r="ACO119" s="759">
        <f t="shared" si="91"/>
        <v>0.15000000000000013</v>
      </c>
      <c r="ACP119" s="760"/>
      <c r="ACQ119" s="757">
        <f t="shared" si="159"/>
        <v>1.35</v>
      </c>
      <c r="ACR119" s="758"/>
      <c r="ACT119" s="759">
        <v>1.5454545454545501</v>
      </c>
      <c r="ACU119" s="760"/>
      <c r="ACV119" s="759">
        <v>-2.1818181818181799</v>
      </c>
      <c r="ACW119" s="760"/>
      <c r="ACX119" s="591">
        <v>85</v>
      </c>
      <c r="ACY119" s="759">
        <f t="shared" si="92"/>
        <v>0.67727272727273791</v>
      </c>
      <c r="ACZ119" s="760"/>
      <c r="ADA119" s="757">
        <f t="shared" si="160"/>
        <v>1.85</v>
      </c>
      <c r="ADB119" s="758"/>
      <c r="ADD119" s="759">
        <v>1.5454545454545501</v>
      </c>
      <c r="ADE119" s="760"/>
      <c r="ADF119" s="759">
        <v>-2.1818181818181799</v>
      </c>
      <c r="ADG119" s="760"/>
      <c r="ADH119" s="591">
        <v>134</v>
      </c>
      <c r="ADI119" s="759">
        <f t="shared" si="93"/>
        <v>1.434545454545467</v>
      </c>
      <c r="ADJ119" s="760"/>
      <c r="ADK119" s="757">
        <f t="shared" si="161"/>
        <v>2.34</v>
      </c>
      <c r="ADL119" s="758"/>
      <c r="ADN119" s="759">
        <v>1.5454545454545501</v>
      </c>
      <c r="ADO119" s="760"/>
      <c r="ADP119" s="759">
        <v>-2.1818181818181799</v>
      </c>
      <c r="ADQ119" s="760"/>
      <c r="ADR119" s="591">
        <v>184</v>
      </c>
      <c r="ADS119" s="759">
        <f t="shared" si="94"/>
        <v>2.2072727272727422</v>
      </c>
      <c r="ADT119" s="760"/>
      <c r="ADU119" s="757">
        <f t="shared" si="162"/>
        <v>2.84</v>
      </c>
      <c r="ADV119" s="758"/>
      <c r="ADW119" s="653"/>
      <c r="ADX119" s="759">
        <v>1.5454545454545501</v>
      </c>
      <c r="ADY119" s="760"/>
      <c r="ADZ119" s="759">
        <v>-2.1818181818181799</v>
      </c>
      <c r="AEA119" s="760"/>
      <c r="AEB119" s="591">
        <v>234</v>
      </c>
      <c r="AEC119" s="759">
        <f t="shared" si="134"/>
        <v>2.9800000000000173</v>
      </c>
      <c r="AED119" s="760"/>
      <c r="AEE119" s="757">
        <f t="shared" si="163"/>
        <v>3.34</v>
      </c>
      <c r="AEF119" s="758"/>
      <c r="AEH119" s="759">
        <v>1.5454545454545501</v>
      </c>
      <c r="AEI119" s="760"/>
      <c r="AEJ119" s="759">
        <v>-2.1818181818181799</v>
      </c>
      <c r="AEK119" s="760"/>
      <c r="AEL119" s="591">
        <v>284</v>
      </c>
      <c r="AEM119" s="759">
        <f t="shared" si="101"/>
        <v>3.7527272727272925</v>
      </c>
      <c r="AEN119" s="760"/>
      <c r="AEO119" s="757">
        <f t="shared" si="164"/>
        <v>3.84</v>
      </c>
      <c r="AEP119" s="758"/>
      <c r="AGN119" s="199"/>
      <c r="AGO119" s="852" t="s">
        <v>1740</v>
      </c>
      <c r="AGP119" s="923"/>
      <c r="AGQ119" s="199"/>
      <c r="AGR119" s="1117" t="s">
        <v>1008</v>
      </c>
      <c r="AGS119" s="1118"/>
      <c r="AGT119" s="1118"/>
      <c r="AGU119" s="1118"/>
      <c r="AGV119" s="1118"/>
      <c r="AGW119" s="1118"/>
      <c r="AGX119" s="1118"/>
      <c r="AGY119" s="1118"/>
      <c r="AGZ119" s="1118"/>
      <c r="AHA119" s="1118"/>
      <c r="AHB119" s="1119"/>
      <c r="AHC119" s="199"/>
      <c r="AHV119" s="130"/>
      <c r="AHW119" s="130"/>
      <c r="AHX119" s="130"/>
      <c r="AHY119" s="130"/>
      <c r="AHZ119" s="130"/>
      <c r="AIA119" s="130"/>
      <c r="AIB119" s="130"/>
      <c r="AIC119" s="130"/>
      <c r="AID119" s="130"/>
      <c r="AIE119" s="130"/>
      <c r="ARU119" s="900"/>
      <c r="ARV119" s="901"/>
      <c r="ARW119" s="902"/>
      <c r="ARX119" s="850"/>
      <c r="ARY119" s="652" t="s">
        <v>702</v>
      </c>
      <c r="ARZ119" s="806" t="s">
        <v>1850</v>
      </c>
      <c r="ASA119" s="807"/>
      <c r="ASB119" s="808"/>
      <c r="ASC119" s="791" t="s">
        <v>1852</v>
      </c>
      <c r="ASD119" s="797"/>
      <c r="ASE119" s="797"/>
      <c r="ASF119" s="797"/>
      <c r="ASG119" s="797"/>
      <c r="ASH119" s="797"/>
      <c r="ASI119" s="1471">
        <v>20</v>
      </c>
      <c r="ASJ119" s="1472"/>
      <c r="ASK119" s="839"/>
      <c r="ASL119" s="840"/>
      <c r="ASM119" s="841"/>
      <c r="ASN119" s="893" t="s">
        <v>907</v>
      </c>
      <c r="ASO119" s="894"/>
      <c r="ASP119" s="847"/>
    </row>
    <row r="120" spans="60:920 1133:1226" ht="48" customHeight="1" thickBot="1">
      <c r="BH120" s="130"/>
      <c r="BI120" s="130"/>
      <c r="BJ120" s="130"/>
      <c r="BK120" s="130"/>
      <c r="BL120" s="130"/>
      <c r="BM120" s="130"/>
      <c r="BN120" s="130"/>
      <c r="BO120" s="130"/>
      <c r="BP120" s="130"/>
      <c r="BV120" s="653"/>
      <c r="BW120" s="653"/>
      <c r="BZ120" s="903"/>
      <c r="CA120" s="904"/>
      <c r="CB120" s="905"/>
      <c r="CC120" s="851"/>
      <c r="CD120" s="811"/>
      <c r="CE120" s="772"/>
      <c r="CF120" s="772"/>
      <c r="CG120" s="772"/>
      <c r="CH120" s="772"/>
      <c r="CI120" s="772"/>
      <c r="CJ120" s="772"/>
      <c r="CK120" s="772"/>
      <c r="CL120" s="772"/>
      <c r="CM120" s="772"/>
      <c r="CN120" s="772"/>
      <c r="CO120" s="1455"/>
      <c r="CP120" s="1456"/>
      <c r="CQ120" s="929"/>
      <c r="CR120" s="930"/>
      <c r="CS120" s="1774"/>
      <c r="CT120" s="1484"/>
      <c r="CU120" s="1485"/>
      <c r="CV120" s="842"/>
      <c r="CW120" s="1276"/>
      <c r="CX120" s="1277"/>
      <c r="CY120" s="1278"/>
      <c r="CZ120" s="653"/>
      <c r="DA120" s="653"/>
      <c r="DB120" s="653"/>
      <c r="DC120" s="653"/>
      <c r="DD120" s="653"/>
      <c r="DG120" s="130"/>
      <c r="DI120" s="130"/>
      <c r="DZ120" s="850"/>
      <c r="EA120" s="516" t="s">
        <v>1625</v>
      </c>
      <c r="EB120" s="890">
        <f>$CO$127</f>
        <v>1.1399999999999999</v>
      </c>
      <c r="EC120" s="890"/>
      <c r="ED120" s="823"/>
      <c r="EE120" s="824"/>
      <c r="EF120" s="824"/>
      <c r="EG120" s="824"/>
      <c r="EH120" s="824"/>
      <c r="EI120" s="824"/>
      <c r="EJ120" s="824"/>
      <c r="EK120" s="824"/>
      <c r="EL120" s="824"/>
      <c r="EM120" s="824"/>
      <c r="EN120" s="824"/>
      <c r="EO120" s="824"/>
      <c r="EP120" s="824"/>
      <c r="EQ120" s="1168"/>
      <c r="ER120" s="815"/>
      <c r="ES120" s="1666"/>
      <c r="ET120" s="1667"/>
      <c r="EU120" s="892"/>
      <c r="EV120" s="895"/>
      <c r="EW120" s="896"/>
      <c r="EX120" s="847"/>
      <c r="EY120" s="1052"/>
      <c r="EZ120" s="1052"/>
      <c r="FA120" s="1052"/>
      <c r="FB120" s="1052"/>
      <c r="FC120" s="1052"/>
      <c r="FD120" s="1052"/>
      <c r="FF120" s="126"/>
      <c r="GF120" s="851"/>
      <c r="GG120" s="777"/>
      <c r="GH120" s="778"/>
      <c r="GI120" s="778"/>
      <c r="GJ120" s="778"/>
      <c r="GK120" s="778"/>
      <c r="GL120" s="778"/>
      <c r="GM120" s="1169"/>
      <c r="GN120" s="799"/>
      <c r="GO120" s="1254"/>
      <c r="GP120" s="1190"/>
      <c r="GQ120" s="1191"/>
      <c r="GR120" s="1067"/>
      <c r="GS120" s="1173"/>
      <c r="GT120" s="1175"/>
      <c r="GU120" s="848"/>
      <c r="GV120" s="828"/>
      <c r="GW120" s="949"/>
      <c r="GX120" s="949"/>
      <c r="GY120" s="950"/>
      <c r="HN120" s="220"/>
      <c r="HO120" s="130"/>
      <c r="HP120" s="130"/>
      <c r="HQ120" s="130"/>
      <c r="HR120" s="130"/>
      <c r="IE120" s="130"/>
      <c r="IF120" s="130"/>
      <c r="IG120" s="130"/>
      <c r="IH120" s="130"/>
      <c r="II120" s="130"/>
      <c r="IJ120" s="3"/>
      <c r="IK120" s="3"/>
      <c r="JW120" s="130"/>
      <c r="JX120" s="130"/>
      <c r="JY120" s="130"/>
      <c r="JZ120" s="130"/>
      <c r="KA120" s="130"/>
      <c r="KB120" s="130"/>
      <c r="KC120" s="130"/>
      <c r="KD120" s="130"/>
      <c r="KE120" s="130"/>
      <c r="KF120" s="130"/>
      <c r="KG120" s="130"/>
      <c r="KH120" s="130"/>
      <c r="KI120" s="130"/>
      <c r="KJ120" s="130"/>
      <c r="KK120" s="130"/>
      <c r="KL120" s="130"/>
      <c r="KM120" s="130"/>
      <c r="KN120" s="130"/>
      <c r="KO120" s="130"/>
      <c r="LJ120" s="653"/>
      <c r="LK120" s="653"/>
      <c r="LL120" s="653"/>
      <c r="LM120" s="653"/>
      <c r="LN120" s="653"/>
      <c r="LO120" s="653"/>
      <c r="LP120" s="653"/>
      <c r="LQ120" s="653"/>
      <c r="LR120" s="653"/>
      <c r="LS120" s="130"/>
      <c r="LV120" s="130"/>
      <c r="LW120" s="130"/>
      <c r="LX120" s="377"/>
      <c r="LY120" s="373"/>
      <c r="LZ120" s="54"/>
      <c r="MA120" s="373"/>
      <c r="MB120" s="851"/>
      <c r="MC120" s="794"/>
      <c r="MD120" s="795"/>
      <c r="ME120" s="795"/>
      <c r="MF120" s="795"/>
      <c r="MG120" s="795"/>
      <c r="MH120" s="795"/>
      <c r="MI120" s="795"/>
      <c r="MJ120" s="795"/>
      <c r="MK120" s="795"/>
      <c r="ML120" s="795"/>
      <c r="MM120" s="795"/>
      <c r="MN120" s="795"/>
      <c r="MO120" s="796"/>
      <c r="MP120" s="1406"/>
      <c r="MQ120" s="796"/>
      <c r="MR120" s="1185"/>
      <c r="MS120" s="1186"/>
      <c r="MT120" s="1067"/>
      <c r="MU120" s="918"/>
      <c r="MV120" s="1082"/>
      <c r="MW120" s="919"/>
      <c r="MX120" s="848"/>
      <c r="MY120" s="158"/>
      <c r="MZ120" s="373"/>
      <c r="NA120" s="373"/>
      <c r="NB120" s="373"/>
      <c r="NC120" s="373"/>
      <c r="ND120" s="373"/>
      <c r="NE120" s="373"/>
      <c r="NF120" s="373"/>
      <c r="NG120" s="373"/>
      <c r="NH120" s="373"/>
      <c r="NI120" s="373"/>
      <c r="NJ120" s="373"/>
      <c r="NK120" s="54"/>
      <c r="NL120" s="373"/>
      <c r="NM120" s="851"/>
      <c r="NN120" s="794"/>
      <c r="NO120" s="795"/>
      <c r="NP120" s="795"/>
      <c r="NQ120" s="795"/>
      <c r="NR120" s="795"/>
      <c r="NS120" s="795"/>
      <c r="NT120" s="795"/>
      <c r="NU120" s="795"/>
      <c r="NV120" s="795"/>
      <c r="NW120" s="795"/>
      <c r="NX120" s="795"/>
      <c r="NY120" s="795"/>
      <c r="NZ120" s="796"/>
      <c r="OA120" s="1406"/>
      <c r="OB120" s="796"/>
      <c r="OC120" s="1185"/>
      <c r="OD120" s="1186"/>
      <c r="OE120" s="1290"/>
      <c r="OF120" s="918"/>
      <c r="OG120" s="1082"/>
      <c r="OH120" s="919"/>
      <c r="OI120" s="1290"/>
      <c r="OJ120" s="373"/>
      <c r="OK120" s="373"/>
      <c r="OL120" s="373"/>
      <c r="OM120" s="373"/>
      <c r="ON120" s="373"/>
      <c r="OO120" s="373"/>
      <c r="OP120" s="373"/>
      <c r="OQ120" s="373"/>
      <c r="OR120" s="373"/>
      <c r="OS120" s="373"/>
      <c r="OT120" s="373"/>
      <c r="OU120" s="374"/>
      <c r="OX120" s="130"/>
      <c r="OY120" s="130"/>
      <c r="OZ120" s="130"/>
      <c r="PL120" s="850"/>
      <c r="PM120" s="861" t="s">
        <v>1675</v>
      </c>
      <c r="PN120" s="861"/>
      <c r="PO120" s="861"/>
      <c r="PP120" s="761">
        <f>$PZ$72</f>
        <v>34.141162942403902</v>
      </c>
      <c r="PQ120" s="761"/>
      <c r="PR120" s="791" t="s">
        <v>1856</v>
      </c>
      <c r="PS120" s="797"/>
      <c r="PT120" s="797"/>
      <c r="PU120" s="797"/>
      <c r="PV120" s="797"/>
      <c r="PW120" s="835">
        <f>PZ72+PW99</f>
        <v>142.98018291973614</v>
      </c>
      <c r="PX120" s="836"/>
      <c r="PY120" s="1075" t="s">
        <v>3</v>
      </c>
      <c r="PZ120" s="1076"/>
      <c r="QA120" s="841"/>
      <c r="QB120" s="1170" t="s">
        <v>1573</v>
      </c>
      <c r="QC120" s="1171"/>
      <c r="QD120" s="1172"/>
      <c r="QE120" s="847"/>
      <c r="QF120" s="1052"/>
      <c r="QG120" s="1052"/>
      <c r="QH120" s="1052"/>
      <c r="QI120" s="1052"/>
      <c r="QJ120" s="1052"/>
      <c r="QK120" s="1052"/>
      <c r="QL120" s="1052"/>
      <c r="RE120" s="653"/>
      <c r="RF120" s="653"/>
      <c r="RG120" s="653"/>
      <c r="RH120" s="653"/>
      <c r="RI120" s="653"/>
      <c r="RJ120" s="653"/>
      <c r="RK120" s="653"/>
      <c r="RL120" s="653"/>
      <c r="RM120" s="653"/>
      <c r="RN120" s="653"/>
      <c r="RO120" s="653"/>
      <c r="RP120" s="653"/>
      <c r="RQ120" s="653"/>
      <c r="RR120" s="653"/>
      <c r="RS120" s="653"/>
      <c r="RT120" s="653"/>
      <c r="RU120" s="653"/>
      <c r="RV120" s="653"/>
      <c r="RW120" s="653"/>
      <c r="RX120" s="653"/>
      <c r="RY120" s="653"/>
      <c r="RZ120" s="653"/>
      <c r="SA120" s="653"/>
      <c r="SB120" s="653"/>
      <c r="SC120" s="653"/>
      <c r="SD120" s="653"/>
      <c r="SE120" s="653"/>
      <c r="SF120" s="653"/>
      <c r="SG120" s="653"/>
      <c r="SH120" s="653"/>
      <c r="SI120" s="653"/>
      <c r="SJ120" s="653"/>
      <c r="SK120" s="653"/>
      <c r="SL120" s="653"/>
      <c r="SM120" s="653"/>
      <c r="SN120" s="653"/>
      <c r="SO120" s="653"/>
      <c r="SP120" s="653"/>
      <c r="SQ120" s="653"/>
      <c r="SR120" s="653"/>
      <c r="SS120" s="653"/>
      <c r="ST120" s="653"/>
      <c r="SU120" s="653"/>
      <c r="SV120" s="653"/>
      <c r="SW120" s="653"/>
      <c r="SX120" s="653"/>
      <c r="SY120" s="653"/>
      <c r="SZ120" s="653"/>
      <c r="TA120" s="653"/>
      <c r="TB120" s="653"/>
      <c r="TC120" s="653"/>
      <c r="TD120" s="653"/>
      <c r="TE120" s="653"/>
      <c r="TF120" s="653"/>
      <c r="TG120" s="653"/>
      <c r="TH120" s="653"/>
      <c r="TI120" s="653"/>
      <c r="TJ120" s="653"/>
      <c r="TK120" s="653"/>
      <c r="TL120" s="653"/>
      <c r="TM120" s="653"/>
      <c r="TN120" s="653"/>
      <c r="TO120" s="653"/>
      <c r="TP120" s="653"/>
      <c r="TQ120" s="653"/>
      <c r="TR120" s="653"/>
      <c r="TS120" s="653"/>
      <c r="TT120" s="653"/>
      <c r="TU120" s="653"/>
      <c r="TV120" s="653"/>
      <c r="TW120" s="653"/>
      <c r="TX120" s="653"/>
      <c r="TY120" s="653"/>
      <c r="TZ120" s="653"/>
      <c r="UA120" s="653"/>
      <c r="UB120" s="653"/>
      <c r="UC120" s="653"/>
      <c r="UD120" s="653"/>
      <c r="UE120" s="653"/>
      <c r="UF120" s="653"/>
      <c r="UG120" s="653"/>
      <c r="UH120" s="653"/>
      <c r="UI120" s="653"/>
      <c r="UJ120" s="653"/>
      <c r="UK120" s="653"/>
      <c r="UL120" s="653"/>
      <c r="UM120" s="653"/>
      <c r="UN120" s="653"/>
      <c r="UO120" s="653"/>
      <c r="UP120" s="653"/>
      <c r="UQ120" s="653"/>
      <c r="UR120" s="653"/>
      <c r="US120" s="653"/>
      <c r="UT120" s="653"/>
      <c r="UU120" s="653"/>
      <c r="UV120" s="653"/>
      <c r="UW120" s="653"/>
      <c r="UX120" s="653"/>
      <c r="UY120" s="653"/>
      <c r="UZ120" s="653"/>
      <c r="WE120" s="754"/>
      <c r="WF120" s="755"/>
      <c r="WG120" s="169"/>
      <c r="WH120" s="170"/>
      <c r="WI120" s="170"/>
      <c r="WJ120" s="170"/>
      <c r="WK120" s="170"/>
      <c r="WL120" s="170"/>
      <c r="WM120" s="170"/>
      <c r="WN120" s="170"/>
      <c r="WO120" s="170"/>
      <c r="WP120" s="170"/>
      <c r="WQ120" s="170"/>
      <c r="WR120" s="170"/>
      <c r="WS120" s="170"/>
      <c r="WT120" s="170"/>
      <c r="WU120" s="170"/>
      <c r="WV120" s="170"/>
      <c r="WW120" s="170"/>
      <c r="WX120" s="1525"/>
      <c r="WY120" s="1525"/>
      <c r="WZ120" s="1135"/>
      <c r="XA120" s="1135"/>
      <c r="XB120" s="169"/>
      <c r="XC120" s="170"/>
      <c r="XD120" s="170"/>
      <c r="XE120" s="170"/>
      <c r="XF120" s="172"/>
      <c r="XG120" s="1016"/>
      <c r="XH120" s="1016"/>
      <c r="XI120" s="1016"/>
      <c r="XJ120" s="1016"/>
      <c r="XK120" s="1016"/>
      <c r="XL120" s="1016"/>
      <c r="XM120" s="1016"/>
      <c r="XN120" s="1016"/>
      <c r="XO120" s="1016"/>
      <c r="XP120" s="1016"/>
      <c r="XQ120" s="1016"/>
      <c r="XR120" s="1016"/>
      <c r="XS120" s="1016"/>
      <c r="XT120" s="1016"/>
      <c r="XU120" s="1016"/>
      <c r="XV120" s="1016"/>
      <c r="XW120" s="1016"/>
      <c r="XX120" s="1016"/>
      <c r="XY120" s="1016"/>
      <c r="XZ120" s="1016"/>
      <c r="YA120" s="1016"/>
      <c r="YB120" s="1016"/>
      <c r="YC120" s="1016"/>
      <c r="YD120" s="1016"/>
      <c r="YE120" s="1016"/>
      <c r="YF120" s="1016"/>
      <c r="YG120" s="1016"/>
      <c r="YH120" s="1016"/>
      <c r="YI120" s="1016"/>
      <c r="YJ120" s="1016"/>
      <c r="YK120" s="1016"/>
      <c r="YL120" s="1016"/>
      <c r="YM120" s="1016"/>
      <c r="YN120" s="1016"/>
      <c r="YO120" s="1016"/>
      <c r="YP120" s="1016"/>
      <c r="YQ120" s="1016"/>
      <c r="YR120" s="1016"/>
      <c r="YS120" s="1016"/>
      <c r="YT120" s="1016"/>
      <c r="YU120" s="1016"/>
      <c r="YV120" s="1016"/>
      <c r="YW120" s="1016"/>
      <c r="YX120" s="1016"/>
      <c r="YY120" s="1016"/>
      <c r="YZ120" s="1016"/>
      <c r="ZA120" s="1016"/>
      <c r="ZB120" s="1016"/>
      <c r="ZC120" s="1016"/>
      <c r="ZD120" s="1016"/>
      <c r="ZE120" s="1016"/>
      <c r="ZF120" s="1016"/>
      <c r="ZG120" s="1016"/>
      <c r="ZH120" s="1016"/>
      <c r="ZI120" s="1016"/>
      <c r="ZJ120" s="1016"/>
      <c r="ZK120" s="1016"/>
      <c r="ZL120" s="1016"/>
      <c r="ZM120" s="1016"/>
      <c r="ZN120" s="1016"/>
      <c r="ZO120" s="1016"/>
      <c r="ZP120" s="1016"/>
      <c r="ZQ120" s="1016"/>
      <c r="ZR120" s="1016"/>
      <c r="ZS120" s="1016"/>
      <c r="ZT120" s="1016"/>
      <c r="ZU120" s="1016"/>
      <c r="ZV120" s="1016"/>
      <c r="ZW120" s="1016"/>
      <c r="ZX120" s="1016"/>
      <c r="ZY120" s="1016"/>
      <c r="ZZ120" s="1016"/>
      <c r="AAA120" s="1016"/>
      <c r="AAB120" s="1016"/>
      <c r="AAC120" s="1016"/>
      <c r="AAD120" s="1016"/>
      <c r="AAE120" s="1016"/>
      <c r="AAF120" s="1016"/>
      <c r="AAG120" s="1016"/>
      <c r="AAH120" s="1016"/>
      <c r="AAI120" s="1016"/>
      <c r="AAJ120" s="1016"/>
      <c r="AAK120" s="1016"/>
      <c r="AAL120" s="1016"/>
      <c r="AAM120" s="1016"/>
      <c r="AAN120" s="1016"/>
      <c r="AAO120" s="1016"/>
      <c r="AAP120" s="1016"/>
      <c r="AAQ120" s="1016"/>
      <c r="AAR120" s="1016"/>
      <c r="AAS120" s="1016"/>
      <c r="AAT120" s="1007"/>
      <c r="AAU120" s="960"/>
      <c r="AAV120" s="1101"/>
      <c r="AAW120" s="1101"/>
      <c r="AAX120" s="1101"/>
      <c r="AAY120" s="1101"/>
      <c r="AAZ120" s="1101"/>
      <c r="ABA120" s="1101"/>
      <c r="ABB120" s="1101"/>
      <c r="ABC120" s="961"/>
      <c r="ABD120" s="164"/>
      <c r="ABE120" s="165"/>
      <c r="ABF120" s="165"/>
      <c r="ABG120" s="165"/>
      <c r="ABH120" s="165"/>
      <c r="ABI120" s="158"/>
      <c r="ABJ120" s="158"/>
      <c r="ABK120" s="158"/>
      <c r="ABL120" s="158"/>
      <c r="ABM120" s="158"/>
      <c r="ABN120" s="158"/>
      <c r="ABO120" s="158"/>
      <c r="ABP120" s="163"/>
      <c r="ABX120" s="1527"/>
      <c r="ABY120" s="1527"/>
      <c r="ABZ120" s="1527"/>
      <c r="ACA120" s="1527"/>
      <c r="ACB120" s="1527"/>
      <c r="ACC120" s="1527"/>
      <c r="ACD120" s="1527"/>
      <c r="ACE120" s="1527"/>
      <c r="ACF120" s="1527"/>
      <c r="ACG120" s="1527"/>
      <c r="ACH120" s="1527"/>
      <c r="ACJ120" s="759">
        <v>1</v>
      </c>
      <c r="ACK120" s="760"/>
      <c r="ACL120" s="759">
        <v>-1.2</v>
      </c>
      <c r="ACM120" s="760"/>
      <c r="ACN120" s="592">
        <v>36</v>
      </c>
      <c r="ACO120" s="759">
        <f t="shared" si="91"/>
        <v>0.15999999999999992</v>
      </c>
      <c r="ACP120" s="760"/>
      <c r="ACQ120" s="757">
        <f t="shared" si="159"/>
        <v>1.3599999999999999</v>
      </c>
      <c r="ACR120" s="758"/>
      <c r="ACT120" s="759">
        <v>1.5454545454545501</v>
      </c>
      <c r="ACU120" s="760"/>
      <c r="ACV120" s="759">
        <v>-2.1818181818181799</v>
      </c>
      <c r="ACW120" s="760"/>
      <c r="ACX120" s="591">
        <v>86</v>
      </c>
      <c r="ACY120" s="759">
        <f t="shared" si="92"/>
        <v>0.69272727272728307</v>
      </c>
      <c r="ACZ120" s="760"/>
      <c r="ADA120" s="757">
        <f t="shared" si="160"/>
        <v>1.8599999999999999</v>
      </c>
      <c r="ADB120" s="758"/>
      <c r="ADD120" s="759">
        <v>1.5454545454545501</v>
      </c>
      <c r="ADE120" s="760"/>
      <c r="ADF120" s="759">
        <v>-2.1818181818181799</v>
      </c>
      <c r="ADG120" s="760"/>
      <c r="ADH120" s="591">
        <v>135</v>
      </c>
      <c r="ADI120" s="759">
        <f t="shared" si="93"/>
        <v>1.4500000000000131</v>
      </c>
      <c r="ADJ120" s="760"/>
      <c r="ADK120" s="757">
        <f t="shared" si="161"/>
        <v>2.35</v>
      </c>
      <c r="ADL120" s="758"/>
      <c r="ADN120" s="759">
        <v>1.5454545454545501</v>
      </c>
      <c r="ADO120" s="760"/>
      <c r="ADP120" s="759">
        <v>-2.1818181818181799</v>
      </c>
      <c r="ADQ120" s="760"/>
      <c r="ADR120" s="591">
        <v>185</v>
      </c>
      <c r="ADS120" s="759">
        <f t="shared" si="94"/>
        <v>2.2227272727272878</v>
      </c>
      <c r="ADT120" s="760"/>
      <c r="ADU120" s="757">
        <f t="shared" si="162"/>
        <v>2.85</v>
      </c>
      <c r="ADV120" s="758"/>
      <c r="ADW120" s="653"/>
      <c r="ADX120" s="759">
        <v>1.5454545454545501</v>
      </c>
      <c r="ADY120" s="760"/>
      <c r="ADZ120" s="759">
        <v>-2.1818181818181799</v>
      </c>
      <c r="AEA120" s="760"/>
      <c r="AEB120" s="591">
        <v>235</v>
      </c>
      <c r="AEC120" s="759">
        <f t="shared" si="134"/>
        <v>2.9954545454545629</v>
      </c>
      <c r="AED120" s="760"/>
      <c r="AEE120" s="757">
        <f t="shared" si="163"/>
        <v>3.35</v>
      </c>
      <c r="AEF120" s="758"/>
      <c r="AEH120" s="759">
        <v>1.5454545454545501</v>
      </c>
      <c r="AEI120" s="760"/>
      <c r="AEJ120" s="759">
        <v>-2.1818181818181799</v>
      </c>
      <c r="AEK120" s="760"/>
      <c r="AEL120" s="591">
        <v>285</v>
      </c>
      <c r="AEM120" s="759">
        <f t="shared" si="101"/>
        <v>3.7681818181818381</v>
      </c>
      <c r="AEN120" s="760"/>
      <c r="AEO120" s="757">
        <f t="shared" si="164"/>
        <v>3.85</v>
      </c>
      <c r="AEP120" s="758"/>
      <c r="AHV120" s="130"/>
      <c r="AHW120" s="130"/>
      <c r="AHX120" s="130"/>
      <c r="AHY120" s="130"/>
      <c r="AHZ120" s="130"/>
      <c r="AIA120" s="130"/>
      <c r="AIB120" s="130"/>
      <c r="AIC120" s="130"/>
      <c r="AID120" s="130"/>
      <c r="AIE120" s="130"/>
      <c r="AQO120" s="849"/>
      <c r="AQP120" s="852" t="s">
        <v>416</v>
      </c>
      <c r="AQQ120" s="853"/>
      <c r="AQR120" s="700"/>
      <c r="AQS120" s="78"/>
      <c r="AQT120" s="78"/>
      <c r="AQU120" s="78"/>
      <c r="AQV120" s="78"/>
      <c r="AQW120" s="78"/>
      <c r="AQX120" s="78"/>
      <c r="AQY120" s="700"/>
      <c r="AQZ120" s="76" t="s">
        <v>441</v>
      </c>
      <c r="ARA120" s="854" t="s">
        <v>435</v>
      </c>
      <c r="ARB120" s="855"/>
      <c r="ARC120" s="920" t="s">
        <v>111</v>
      </c>
      <c r="ARD120" s="921"/>
      <c r="ARE120" s="916" t="s">
        <v>704</v>
      </c>
      <c r="ARF120" s="917"/>
      <c r="ARG120" s="906" t="s">
        <v>447</v>
      </c>
      <c r="ARH120" s="907"/>
      <c r="ARI120" s="907"/>
      <c r="ARJ120" s="908"/>
      <c r="ARU120" s="903"/>
      <c r="ARV120" s="904"/>
      <c r="ARW120" s="905"/>
      <c r="ARX120" s="851"/>
      <c r="ARY120" s="740" t="s">
        <v>702</v>
      </c>
      <c r="ARZ120" s="820" t="s">
        <v>1851</v>
      </c>
      <c r="ASA120" s="821"/>
      <c r="ASB120" s="822"/>
      <c r="ASC120" s="777"/>
      <c r="ASD120" s="778"/>
      <c r="ASE120" s="778"/>
      <c r="ASF120" s="778"/>
      <c r="ASG120" s="778"/>
      <c r="ASH120" s="778"/>
      <c r="ASI120" s="1473"/>
      <c r="ASJ120" s="1474"/>
      <c r="ASK120" s="777"/>
      <c r="ASL120" s="799"/>
      <c r="ASM120" s="842"/>
      <c r="ASN120" s="918"/>
      <c r="ASO120" s="919"/>
      <c r="ASP120" s="848"/>
    </row>
    <row r="121" spans="60:920 1133:1226" ht="48" customHeight="1" thickBot="1">
      <c r="BM121" s="130"/>
      <c r="BN121" s="130"/>
      <c r="BO121" s="130"/>
      <c r="BV121" s="653"/>
      <c r="BW121" s="653"/>
      <c r="BX121" s="653"/>
      <c r="BY121" s="653"/>
      <c r="CZ121" s="653"/>
      <c r="DA121" s="653"/>
      <c r="DB121" s="653"/>
      <c r="DC121" s="653"/>
      <c r="DD121" s="653"/>
      <c r="DE121" s="130"/>
      <c r="DG121" s="130"/>
      <c r="DI121" s="130"/>
      <c r="DR121" s="130"/>
      <c r="DS121" s="130"/>
      <c r="DT121" s="130"/>
      <c r="DU121" s="130"/>
      <c r="DV121" s="130"/>
      <c r="DW121" s="130"/>
      <c r="DX121" s="130"/>
      <c r="DY121" s="130"/>
      <c r="DZ121" s="851"/>
      <c r="EA121" s="518" t="s">
        <v>1626</v>
      </c>
      <c r="EB121" s="879">
        <f>$CJ$131</f>
        <v>6</v>
      </c>
      <c r="EC121" s="879"/>
      <c r="ED121" s="794"/>
      <c r="EE121" s="795"/>
      <c r="EF121" s="795"/>
      <c r="EG121" s="795"/>
      <c r="EH121" s="795"/>
      <c r="EI121" s="795"/>
      <c r="EJ121" s="795"/>
      <c r="EK121" s="795"/>
      <c r="EL121" s="795"/>
      <c r="EM121" s="795"/>
      <c r="EN121" s="795"/>
      <c r="EO121" s="795"/>
      <c r="EP121" s="795"/>
      <c r="EQ121" s="1169"/>
      <c r="ER121" s="799"/>
      <c r="ES121" s="1636"/>
      <c r="ET121" s="1637"/>
      <c r="EU121" s="942"/>
      <c r="EV121" s="943"/>
      <c r="EW121" s="943"/>
      <c r="EX121" s="944"/>
      <c r="EY121" s="1499"/>
      <c r="EZ121" s="1053"/>
      <c r="FA121" s="1053"/>
      <c r="FB121" s="1053"/>
      <c r="FC121" s="1053"/>
      <c r="FD121" s="1053"/>
      <c r="FF121" s="126"/>
      <c r="HI121" s="130"/>
      <c r="HJ121" s="130"/>
      <c r="HK121" s="130"/>
      <c r="HL121" s="130"/>
      <c r="HM121" s="130"/>
      <c r="HN121" s="220"/>
      <c r="HO121" s="130"/>
      <c r="HP121" s="130"/>
      <c r="HQ121" s="130"/>
      <c r="HR121" s="130"/>
      <c r="IE121" s="130"/>
      <c r="IF121" s="130"/>
      <c r="IG121" s="130"/>
      <c r="IH121" s="130"/>
      <c r="II121" s="130"/>
      <c r="IJ121" s="3"/>
      <c r="IK121" s="3"/>
      <c r="JW121" s="130"/>
      <c r="JX121" s="130"/>
      <c r="JY121" s="130"/>
      <c r="JZ121" s="130"/>
      <c r="KA121" s="130"/>
      <c r="KB121" s="130"/>
      <c r="KC121" s="130"/>
      <c r="KD121" s="130"/>
      <c r="KE121" s="130"/>
      <c r="KF121" s="130"/>
      <c r="KG121" s="130"/>
      <c r="KH121" s="130"/>
      <c r="KI121" s="130"/>
      <c r="KJ121" s="130"/>
      <c r="KK121" s="130"/>
      <c r="KL121" s="130"/>
      <c r="KM121" s="130"/>
      <c r="KN121" s="130"/>
      <c r="KO121" s="130"/>
      <c r="LJ121" s="653"/>
      <c r="LK121" s="653"/>
      <c r="LL121" s="653"/>
      <c r="LM121" s="653"/>
      <c r="LN121" s="653"/>
      <c r="LO121" s="653"/>
      <c r="LP121" s="653"/>
      <c r="LQ121" s="653"/>
      <c r="LR121" s="653"/>
      <c r="LS121" s="130"/>
      <c r="LV121" s="130"/>
      <c r="LW121" s="130"/>
      <c r="LX121" s="377"/>
      <c r="LY121" s="373"/>
      <c r="LZ121" s="54"/>
      <c r="MA121" s="373"/>
      <c r="MB121" s="373"/>
      <c r="MC121" s="373"/>
      <c r="MD121" s="373"/>
      <c r="ME121" s="373"/>
      <c r="MF121" s="373"/>
      <c r="MG121" s="373"/>
      <c r="MH121" s="373"/>
      <c r="MI121" s="373"/>
      <c r="MJ121" s="373"/>
      <c r="MK121" s="373"/>
      <c r="ML121" s="373"/>
      <c r="MM121" s="373"/>
      <c r="MN121" s="373"/>
      <c r="MO121" s="373"/>
      <c r="MP121" s="373"/>
      <c r="MQ121" s="373"/>
      <c r="MR121" s="373"/>
      <c r="MS121" s="373"/>
      <c r="MT121" s="373"/>
      <c r="MU121" s="373"/>
      <c r="MV121" s="373"/>
      <c r="MW121" s="373"/>
      <c r="MX121" s="373"/>
      <c r="MY121" s="165"/>
      <c r="MZ121" s="373"/>
      <c r="NA121" s="373"/>
      <c r="NB121" s="373"/>
      <c r="NC121" s="373"/>
      <c r="ND121" s="373"/>
      <c r="NE121" s="373"/>
      <c r="NF121" s="373"/>
      <c r="NG121" s="373"/>
      <c r="NH121" s="373"/>
      <c r="NI121" s="373"/>
      <c r="NJ121" s="373"/>
      <c r="NK121" s="54"/>
      <c r="NL121" s="373"/>
      <c r="NM121" s="373"/>
      <c r="NN121" s="373"/>
      <c r="NO121" s="373"/>
      <c r="NP121" s="373"/>
      <c r="NQ121" s="373"/>
      <c r="NR121" s="373"/>
      <c r="NS121" s="373"/>
      <c r="NT121" s="373"/>
      <c r="NU121" s="373"/>
      <c r="NV121" s="373"/>
      <c r="NW121" s="373"/>
      <c r="NX121" s="373"/>
      <c r="NY121" s="373"/>
      <c r="NZ121" s="373"/>
      <c r="OA121" s="373"/>
      <c r="OB121" s="373"/>
      <c r="OC121" s="373"/>
      <c r="OD121" s="373"/>
      <c r="OE121" s="373"/>
      <c r="OF121" s="373"/>
      <c r="OG121" s="373"/>
      <c r="OH121" s="373"/>
      <c r="OI121" s="373"/>
      <c r="OJ121" s="373"/>
      <c r="OK121" s="373"/>
      <c r="OL121" s="373"/>
      <c r="OM121" s="373"/>
      <c r="ON121" s="373"/>
      <c r="OO121" s="373"/>
      <c r="OP121" s="373"/>
      <c r="OQ121" s="373"/>
      <c r="OR121" s="373"/>
      <c r="OS121" s="373"/>
      <c r="OT121" s="373"/>
      <c r="OU121" s="374"/>
      <c r="OX121" s="130"/>
      <c r="OY121" s="130"/>
      <c r="OZ121" s="130"/>
      <c r="PA121" s="130"/>
      <c r="PB121" s="130"/>
      <c r="PC121" s="130"/>
      <c r="PD121" s="130"/>
      <c r="PE121" s="130"/>
      <c r="PH121" s="130"/>
      <c r="PL121" s="851"/>
      <c r="PM121" s="1163" t="s">
        <v>1676</v>
      </c>
      <c r="PN121" s="1163"/>
      <c r="PO121" s="1163"/>
      <c r="PP121" s="804">
        <f>PW99</f>
        <v>108.83901997733224</v>
      </c>
      <c r="PQ121" s="804"/>
      <c r="PR121" s="777"/>
      <c r="PS121" s="778"/>
      <c r="PT121" s="778"/>
      <c r="PU121" s="778"/>
      <c r="PV121" s="778"/>
      <c r="PW121" s="837"/>
      <c r="PX121" s="838"/>
      <c r="PY121" s="1077"/>
      <c r="PZ121" s="1078"/>
      <c r="QA121" s="842"/>
      <c r="QB121" s="1173"/>
      <c r="QC121" s="1174"/>
      <c r="QD121" s="1175"/>
      <c r="QE121" s="848"/>
      <c r="QF121" s="1053"/>
      <c r="QG121" s="1053"/>
      <c r="QH121" s="1053"/>
      <c r="QI121" s="1053"/>
      <c r="QJ121" s="1053"/>
      <c r="QK121" s="1053"/>
      <c r="QL121" s="1053"/>
      <c r="WE121" s="752">
        <v>9</v>
      </c>
      <c r="WF121" s="753"/>
      <c r="WG121" s="801" t="s">
        <v>1264</v>
      </c>
      <c r="WH121" s="861"/>
      <c r="WI121" s="861"/>
      <c r="WJ121" s="861"/>
      <c r="WK121" s="937">
        <f>$MQ$212</f>
        <v>2.5479278737632125</v>
      </c>
      <c r="WL121" s="937"/>
      <c r="WM121" s="861" t="s">
        <v>1265</v>
      </c>
      <c r="WN121" s="861"/>
      <c r="WO121" s="861"/>
      <c r="WP121" s="861"/>
      <c r="WQ121" s="937">
        <f>$MP$234</f>
        <v>0.61171910270933894</v>
      </c>
      <c r="WR121" s="937"/>
      <c r="WS121" s="168"/>
      <c r="WT121" s="168"/>
      <c r="WU121" s="168"/>
      <c r="WV121" s="168"/>
      <c r="WW121" s="168"/>
      <c r="WX121" s="168"/>
      <c r="WY121" s="171"/>
      <c r="WZ121" s="867" t="s">
        <v>729</v>
      </c>
      <c r="XA121" s="869"/>
      <c r="XB121" s="958"/>
      <c r="XC121" s="1058"/>
      <c r="XD121" s="1058"/>
      <c r="XE121" s="1058"/>
      <c r="XF121" s="959"/>
      <c r="XG121" s="858">
        <f t="shared" ref="XG121:YL121" si="168">$WK$121-$WQ$121*(1-XG119)</f>
        <v>2.5411989636334096</v>
      </c>
      <c r="XH121" s="858">
        <f t="shared" si="168"/>
        <v>2.5382932978955406</v>
      </c>
      <c r="XI121" s="858">
        <f t="shared" si="168"/>
        <v>2.5363052108117352</v>
      </c>
      <c r="XJ121" s="858">
        <f t="shared" si="168"/>
        <v>2.5344700535036071</v>
      </c>
      <c r="XK121" s="858">
        <f t="shared" si="168"/>
        <v>2.5327878259711563</v>
      </c>
      <c r="XL121" s="858">
        <f t="shared" si="168"/>
        <v>2.5293723943143647</v>
      </c>
      <c r="XM121" s="858">
        <f t="shared" si="168"/>
        <v>2.5257020796981084</v>
      </c>
      <c r="XN121" s="858">
        <f t="shared" si="168"/>
        <v>2.5224395778169919</v>
      </c>
      <c r="XO121" s="858">
        <f t="shared" si="168"/>
        <v>2.519584888671015</v>
      </c>
      <c r="XP121" s="858">
        <f t="shared" si="168"/>
        <v>2.5162932573088153</v>
      </c>
      <c r="XQ121" s="858">
        <f t="shared" si="168"/>
        <v>2.5113995044871422</v>
      </c>
      <c r="XR121" s="858">
        <f t="shared" si="168"/>
        <v>2.5072048592114209</v>
      </c>
      <c r="XS121" s="858">
        <f t="shared" si="168"/>
        <v>2.5023111063897465</v>
      </c>
      <c r="XT121" s="858">
        <f t="shared" si="168"/>
        <v>2.4981164611140252</v>
      </c>
      <c r="XU121" s="858">
        <f t="shared" si="168"/>
        <v>2.4946209233842573</v>
      </c>
      <c r="XV121" s="858">
        <f t="shared" si="168"/>
        <v>2.4904262781085365</v>
      </c>
      <c r="XW121" s="858">
        <f t="shared" si="168"/>
        <v>2.4869307403787686</v>
      </c>
      <c r="XX121" s="858">
        <f t="shared" si="168"/>
        <v>2.4811281477473526</v>
      </c>
      <c r="XY121" s="858">
        <f t="shared" si="168"/>
        <v>2.4762343949256778</v>
      </c>
      <c r="XZ121" s="858">
        <f t="shared" si="168"/>
        <v>2.4713406421040034</v>
      </c>
      <c r="YA121" s="858">
        <f t="shared" si="168"/>
        <v>2.4674256398466632</v>
      </c>
      <c r="YB121" s="858">
        <f t="shared" si="168"/>
        <v>2.4625318870249888</v>
      </c>
      <c r="YC121" s="858">
        <f t="shared" si="168"/>
        <v>2.457638134203314</v>
      </c>
      <c r="YD121" s="858">
        <f t="shared" si="168"/>
        <v>2.452091881005416</v>
      </c>
      <c r="YE121" s="858">
        <f t="shared" si="168"/>
        <v>2.4439356263026251</v>
      </c>
      <c r="YF121" s="858">
        <f t="shared" si="168"/>
        <v>2.437410622540392</v>
      </c>
      <c r="YG121" s="858">
        <f t="shared" si="168"/>
        <v>2.4308856187781589</v>
      </c>
      <c r="YH121" s="858">
        <f t="shared" si="168"/>
        <v>2.422729364075368</v>
      </c>
      <c r="YI121" s="858">
        <f t="shared" si="168"/>
        <v>2.4162043603131349</v>
      </c>
      <c r="YJ121" s="858">
        <f t="shared" si="168"/>
        <v>2.4096793565509023</v>
      </c>
      <c r="YK121" s="858">
        <f t="shared" si="168"/>
        <v>2.4031543527886692</v>
      </c>
      <c r="YL121" s="858">
        <f t="shared" si="168"/>
        <v>2.3966293490264361</v>
      </c>
      <c r="YM121" s="858">
        <f t="shared" ref="YM121:ZR121" si="169">$WK$121-$WQ$121*(1-YM119)</f>
        <v>2.3917355962047613</v>
      </c>
      <c r="YN121" s="858">
        <f t="shared" si="169"/>
        <v>2.3852105924425309</v>
      </c>
      <c r="YO121" s="858">
        <f t="shared" si="169"/>
        <v>2.3786855886802978</v>
      </c>
      <c r="YP121" s="858">
        <f t="shared" si="169"/>
        <v>2.3721605849180651</v>
      </c>
      <c r="YQ121" s="858">
        <f t="shared" si="169"/>
        <v>2.3672668320963903</v>
      </c>
      <c r="YR121" s="858">
        <f t="shared" si="169"/>
        <v>2.3607418283341572</v>
      </c>
      <c r="YS121" s="858">
        <f t="shared" si="169"/>
        <v>2.3558480755124824</v>
      </c>
      <c r="YT121" s="858">
        <f t="shared" si="169"/>
        <v>2.3493230717502498</v>
      </c>
      <c r="YU121" s="858">
        <f t="shared" si="169"/>
        <v>2.344429318928575</v>
      </c>
      <c r="YV121" s="858">
        <f t="shared" si="169"/>
        <v>2.3379043151663419</v>
      </c>
      <c r="YW121" s="858">
        <f t="shared" si="169"/>
        <v>2.3330105623446675</v>
      </c>
      <c r="YX121" s="858">
        <f t="shared" si="169"/>
        <v>2.3295441540959785</v>
      </c>
      <c r="YY121" s="858">
        <f t="shared" si="169"/>
        <v>2.3246504012743037</v>
      </c>
      <c r="YZ121" s="858">
        <f t="shared" si="169"/>
        <v>2.3209800866580479</v>
      </c>
      <c r="ZA121" s="858">
        <f t="shared" si="169"/>
        <v>2.3173097720417917</v>
      </c>
      <c r="ZB121" s="858">
        <f t="shared" si="169"/>
        <v>2.3136394574255359</v>
      </c>
      <c r="ZC121" s="858">
        <f t="shared" si="169"/>
        <v>2.3099691428092797</v>
      </c>
      <c r="ZD121" s="858">
        <f t="shared" si="169"/>
        <v>2.3050753899876049</v>
      </c>
      <c r="ZE121" s="858">
        <f t="shared" si="169"/>
        <v>2.3014050753713491</v>
      </c>
      <c r="ZF121" s="858">
        <f t="shared" si="169"/>
        <v>2.2977347607550946</v>
      </c>
      <c r="ZG121" s="858">
        <f t="shared" si="169"/>
        <v>2.2940644461388384</v>
      </c>
      <c r="ZH121" s="858">
        <f t="shared" si="169"/>
        <v>2.2903941315225822</v>
      </c>
      <c r="ZI121" s="858">
        <f t="shared" si="169"/>
        <v>2.2867238169063264</v>
      </c>
      <c r="ZJ121" s="858">
        <f t="shared" si="169"/>
        <v>2.2830535022900706</v>
      </c>
      <c r="ZK121" s="858">
        <f t="shared" si="169"/>
        <v>2.2793831876738144</v>
      </c>
      <c r="ZL121" s="858">
        <f t="shared" si="169"/>
        <v>2.2769363112629772</v>
      </c>
      <c r="ZM121" s="858">
        <f t="shared" si="169"/>
        <v>2.273265996646721</v>
      </c>
      <c r="ZN121" s="858">
        <f t="shared" si="169"/>
        <v>2.2714308393385911</v>
      </c>
      <c r="ZO121" s="858">
        <f t="shared" si="169"/>
        <v>2.269962713492089</v>
      </c>
      <c r="ZP121" s="858">
        <f t="shared" si="169"/>
        <v>2.2684945876455864</v>
      </c>
      <c r="ZQ121" s="858">
        <f t="shared" si="169"/>
        <v>2.2670264617990838</v>
      </c>
      <c r="ZR121" s="858">
        <f t="shared" si="169"/>
        <v>2.2660477112347492</v>
      </c>
      <c r="ZS121" s="858">
        <f t="shared" ref="ZS121:AAS121" si="170">$WK$121-$WQ$121*(1-ZS119)</f>
        <v>2.2645795853882467</v>
      </c>
      <c r="ZT121" s="858">
        <f t="shared" si="170"/>
        <v>2.2631114595417445</v>
      </c>
      <c r="ZU121" s="858">
        <f t="shared" si="170"/>
        <v>2.2621327089774095</v>
      </c>
      <c r="ZV121" s="858">
        <f t="shared" si="170"/>
        <v>2.2606645831309069</v>
      </c>
      <c r="ZW121" s="858">
        <f t="shared" si="170"/>
        <v>2.2591964572844043</v>
      </c>
      <c r="ZX121" s="858">
        <f t="shared" si="170"/>
        <v>2.2582177067200697</v>
      </c>
      <c r="ZY121" s="858">
        <f t="shared" si="170"/>
        <v>2.2567495808735671</v>
      </c>
      <c r="ZZ121" s="858">
        <f t="shared" si="170"/>
        <v>2.2552814550270646</v>
      </c>
      <c r="AAA121" s="858">
        <f t="shared" si="170"/>
        <v>2.25430270446273</v>
      </c>
      <c r="AAB121" s="858">
        <f t="shared" si="170"/>
        <v>2.2528345786162274</v>
      </c>
      <c r="AAC121" s="858">
        <f t="shared" si="170"/>
        <v>2.2518558280518923</v>
      </c>
      <c r="AAD121" s="858">
        <f t="shared" si="170"/>
        <v>2.2503877022053902</v>
      </c>
      <c r="AAE121" s="858">
        <f t="shared" si="170"/>
        <v>2.2494089516410551</v>
      </c>
      <c r="AAF121" s="858">
        <f t="shared" si="170"/>
        <v>2.2479408257945526</v>
      </c>
      <c r="AAG121" s="858">
        <f t="shared" si="170"/>
        <v>2.2469620752302175</v>
      </c>
      <c r="AAH121" s="858">
        <f t="shared" si="170"/>
        <v>2.2454939493837154</v>
      </c>
      <c r="AAI121" s="858">
        <f t="shared" si="170"/>
        <v>2.2445151988193803</v>
      </c>
      <c r="AAJ121" s="858">
        <f t="shared" si="170"/>
        <v>2.2430470729728778</v>
      </c>
      <c r="AAK121" s="858">
        <f t="shared" si="170"/>
        <v>2.2420683224085431</v>
      </c>
      <c r="AAL121" s="858">
        <f t="shared" si="170"/>
        <v>2.2396214459977055</v>
      </c>
      <c r="AAM121" s="858">
        <f t="shared" si="170"/>
        <v>2.2359511313814497</v>
      </c>
      <c r="AAN121" s="858">
        <f t="shared" si="170"/>
        <v>2.2335042549706121</v>
      </c>
      <c r="AAO121" s="858">
        <f t="shared" si="170"/>
        <v>2.2298339403543563</v>
      </c>
      <c r="AAP121" s="858">
        <f t="shared" si="170"/>
        <v>2.2273870639435187</v>
      </c>
      <c r="AAQ121" s="858">
        <f t="shared" si="170"/>
        <v>2.2249401875326815</v>
      </c>
      <c r="AAR121" s="858">
        <f t="shared" si="170"/>
        <v>2.2212698729164257</v>
      </c>
      <c r="AAS121" s="858">
        <f t="shared" si="170"/>
        <v>2.2188229965055881</v>
      </c>
      <c r="AAT121" s="1005">
        <v>9</v>
      </c>
      <c r="AAU121" s="958"/>
      <c r="AAV121" s="1058"/>
      <c r="AAW121" s="1058"/>
      <c r="AAX121" s="1058"/>
      <c r="AAY121" s="1058"/>
      <c r="AAZ121" s="1058"/>
      <c r="ABA121" s="1058"/>
      <c r="ABB121" s="1058"/>
      <c r="ABC121" s="1058"/>
      <c r="ABD121" s="1058"/>
      <c r="ABE121" s="1058"/>
      <c r="ABF121" s="1058"/>
      <c r="ABG121" s="1058"/>
      <c r="ABH121" s="1058"/>
      <c r="ABI121" s="1058"/>
      <c r="ABJ121" s="1058"/>
      <c r="ABK121" s="1058"/>
      <c r="ABL121" s="1058"/>
      <c r="ABM121" s="1058"/>
      <c r="ABN121" s="1058"/>
      <c r="ABO121" s="1058"/>
      <c r="ABP121" s="959"/>
      <c r="ABX121" s="1527"/>
      <c r="ABY121" s="1527"/>
      <c r="ABZ121" s="1527"/>
      <c r="ACA121" s="1527"/>
      <c r="ACB121" s="1527"/>
      <c r="ACC121" s="1527"/>
      <c r="ACD121" s="1527"/>
      <c r="ACE121" s="1527"/>
      <c r="ACF121" s="1527"/>
      <c r="ACG121" s="1527"/>
      <c r="ACH121" s="1527"/>
      <c r="ACJ121" s="759">
        <v>1</v>
      </c>
      <c r="ACK121" s="760"/>
      <c r="ACL121" s="759">
        <v>-1.2</v>
      </c>
      <c r="ACM121" s="760"/>
      <c r="ACN121" s="592">
        <v>37</v>
      </c>
      <c r="ACO121" s="759">
        <f t="shared" si="91"/>
        <v>0.17000000000000015</v>
      </c>
      <c r="ACP121" s="760"/>
      <c r="ACQ121" s="757">
        <f t="shared" si="159"/>
        <v>1.37</v>
      </c>
      <c r="ACR121" s="758"/>
      <c r="ACT121" s="759">
        <v>1.5454545454545501</v>
      </c>
      <c r="ACU121" s="760"/>
      <c r="ACV121" s="759">
        <v>-2.1818181818181799</v>
      </c>
      <c r="ACW121" s="760"/>
      <c r="ACX121" s="591">
        <v>87</v>
      </c>
      <c r="ACY121" s="759">
        <f t="shared" si="92"/>
        <v>0.70818181818182913</v>
      </c>
      <c r="ACZ121" s="760"/>
      <c r="ADA121" s="757">
        <f t="shared" si="160"/>
        <v>1.87</v>
      </c>
      <c r="ADB121" s="758"/>
      <c r="ADD121" s="759">
        <v>1.5454545454545501</v>
      </c>
      <c r="ADE121" s="760"/>
      <c r="ADF121" s="759">
        <v>-2.1818181818181799</v>
      </c>
      <c r="ADG121" s="760"/>
      <c r="ADH121" s="591">
        <v>136</v>
      </c>
      <c r="ADI121" s="759">
        <f t="shared" si="93"/>
        <v>1.4654545454545587</v>
      </c>
      <c r="ADJ121" s="760"/>
      <c r="ADK121" s="757">
        <f t="shared" si="161"/>
        <v>2.3600000000000003</v>
      </c>
      <c r="ADL121" s="758"/>
      <c r="ADN121" s="759">
        <v>1.5454545454545501</v>
      </c>
      <c r="ADO121" s="760"/>
      <c r="ADP121" s="759">
        <v>-2.1818181818181799</v>
      </c>
      <c r="ADQ121" s="760"/>
      <c r="ADR121" s="591">
        <v>186</v>
      </c>
      <c r="ADS121" s="759">
        <f t="shared" si="94"/>
        <v>2.2381818181818343</v>
      </c>
      <c r="ADT121" s="760"/>
      <c r="ADU121" s="757">
        <f t="shared" si="162"/>
        <v>2.8600000000000003</v>
      </c>
      <c r="ADV121" s="758"/>
      <c r="ADW121" s="653"/>
      <c r="ADX121" s="759">
        <v>1.5454545454545501</v>
      </c>
      <c r="ADY121" s="760"/>
      <c r="ADZ121" s="759">
        <v>-2.1818181818181799</v>
      </c>
      <c r="AEA121" s="760"/>
      <c r="AEB121" s="591">
        <v>236</v>
      </c>
      <c r="AEC121" s="759">
        <f t="shared" si="134"/>
        <v>3.0109090909091085</v>
      </c>
      <c r="AED121" s="760"/>
      <c r="AEE121" s="757">
        <f t="shared" si="163"/>
        <v>3.36</v>
      </c>
      <c r="AEF121" s="758"/>
      <c r="AEH121" s="759">
        <v>1.5454545454545501</v>
      </c>
      <c r="AEI121" s="760"/>
      <c r="AEJ121" s="759">
        <v>-2.1818181818181799</v>
      </c>
      <c r="AEK121" s="760"/>
      <c r="AEL121" s="591">
        <v>286</v>
      </c>
      <c r="AEM121" s="759">
        <f t="shared" si="101"/>
        <v>3.7836363636363828</v>
      </c>
      <c r="AEN121" s="760"/>
      <c r="AEO121" s="757">
        <f t="shared" si="164"/>
        <v>3.86</v>
      </c>
      <c r="AEP121" s="758"/>
      <c r="AGL121" s="849"/>
      <c r="AGM121" s="852" t="s">
        <v>416</v>
      </c>
      <c r="AGN121" s="853"/>
      <c r="AGO121" s="142"/>
      <c r="AGP121" s="78"/>
      <c r="AGQ121" s="78"/>
      <c r="AGR121" s="78"/>
      <c r="AGS121" s="78"/>
      <c r="AGT121" s="78"/>
      <c r="AGU121" s="78"/>
      <c r="AGV121" s="142"/>
      <c r="AGW121" s="76" t="s">
        <v>441</v>
      </c>
      <c r="AGX121" s="854" t="s">
        <v>435</v>
      </c>
      <c r="AGY121" s="855"/>
      <c r="AGZ121" s="920" t="s">
        <v>111</v>
      </c>
      <c r="AHA121" s="921"/>
      <c r="AHB121" s="916" t="s">
        <v>704</v>
      </c>
      <c r="AHC121" s="922"/>
      <c r="AHD121" s="1051" t="s">
        <v>447</v>
      </c>
      <c r="AHE121" s="1051"/>
      <c r="AHF121" s="1051"/>
      <c r="AHG121" s="1051"/>
      <c r="AHH121" s="1051"/>
      <c r="AHI121" s="1051" t="s">
        <v>436</v>
      </c>
      <c r="AHJ121" s="1051"/>
      <c r="AHK121" s="1051"/>
      <c r="AHL121" s="1051"/>
      <c r="AHM121" s="1051"/>
      <c r="AHN121" s="1051"/>
      <c r="AHV121" s="130"/>
      <c r="AHW121" s="130"/>
      <c r="AHX121" s="130"/>
      <c r="AHY121" s="130"/>
      <c r="AHZ121" s="130"/>
      <c r="AIA121" s="130"/>
      <c r="AIB121" s="130"/>
      <c r="AIC121" s="130"/>
      <c r="AID121" s="130"/>
      <c r="AIE121" s="130"/>
      <c r="AIF121" s="130"/>
      <c r="AIG121" s="130"/>
      <c r="AIH121" s="130"/>
      <c r="AQO121" s="850"/>
      <c r="AQP121" s="856"/>
      <c r="AQQ121" s="856"/>
      <c r="AQR121" s="856"/>
      <c r="AQS121" s="856"/>
      <c r="AQT121" s="856"/>
      <c r="AQU121" s="856"/>
      <c r="AQV121" s="856"/>
      <c r="AQW121" s="856"/>
      <c r="AQX121" s="856"/>
      <c r="AQY121" s="856"/>
      <c r="AQZ121" s="856"/>
      <c r="ARA121" s="856"/>
      <c r="ARB121" s="856"/>
      <c r="ARC121" s="835"/>
      <c r="ARD121" s="836"/>
      <c r="ARE121" s="839"/>
      <c r="ARF121" s="840"/>
      <c r="ARG121" s="841"/>
      <c r="ARH121" s="843"/>
      <c r="ARI121" s="844"/>
      <c r="ARJ121" s="847"/>
    </row>
    <row r="122" spans="60:920 1133:1226" ht="48" customHeight="1" thickBot="1">
      <c r="BM122" s="130"/>
      <c r="BN122" s="130"/>
      <c r="BO122" s="130"/>
      <c r="BP122" s="130"/>
      <c r="BV122" s="653"/>
      <c r="BW122" s="653"/>
      <c r="BX122" s="653"/>
      <c r="BY122" s="653"/>
      <c r="BZ122" s="897" t="s">
        <v>973</v>
      </c>
      <c r="CA122" s="898"/>
      <c r="CB122" s="899"/>
      <c r="CC122" s="75" t="s">
        <v>1654</v>
      </c>
      <c r="CD122" s="852" t="s">
        <v>416</v>
      </c>
      <c r="CE122" s="853"/>
      <c r="CF122" s="212"/>
      <c r="CG122" s="779" t="s">
        <v>1826</v>
      </c>
      <c r="CH122" s="780"/>
      <c r="CI122" s="781"/>
      <c r="CJ122" s="75" t="s">
        <v>451</v>
      </c>
      <c r="CK122" s="212"/>
      <c r="CL122" s="76" t="s">
        <v>441</v>
      </c>
      <c r="CM122" s="854" t="s">
        <v>435</v>
      </c>
      <c r="CN122" s="855"/>
      <c r="CO122" s="920" t="s">
        <v>111</v>
      </c>
      <c r="CP122" s="921"/>
      <c r="CQ122" s="916" t="s">
        <v>704</v>
      </c>
      <c r="CR122" s="917"/>
      <c r="CS122" s="906" t="s">
        <v>447</v>
      </c>
      <c r="CT122" s="1140"/>
      <c r="CU122" s="1140"/>
      <c r="CV122" s="908"/>
      <c r="DD122" s="130"/>
      <c r="DE122" s="130"/>
      <c r="DG122" s="130"/>
      <c r="DP122" s="130"/>
      <c r="DQ122" s="130"/>
      <c r="DR122" s="130"/>
      <c r="DS122" s="130"/>
      <c r="DT122" s="130"/>
      <c r="DU122" s="130"/>
      <c r="DV122" s="130"/>
      <c r="DW122" s="130"/>
      <c r="DX122" s="130"/>
      <c r="DY122" s="130"/>
      <c r="FF122" s="126"/>
      <c r="GF122" s="849"/>
      <c r="GG122" s="852" t="s">
        <v>416</v>
      </c>
      <c r="GH122" s="923"/>
      <c r="GI122" s="138"/>
      <c r="GJ122" s="76" t="s">
        <v>441</v>
      </c>
      <c r="GK122" s="854" t="s">
        <v>435</v>
      </c>
      <c r="GL122" s="1111"/>
      <c r="GM122" s="920" t="s">
        <v>111</v>
      </c>
      <c r="GN122" s="921"/>
      <c r="GO122" s="916" t="s">
        <v>704</v>
      </c>
      <c r="GP122" s="917"/>
      <c r="GQ122" s="906" t="s">
        <v>447</v>
      </c>
      <c r="GR122" s="907"/>
      <c r="GS122" s="907"/>
      <c r="GT122" s="907"/>
      <c r="GU122" s="1051" t="s">
        <v>436</v>
      </c>
      <c r="GV122" s="1051"/>
      <c r="GW122" s="1051"/>
      <c r="GX122" s="1051"/>
      <c r="GY122" s="1051"/>
      <c r="HI122" s="130"/>
      <c r="HJ122" s="130"/>
      <c r="HK122" s="130"/>
      <c r="HL122" s="130"/>
      <c r="HM122" s="130"/>
      <c r="HN122" s="220"/>
      <c r="HO122" s="130"/>
      <c r="HP122" s="130"/>
      <c r="HQ122" s="130"/>
      <c r="HR122" s="130"/>
      <c r="IE122" s="130"/>
      <c r="IF122" s="130"/>
      <c r="IG122" s="130"/>
      <c r="IH122" s="130"/>
      <c r="II122" s="130"/>
      <c r="IJ122" s="3"/>
      <c r="IK122" s="3"/>
      <c r="JW122" s="130"/>
      <c r="JX122" s="130"/>
      <c r="JY122" s="130"/>
      <c r="JZ122" s="130"/>
      <c r="KA122" s="130"/>
      <c r="KB122" s="130"/>
      <c r="KC122" s="130"/>
      <c r="KD122" s="130"/>
      <c r="KE122" s="130"/>
      <c r="KF122" s="130"/>
      <c r="KG122" s="130"/>
      <c r="KH122" s="130"/>
      <c r="KI122" s="130"/>
      <c r="KJ122" s="130"/>
      <c r="KK122" s="130"/>
      <c r="KL122" s="130"/>
      <c r="KM122" s="130"/>
      <c r="KN122" s="130"/>
      <c r="KO122" s="130"/>
      <c r="LJ122" s="653"/>
      <c r="LK122" s="653"/>
      <c r="LL122" s="653"/>
      <c r="LM122" s="653"/>
      <c r="LN122" s="653"/>
      <c r="LO122" s="653"/>
      <c r="LP122" s="653"/>
      <c r="LQ122" s="653"/>
      <c r="LR122" s="653"/>
      <c r="LS122" s="130"/>
      <c r="LX122" s="377"/>
      <c r="LY122" s="373"/>
      <c r="LZ122" s="54"/>
      <c r="MA122" s="373"/>
      <c r="MB122" s="76" t="s">
        <v>1654</v>
      </c>
      <c r="MC122" s="852" t="s">
        <v>416</v>
      </c>
      <c r="MD122" s="853"/>
      <c r="ME122" s="371"/>
      <c r="MF122" s="78"/>
      <c r="MG122" s="78"/>
      <c r="MH122" s="78"/>
      <c r="MI122" s="78"/>
      <c r="MJ122" s="78"/>
      <c r="MK122" s="78"/>
      <c r="ML122" s="371"/>
      <c r="MM122" s="76" t="s">
        <v>441</v>
      </c>
      <c r="MN122" s="854" t="s">
        <v>435</v>
      </c>
      <c r="MO122" s="855"/>
      <c r="MP122" s="920" t="s">
        <v>111</v>
      </c>
      <c r="MQ122" s="921"/>
      <c r="MR122" s="916" t="s">
        <v>704</v>
      </c>
      <c r="MS122" s="917"/>
      <c r="MT122" s="906" t="s">
        <v>447</v>
      </c>
      <c r="MU122" s="907"/>
      <c r="MV122" s="907"/>
      <c r="MW122" s="907"/>
      <c r="MX122" s="908"/>
      <c r="MY122" s="1391" t="s">
        <v>1293</v>
      </c>
      <c r="MZ122" s="1392"/>
      <c r="NA122" s="1392"/>
      <c r="NB122" s="1393"/>
      <c r="NC122" s="1051" t="s">
        <v>436</v>
      </c>
      <c r="ND122" s="1051"/>
      <c r="NE122" s="1051"/>
      <c r="NF122" s="1051"/>
      <c r="NG122" s="1051"/>
      <c r="NH122" s="1051"/>
      <c r="NI122" s="1051"/>
      <c r="NJ122" s="373"/>
      <c r="NK122" s="54"/>
      <c r="NL122" s="382" t="s">
        <v>1298</v>
      </c>
      <c r="NM122" s="197" t="s">
        <v>849</v>
      </c>
      <c r="NN122" s="133" t="s">
        <v>416</v>
      </c>
      <c r="NO122" s="134"/>
      <c r="NP122" s="371"/>
      <c r="NQ122" s="78"/>
      <c r="NR122" s="78"/>
      <c r="NS122" s="78"/>
      <c r="NT122" s="78"/>
      <c r="NU122" s="78"/>
      <c r="NV122" s="78"/>
      <c r="NW122" s="371"/>
      <c r="NX122" s="76" t="s">
        <v>441</v>
      </c>
      <c r="NY122" s="854" t="s">
        <v>435</v>
      </c>
      <c r="NZ122" s="855"/>
      <c r="OA122" s="924" t="s">
        <v>111</v>
      </c>
      <c r="OB122" s="925"/>
      <c r="OC122" s="916" t="s">
        <v>704</v>
      </c>
      <c r="OD122" s="917"/>
      <c r="OE122" s="906" t="s">
        <v>447</v>
      </c>
      <c r="OF122" s="907"/>
      <c r="OG122" s="907"/>
      <c r="OH122" s="907"/>
      <c r="OI122" s="908"/>
      <c r="OJ122" s="1391" t="s">
        <v>1293</v>
      </c>
      <c r="OK122" s="1392"/>
      <c r="OL122" s="1392"/>
      <c r="OM122" s="1393"/>
      <c r="ON122" s="906" t="s">
        <v>436</v>
      </c>
      <c r="OO122" s="907"/>
      <c r="OP122" s="907"/>
      <c r="OQ122" s="907"/>
      <c r="OR122" s="907"/>
      <c r="OS122" s="908"/>
      <c r="OT122" s="373"/>
      <c r="OU122" s="374"/>
      <c r="OX122" s="130"/>
      <c r="OY122" s="130"/>
      <c r="OZ122" s="130"/>
      <c r="PA122" s="130"/>
      <c r="PB122" s="130"/>
      <c r="PC122" s="130"/>
      <c r="PD122" s="130"/>
      <c r="PE122" s="130"/>
      <c r="PF122" s="130"/>
      <c r="PG122" s="130"/>
      <c r="PH122" s="130"/>
      <c r="WE122" s="996"/>
      <c r="WF122" s="997"/>
      <c r="WG122" s="175"/>
      <c r="WH122" s="173"/>
      <c r="WI122" s="173"/>
      <c r="WJ122" s="173"/>
      <c r="WK122" s="173"/>
      <c r="WL122" s="173"/>
      <c r="WM122" s="173"/>
      <c r="WN122" s="173"/>
      <c r="WO122" s="173"/>
      <c r="WP122" s="173"/>
      <c r="WQ122" s="173"/>
      <c r="WR122" s="173"/>
      <c r="WS122" s="173"/>
      <c r="WT122" s="173"/>
      <c r="WU122" s="173"/>
      <c r="WV122" s="173"/>
      <c r="WW122" s="173"/>
      <c r="WX122" s="173"/>
      <c r="WY122" s="174"/>
      <c r="WZ122" s="1587"/>
      <c r="XA122" s="1588"/>
      <c r="XB122" s="960"/>
      <c r="XC122" s="1101"/>
      <c r="XD122" s="1101"/>
      <c r="XE122" s="1101"/>
      <c r="XF122" s="961"/>
      <c r="XG122" s="859"/>
      <c r="XH122" s="859"/>
      <c r="XI122" s="859"/>
      <c r="XJ122" s="859"/>
      <c r="XK122" s="859"/>
      <c r="XL122" s="859"/>
      <c r="XM122" s="859"/>
      <c r="XN122" s="859"/>
      <c r="XO122" s="859"/>
      <c r="XP122" s="859"/>
      <c r="XQ122" s="859"/>
      <c r="XR122" s="859"/>
      <c r="XS122" s="859"/>
      <c r="XT122" s="859"/>
      <c r="XU122" s="859"/>
      <c r="XV122" s="859"/>
      <c r="XW122" s="859"/>
      <c r="XX122" s="859"/>
      <c r="XY122" s="859"/>
      <c r="XZ122" s="859"/>
      <c r="YA122" s="859"/>
      <c r="YB122" s="859"/>
      <c r="YC122" s="859"/>
      <c r="YD122" s="859"/>
      <c r="YE122" s="859"/>
      <c r="YF122" s="859"/>
      <c r="YG122" s="859"/>
      <c r="YH122" s="859"/>
      <c r="YI122" s="859"/>
      <c r="YJ122" s="859"/>
      <c r="YK122" s="859"/>
      <c r="YL122" s="859"/>
      <c r="YM122" s="859"/>
      <c r="YN122" s="859"/>
      <c r="YO122" s="859"/>
      <c r="YP122" s="859"/>
      <c r="YQ122" s="859"/>
      <c r="YR122" s="859"/>
      <c r="YS122" s="859"/>
      <c r="YT122" s="859"/>
      <c r="YU122" s="859"/>
      <c r="YV122" s="859"/>
      <c r="YW122" s="859"/>
      <c r="YX122" s="859"/>
      <c r="YY122" s="859"/>
      <c r="YZ122" s="859"/>
      <c r="ZA122" s="859"/>
      <c r="ZB122" s="859"/>
      <c r="ZC122" s="859"/>
      <c r="ZD122" s="859"/>
      <c r="ZE122" s="859"/>
      <c r="ZF122" s="859"/>
      <c r="ZG122" s="859"/>
      <c r="ZH122" s="859"/>
      <c r="ZI122" s="859"/>
      <c r="ZJ122" s="859"/>
      <c r="ZK122" s="859"/>
      <c r="ZL122" s="859"/>
      <c r="ZM122" s="859"/>
      <c r="ZN122" s="859"/>
      <c r="ZO122" s="859"/>
      <c r="ZP122" s="859"/>
      <c r="ZQ122" s="859"/>
      <c r="ZR122" s="859"/>
      <c r="ZS122" s="859"/>
      <c r="ZT122" s="859"/>
      <c r="ZU122" s="859"/>
      <c r="ZV122" s="859"/>
      <c r="ZW122" s="859"/>
      <c r="ZX122" s="859"/>
      <c r="ZY122" s="859"/>
      <c r="ZZ122" s="859"/>
      <c r="AAA122" s="859"/>
      <c r="AAB122" s="859"/>
      <c r="AAC122" s="859"/>
      <c r="AAD122" s="859"/>
      <c r="AAE122" s="859"/>
      <c r="AAF122" s="859"/>
      <c r="AAG122" s="859"/>
      <c r="AAH122" s="859"/>
      <c r="AAI122" s="859"/>
      <c r="AAJ122" s="859"/>
      <c r="AAK122" s="859"/>
      <c r="AAL122" s="859"/>
      <c r="AAM122" s="859"/>
      <c r="AAN122" s="859"/>
      <c r="AAO122" s="859"/>
      <c r="AAP122" s="859"/>
      <c r="AAQ122" s="859"/>
      <c r="AAR122" s="859"/>
      <c r="AAS122" s="859"/>
      <c r="AAT122" s="1006"/>
      <c r="AAU122" s="960"/>
      <c r="AAV122" s="1101"/>
      <c r="AAW122" s="1101"/>
      <c r="AAX122" s="1101"/>
      <c r="AAY122" s="1101"/>
      <c r="AAZ122" s="1101"/>
      <c r="ABA122" s="1101"/>
      <c r="ABB122" s="1101"/>
      <c r="ABC122" s="1101"/>
      <c r="ABD122" s="1101"/>
      <c r="ABE122" s="1101"/>
      <c r="ABF122" s="1101"/>
      <c r="ABG122" s="1101"/>
      <c r="ABH122" s="1101"/>
      <c r="ABI122" s="1101"/>
      <c r="ABJ122" s="1101"/>
      <c r="ABK122" s="1101"/>
      <c r="ABL122" s="1101"/>
      <c r="ABM122" s="1101"/>
      <c r="ABN122" s="1101"/>
      <c r="ABO122" s="1101"/>
      <c r="ABP122" s="961"/>
      <c r="ABX122" s="1527"/>
      <c r="ABY122" s="1527"/>
      <c r="ABZ122" s="1527"/>
      <c r="ACA122" s="1527"/>
      <c r="ACB122" s="1527"/>
      <c r="ACC122" s="1527"/>
      <c r="ACD122" s="1527"/>
      <c r="ACE122" s="1527"/>
      <c r="ACF122" s="1527"/>
      <c r="ACG122" s="1527"/>
      <c r="ACH122" s="1527"/>
      <c r="ACJ122" s="759">
        <v>1</v>
      </c>
      <c r="ACK122" s="760"/>
      <c r="ACL122" s="759">
        <v>-1.2</v>
      </c>
      <c r="ACM122" s="760"/>
      <c r="ACN122" s="592">
        <v>38</v>
      </c>
      <c r="ACO122" s="759">
        <f t="shared" si="91"/>
        <v>0.17999999999999994</v>
      </c>
      <c r="ACP122" s="760"/>
      <c r="ACQ122" s="757">
        <f t="shared" si="159"/>
        <v>1.38</v>
      </c>
      <c r="ACR122" s="758"/>
      <c r="ACT122" s="759">
        <v>1.5454545454545501</v>
      </c>
      <c r="ACU122" s="760"/>
      <c r="ACV122" s="759">
        <v>-2.1818181818181799</v>
      </c>
      <c r="ACW122" s="760"/>
      <c r="ACX122" s="591">
        <v>88</v>
      </c>
      <c r="ACY122" s="759">
        <f t="shared" si="92"/>
        <v>0.72363636363637429</v>
      </c>
      <c r="ACZ122" s="760"/>
      <c r="ADA122" s="757">
        <f t="shared" si="160"/>
        <v>1.88</v>
      </c>
      <c r="ADB122" s="758"/>
      <c r="ADD122" s="759">
        <v>1.5454545454545501</v>
      </c>
      <c r="ADE122" s="760"/>
      <c r="ADF122" s="759">
        <v>-2.1818181818181799</v>
      </c>
      <c r="ADG122" s="760"/>
      <c r="ADH122" s="591">
        <v>137</v>
      </c>
      <c r="ADI122" s="759">
        <f t="shared" si="93"/>
        <v>1.4809090909091038</v>
      </c>
      <c r="ADJ122" s="760"/>
      <c r="ADK122" s="757">
        <f t="shared" si="161"/>
        <v>2.37</v>
      </c>
      <c r="ADL122" s="758"/>
      <c r="ADN122" s="759">
        <v>1.5454545454545501</v>
      </c>
      <c r="ADO122" s="760"/>
      <c r="ADP122" s="759">
        <v>-2.1818181818181799</v>
      </c>
      <c r="ADQ122" s="760"/>
      <c r="ADR122" s="591">
        <v>187</v>
      </c>
      <c r="ADS122" s="759">
        <f t="shared" si="94"/>
        <v>2.253636363636379</v>
      </c>
      <c r="ADT122" s="760"/>
      <c r="ADU122" s="757">
        <f t="shared" si="162"/>
        <v>2.87</v>
      </c>
      <c r="ADV122" s="758"/>
      <c r="ADW122" s="653"/>
      <c r="ADX122" s="759">
        <v>1.5454545454545501</v>
      </c>
      <c r="ADY122" s="760"/>
      <c r="ADZ122" s="759">
        <v>-2.1818181818181799</v>
      </c>
      <c r="AEA122" s="760"/>
      <c r="AEB122" s="591">
        <v>237</v>
      </c>
      <c r="AEC122" s="759">
        <f t="shared" si="134"/>
        <v>3.0263636363636541</v>
      </c>
      <c r="AED122" s="760"/>
      <c r="AEE122" s="757">
        <f t="shared" si="163"/>
        <v>3.37</v>
      </c>
      <c r="AEF122" s="758"/>
      <c r="AEH122" s="759">
        <v>1.5454545454545501</v>
      </c>
      <c r="AEI122" s="760"/>
      <c r="AEJ122" s="759">
        <v>-2.1818181818181799</v>
      </c>
      <c r="AEK122" s="760"/>
      <c r="AEL122" s="591">
        <v>287</v>
      </c>
      <c r="AEM122" s="759">
        <f t="shared" si="101"/>
        <v>3.7990909090909293</v>
      </c>
      <c r="AEN122" s="760"/>
      <c r="AEO122" s="757">
        <f t="shared" si="164"/>
        <v>3.87</v>
      </c>
      <c r="AEP122" s="758"/>
      <c r="AGL122" s="850"/>
      <c r="AGM122" s="940" t="s">
        <v>1339</v>
      </c>
      <c r="AGN122" s="941"/>
      <c r="AGO122" s="1156">
        <f>$MM$241</f>
        <v>0.37750130463778836</v>
      </c>
      <c r="AGP122" s="1156"/>
      <c r="AGQ122" s="792" t="s">
        <v>129</v>
      </c>
      <c r="AGR122" s="792"/>
      <c r="AGS122" s="792"/>
      <c r="AGT122" s="792"/>
      <c r="AGU122" s="792"/>
      <c r="AGV122" s="792"/>
      <c r="AGW122" s="792"/>
      <c r="AGX122" s="792"/>
      <c r="AGY122" s="793"/>
      <c r="AGZ122" s="835">
        <f>MM241*AGZ115</f>
        <v>0.28519634407158206</v>
      </c>
      <c r="AHA122" s="836"/>
      <c r="AHB122" s="1188" t="s">
        <v>392</v>
      </c>
      <c r="AHC122" s="1189"/>
      <c r="AHD122" s="1289"/>
      <c r="AHE122" s="1283" t="s">
        <v>1707</v>
      </c>
      <c r="AHF122" s="1283"/>
      <c r="AHG122" s="1283"/>
      <c r="AHH122" s="1289"/>
      <c r="AHI122" s="1052"/>
      <c r="AHJ122" s="1052"/>
      <c r="AHK122" s="1052"/>
      <c r="AHL122" s="1052"/>
      <c r="AHM122" s="1052"/>
      <c r="AHN122" s="1052"/>
      <c r="AHV122" s="130"/>
      <c r="AHW122" s="130"/>
      <c r="AHX122" s="130"/>
      <c r="AHY122" s="130"/>
      <c r="AHZ122" s="130"/>
      <c r="AIA122" s="130"/>
      <c r="AIB122" s="130"/>
      <c r="AIC122" s="130"/>
      <c r="AID122" s="130"/>
      <c r="AIE122" s="130"/>
      <c r="AIF122" s="130"/>
      <c r="AIG122" s="130"/>
      <c r="AIH122" s="130"/>
      <c r="AQO122" s="851"/>
      <c r="AQP122" s="857"/>
      <c r="AQQ122" s="857"/>
      <c r="AQR122" s="857"/>
      <c r="AQS122" s="857"/>
      <c r="AQT122" s="857"/>
      <c r="AQU122" s="857"/>
      <c r="AQV122" s="857"/>
      <c r="AQW122" s="857"/>
      <c r="AQX122" s="857"/>
      <c r="AQY122" s="857"/>
      <c r="AQZ122" s="857"/>
      <c r="ARA122" s="857"/>
      <c r="ARB122" s="857"/>
      <c r="ARC122" s="837"/>
      <c r="ARD122" s="838"/>
      <c r="ARE122" s="777"/>
      <c r="ARF122" s="799"/>
      <c r="ARG122" s="842"/>
      <c r="ARH122" s="845"/>
      <c r="ARI122" s="846"/>
      <c r="ARJ122" s="848"/>
      <c r="ATK122" s="199"/>
      <c r="ATL122" s="852" t="s">
        <v>872</v>
      </c>
      <c r="ATM122" s="923"/>
      <c r="ATN122" s="199"/>
      <c r="ATO122" s="1117" t="s">
        <v>880</v>
      </c>
      <c r="ATP122" s="1118"/>
      <c r="ATQ122" s="1118"/>
      <c r="ATR122" s="1118"/>
      <c r="ATS122" s="1118"/>
      <c r="ATT122" s="1118"/>
      <c r="ATU122" s="1118"/>
      <c r="ATV122" s="1118"/>
      <c r="ATW122" s="1118"/>
      <c r="ATX122" s="1118"/>
      <c r="ATY122" s="1119"/>
      <c r="ATZ122" s="199"/>
    </row>
    <row r="123" spans="60:920 1133:1226" ht="48" customHeight="1" thickBot="1">
      <c r="BM123" s="130"/>
      <c r="BN123" s="130"/>
      <c r="BO123" s="130"/>
      <c r="BP123" s="130"/>
      <c r="BY123" s="653"/>
      <c r="BZ123" s="900"/>
      <c r="CA123" s="901"/>
      <c r="CB123" s="902"/>
      <c r="CC123" s="849"/>
      <c r="CD123" s="768" t="s">
        <v>1825</v>
      </c>
      <c r="CE123" s="762"/>
      <c r="CF123" s="762"/>
      <c r="CG123" s="762"/>
      <c r="CH123" s="762"/>
      <c r="CI123" s="762"/>
      <c r="CJ123" s="762"/>
      <c r="CK123" s="762"/>
      <c r="CL123" s="762"/>
      <c r="CM123" s="762"/>
      <c r="CN123" s="762"/>
      <c r="CO123" s="1668">
        <f xml:space="preserve">
IF(CO119='Программные таблицы'!L64,'Программные таблицы'!J64,
IF(CO119='Программные таблицы'!L65,'Программные таблицы'!J65,
IF(CO119='Программные таблицы'!L66,'Программные таблицы'!J66,
IF(CO119='Программные таблицы'!L67,'Программные таблицы'!J67,
IF(CO119='Программные таблицы'!L68,'Программные таблицы'!J68,
IF(CO119='Программные таблицы'!L69,'Программные таблицы'!J69,
IF(CO119='Программные таблицы'!L70,'Программные таблицы'!J70,
IF(CO119='Программные таблицы'!L71,'Программные таблицы'!J71,
IF(CO119='Программные таблицы'!L72,'Программные таблицы'!J72,
IF(CO119='Программные таблицы'!L73,'Программные таблицы'!J73,
IF(CO119='Программные таблицы'!L74,'Программные таблицы'!J74,
IF(CO119='Программные таблицы'!L75,'Программные таблицы'!J75,
IF(CO119='Программные таблицы'!L76,'Программные таблицы'!J76,
IF(CO119='Программные таблицы'!L77,'Программные таблицы'!J77,
IF(CO119='Программные таблицы'!L78,'Программные таблицы'!J78,
IF(CO119='Программные таблицы'!L79,'Программные таблицы'!J79,
IF(CO119='Программные таблицы'!L80,'Программные таблицы'!J80,
IF(CO119='Программные таблицы'!L81,'Программные таблицы'!J81,
IF(CO119='Программные таблицы'!P64,'Программные таблицы'!N64,
IF(CO119='Программные таблицы'!P65,'Программные таблицы'!N65,
IF(CO119='Программные таблицы'!P66,'Программные таблицы'!N66,
"Вне рамок диапозона значений таблицы 4"
)))))))))))))))))))))</f>
        <v>1.06</v>
      </c>
      <c r="CP123" s="1669"/>
      <c r="CQ123" s="927" t="s">
        <v>45</v>
      </c>
      <c r="CR123" s="928"/>
      <c r="CS123" s="1773"/>
      <c r="CT123" s="1482" t="s">
        <v>958</v>
      </c>
      <c r="CU123" s="1483"/>
      <c r="CV123" s="841"/>
      <c r="DD123" s="130"/>
      <c r="DE123" s="130"/>
      <c r="DG123" s="130"/>
      <c r="DP123" s="130"/>
      <c r="DQ123" s="130"/>
      <c r="DR123" s="130"/>
      <c r="DS123" s="130"/>
      <c r="DT123" s="130"/>
      <c r="DU123" s="130"/>
      <c r="DV123" s="130"/>
      <c r="DW123" s="130"/>
      <c r="DX123" s="130"/>
      <c r="DY123" s="130"/>
      <c r="FF123" s="126"/>
      <c r="GF123" s="850"/>
      <c r="GG123" s="800" t="s">
        <v>1446</v>
      </c>
      <c r="GH123" s="982"/>
      <c r="GI123" s="926">
        <f>$GV$89</f>
        <v>30.233859458483881</v>
      </c>
      <c r="GJ123" s="1182"/>
      <c r="GK123" s="953" t="s">
        <v>990</v>
      </c>
      <c r="GL123" s="968"/>
      <c r="GM123" s="1167">
        <f>1.25*GV89</f>
        <v>37.79232432310485</v>
      </c>
      <c r="GN123" s="840"/>
      <c r="GO123" s="931" t="s">
        <v>45</v>
      </c>
      <c r="GP123" s="932"/>
      <c r="GQ123" s="1066"/>
      <c r="GR123" s="1170" t="s">
        <v>1093</v>
      </c>
      <c r="GS123" s="1172"/>
      <c r="GT123" s="1255"/>
      <c r="GU123" s="1052"/>
      <c r="GV123" s="1052"/>
      <c r="GW123" s="1052"/>
      <c r="GX123" s="1052"/>
      <c r="GY123" s="1052"/>
      <c r="HI123" s="130"/>
      <c r="HJ123" s="130"/>
      <c r="HK123" s="130"/>
      <c r="HL123" s="130"/>
      <c r="HM123" s="130"/>
      <c r="HN123" s="220"/>
      <c r="HO123" s="130"/>
      <c r="HP123" s="130"/>
      <c r="HQ123" s="130"/>
      <c r="HR123" s="130"/>
      <c r="IE123" s="130"/>
      <c r="IF123" s="130"/>
      <c r="IG123" s="130"/>
      <c r="IH123" s="130"/>
      <c r="II123" s="130"/>
      <c r="JW123" s="130"/>
      <c r="JZ123" s="130"/>
      <c r="KA123" s="130"/>
      <c r="KB123" s="130"/>
      <c r="KC123" s="130"/>
      <c r="KD123" s="130"/>
      <c r="KE123" s="130"/>
      <c r="KF123" s="130"/>
      <c r="KG123" s="130"/>
      <c r="KH123" s="130"/>
      <c r="KI123" s="130"/>
      <c r="KJ123" s="130"/>
      <c r="KK123" s="130"/>
      <c r="KL123" s="130"/>
      <c r="KM123" s="130"/>
      <c r="KN123" s="130"/>
      <c r="KO123" s="130"/>
      <c r="LJ123" s="653"/>
      <c r="LK123" s="653"/>
      <c r="LL123" s="653"/>
      <c r="LM123" s="653"/>
      <c r="LN123" s="653"/>
      <c r="LO123" s="653"/>
      <c r="LP123" s="653"/>
      <c r="LQ123" s="653"/>
      <c r="LR123" s="653"/>
      <c r="LS123" s="130"/>
      <c r="LX123" s="377"/>
      <c r="LY123" s="373"/>
      <c r="LZ123" s="54"/>
      <c r="MA123" s="382" t="s">
        <v>1298</v>
      </c>
      <c r="MB123" s="849"/>
      <c r="MC123" s="1359" t="s">
        <v>425</v>
      </c>
      <c r="MD123" s="1370">
        <f>MP119</f>
        <v>1</v>
      </c>
      <c r="ME123" s="1371"/>
      <c r="MF123" s="797" t="s">
        <v>1300</v>
      </c>
      <c r="MG123" s="797"/>
      <c r="MH123" s="797"/>
      <c r="MI123" s="797"/>
      <c r="MJ123" s="797"/>
      <c r="MK123" s="797"/>
      <c r="ML123" s="797"/>
      <c r="MM123" s="797"/>
      <c r="MN123" s="797"/>
      <c r="MO123" s="798"/>
      <c r="MP123" s="1404">
        <f>IF(AND(ML111&gt;MM115,OR(ML111&lt;MQ115,MQ115=ML111)),0.25*(1+3*MP119)," Другая формула")</f>
        <v>1</v>
      </c>
      <c r="MQ123" s="1405"/>
      <c r="MR123" s="1183" t="s">
        <v>729</v>
      </c>
      <c r="MS123" s="1184"/>
      <c r="MT123" s="1066"/>
      <c r="MU123" s="893" t="s">
        <v>1286</v>
      </c>
      <c r="MV123" s="1081"/>
      <c r="MW123" s="894"/>
      <c r="MX123" s="847"/>
      <c r="MY123" s="1066"/>
      <c r="MZ123" s="893" t="s">
        <v>1292</v>
      </c>
      <c r="NA123" s="1081"/>
      <c r="NB123" s="847"/>
      <c r="NC123" s="1052"/>
      <c r="ND123" s="1052"/>
      <c r="NE123" s="1052"/>
      <c r="NF123" s="1052"/>
      <c r="NG123" s="1052"/>
      <c r="NH123" s="1052"/>
      <c r="NI123" s="1052"/>
      <c r="NJ123" s="373"/>
      <c r="NK123" s="373"/>
      <c r="NL123" s="373"/>
      <c r="NM123" s="849"/>
      <c r="NN123" s="1359" t="s">
        <v>425</v>
      </c>
      <c r="NO123" s="1370" t="str">
        <f>OA119</f>
        <v>Другая формула</v>
      </c>
      <c r="NP123" s="1371"/>
      <c r="NQ123" s="797" t="s">
        <v>1280</v>
      </c>
      <c r="NR123" s="797"/>
      <c r="NS123" s="797"/>
      <c r="NT123" s="797"/>
      <c r="NU123" s="797"/>
      <c r="NV123" s="797"/>
      <c r="NW123" s="797"/>
      <c r="NX123" s="797"/>
      <c r="NY123" s="797"/>
      <c r="NZ123" s="798"/>
      <c r="OA123" s="1382" t="e">
        <f>0.25*(6*OA119-1)</f>
        <v>#VALUE!</v>
      </c>
      <c r="OB123" s="1383"/>
      <c r="OC123" s="1183" t="s">
        <v>729</v>
      </c>
      <c r="OD123" s="1184"/>
      <c r="OE123" s="1066"/>
      <c r="OF123" s="893" t="s">
        <v>1287</v>
      </c>
      <c r="OG123" s="1081"/>
      <c r="OH123" s="894"/>
      <c r="OI123" s="847"/>
      <c r="OJ123" s="1066"/>
      <c r="OK123" s="893" t="s">
        <v>1292</v>
      </c>
      <c r="OL123" s="1081"/>
      <c r="OM123" s="847"/>
      <c r="ON123" s="826"/>
      <c r="OO123" s="945"/>
      <c r="OP123" s="945"/>
      <c r="OQ123" s="945"/>
      <c r="OR123" s="945"/>
      <c r="OS123" s="946"/>
      <c r="OT123" s="373"/>
      <c r="OU123" s="374"/>
      <c r="OX123" s="130"/>
      <c r="OY123" s="130"/>
      <c r="OZ123" s="130"/>
      <c r="PA123" s="130"/>
      <c r="PB123" s="130"/>
      <c r="PC123" s="130"/>
      <c r="PD123" s="130"/>
      <c r="PE123" s="130"/>
      <c r="PF123" s="130"/>
      <c r="PG123" s="130"/>
      <c r="PH123" s="130"/>
      <c r="PN123" s="466"/>
      <c r="PO123" s="852" t="s">
        <v>1517</v>
      </c>
      <c r="PP123" s="923"/>
      <c r="PQ123" s="466"/>
      <c r="PR123" s="1069" t="s">
        <v>1525</v>
      </c>
      <c r="PS123" s="1070"/>
      <c r="PT123" s="1070"/>
      <c r="PU123" s="1070"/>
      <c r="PV123" s="1070"/>
      <c r="PW123" s="1070"/>
      <c r="PX123" s="1070"/>
      <c r="PY123" s="1070"/>
      <c r="PZ123" s="1070"/>
      <c r="QA123" s="1070"/>
      <c r="QB123" s="1071"/>
      <c r="QC123" s="466"/>
      <c r="QV123" s="130"/>
      <c r="QW123" s="130"/>
      <c r="QX123" s="130"/>
      <c r="QY123" s="130"/>
      <c r="QZ123" s="130"/>
      <c r="RA123" s="130"/>
      <c r="RB123" s="130"/>
      <c r="RC123" s="130"/>
      <c r="RD123" s="130"/>
      <c r="RE123" s="130"/>
      <c r="RF123" s="130"/>
      <c r="RG123" s="130"/>
      <c r="RH123" s="130"/>
      <c r="RI123" s="130"/>
      <c r="RJ123" s="130"/>
      <c r="RK123" s="130"/>
      <c r="RL123" s="130"/>
      <c r="RM123" s="130"/>
      <c r="RN123" s="130"/>
      <c r="RO123" s="130"/>
      <c r="RP123" s="130"/>
      <c r="RQ123" s="130"/>
      <c r="RR123" s="130"/>
      <c r="RS123" s="130"/>
      <c r="RT123" s="130"/>
      <c r="RU123" s="130"/>
      <c r="RV123" s="130"/>
      <c r="RW123" s="130"/>
      <c r="RX123" s="130"/>
      <c r="RY123" s="130"/>
      <c r="RZ123" s="130"/>
      <c r="SA123" s="130"/>
      <c r="SB123" s="130"/>
      <c r="SC123" s="130"/>
      <c r="SD123" s="130"/>
      <c r="SE123" s="130"/>
      <c r="SF123" s="130"/>
      <c r="VD123" s="1069" t="s">
        <v>1587</v>
      </c>
      <c r="VE123" s="1070"/>
      <c r="VF123" s="1070"/>
      <c r="VG123" s="1070"/>
      <c r="VH123" s="1070"/>
      <c r="VI123" s="1070"/>
      <c r="VJ123" s="1070"/>
      <c r="VK123" s="1070"/>
      <c r="VL123" s="1070"/>
      <c r="VM123" s="1070"/>
      <c r="VN123" s="1070"/>
      <c r="VO123" s="1070"/>
      <c r="VP123" s="1070"/>
      <c r="VQ123" s="1070"/>
      <c r="VR123" s="1070"/>
      <c r="VS123" s="1070"/>
      <c r="VT123" s="1070"/>
      <c r="VU123" s="1070"/>
      <c r="VV123" s="1070"/>
      <c r="VW123" s="1070"/>
      <c r="VX123" s="1071"/>
      <c r="VY123" s="1124"/>
      <c r="VZ123" s="1126"/>
      <c r="WE123" s="996"/>
      <c r="WF123" s="997"/>
      <c r="WG123" s="175"/>
      <c r="WH123" s="173"/>
      <c r="WI123" s="173"/>
      <c r="WJ123" s="173"/>
      <c r="WK123" s="173"/>
      <c r="WL123" s="173"/>
      <c r="WM123" s="173"/>
      <c r="WN123" s="173"/>
      <c r="WO123" s="173"/>
      <c r="WP123" s="173"/>
      <c r="WQ123" s="173"/>
      <c r="WR123" s="173"/>
      <c r="WS123" s="173"/>
      <c r="WT123" s="173"/>
      <c r="WU123" s="173"/>
      <c r="WV123" s="173"/>
      <c r="WW123" s="173"/>
      <c r="WX123" s="173"/>
      <c r="WY123" s="174"/>
      <c r="WZ123" s="1587"/>
      <c r="XA123" s="1588"/>
      <c r="XB123" s="960"/>
      <c r="XC123" s="1101"/>
      <c r="XD123" s="1101"/>
      <c r="XE123" s="1101"/>
      <c r="XF123" s="961"/>
      <c r="XG123" s="859"/>
      <c r="XH123" s="859"/>
      <c r="XI123" s="859"/>
      <c r="XJ123" s="859"/>
      <c r="XK123" s="859"/>
      <c r="XL123" s="859"/>
      <c r="XM123" s="859"/>
      <c r="XN123" s="859"/>
      <c r="XO123" s="859"/>
      <c r="XP123" s="859"/>
      <c r="XQ123" s="859"/>
      <c r="XR123" s="859"/>
      <c r="XS123" s="859"/>
      <c r="XT123" s="859"/>
      <c r="XU123" s="859"/>
      <c r="XV123" s="859"/>
      <c r="XW123" s="859"/>
      <c r="XX123" s="859"/>
      <c r="XY123" s="859"/>
      <c r="XZ123" s="859"/>
      <c r="YA123" s="859"/>
      <c r="YB123" s="859"/>
      <c r="YC123" s="859"/>
      <c r="YD123" s="859"/>
      <c r="YE123" s="859"/>
      <c r="YF123" s="859"/>
      <c r="YG123" s="859"/>
      <c r="YH123" s="859"/>
      <c r="YI123" s="859"/>
      <c r="YJ123" s="859"/>
      <c r="YK123" s="859"/>
      <c r="YL123" s="859"/>
      <c r="YM123" s="859"/>
      <c r="YN123" s="859"/>
      <c r="YO123" s="859"/>
      <c r="YP123" s="859"/>
      <c r="YQ123" s="859"/>
      <c r="YR123" s="859"/>
      <c r="YS123" s="859"/>
      <c r="YT123" s="859"/>
      <c r="YU123" s="859"/>
      <c r="YV123" s="859"/>
      <c r="YW123" s="859"/>
      <c r="YX123" s="859"/>
      <c r="YY123" s="859"/>
      <c r="YZ123" s="859"/>
      <c r="ZA123" s="859"/>
      <c r="ZB123" s="859"/>
      <c r="ZC123" s="859"/>
      <c r="ZD123" s="859"/>
      <c r="ZE123" s="859"/>
      <c r="ZF123" s="859"/>
      <c r="ZG123" s="859"/>
      <c r="ZH123" s="859"/>
      <c r="ZI123" s="859"/>
      <c r="ZJ123" s="859"/>
      <c r="ZK123" s="859"/>
      <c r="ZL123" s="859"/>
      <c r="ZM123" s="859"/>
      <c r="ZN123" s="859"/>
      <c r="ZO123" s="859"/>
      <c r="ZP123" s="859"/>
      <c r="ZQ123" s="859"/>
      <c r="ZR123" s="859"/>
      <c r="ZS123" s="859"/>
      <c r="ZT123" s="859"/>
      <c r="ZU123" s="859"/>
      <c r="ZV123" s="859"/>
      <c r="ZW123" s="859"/>
      <c r="ZX123" s="859"/>
      <c r="ZY123" s="859"/>
      <c r="ZZ123" s="859"/>
      <c r="AAA123" s="859"/>
      <c r="AAB123" s="859"/>
      <c r="AAC123" s="859"/>
      <c r="AAD123" s="859"/>
      <c r="AAE123" s="859"/>
      <c r="AAF123" s="859"/>
      <c r="AAG123" s="859"/>
      <c r="AAH123" s="859"/>
      <c r="AAI123" s="859"/>
      <c r="AAJ123" s="859"/>
      <c r="AAK123" s="859"/>
      <c r="AAL123" s="859"/>
      <c r="AAM123" s="859"/>
      <c r="AAN123" s="859"/>
      <c r="AAO123" s="859"/>
      <c r="AAP123" s="859"/>
      <c r="AAQ123" s="859"/>
      <c r="AAR123" s="859"/>
      <c r="AAS123" s="859"/>
      <c r="AAT123" s="1006"/>
      <c r="AAU123" s="960"/>
      <c r="AAV123" s="1101"/>
      <c r="AAW123" s="1101"/>
      <c r="AAX123" s="1101"/>
      <c r="AAY123" s="1101"/>
      <c r="AAZ123" s="1101"/>
      <c r="ABA123" s="1101"/>
      <c r="ABB123" s="1101"/>
      <c r="ABC123" s="1101"/>
      <c r="ABD123" s="1101"/>
      <c r="ABE123" s="1101"/>
      <c r="ABF123" s="1101"/>
      <c r="ABG123" s="1101"/>
      <c r="ABH123" s="1101"/>
      <c r="ABI123" s="1101"/>
      <c r="ABJ123" s="1101"/>
      <c r="ABK123" s="1101"/>
      <c r="ABL123" s="1101"/>
      <c r="ABM123" s="1101"/>
      <c r="ABN123" s="1101"/>
      <c r="ABO123" s="1101"/>
      <c r="ABP123" s="961"/>
      <c r="ABX123" s="1527"/>
      <c r="ABY123" s="1527"/>
      <c r="ABZ123" s="1527"/>
      <c r="ACA123" s="1527"/>
      <c r="ACB123" s="1527"/>
      <c r="ACC123" s="1527"/>
      <c r="ACD123" s="1527"/>
      <c r="ACE123" s="1527"/>
      <c r="ACF123" s="1527"/>
      <c r="ACG123" s="1527"/>
      <c r="ACH123" s="1527"/>
      <c r="ACJ123" s="759">
        <v>1</v>
      </c>
      <c r="ACK123" s="760"/>
      <c r="ACL123" s="759">
        <v>-1.2</v>
      </c>
      <c r="ACM123" s="760"/>
      <c r="ACN123" s="592">
        <v>39</v>
      </c>
      <c r="ACO123" s="759">
        <f t="shared" si="91"/>
        <v>0.19000000000000017</v>
      </c>
      <c r="ACP123" s="760"/>
      <c r="ACQ123" s="757">
        <f t="shared" si="159"/>
        <v>1.3900000000000001</v>
      </c>
      <c r="ACR123" s="758"/>
      <c r="ACT123" s="759">
        <v>1.5454545454545501</v>
      </c>
      <c r="ACU123" s="760"/>
      <c r="ACV123" s="759">
        <v>-2.1818181818181799</v>
      </c>
      <c r="ACW123" s="760"/>
      <c r="ACX123" s="591">
        <v>89</v>
      </c>
      <c r="ACY123" s="759">
        <f t="shared" si="92"/>
        <v>0.7390909090909199</v>
      </c>
      <c r="ACZ123" s="760"/>
      <c r="ADA123" s="757">
        <f t="shared" si="160"/>
        <v>1.8900000000000001</v>
      </c>
      <c r="ADB123" s="758"/>
      <c r="ADD123" s="759">
        <v>1.5454545454545501</v>
      </c>
      <c r="ADE123" s="760"/>
      <c r="ADF123" s="759">
        <v>-2.1818181818181799</v>
      </c>
      <c r="ADG123" s="760"/>
      <c r="ADH123" s="591">
        <v>138</v>
      </c>
      <c r="ADI123" s="759">
        <f t="shared" si="93"/>
        <v>1.496363636363649</v>
      </c>
      <c r="ADJ123" s="760"/>
      <c r="ADK123" s="757">
        <f t="shared" si="161"/>
        <v>2.38</v>
      </c>
      <c r="ADL123" s="758"/>
      <c r="ADN123" s="759">
        <v>1.5454545454545501</v>
      </c>
      <c r="ADO123" s="760"/>
      <c r="ADP123" s="759">
        <v>-2.1818181818181799</v>
      </c>
      <c r="ADQ123" s="760"/>
      <c r="ADR123" s="591">
        <v>188</v>
      </c>
      <c r="ADS123" s="759">
        <f t="shared" si="94"/>
        <v>2.2690909090909246</v>
      </c>
      <c r="ADT123" s="760"/>
      <c r="ADU123" s="757">
        <f t="shared" si="162"/>
        <v>2.88</v>
      </c>
      <c r="ADV123" s="758"/>
      <c r="ADW123" s="653"/>
      <c r="ADX123" s="759">
        <v>1.5454545454545501</v>
      </c>
      <c r="ADY123" s="760"/>
      <c r="ADZ123" s="759">
        <v>-2.1818181818181799</v>
      </c>
      <c r="AEA123" s="760"/>
      <c r="AEB123" s="591">
        <v>238</v>
      </c>
      <c r="AEC123" s="759">
        <f t="shared" si="134"/>
        <v>3.0418181818181989</v>
      </c>
      <c r="AED123" s="760"/>
      <c r="AEE123" s="757">
        <f t="shared" si="163"/>
        <v>3.38</v>
      </c>
      <c r="AEF123" s="758"/>
      <c r="AEH123" s="759">
        <v>1.5454545454545501</v>
      </c>
      <c r="AEI123" s="760"/>
      <c r="AEJ123" s="759">
        <v>-2.1818181818181799</v>
      </c>
      <c r="AEK123" s="760"/>
      <c r="AEL123" s="591">
        <v>288</v>
      </c>
      <c r="AEM123" s="759">
        <f t="shared" si="101"/>
        <v>3.814545454545474</v>
      </c>
      <c r="AEN123" s="760"/>
      <c r="AEO123" s="757">
        <f t="shared" si="164"/>
        <v>3.88</v>
      </c>
      <c r="AEP123" s="758"/>
      <c r="AGL123" s="851"/>
      <c r="AGM123" s="802" t="s">
        <v>1479</v>
      </c>
      <c r="AGN123" s="803"/>
      <c r="AGO123" s="1108">
        <f>$AGZ$115</f>
        <v>0.75548439321349448</v>
      </c>
      <c r="AGP123" s="1109"/>
      <c r="AGQ123" s="795"/>
      <c r="AGR123" s="795"/>
      <c r="AGS123" s="795"/>
      <c r="AGT123" s="795"/>
      <c r="AGU123" s="795"/>
      <c r="AGV123" s="795"/>
      <c r="AGW123" s="795"/>
      <c r="AGX123" s="795"/>
      <c r="AGY123" s="796"/>
      <c r="AGZ123" s="837"/>
      <c r="AHA123" s="838"/>
      <c r="AHB123" s="1190"/>
      <c r="AHC123" s="1191"/>
      <c r="AHD123" s="1290"/>
      <c r="AHE123" s="1284"/>
      <c r="AHF123" s="1284"/>
      <c r="AHG123" s="1284"/>
      <c r="AHH123" s="1290"/>
      <c r="AHI123" s="1053"/>
      <c r="AHJ123" s="1053"/>
      <c r="AHK123" s="1053"/>
      <c r="AHL123" s="1053"/>
      <c r="AHM123" s="1053"/>
      <c r="AHN123" s="1053"/>
      <c r="AHR123" s="130"/>
      <c r="AHS123" s="130"/>
      <c r="AHT123" s="130"/>
      <c r="AHU123" s="130"/>
      <c r="AHV123" s="130"/>
      <c r="AHW123" s="130"/>
      <c r="AHX123" s="130"/>
      <c r="AHY123" s="130"/>
      <c r="AHZ123" s="130"/>
      <c r="AIA123" s="130"/>
      <c r="AIB123" s="130"/>
      <c r="AIC123" s="130"/>
      <c r="AID123" s="130"/>
      <c r="AIE123" s="130"/>
      <c r="AIF123" s="130"/>
      <c r="AIG123" s="130"/>
      <c r="AIH123" s="130"/>
      <c r="ARU123" s="136"/>
      <c r="ARV123" s="891"/>
      <c r="ARW123" s="891"/>
      <c r="ARX123" s="891"/>
      <c r="ARY123" s="891"/>
      <c r="ARZ123" s="891"/>
      <c r="ASA123" s="891"/>
      <c r="ASB123" s="891"/>
      <c r="ASC123" s="891"/>
      <c r="ASD123" s="891"/>
      <c r="ASE123" s="891"/>
      <c r="ASF123" s="891"/>
      <c r="ASG123" s="891"/>
      <c r="ASH123" s="891"/>
      <c r="ASI123" s="891"/>
      <c r="ASJ123" s="891"/>
      <c r="ASK123" s="891"/>
      <c r="ASL123" s="891"/>
      <c r="ASM123" s="891"/>
      <c r="ASN123" s="891"/>
      <c r="ASO123" s="891"/>
      <c r="ASP123" s="891"/>
      <c r="ASQ123" s="891"/>
      <c r="ASR123" s="891"/>
      <c r="ASS123" s="891"/>
      <c r="AST123" s="891"/>
      <c r="ASU123" s="891"/>
      <c r="ASV123" s="891"/>
      <c r="ASW123" s="891"/>
      <c r="ASX123" s="891"/>
      <c r="ASY123" s="891"/>
      <c r="ASZ123" s="891"/>
      <c r="ATA123" s="891"/>
      <c r="ATB123" s="891"/>
      <c r="ATC123" s="891"/>
      <c r="ATD123" s="891"/>
      <c r="ATE123" s="891"/>
      <c r="ATF123" s="136"/>
    </row>
    <row r="124" spans="60:920 1133:1226" ht="48" customHeight="1" thickBot="1">
      <c r="BM124" s="130"/>
      <c r="BN124" s="130"/>
      <c r="BO124" s="130"/>
      <c r="BP124" s="130"/>
      <c r="BY124" s="653"/>
      <c r="BZ124" s="903"/>
      <c r="CA124" s="904"/>
      <c r="CB124" s="905"/>
      <c r="CC124" s="851"/>
      <c r="CD124" s="769"/>
      <c r="CE124" s="764"/>
      <c r="CF124" s="764"/>
      <c r="CG124" s="764"/>
      <c r="CH124" s="764"/>
      <c r="CI124" s="764"/>
      <c r="CJ124" s="764"/>
      <c r="CK124" s="764"/>
      <c r="CL124" s="764"/>
      <c r="CM124" s="764"/>
      <c r="CN124" s="764"/>
      <c r="CO124" s="1670"/>
      <c r="CP124" s="1671"/>
      <c r="CQ124" s="929"/>
      <c r="CR124" s="930"/>
      <c r="CS124" s="1774"/>
      <c r="CT124" s="1484"/>
      <c r="CU124" s="1485"/>
      <c r="CV124" s="842"/>
      <c r="DD124" s="130"/>
      <c r="DE124" s="130"/>
      <c r="DG124" s="130"/>
      <c r="DP124" s="130"/>
      <c r="DQ124" s="130"/>
      <c r="DR124" s="130"/>
      <c r="DS124" s="130"/>
      <c r="DT124" s="130"/>
      <c r="DU124" s="130"/>
      <c r="DV124" s="130"/>
      <c r="DW124" s="130"/>
      <c r="DX124" s="130"/>
      <c r="DY124" s="130"/>
      <c r="FF124" s="126"/>
      <c r="GF124" s="851"/>
      <c r="GG124" s="1060"/>
      <c r="GH124" s="1061"/>
      <c r="GI124" s="1061"/>
      <c r="GJ124" s="1062"/>
      <c r="GK124" s="955"/>
      <c r="GL124" s="969"/>
      <c r="GM124" s="1169"/>
      <c r="GN124" s="799"/>
      <c r="GO124" s="933"/>
      <c r="GP124" s="934"/>
      <c r="GQ124" s="1067"/>
      <c r="GR124" s="1173"/>
      <c r="GS124" s="1175"/>
      <c r="GT124" s="1256"/>
      <c r="GU124" s="1053"/>
      <c r="GV124" s="1053"/>
      <c r="GW124" s="1053"/>
      <c r="GX124" s="1053"/>
      <c r="GY124" s="1053"/>
      <c r="HI124" s="130"/>
      <c r="HJ124" s="130"/>
      <c r="HK124" s="130"/>
      <c r="HL124" s="130"/>
      <c r="HM124" s="130"/>
      <c r="HN124" s="220"/>
      <c r="HO124" s="130"/>
      <c r="HP124" s="130"/>
      <c r="HQ124" s="130"/>
      <c r="HR124" s="130"/>
      <c r="IE124" s="130"/>
      <c r="IF124" s="130"/>
      <c r="IG124" s="130"/>
      <c r="IH124" s="130"/>
      <c r="II124" s="130"/>
      <c r="JW124" s="130"/>
      <c r="JZ124" s="130"/>
      <c r="KA124" s="130"/>
      <c r="KB124" s="130"/>
      <c r="KC124" s="130"/>
      <c r="KD124" s="130"/>
      <c r="KE124" s="130"/>
      <c r="KF124" s="130"/>
      <c r="KG124" s="130"/>
      <c r="KH124" s="130"/>
      <c r="KI124" s="130"/>
      <c r="KJ124" s="130"/>
      <c r="KK124" s="130"/>
      <c r="KL124" s="130"/>
      <c r="KM124" s="130"/>
      <c r="KN124" s="130"/>
      <c r="KO124" s="130"/>
      <c r="LJ124" s="653"/>
      <c r="LK124" s="653"/>
      <c r="LL124" s="653"/>
      <c r="LM124" s="653"/>
      <c r="LN124" s="653"/>
      <c r="LO124" s="653"/>
      <c r="LP124" s="653"/>
      <c r="LQ124" s="653"/>
      <c r="LR124" s="653"/>
      <c r="LS124" s="130"/>
      <c r="LX124" s="377"/>
      <c r="LY124" s="373"/>
      <c r="LZ124" s="373"/>
      <c r="MA124" s="373"/>
      <c r="MB124" s="851"/>
      <c r="MC124" s="1360"/>
      <c r="MD124" s="1372"/>
      <c r="ME124" s="1373"/>
      <c r="MF124" s="778"/>
      <c r="MG124" s="778"/>
      <c r="MH124" s="778"/>
      <c r="MI124" s="778"/>
      <c r="MJ124" s="778"/>
      <c r="MK124" s="778"/>
      <c r="ML124" s="778"/>
      <c r="MM124" s="778"/>
      <c r="MN124" s="778"/>
      <c r="MO124" s="799"/>
      <c r="MP124" s="1406"/>
      <c r="MQ124" s="796"/>
      <c r="MR124" s="1185"/>
      <c r="MS124" s="1186"/>
      <c r="MT124" s="1067"/>
      <c r="MU124" s="918"/>
      <c r="MV124" s="1082"/>
      <c r="MW124" s="919"/>
      <c r="MX124" s="848"/>
      <c r="MY124" s="1067"/>
      <c r="MZ124" s="918"/>
      <c r="NA124" s="1082"/>
      <c r="NB124" s="848"/>
      <c r="NC124" s="1053"/>
      <c r="ND124" s="1053"/>
      <c r="NE124" s="1053"/>
      <c r="NF124" s="1053"/>
      <c r="NG124" s="1053"/>
      <c r="NH124" s="1053"/>
      <c r="NI124" s="1053"/>
      <c r="NJ124" s="373"/>
      <c r="NK124" s="373"/>
      <c r="NL124" s="373"/>
      <c r="NM124" s="851"/>
      <c r="NN124" s="1360"/>
      <c r="NO124" s="1372"/>
      <c r="NP124" s="1373"/>
      <c r="NQ124" s="778"/>
      <c r="NR124" s="778"/>
      <c r="NS124" s="778"/>
      <c r="NT124" s="778"/>
      <c r="NU124" s="778"/>
      <c r="NV124" s="778"/>
      <c r="NW124" s="778"/>
      <c r="NX124" s="778"/>
      <c r="NY124" s="778"/>
      <c r="NZ124" s="799"/>
      <c r="OA124" s="1384"/>
      <c r="OB124" s="1385"/>
      <c r="OC124" s="1185"/>
      <c r="OD124" s="1186"/>
      <c r="OE124" s="1067"/>
      <c r="OF124" s="918"/>
      <c r="OG124" s="1082"/>
      <c r="OH124" s="919"/>
      <c r="OI124" s="848"/>
      <c r="OJ124" s="1067"/>
      <c r="OK124" s="918"/>
      <c r="OL124" s="1082"/>
      <c r="OM124" s="848"/>
      <c r="ON124" s="828"/>
      <c r="OO124" s="949"/>
      <c r="OP124" s="949"/>
      <c r="OQ124" s="949"/>
      <c r="OR124" s="949"/>
      <c r="OS124" s="950"/>
      <c r="OT124" s="373"/>
      <c r="OU124" s="374"/>
      <c r="OX124" s="130"/>
      <c r="OY124" s="130"/>
      <c r="OZ124" s="130"/>
      <c r="PA124" s="130"/>
      <c r="PB124" s="130"/>
      <c r="PC124" s="130"/>
      <c r="PD124" s="130"/>
      <c r="PE124" s="130"/>
      <c r="PF124" s="130"/>
      <c r="PG124" s="130"/>
      <c r="PH124" s="130"/>
      <c r="QV124" s="130"/>
      <c r="QW124" s="130"/>
      <c r="QX124" s="130"/>
      <c r="QY124" s="130"/>
      <c r="QZ124" s="130"/>
      <c r="RA124" s="130"/>
      <c r="RB124" s="130"/>
      <c r="RC124" s="130"/>
      <c r="RD124" s="130"/>
      <c r="RE124" s="130"/>
      <c r="RF124" s="130"/>
      <c r="RG124" s="130"/>
      <c r="RH124" s="130"/>
      <c r="RI124" s="130"/>
      <c r="RJ124" s="130"/>
      <c r="RK124" s="130"/>
      <c r="RL124" s="130"/>
      <c r="RM124" s="130"/>
      <c r="RN124" s="130"/>
      <c r="RO124" s="130"/>
      <c r="RP124" s="130"/>
      <c r="RQ124" s="130"/>
      <c r="RR124" s="130"/>
      <c r="RS124" s="130"/>
      <c r="RT124" s="130"/>
      <c r="RU124" s="130"/>
      <c r="RV124" s="130"/>
      <c r="RW124" s="130"/>
      <c r="RX124" s="130"/>
      <c r="RY124" s="130"/>
      <c r="RZ124" s="130"/>
      <c r="SA124" s="130"/>
      <c r="SB124" s="130"/>
      <c r="SC124" s="130"/>
      <c r="SD124" s="130"/>
      <c r="SE124" s="130"/>
      <c r="SF124" s="130"/>
      <c r="VD124" s="1023"/>
      <c r="VE124" s="1024"/>
      <c r="VF124" s="1024"/>
      <c r="VG124" s="1024"/>
      <c r="VH124" s="1024"/>
      <c r="VI124" s="1024"/>
      <c r="VJ124" s="1024"/>
      <c r="VK124" s="1024"/>
      <c r="VL124" s="1024"/>
      <c r="VM124" s="1024"/>
      <c r="VN124" s="1024"/>
      <c r="VO124" s="1024"/>
      <c r="VP124" s="1024"/>
      <c r="VQ124" s="1024"/>
      <c r="VR124" s="1024"/>
      <c r="VS124" s="1024"/>
      <c r="VT124" s="1024"/>
      <c r="VU124" s="1024"/>
      <c r="VV124" s="1024"/>
      <c r="VW124" s="1024"/>
      <c r="VX124" s="1024"/>
      <c r="VY124" s="1024"/>
      <c r="VZ124" s="1025"/>
      <c r="WE124" s="996"/>
      <c r="WF124" s="997"/>
      <c r="WG124" s="175"/>
      <c r="WH124" s="173"/>
      <c r="WI124" s="173"/>
      <c r="WJ124" s="173"/>
      <c r="WK124" s="173"/>
      <c r="WL124" s="173"/>
      <c r="WM124" s="173"/>
      <c r="WN124" s="173"/>
      <c r="WO124" s="173"/>
      <c r="WP124" s="173"/>
      <c r="WQ124" s="173"/>
      <c r="WR124" s="173"/>
      <c r="WS124" s="173"/>
      <c r="WT124" s="173"/>
      <c r="WU124" s="173"/>
      <c r="WV124" s="173"/>
      <c r="WW124" s="173"/>
      <c r="WX124" s="173"/>
      <c r="WY124" s="174"/>
      <c r="WZ124" s="1587"/>
      <c r="XA124" s="1588"/>
      <c r="XB124" s="960"/>
      <c r="XC124" s="1101"/>
      <c r="XD124" s="1101"/>
      <c r="XE124" s="1101"/>
      <c r="XF124" s="961"/>
      <c r="XG124" s="859"/>
      <c r="XH124" s="859"/>
      <c r="XI124" s="859"/>
      <c r="XJ124" s="859"/>
      <c r="XK124" s="859"/>
      <c r="XL124" s="859"/>
      <c r="XM124" s="859"/>
      <c r="XN124" s="859"/>
      <c r="XO124" s="859"/>
      <c r="XP124" s="859"/>
      <c r="XQ124" s="859"/>
      <c r="XR124" s="859"/>
      <c r="XS124" s="859"/>
      <c r="XT124" s="859"/>
      <c r="XU124" s="859"/>
      <c r="XV124" s="859"/>
      <c r="XW124" s="859"/>
      <c r="XX124" s="859"/>
      <c r="XY124" s="859"/>
      <c r="XZ124" s="859"/>
      <c r="YA124" s="859"/>
      <c r="YB124" s="859"/>
      <c r="YC124" s="859"/>
      <c r="YD124" s="859"/>
      <c r="YE124" s="859"/>
      <c r="YF124" s="859"/>
      <c r="YG124" s="859"/>
      <c r="YH124" s="859"/>
      <c r="YI124" s="859"/>
      <c r="YJ124" s="859"/>
      <c r="YK124" s="859"/>
      <c r="YL124" s="859"/>
      <c r="YM124" s="859"/>
      <c r="YN124" s="859"/>
      <c r="YO124" s="859"/>
      <c r="YP124" s="859"/>
      <c r="YQ124" s="859"/>
      <c r="YR124" s="859"/>
      <c r="YS124" s="859"/>
      <c r="YT124" s="859"/>
      <c r="YU124" s="859"/>
      <c r="YV124" s="859"/>
      <c r="YW124" s="859"/>
      <c r="YX124" s="859"/>
      <c r="YY124" s="859"/>
      <c r="YZ124" s="859"/>
      <c r="ZA124" s="859"/>
      <c r="ZB124" s="859"/>
      <c r="ZC124" s="859"/>
      <c r="ZD124" s="859"/>
      <c r="ZE124" s="859"/>
      <c r="ZF124" s="859"/>
      <c r="ZG124" s="859"/>
      <c r="ZH124" s="859"/>
      <c r="ZI124" s="859"/>
      <c r="ZJ124" s="859"/>
      <c r="ZK124" s="859"/>
      <c r="ZL124" s="859"/>
      <c r="ZM124" s="859"/>
      <c r="ZN124" s="859"/>
      <c r="ZO124" s="859"/>
      <c r="ZP124" s="859"/>
      <c r="ZQ124" s="859"/>
      <c r="ZR124" s="859"/>
      <c r="ZS124" s="859"/>
      <c r="ZT124" s="859"/>
      <c r="ZU124" s="859"/>
      <c r="ZV124" s="859"/>
      <c r="ZW124" s="859"/>
      <c r="ZX124" s="859"/>
      <c r="ZY124" s="859"/>
      <c r="ZZ124" s="859"/>
      <c r="AAA124" s="859"/>
      <c r="AAB124" s="859"/>
      <c r="AAC124" s="859"/>
      <c r="AAD124" s="859"/>
      <c r="AAE124" s="859"/>
      <c r="AAF124" s="859"/>
      <c r="AAG124" s="859"/>
      <c r="AAH124" s="859"/>
      <c r="AAI124" s="859"/>
      <c r="AAJ124" s="859"/>
      <c r="AAK124" s="859"/>
      <c r="AAL124" s="859"/>
      <c r="AAM124" s="859"/>
      <c r="AAN124" s="859"/>
      <c r="AAO124" s="859"/>
      <c r="AAP124" s="859"/>
      <c r="AAQ124" s="859"/>
      <c r="AAR124" s="859"/>
      <c r="AAS124" s="859"/>
      <c r="AAT124" s="1006"/>
      <c r="AAU124" s="960"/>
      <c r="AAV124" s="1101"/>
      <c r="AAW124" s="1101"/>
      <c r="AAX124" s="1101"/>
      <c r="AAY124" s="1101"/>
      <c r="AAZ124" s="1101"/>
      <c r="ABA124" s="1101"/>
      <c r="ABB124" s="1101"/>
      <c r="ABC124" s="1101"/>
      <c r="ABD124" s="1101"/>
      <c r="ABE124" s="1101"/>
      <c r="ABF124" s="1101"/>
      <c r="ABG124" s="1101"/>
      <c r="ABH124" s="1101"/>
      <c r="ABI124" s="1101"/>
      <c r="ABJ124" s="1101"/>
      <c r="ABK124" s="1101"/>
      <c r="ABL124" s="1101"/>
      <c r="ABM124" s="1101"/>
      <c r="ABN124" s="1101"/>
      <c r="ABO124" s="1101"/>
      <c r="ABP124" s="961"/>
      <c r="ABX124" s="1527"/>
      <c r="ABY124" s="1527"/>
      <c r="ABZ124" s="1527"/>
      <c r="ACA124" s="1527"/>
      <c r="ACB124" s="1527"/>
      <c r="ACC124" s="1527"/>
      <c r="ACD124" s="1527"/>
      <c r="ACE124" s="1527"/>
      <c r="ACF124" s="1527"/>
      <c r="ACG124" s="1527"/>
      <c r="ACH124" s="1527"/>
      <c r="ACJ124" s="759">
        <v>1</v>
      </c>
      <c r="ACK124" s="760"/>
      <c r="ACL124" s="759">
        <v>-1.2</v>
      </c>
      <c r="ACM124" s="760"/>
      <c r="ACN124" s="592">
        <v>40</v>
      </c>
      <c r="ACO124" s="759">
        <f t="shared" si="91"/>
        <v>0.19999999999999996</v>
      </c>
      <c r="ACP124" s="760"/>
      <c r="ACQ124" s="757">
        <f t="shared" si="159"/>
        <v>1.4</v>
      </c>
      <c r="ACR124" s="758"/>
      <c r="ACT124" s="759">
        <v>1.5454545454545501</v>
      </c>
      <c r="ACU124" s="760"/>
      <c r="ACV124" s="759">
        <v>-2.1818181818181799</v>
      </c>
      <c r="ACW124" s="760"/>
      <c r="ACX124" s="591">
        <v>90</v>
      </c>
      <c r="ACY124" s="759">
        <f t="shared" si="92"/>
        <v>0.75454545454546507</v>
      </c>
      <c r="ACZ124" s="760"/>
      <c r="ADA124" s="757">
        <f t="shared" si="160"/>
        <v>1.9</v>
      </c>
      <c r="ADB124" s="758"/>
      <c r="ADD124" s="759">
        <v>1.5454545454545501</v>
      </c>
      <c r="ADE124" s="760"/>
      <c r="ADF124" s="759">
        <v>-2.1818181818181799</v>
      </c>
      <c r="ADG124" s="760"/>
      <c r="ADH124" s="591">
        <v>139</v>
      </c>
      <c r="ADI124" s="759">
        <f t="shared" si="93"/>
        <v>1.5118181818181951</v>
      </c>
      <c r="ADJ124" s="760"/>
      <c r="ADK124" s="757">
        <f t="shared" si="161"/>
        <v>2.39</v>
      </c>
      <c r="ADL124" s="758"/>
      <c r="ADN124" s="759">
        <v>1.5454545454545501</v>
      </c>
      <c r="ADO124" s="760"/>
      <c r="ADP124" s="759">
        <v>-2.1818181818181799</v>
      </c>
      <c r="ADQ124" s="760"/>
      <c r="ADR124" s="591">
        <v>189</v>
      </c>
      <c r="ADS124" s="759">
        <f t="shared" si="94"/>
        <v>2.2845454545454702</v>
      </c>
      <c r="ADT124" s="760"/>
      <c r="ADU124" s="757">
        <f t="shared" si="162"/>
        <v>2.89</v>
      </c>
      <c r="ADV124" s="758"/>
      <c r="ADW124" s="653"/>
      <c r="ADX124" s="759">
        <v>1.5454545454545501</v>
      </c>
      <c r="ADY124" s="760"/>
      <c r="ADZ124" s="759">
        <v>-2.1818181818181799</v>
      </c>
      <c r="AEA124" s="760"/>
      <c r="AEB124" s="591">
        <v>239</v>
      </c>
      <c r="AEC124" s="759">
        <f t="shared" si="134"/>
        <v>3.0572727272727453</v>
      </c>
      <c r="AED124" s="760"/>
      <c r="AEE124" s="757">
        <f t="shared" si="163"/>
        <v>3.39</v>
      </c>
      <c r="AEF124" s="758"/>
      <c r="AEH124" s="759">
        <v>1.5454545454545501</v>
      </c>
      <c r="AEI124" s="760"/>
      <c r="AEJ124" s="759">
        <v>-2.1818181818181799</v>
      </c>
      <c r="AEK124" s="760"/>
      <c r="AEL124" s="591">
        <v>289</v>
      </c>
      <c r="AEM124" s="759">
        <f t="shared" si="101"/>
        <v>3.8300000000000205</v>
      </c>
      <c r="AEN124" s="760"/>
      <c r="AEO124" s="757">
        <f t="shared" si="164"/>
        <v>3.89</v>
      </c>
      <c r="AEP124" s="758"/>
      <c r="AHR124" s="130"/>
      <c r="AHS124" s="130"/>
      <c r="AHT124" s="130"/>
      <c r="AHU124" s="130"/>
      <c r="AHV124" s="130"/>
      <c r="AHW124" s="130"/>
      <c r="AHX124" s="130"/>
      <c r="AHY124" s="130"/>
      <c r="AHZ124" s="130"/>
      <c r="AIA124" s="130"/>
      <c r="AIB124" s="130"/>
      <c r="AIC124" s="130"/>
      <c r="AID124" s="130"/>
      <c r="AIE124" s="130"/>
      <c r="AIF124" s="130"/>
      <c r="AIG124" s="130"/>
      <c r="AIH124" s="130"/>
      <c r="AQO124" s="849"/>
      <c r="AQP124" s="852" t="s">
        <v>416</v>
      </c>
      <c r="AQQ124" s="853"/>
      <c r="AQR124" s="700"/>
      <c r="AQS124" s="78"/>
      <c r="AQT124" s="78"/>
      <c r="AQU124" s="78"/>
      <c r="AQV124" s="78"/>
      <c r="AQW124" s="78"/>
      <c r="AQX124" s="78"/>
      <c r="AQY124" s="700"/>
      <c r="AQZ124" s="76" t="s">
        <v>441</v>
      </c>
      <c r="ARA124" s="854" t="s">
        <v>435</v>
      </c>
      <c r="ARB124" s="855"/>
      <c r="ARC124" s="920" t="s">
        <v>111</v>
      </c>
      <c r="ARD124" s="921"/>
      <c r="ARE124" s="916" t="s">
        <v>704</v>
      </c>
      <c r="ARF124" s="917"/>
      <c r="ARG124" s="906" t="s">
        <v>447</v>
      </c>
      <c r="ARH124" s="907"/>
      <c r="ARI124" s="907"/>
      <c r="ARJ124" s="908"/>
      <c r="ARU124" s="377"/>
      <c r="ARV124" s="373"/>
      <c r="ARW124" s="373"/>
      <c r="ARX124" s="373"/>
      <c r="ARY124" s="373"/>
      <c r="ARZ124" s="373"/>
      <c r="ASA124" s="373"/>
      <c r="ASB124" s="373"/>
      <c r="ASC124" s="373"/>
      <c r="ASD124" s="373"/>
      <c r="ASE124" s="373"/>
      <c r="ASF124" s="373"/>
      <c r="ASG124" s="373"/>
      <c r="ASH124" s="373"/>
      <c r="ASI124" s="373"/>
      <c r="ASJ124" s="373"/>
      <c r="ASK124" s="373"/>
      <c r="ASL124" s="373"/>
      <c r="ASM124" s="373"/>
      <c r="ASN124" s="373"/>
      <c r="ASO124" s="373"/>
      <c r="ASP124" s="373"/>
      <c r="ASQ124" s="373"/>
      <c r="ASR124" s="373"/>
      <c r="ASS124" s="373"/>
      <c r="AST124" s="373"/>
      <c r="ASU124" s="373"/>
      <c r="ASV124" s="373"/>
      <c r="ASW124" s="373"/>
      <c r="ASX124" s="373"/>
      <c r="ASY124" s="373"/>
      <c r="ASZ124" s="373"/>
      <c r="ATA124" s="373"/>
      <c r="ATB124" s="373"/>
      <c r="ATC124" s="373"/>
      <c r="ATD124" s="373"/>
      <c r="ATE124" s="373"/>
      <c r="ATF124" s="374"/>
      <c r="ATI124" s="849"/>
      <c r="ATJ124" s="852" t="s">
        <v>416</v>
      </c>
      <c r="ATK124" s="853"/>
      <c r="ATL124" s="142"/>
      <c r="ATM124" s="78"/>
      <c r="ATN124" s="78"/>
      <c r="ATO124" s="78"/>
      <c r="ATP124" s="78"/>
      <c r="ATQ124" s="78"/>
      <c r="ATR124" s="78"/>
      <c r="ATS124" s="142"/>
      <c r="ATT124" s="76" t="s">
        <v>441</v>
      </c>
      <c r="ATU124" s="854" t="s">
        <v>435</v>
      </c>
      <c r="ATV124" s="855"/>
      <c r="ATW124" s="920" t="s">
        <v>111</v>
      </c>
      <c r="ATX124" s="921"/>
      <c r="ATY124" s="916" t="s">
        <v>704</v>
      </c>
      <c r="ATZ124" s="917"/>
      <c r="AUA124" s="906" t="s">
        <v>447</v>
      </c>
      <c r="AUB124" s="907"/>
      <c r="AUC124" s="907"/>
      <c r="AUD124" s="908"/>
    </row>
    <row r="125" spans="60:920 1133:1226" ht="48" customHeight="1" thickBot="1">
      <c r="BM125" s="130"/>
      <c r="BN125" s="130"/>
      <c r="BO125" s="130"/>
      <c r="BP125" s="130"/>
      <c r="BY125" s="653"/>
      <c r="DD125" s="130"/>
      <c r="DE125" s="130"/>
      <c r="DG125" s="130"/>
      <c r="DP125" s="130"/>
      <c r="DQ125" s="130"/>
      <c r="DR125" s="130"/>
      <c r="DS125" s="130"/>
      <c r="DT125" s="130"/>
      <c r="DU125" s="130"/>
      <c r="DV125" s="130"/>
      <c r="DW125" s="130"/>
      <c r="DX125" s="130"/>
      <c r="FF125" s="126"/>
      <c r="HI125" s="130"/>
      <c r="HJ125" s="130"/>
      <c r="HK125" s="130"/>
      <c r="HL125" s="130"/>
      <c r="HM125" s="130"/>
      <c r="HN125" s="220"/>
      <c r="HO125" s="130"/>
      <c r="HP125" s="130"/>
      <c r="HQ125" s="130"/>
      <c r="HR125" s="130"/>
      <c r="IE125" s="130"/>
      <c r="IF125" s="130"/>
      <c r="IG125" s="130"/>
      <c r="IH125" s="130"/>
      <c r="II125" s="130"/>
      <c r="JW125" s="130"/>
      <c r="JZ125" s="130"/>
      <c r="KD125" s="130"/>
      <c r="KE125" s="130"/>
      <c r="KF125" s="130"/>
      <c r="KG125" s="130"/>
      <c r="KH125" s="130"/>
      <c r="KI125" s="130"/>
      <c r="KJ125" s="130"/>
      <c r="KK125" s="130"/>
      <c r="KL125" s="130"/>
      <c r="KM125" s="130"/>
      <c r="KN125" s="130"/>
      <c r="LJ125" s="653"/>
      <c r="LK125" s="653"/>
      <c r="LL125" s="653"/>
      <c r="LM125" s="653"/>
      <c r="LN125" s="653"/>
      <c r="LO125" s="653"/>
      <c r="LP125" s="653"/>
      <c r="LQ125" s="653"/>
      <c r="LR125" s="653"/>
      <c r="LS125" s="130"/>
      <c r="LX125" s="377"/>
      <c r="LY125" s="373"/>
      <c r="LZ125" s="373"/>
      <c r="MA125" s="373"/>
      <c r="MB125" s="373"/>
      <c r="MC125" s="373"/>
      <c r="MD125" s="373"/>
      <c r="ME125" s="373"/>
      <c r="MF125" s="373"/>
      <c r="MG125" s="373"/>
      <c r="MH125" s="373"/>
      <c r="MI125" s="373"/>
      <c r="MJ125" s="373"/>
      <c r="MK125" s="373"/>
      <c r="ML125" s="373"/>
      <c r="MM125" s="373"/>
      <c r="MN125" s="373"/>
      <c r="MO125" s="373"/>
      <c r="MP125" s="373"/>
      <c r="MQ125" s="382" t="s">
        <v>798</v>
      </c>
      <c r="MR125" s="373"/>
      <c r="MS125" s="373"/>
      <c r="MT125" s="373"/>
      <c r="MU125" s="373"/>
      <c r="MV125" s="373"/>
      <c r="MW125" s="373"/>
      <c r="MX125" s="373"/>
      <c r="MY125" s="373"/>
      <c r="MZ125" s="373"/>
      <c r="NA125" s="373"/>
      <c r="NB125" s="373"/>
      <c r="NC125" s="373"/>
      <c r="ND125" s="373"/>
      <c r="NE125" s="373"/>
      <c r="NF125" s="373"/>
      <c r="NG125" s="373"/>
      <c r="NH125" s="373"/>
      <c r="NI125" s="373"/>
      <c r="NJ125" s="373"/>
      <c r="NK125" s="373"/>
      <c r="NL125" s="373"/>
      <c r="NM125" s="373"/>
      <c r="NN125" s="373"/>
      <c r="NO125" s="373"/>
      <c r="NP125" s="373"/>
      <c r="NQ125" s="373"/>
      <c r="NR125" s="373"/>
      <c r="NS125" s="373"/>
      <c r="NT125" s="373"/>
      <c r="NU125" s="373"/>
      <c r="NV125" s="373"/>
      <c r="NW125" s="382" t="s">
        <v>798</v>
      </c>
      <c r="NX125" s="373"/>
      <c r="NY125" s="373"/>
      <c r="NZ125" s="373"/>
      <c r="OA125" s="373"/>
      <c r="OB125" s="373"/>
      <c r="OC125" s="373"/>
      <c r="OD125" s="373"/>
      <c r="OE125" s="373"/>
      <c r="OF125" s="373"/>
      <c r="OG125" s="373"/>
      <c r="OH125" s="373"/>
      <c r="OI125" s="373"/>
      <c r="OJ125" s="373"/>
      <c r="OK125" s="373"/>
      <c r="OL125" s="373"/>
      <c r="OM125" s="373"/>
      <c r="ON125" s="373"/>
      <c r="OO125" s="373"/>
      <c r="OP125" s="373"/>
      <c r="OQ125" s="373"/>
      <c r="OR125" s="373"/>
      <c r="OS125" s="373"/>
      <c r="OT125" s="373"/>
      <c r="OU125" s="374"/>
      <c r="OX125" s="130"/>
      <c r="OY125" s="130"/>
      <c r="OZ125" s="130"/>
      <c r="PA125" s="130"/>
      <c r="PB125" s="130"/>
      <c r="PC125" s="130"/>
      <c r="PD125" s="130"/>
      <c r="PE125" s="130"/>
      <c r="PF125" s="130"/>
      <c r="PG125" s="130"/>
      <c r="PH125" s="130"/>
      <c r="PL125" s="849"/>
      <c r="PM125" s="1257" t="s">
        <v>416</v>
      </c>
      <c r="PN125" s="1257"/>
      <c r="PO125" s="629"/>
      <c r="PP125" s="78"/>
      <c r="PQ125" s="78"/>
      <c r="PR125" s="78"/>
      <c r="PS125" s="78"/>
      <c r="PT125" s="78"/>
      <c r="PU125" s="78"/>
      <c r="PV125" s="466"/>
      <c r="PW125" s="76" t="s">
        <v>441</v>
      </c>
      <c r="PX125" s="854" t="s">
        <v>435</v>
      </c>
      <c r="PY125" s="1111"/>
      <c r="PZ125" s="920" t="s">
        <v>111</v>
      </c>
      <c r="QA125" s="921"/>
      <c r="QB125" s="916" t="s">
        <v>704</v>
      </c>
      <c r="QC125" s="917"/>
      <c r="QD125" s="906" t="s">
        <v>447</v>
      </c>
      <c r="QE125" s="907"/>
      <c r="QF125" s="907"/>
      <c r="QG125" s="908"/>
      <c r="QH125" s="1051" t="s">
        <v>436</v>
      </c>
      <c r="QI125" s="1051"/>
      <c r="QJ125" s="1051"/>
      <c r="QK125" s="1051"/>
      <c r="QL125" s="1051"/>
      <c r="QM125" s="1051"/>
      <c r="QN125" s="1051"/>
      <c r="QV125" s="130"/>
      <c r="QW125" s="130"/>
      <c r="QX125" s="130"/>
      <c r="QY125" s="130"/>
      <c r="QZ125" s="130"/>
      <c r="RA125" s="130"/>
      <c r="RB125" s="130"/>
      <c r="RC125" s="130"/>
      <c r="RD125" s="130"/>
      <c r="RE125" s="130"/>
      <c r="RF125" s="130"/>
      <c r="RG125" s="130"/>
      <c r="RH125" s="130"/>
      <c r="RI125" s="130"/>
      <c r="RJ125" s="130"/>
      <c r="RK125" s="130"/>
      <c r="RL125" s="130"/>
      <c r="RM125" s="130"/>
      <c r="RN125" s="130"/>
      <c r="RO125" s="130"/>
      <c r="RP125" s="130"/>
      <c r="RQ125" s="130"/>
      <c r="RR125" s="130"/>
      <c r="RS125" s="130"/>
      <c r="RT125" s="130"/>
      <c r="RU125" s="130"/>
      <c r="RV125" s="130"/>
      <c r="RW125" s="130"/>
      <c r="RX125" s="130"/>
      <c r="RY125" s="130"/>
      <c r="RZ125" s="130"/>
      <c r="SA125" s="130"/>
      <c r="SB125" s="130"/>
      <c r="SC125" s="130"/>
      <c r="SD125" s="130"/>
      <c r="SE125" s="130"/>
      <c r="SF125" s="130"/>
      <c r="VD125" s="1026"/>
      <c r="VE125" s="1027"/>
      <c r="VF125" s="1027"/>
      <c r="VG125" s="1027"/>
      <c r="VH125" s="1027"/>
      <c r="VI125" s="1027"/>
      <c r="VJ125" s="1027"/>
      <c r="VK125" s="1027"/>
      <c r="VL125" s="1027"/>
      <c r="VM125" s="1027"/>
      <c r="VN125" s="1027"/>
      <c r="VO125" s="1027"/>
      <c r="VP125" s="1027"/>
      <c r="VQ125" s="1027"/>
      <c r="VR125" s="1027"/>
      <c r="VS125" s="1027"/>
      <c r="VT125" s="1027"/>
      <c r="VU125" s="1027"/>
      <c r="VV125" s="1027"/>
      <c r="VW125" s="1027"/>
      <c r="VX125" s="1027"/>
      <c r="VY125" s="1027"/>
      <c r="VZ125" s="1028"/>
      <c r="WA125" s="15"/>
      <c r="WE125" s="754"/>
      <c r="WF125" s="755"/>
      <c r="WG125" s="169"/>
      <c r="WH125" s="170"/>
      <c r="WI125" s="170"/>
      <c r="WJ125" s="170"/>
      <c r="WK125" s="170"/>
      <c r="WL125" s="170"/>
      <c r="WM125" s="170"/>
      <c r="WN125" s="170"/>
      <c r="WO125" s="170"/>
      <c r="WP125" s="170"/>
      <c r="WQ125" s="170"/>
      <c r="WR125" s="170"/>
      <c r="WS125" s="170"/>
      <c r="WT125" s="170"/>
      <c r="WU125" s="170"/>
      <c r="WV125" s="170"/>
      <c r="WW125" s="170"/>
      <c r="WX125" s="170"/>
      <c r="WY125" s="172"/>
      <c r="WZ125" s="870"/>
      <c r="XA125" s="872"/>
      <c r="XB125" s="962"/>
      <c r="XC125" s="1059"/>
      <c r="XD125" s="1059"/>
      <c r="XE125" s="1059"/>
      <c r="XF125" s="963"/>
      <c r="XG125" s="860"/>
      <c r="XH125" s="860"/>
      <c r="XI125" s="860"/>
      <c r="XJ125" s="860"/>
      <c r="XK125" s="860"/>
      <c r="XL125" s="860"/>
      <c r="XM125" s="860"/>
      <c r="XN125" s="860"/>
      <c r="XO125" s="860"/>
      <c r="XP125" s="860"/>
      <c r="XQ125" s="860"/>
      <c r="XR125" s="860"/>
      <c r="XS125" s="860"/>
      <c r="XT125" s="860"/>
      <c r="XU125" s="860"/>
      <c r="XV125" s="860"/>
      <c r="XW125" s="860"/>
      <c r="XX125" s="860"/>
      <c r="XY125" s="860"/>
      <c r="XZ125" s="860"/>
      <c r="YA125" s="860"/>
      <c r="YB125" s="860"/>
      <c r="YC125" s="860"/>
      <c r="YD125" s="860"/>
      <c r="YE125" s="860"/>
      <c r="YF125" s="860"/>
      <c r="YG125" s="860"/>
      <c r="YH125" s="860"/>
      <c r="YI125" s="860"/>
      <c r="YJ125" s="860"/>
      <c r="YK125" s="860"/>
      <c r="YL125" s="860"/>
      <c r="YM125" s="860"/>
      <c r="YN125" s="860"/>
      <c r="YO125" s="860"/>
      <c r="YP125" s="860"/>
      <c r="YQ125" s="860"/>
      <c r="YR125" s="860"/>
      <c r="YS125" s="860"/>
      <c r="YT125" s="860"/>
      <c r="YU125" s="860"/>
      <c r="YV125" s="860"/>
      <c r="YW125" s="860"/>
      <c r="YX125" s="860"/>
      <c r="YY125" s="860"/>
      <c r="YZ125" s="860"/>
      <c r="ZA125" s="860"/>
      <c r="ZB125" s="860"/>
      <c r="ZC125" s="860"/>
      <c r="ZD125" s="860"/>
      <c r="ZE125" s="860"/>
      <c r="ZF125" s="860"/>
      <c r="ZG125" s="860"/>
      <c r="ZH125" s="860"/>
      <c r="ZI125" s="860"/>
      <c r="ZJ125" s="860"/>
      <c r="ZK125" s="860"/>
      <c r="ZL125" s="860"/>
      <c r="ZM125" s="860"/>
      <c r="ZN125" s="860"/>
      <c r="ZO125" s="860"/>
      <c r="ZP125" s="860"/>
      <c r="ZQ125" s="860"/>
      <c r="ZR125" s="860"/>
      <c r="ZS125" s="860"/>
      <c r="ZT125" s="860"/>
      <c r="ZU125" s="860"/>
      <c r="ZV125" s="860"/>
      <c r="ZW125" s="860"/>
      <c r="ZX125" s="860"/>
      <c r="ZY125" s="860"/>
      <c r="ZZ125" s="860"/>
      <c r="AAA125" s="860"/>
      <c r="AAB125" s="860"/>
      <c r="AAC125" s="860"/>
      <c r="AAD125" s="860"/>
      <c r="AAE125" s="860"/>
      <c r="AAF125" s="860"/>
      <c r="AAG125" s="860"/>
      <c r="AAH125" s="860"/>
      <c r="AAI125" s="860"/>
      <c r="AAJ125" s="860"/>
      <c r="AAK125" s="860"/>
      <c r="AAL125" s="860"/>
      <c r="AAM125" s="860"/>
      <c r="AAN125" s="860"/>
      <c r="AAO125" s="860"/>
      <c r="AAP125" s="860"/>
      <c r="AAQ125" s="860"/>
      <c r="AAR125" s="860"/>
      <c r="AAS125" s="860"/>
      <c r="AAT125" s="1007"/>
      <c r="AAU125" s="962"/>
      <c r="AAV125" s="1059"/>
      <c r="AAW125" s="1059"/>
      <c r="AAX125" s="1059"/>
      <c r="AAY125" s="1059"/>
      <c r="AAZ125" s="1059"/>
      <c r="ABA125" s="1059"/>
      <c r="ABB125" s="1059"/>
      <c r="ABC125" s="1059"/>
      <c r="ABD125" s="1059"/>
      <c r="ABE125" s="1059"/>
      <c r="ABF125" s="1059"/>
      <c r="ABG125" s="1059"/>
      <c r="ABH125" s="1059"/>
      <c r="ABI125" s="1059"/>
      <c r="ABJ125" s="1059"/>
      <c r="ABK125" s="1059"/>
      <c r="ABL125" s="1059"/>
      <c r="ABM125" s="1059"/>
      <c r="ABN125" s="1059"/>
      <c r="ABO125" s="1059"/>
      <c r="ABP125" s="963"/>
      <c r="ABX125" s="1527"/>
      <c r="ABY125" s="1527"/>
      <c r="ABZ125" s="1527"/>
      <c r="ACA125" s="1527"/>
      <c r="ACB125" s="1527"/>
      <c r="ACC125" s="1527"/>
      <c r="ACD125" s="1527"/>
      <c r="ACE125" s="1527"/>
      <c r="ACF125" s="1527"/>
      <c r="ACG125" s="1527"/>
      <c r="ACH125" s="1527"/>
      <c r="ACJ125" s="759">
        <v>1</v>
      </c>
      <c r="ACK125" s="760"/>
      <c r="ACL125" s="759">
        <v>-1.2</v>
      </c>
      <c r="ACM125" s="760"/>
      <c r="ACN125" s="592">
        <v>41</v>
      </c>
      <c r="ACO125" s="759">
        <f t="shared" si="91"/>
        <v>0.21000000000000019</v>
      </c>
      <c r="ACP125" s="760"/>
      <c r="ACQ125" s="757">
        <f t="shared" si="159"/>
        <v>1.4100000000000001</v>
      </c>
      <c r="ACR125" s="758"/>
      <c r="ACT125" s="759">
        <v>1.5454545454545501</v>
      </c>
      <c r="ACU125" s="760"/>
      <c r="ACV125" s="759">
        <v>-2.1818181818181799</v>
      </c>
      <c r="ACW125" s="760"/>
      <c r="ACX125" s="591">
        <v>91</v>
      </c>
      <c r="ACY125" s="759">
        <f t="shared" si="92"/>
        <v>0.77000000000001112</v>
      </c>
      <c r="ACZ125" s="760"/>
      <c r="ADA125" s="757">
        <f t="shared" si="160"/>
        <v>1.9100000000000001</v>
      </c>
      <c r="ADB125" s="758"/>
      <c r="ADD125" s="759">
        <v>1.5454545454545501</v>
      </c>
      <c r="ADE125" s="760"/>
      <c r="ADF125" s="759">
        <v>-2.1818181818181799</v>
      </c>
      <c r="ADG125" s="760"/>
      <c r="ADH125" s="591">
        <v>140</v>
      </c>
      <c r="ADI125" s="759">
        <f t="shared" si="93"/>
        <v>1.5272727272727407</v>
      </c>
      <c r="ADJ125" s="760"/>
      <c r="ADK125" s="757">
        <f t="shared" si="161"/>
        <v>2.4000000000000004</v>
      </c>
      <c r="ADL125" s="758"/>
      <c r="ADN125" s="759">
        <v>1.5454545454545501</v>
      </c>
      <c r="ADO125" s="760"/>
      <c r="ADP125" s="759">
        <v>-2.1818181818181799</v>
      </c>
      <c r="ADQ125" s="760"/>
      <c r="ADR125" s="591">
        <v>190</v>
      </c>
      <c r="ADS125" s="759">
        <f t="shared" si="94"/>
        <v>2.3000000000000158</v>
      </c>
      <c r="ADT125" s="760"/>
      <c r="ADU125" s="757">
        <f t="shared" si="162"/>
        <v>2.9000000000000004</v>
      </c>
      <c r="ADV125" s="758"/>
      <c r="ADW125" s="653"/>
      <c r="ADX125" s="759">
        <v>1.5454545454545501</v>
      </c>
      <c r="ADY125" s="760"/>
      <c r="ADZ125" s="759">
        <v>-2.1818181818181799</v>
      </c>
      <c r="AEA125" s="760"/>
      <c r="AEB125" s="591">
        <v>240</v>
      </c>
      <c r="AEC125" s="759">
        <f t="shared" si="134"/>
        <v>3.0727272727272901</v>
      </c>
      <c r="AED125" s="760"/>
      <c r="AEE125" s="757">
        <f t="shared" si="163"/>
        <v>3.4</v>
      </c>
      <c r="AEF125" s="758"/>
      <c r="AEH125" s="759">
        <v>1.5454545454545501</v>
      </c>
      <c r="AEI125" s="760"/>
      <c r="AEJ125" s="759">
        <v>-2.1818181818181799</v>
      </c>
      <c r="AEK125" s="760"/>
      <c r="AEL125" s="591">
        <v>290</v>
      </c>
      <c r="AEM125" s="759">
        <f t="shared" si="101"/>
        <v>3.8454545454545652</v>
      </c>
      <c r="AEN125" s="760"/>
      <c r="AEO125" s="757">
        <f t="shared" si="164"/>
        <v>3.9</v>
      </c>
      <c r="AEP125" s="758"/>
      <c r="AGL125" s="129"/>
      <c r="AGM125" s="852" t="s">
        <v>416</v>
      </c>
      <c r="AGN125" s="853"/>
      <c r="AGO125" s="425"/>
      <c r="AGP125" s="439" t="s">
        <v>1457</v>
      </c>
      <c r="AGQ125" s="890">
        <f>$SN$18</f>
        <v>13.537795509105404</v>
      </c>
      <c r="AGR125" s="890"/>
      <c r="AGS125" s="439" t="s">
        <v>1460</v>
      </c>
      <c r="AGT125" s="937">
        <f>$KL$93</f>
        <v>1.2708937055035847</v>
      </c>
      <c r="AGU125" s="937"/>
      <c r="AGV125" s="425"/>
      <c r="AGW125" s="76" t="s">
        <v>441</v>
      </c>
      <c r="AGX125" s="854" t="s">
        <v>435</v>
      </c>
      <c r="AGY125" s="1111"/>
      <c r="AGZ125" s="920" t="s">
        <v>111</v>
      </c>
      <c r="AHA125" s="921"/>
      <c r="AHB125" s="916" t="s">
        <v>704</v>
      </c>
      <c r="AHC125" s="917"/>
      <c r="AHD125" s="906" t="s">
        <v>447</v>
      </c>
      <c r="AHE125" s="907"/>
      <c r="AHF125" s="907"/>
      <c r="AHG125" s="907"/>
      <c r="AHH125" s="908"/>
      <c r="AHI125" s="1051" t="s">
        <v>436</v>
      </c>
      <c r="AHJ125" s="1051"/>
      <c r="AHK125" s="1051"/>
      <c r="AHL125" s="1051"/>
      <c r="AHM125" s="1051"/>
      <c r="AHN125" s="1051"/>
      <c r="AHR125" s="130"/>
      <c r="AHS125" s="130"/>
      <c r="AHT125" s="130"/>
      <c r="AHU125" s="130"/>
      <c r="AHV125" s="130"/>
      <c r="AHW125" s="130"/>
      <c r="AHX125" s="130"/>
      <c r="AHY125" s="130"/>
      <c r="AHZ125" s="130"/>
      <c r="AIA125" s="130"/>
      <c r="AIB125" s="130"/>
      <c r="AIC125" s="130"/>
      <c r="AID125" s="130"/>
      <c r="AIE125" s="130"/>
      <c r="AIF125" s="130"/>
      <c r="AIG125" s="130"/>
      <c r="AIH125" s="130"/>
      <c r="AQO125" s="850"/>
      <c r="AQP125" s="856"/>
      <c r="AQQ125" s="856"/>
      <c r="AQR125" s="856"/>
      <c r="AQS125" s="856"/>
      <c r="AQT125" s="856"/>
      <c r="AQU125" s="856"/>
      <c r="AQV125" s="856"/>
      <c r="AQW125" s="856"/>
      <c r="AQX125" s="856"/>
      <c r="AQY125" s="856"/>
      <c r="AQZ125" s="856"/>
      <c r="ARA125" s="856"/>
      <c r="ARB125" s="856"/>
      <c r="ARC125" s="835"/>
      <c r="ARD125" s="836"/>
      <c r="ARE125" s="839"/>
      <c r="ARF125" s="840"/>
      <c r="ARG125" s="841"/>
      <c r="ARH125" s="843"/>
      <c r="ARI125" s="844"/>
      <c r="ARJ125" s="847"/>
      <c r="ARU125" s="377"/>
      <c r="ARV125" s="373"/>
      <c r="ARW125" s="373"/>
      <c r="ARX125" s="373"/>
      <c r="ARY125" s="373"/>
      <c r="ARZ125" s="197" t="s">
        <v>849</v>
      </c>
      <c r="ASA125" s="852" t="s">
        <v>416</v>
      </c>
      <c r="ASB125" s="853"/>
      <c r="ASC125" s="687"/>
      <c r="ASD125" s="78"/>
      <c r="ASE125" s="78"/>
      <c r="ASF125" s="78"/>
      <c r="ASG125" s="78"/>
      <c r="ASH125" s="78"/>
      <c r="ASI125" s="78"/>
      <c r="ASJ125" s="687"/>
      <c r="ASK125" s="76" t="s">
        <v>441</v>
      </c>
      <c r="ASL125" s="854" t="s">
        <v>435</v>
      </c>
      <c r="ASM125" s="1111"/>
      <c r="ASN125" s="924" t="s">
        <v>111</v>
      </c>
      <c r="ASO125" s="925"/>
      <c r="ASP125" s="916" t="s">
        <v>704</v>
      </c>
      <c r="ASQ125" s="917"/>
      <c r="ASR125" s="906" t="s">
        <v>447</v>
      </c>
      <c r="ASS125" s="907"/>
      <c r="AST125" s="907"/>
      <c r="ASU125" s="908"/>
      <c r="ASV125" s="373"/>
      <c r="ASW125" s="373"/>
      <c r="ASX125" s="373"/>
      <c r="ASY125" s="373"/>
      <c r="ASZ125" s="373"/>
      <c r="ATA125" s="373"/>
      <c r="ATB125" s="373"/>
      <c r="ATC125" s="373"/>
      <c r="ATD125" s="373"/>
      <c r="ATE125" s="373"/>
      <c r="ATF125" s="374"/>
      <c r="ATI125" s="850"/>
      <c r="ATJ125" s="957" t="s">
        <v>145</v>
      </c>
      <c r="ATK125" s="957"/>
      <c r="ATL125" s="957"/>
      <c r="ATM125" s="957"/>
      <c r="ATN125" s="957"/>
      <c r="ATO125" s="957"/>
      <c r="ATP125" s="957"/>
      <c r="ATQ125" s="957"/>
      <c r="ATR125" s="957"/>
      <c r="ATS125" s="957"/>
      <c r="ATT125" s="957"/>
      <c r="ATU125" s="957"/>
      <c r="ATV125" s="957"/>
      <c r="ATW125" s="835" t="e">
        <f>((ASI15+ASI52)*2*#REF!)/MP31/1000+((ASI83+ASI99)*2*MM27)/MP31/1000</f>
        <v>#REF!</v>
      </c>
      <c r="ATX125" s="836"/>
      <c r="ATY125" s="1475" t="s">
        <v>923</v>
      </c>
      <c r="ATZ125" s="1330"/>
      <c r="AUA125" s="841"/>
      <c r="AUB125" s="843" t="s">
        <v>416</v>
      </c>
      <c r="AUC125" s="844"/>
      <c r="AUD125" s="847"/>
    </row>
    <row r="126" spans="60:920 1133:1226" ht="48" customHeight="1" thickBot="1">
      <c r="BM126" s="130"/>
      <c r="BN126" s="130"/>
      <c r="BO126" s="130"/>
      <c r="BY126" s="653"/>
      <c r="BZ126" s="897" t="s">
        <v>973</v>
      </c>
      <c r="CA126" s="898"/>
      <c r="CB126" s="899"/>
      <c r="CC126" s="75" t="s">
        <v>1654</v>
      </c>
      <c r="CD126" s="852" t="s">
        <v>416</v>
      </c>
      <c r="CE126" s="853"/>
      <c r="CF126" s="212"/>
      <c r="CG126" s="779" t="s">
        <v>1826</v>
      </c>
      <c r="CH126" s="780"/>
      <c r="CI126" s="781"/>
      <c r="CJ126" s="75" t="s">
        <v>451</v>
      </c>
      <c r="CK126" s="212"/>
      <c r="CL126" s="76" t="s">
        <v>441</v>
      </c>
      <c r="CM126" s="854" t="s">
        <v>435</v>
      </c>
      <c r="CN126" s="855"/>
      <c r="CO126" s="920" t="s">
        <v>111</v>
      </c>
      <c r="CP126" s="921"/>
      <c r="CQ126" s="916" t="s">
        <v>704</v>
      </c>
      <c r="CR126" s="917"/>
      <c r="CS126" s="906" t="s">
        <v>447</v>
      </c>
      <c r="CT126" s="1140"/>
      <c r="CU126" s="1140"/>
      <c r="CV126" s="908"/>
      <c r="DA126" s="130"/>
      <c r="DD126" s="130"/>
      <c r="DE126" s="130"/>
      <c r="DG126" s="130"/>
      <c r="DP126" s="130"/>
      <c r="DQ126" s="130"/>
      <c r="DR126" s="130"/>
      <c r="DS126" s="130"/>
      <c r="DT126" s="130"/>
      <c r="DU126" s="130"/>
      <c r="DV126" s="130"/>
      <c r="DW126" s="130"/>
      <c r="DX126" s="130"/>
      <c r="FF126" s="126"/>
      <c r="GF126" s="849"/>
      <c r="GG126" s="852" t="s">
        <v>416</v>
      </c>
      <c r="GH126" s="923"/>
      <c r="GI126" s="138"/>
      <c r="GJ126" s="76" t="s">
        <v>441</v>
      </c>
      <c r="GK126" s="854" t="s">
        <v>435</v>
      </c>
      <c r="GL126" s="855"/>
      <c r="GM126" s="920" t="s">
        <v>111</v>
      </c>
      <c r="GN126" s="921"/>
      <c r="GO126" s="916" t="s">
        <v>704</v>
      </c>
      <c r="GP126" s="917"/>
      <c r="GQ126" s="906" t="s">
        <v>447</v>
      </c>
      <c r="GR126" s="907"/>
      <c r="GS126" s="907"/>
      <c r="GT126" s="908"/>
      <c r="GU126" s="1051" t="s">
        <v>436</v>
      </c>
      <c r="GV126" s="1051"/>
      <c r="GW126" s="1051"/>
      <c r="GX126" s="1051"/>
      <c r="HI126" s="130"/>
      <c r="HJ126" s="130"/>
      <c r="HK126" s="130"/>
      <c r="HP126" s="130"/>
      <c r="HQ126" s="130"/>
      <c r="HR126" s="130"/>
      <c r="IE126" s="130"/>
      <c r="IF126" s="130"/>
      <c r="IG126" s="130"/>
      <c r="IH126" s="130"/>
      <c r="II126" s="130"/>
      <c r="JZ126" s="130"/>
      <c r="KA126" s="130"/>
      <c r="KB126" s="130"/>
      <c r="KC126" s="130"/>
      <c r="KD126" s="130"/>
      <c r="KE126" s="130"/>
      <c r="KF126" s="130"/>
      <c r="KG126" s="130"/>
      <c r="KH126" s="130"/>
      <c r="KI126" s="130"/>
      <c r="KJ126" s="130"/>
      <c r="KK126" s="130"/>
      <c r="KL126" s="130"/>
      <c r="KM126" s="130"/>
      <c r="KN126" s="130"/>
      <c r="LJ126" s="653"/>
      <c r="LK126" s="653"/>
      <c r="LL126" s="653"/>
      <c r="LM126" s="653"/>
      <c r="LN126" s="653"/>
      <c r="LO126" s="653"/>
      <c r="LP126" s="653"/>
      <c r="LQ126" s="653"/>
      <c r="LR126" s="653"/>
      <c r="LS126" s="130"/>
      <c r="LX126" s="377"/>
      <c r="LY126" s="373"/>
      <c r="LZ126" s="373"/>
      <c r="MA126" s="373"/>
      <c r="MB126" s="373"/>
      <c r="MC126" s="373"/>
      <c r="MD126" s="373"/>
      <c r="ME126" s="373"/>
      <c r="MF126" s="373"/>
      <c r="MG126" s="373"/>
      <c r="MH126" s="373"/>
      <c r="MI126" s="373"/>
      <c r="MJ126" s="373"/>
      <c r="MK126" s="373"/>
      <c r="ML126" s="373"/>
      <c r="MM126" s="373"/>
      <c r="MN126" s="373"/>
      <c r="MO126" s="373"/>
      <c r="MP126" s="373"/>
      <c r="MQ126" s="54"/>
      <c r="MR126" s="54"/>
      <c r="MS126" s="54"/>
      <c r="MT126" s="54"/>
      <c r="MU126" s="373"/>
      <c r="MV126" s="54"/>
      <c r="MW126" s="54"/>
      <c r="MX126" s="54"/>
      <c r="MY126" s="54"/>
      <c r="MZ126" s="54"/>
      <c r="NA126" s="54"/>
      <c r="NB126" s="54"/>
      <c r="NC126" s="54"/>
      <c r="ND126" s="54"/>
      <c r="NE126" s="54"/>
      <c r="NF126" s="54"/>
      <c r="NG126" s="54"/>
      <c r="NH126" s="54"/>
      <c r="NI126" s="54"/>
      <c r="NJ126" s="54"/>
      <c r="NK126" s="54"/>
      <c r="NL126" s="54"/>
      <c r="NM126" s="54"/>
      <c r="NN126" s="54"/>
      <c r="NO126" s="54"/>
      <c r="NP126" s="54"/>
      <c r="NQ126" s="54"/>
      <c r="NR126" s="54"/>
      <c r="NS126" s="54"/>
      <c r="NT126" s="54"/>
      <c r="NU126" s="54"/>
      <c r="NV126" s="54"/>
      <c r="NW126" s="54"/>
      <c r="NX126" s="373"/>
      <c r="NY126" s="373"/>
      <c r="NZ126" s="373"/>
      <c r="OA126" s="373"/>
      <c r="OB126" s="373"/>
      <c r="OC126" s="373"/>
      <c r="OD126" s="373"/>
      <c r="OE126" s="373"/>
      <c r="OF126" s="373"/>
      <c r="OG126" s="373"/>
      <c r="OH126" s="373"/>
      <c r="OI126" s="373"/>
      <c r="OJ126" s="373"/>
      <c r="OK126" s="373"/>
      <c r="OL126" s="373"/>
      <c r="OM126" s="373"/>
      <c r="ON126" s="373"/>
      <c r="OO126" s="373"/>
      <c r="OP126" s="373"/>
      <c r="OQ126" s="373"/>
      <c r="OR126" s="373"/>
      <c r="OS126" s="373"/>
      <c r="OT126" s="373"/>
      <c r="OU126" s="374"/>
      <c r="OX126" s="130"/>
      <c r="OY126" s="130"/>
      <c r="OZ126" s="130"/>
      <c r="PA126" s="130"/>
      <c r="PB126" s="130"/>
      <c r="PC126" s="130"/>
      <c r="PD126" s="130"/>
      <c r="PE126" s="130"/>
      <c r="PF126" s="130"/>
      <c r="PG126" s="130"/>
      <c r="PH126" s="130"/>
      <c r="PL126" s="850"/>
      <c r="PM126" s="800" t="s">
        <v>1558</v>
      </c>
      <c r="PN126" s="801"/>
      <c r="PO126" s="883">
        <f>$PZ$31</f>
        <v>493.21924905867229</v>
      </c>
      <c r="PP126" s="884"/>
      <c r="PQ126" s="797" t="s">
        <v>120</v>
      </c>
      <c r="PR126" s="797"/>
      <c r="PS126" s="797"/>
      <c r="PT126" s="797"/>
      <c r="PU126" s="797"/>
      <c r="PV126" s="797"/>
      <c r="PW126" s="797"/>
      <c r="PX126" s="797"/>
      <c r="PY126" s="798"/>
      <c r="PZ126" s="885">
        <f>PO126+PO127</f>
        <v>636.19943197840848</v>
      </c>
      <c r="QA126" s="886"/>
      <c r="QB126" s="1075" t="s">
        <v>3</v>
      </c>
      <c r="QC126" s="1076"/>
      <c r="QD126" s="1066"/>
      <c r="QE126" s="1170" t="s">
        <v>1582</v>
      </c>
      <c r="QF126" s="1172"/>
      <c r="QG126" s="847"/>
      <c r="QH126" s="1052"/>
      <c r="QI126" s="1052"/>
      <c r="QJ126" s="1052"/>
      <c r="QK126" s="1052"/>
      <c r="QL126" s="1052"/>
      <c r="QM126" s="1052"/>
      <c r="QN126" s="1052"/>
      <c r="QV126" s="130"/>
      <c r="QW126" s="130"/>
      <c r="QX126" s="130"/>
      <c r="QY126" s="130"/>
      <c r="QZ126" s="130"/>
      <c r="RA126" s="130"/>
      <c r="RB126" s="130"/>
      <c r="RC126" s="130"/>
      <c r="RD126" s="130"/>
      <c r="RE126" s="130"/>
      <c r="RF126" s="130"/>
      <c r="RG126" s="130"/>
      <c r="RH126" s="130"/>
      <c r="RI126" s="130"/>
      <c r="RJ126" s="130"/>
      <c r="RK126" s="130"/>
      <c r="RL126" s="130"/>
      <c r="RM126" s="130"/>
      <c r="RN126" s="130"/>
      <c r="RO126" s="130"/>
      <c r="RP126" s="130"/>
      <c r="RQ126" s="130"/>
      <c r="RR126" s="130"/>
      <c r="RS126" s="130"/>
      <c r="RT126" s="130"/>
      <c r="RU126" s="130"/>
      <c r="RV126" s="130"/>
      <c r="RW126" s="130"/>
      <c r="RX126" s="130"/>
      <c r="RY126" s="130"/>
      <c r="RZ126" s="130"/>
      <c r="SA126" s="130"/>
      <c r="SB126" s="130"/>
      <c r="SC126" s="130"/>
      <c r="SD126" s="130"/>
      <c r="SE126" s="130"/>
      <c r="SF126" s="130"/>
      <c r="VD126" s="1026"/>
      <c r="VE126" s="1027"/>
      <c r="VF126" s="1027"/>
      <c r="VG126" s="1027"/>
      <c r="VH126" s="1027"/>
      <c r="VI126" s="1027"/>
      <c r="VJ126" s="1027"/>
      <c r="VK126" s="1027"/>
      <c r="VL126" s="1027"/>
      <c r="VM126" s="1027"/>
      <c r="VN126" s="1027"/>
      <c r="VO126" s="1027"/>
      <c r="VP126" s="1027"/>
      <c r="VQ126" s="1027"/>
      <c r="VR126" s="1027"/>
      <c r="VS126" s="1027"/>
      <c r="VT126" s="1027"/>
      <c r="VU126" s="1027"/>
      <c r="VV126" s="1027"/>
      <c r="VW126" s="1027"/>
      <c r="VX126" s="1027"/>
      <c r="VY126" s="1027"/>
      <c r="VZ126" s="1028"/>
      <c r="WA126" s="15"/>
      <c r="WE126" s="752">
        <v>10</v>
      </c>
      <c r="WF126" s="753"/>
      <c r="WG126" s="800" t="s">
        <v>1264</v>
      </c>
      <c r="WH126" s="982"/>
      <c r="WI126" s="982"/>
      <c r="WJ126" s="801"/>
      <c r="WK126" s="937">
        <f>$MQ$212</f>
        <v>2.5479278737632125</v>
      </c>
      <c r="WL126" s="937"/>
      <c r="WM126" s="861" t="s">
        <v>1265</v>
      </c>
      <c r="WN126" s="861"/>
      <c r="WO126" s="861"/>
      <c r="WP126" s="861"/>
      <c r="WQ126" s="937">
        <f>$MP$234</f>
        <v>0.61171910270933894</v>
      </c>
      <c r="WR126" s="937"/>
      <c r="WS126" s="861" t="s">
        <v>1266</v>
      </c>
      <c r="WT126" s="861"/>
      <c r="WU126" s="861"/>
      <c r="WV126" s="861"/>
      <c r="WW126" s="937">
        <f>$MN$216</f>
        <v>1.2922478994547311</v>
      </c>
      <c r="WX126" s="937"/>
      <c r="WY126" s="171"/>
      <c r="WZ126" s="1004" t="s">
        <v>729</v>
      </c>
      <c r="XA126" s="1004"/>
      <c r="XB126" s="167"/>
      <c r="XC126" s="168"/>
      <c r="XD126" s="168"/>
      <c r="XE126" s="168"/>
      <c r="XF126" s="171"/>
      <c r="XG126" s="1009">
        <f t="shared" ref="XG126:YL126" si="171">(XG121+$WW$126+$WQ$126)/($WK$126+$WQ$126+$WW$126)</f>
        <v>0.99848852897084617</v>
      </c>
      <c r="XH126" s="1009">
        <f t="shared" si="171"/>
        <v>0.99783584829916605</v>
      </c>
      <c r="XI126" s="1009">
        <f t="shared" si="171"/>
        <v>0.99738927731327975</v>
      </c>
      <c r="XJ126" s="1009">
        <f t="shared" si="171"/>
        <v>0.99697705794169234</v>
      </c>
      <c r="XK126" s="1009">
        <f t="shared" si="171"/>
        <v>0.99659919018440368</v>
      </c>
      <c r="XL126" s="1009">
        <f t="shared" si="171"/>
        <v>0.99583200413172768</v>
      </c>
      <c r="XM126" s="1009">
        <f t="shared" si="171"/>
        <v>0.99500756538855273</v>
      </c>
      <c r="XN126" s="1009">
        <f t="shared" si="171"/>
        <v>0.99427473095017505</v>
      </c>
      <c r="XO126" s="1009">
        <f t="shared" si="171"/>
        <v>0.99363350081659463</v>
      </c>
      <c r="XP126" s="1009">
        <f t="shared" si="171"/>
        <v>0.99289412321358816</v>
      </c>
      <c r="XQ126" s="1009">
        <f t="shared" si="171"/>
        <v>0.9917948715560222</v>
      </c>
      <c r="XR126" s="1009">
        <f t="shared" si="171"/>
        <v>0.99085265584953652</v>
      </c>
      <c r="XS126" s="1009">
        <f t="shared" si="171"/>
        <v>0.98975340419197022</v>
      </c>
      <c r="XT126" s="1009">
        <f t="shared" si="171"/>
        <v>0.98881118848548466</v>
      </c>
      <c r="XU126" s="1009">
        <f t="shared" si="171"/>
        <v>0.98802600873007995</v>
      </c>
      <c r="XV126" s="1009">
        <f t="shared" si="171"/>
        <v>0.9870837930235945</v>
      </c>
      <c r="XW126" s="1009">
        <f t="shared" si="171"/>
        <v>0.98629861326818991</v>
      </c>
      <c r="XX126" s="1009">
        <f t="shared" si="171"/>
        <v>0.98499521487421782</v>
      </c>
      <c r="XY126" s="1009">
        <f t="shared" si="171"/>
        <v>0.98389596321665129</v>
      </c>
      <c r="XZ126" s="1009">
        <f t="shared" si="171"/>
        <v>0.98279671155908488</v>
      </c>
      <c r="YA126" s="1009">
        <f t="shared" si="171"/>
        <v>0.98191731023303164</v>
      </c>
      <c r="YB126" s="1009">
        <f t="shared" si="171"/>
        <v>0.98081805857546522</v>
      </c>
      <c r="YC126" s="1009">
        <f t="shared" si="171"/>
        <v>0.97971880691789881</v>
      </c>
      <c r="YD126" s="1009">
        <f t="shared" si="171"/>
        <v>0.97847298837265684</v>
      </c>
      <c r="YE126" s="1009">
        <f t="shared" si="171"/>
        <v>0.97664090227671274</v>
      </c>
      <c r="YF126" s="1009">
        <f t="shared" si="171"/>
        <v>0.97517523339995749</v>
      </c>
      <c r="YG126" s="1009">
        <f t="shared" si="171"/>
        <v>0.97370956452320212</v>
      </c>
      <c r="YH126" s="1009">
        <f t="shared" si="171"/>
        <v>0.97187747842725813</v>
      </c>
      <c r="YI126" s="1009">
        <f t="shared" si="171"/>
        <v>0.97041180955050277</v>
      </c>
      <c r="YJ126" s="1009">
        <f t="shared" si="171"/>
        <v>0.96894614067374751</v>
      </c>
      <c r="YK126" s="1009">
        <f t="shared" si="171"/>
        <v>0.96748047179699215</v>
      </c>
      <c r="YL126" s="1009">
        <f t="shared" si="171"/>
        <v>0.96601480292023689</v>
      </c>
      <c r="YM126" s="1009">
        <f t="shared" ref="YM126:ZR126" si="172">(YM121+$WW$126+$WQ$126)/($WK$126+$WQ$126+$WW$126)</f>
        <v>0.96491555126267048</v>
      </c>
      <c r="YN126" s="1009">
        <f t="shared" si="172"/>
        <v>0.96344988238591578</v>
      </c>
      <c r="YO126" s="1009">
        <f t="shared" si="172"/>
        <v>0.96198421350916041</v>
      </c>
      <c r="YP126" s="1009">
        <f t="shared" si="172"/>
        <v>0.96051854463240516</v>
      </c>
      <c r="YQ126" s="1009">
        <f t="shared" si="172"/>
        <v>0.95941929297483874</v>
      </c>
      <c r="YR126" s="1009">
        <f t="shared" si="172"/>
        <v>0.95795362409808338</v>
      </c>
      <c r="YS126" s="1009">
        <f t="shared" si="172"/>
        <v>0.95685437244051685</v>
      </c>
      <c r="YT126" s="1009">
        <f t="shared" si="172"/>
        <v>0.95538870356376171</v>
      </c>
      <c r="YU126" s="1009">
        <f t="shared" si="172"/>
        <v>0.95428945190619507</v>
      </c>
      <c r="YV126" s="1009">
        <f t="shared" si="172"/>
        <v>0.95282378302943982</v>
      </c>
      <c r="YW126" s="1009">
        <f t="shared" si="172"/>
        <v>0.95172453137187341</v>
      </c>
      <c r="YX126" s="1009">
        <f t="shared" si="172"/>
        <v>0.9509458947810967</v>
      </c>
      <c r="YY126" s="1009">
        <f t="shared" si="172"/>
        <v>0.94984664312353007</v>
      </c>
      <c r="YZ126" s="1009">
        <f t="shared" si="172"/>
        <v>0.94902220438035534</v>
      </c>
      <c r="ZA126" s="1009">
        <f t="shared" si="172"/>
        <v>0.9481977656371805</v>
      </c>
      <c r="ZB126" s="1009">
        <f t="shared" si="172"/>
        <v>0.94737332689400555</v>
      </c>
      <c r="ZC126" s="1009">
        <f t="shared" si="172"/>
        <v>0.94654888815083071</v>
      </c>
      <c r="ZD126" s="1009">
        <f t="shared" si="172"/>
        <v>0.9454496364932643</v>
      </c>
      <c r="ZE126" s="1009">
        <f t="shared" si="172"/>
        <v>0.94462519775008946</v>
      </c>
      <c r="ZF126" s="1009">
        <f t="shared" si="172"/>
        <v>0.94380075900691496</v>
      </c>
      <c r="ZG126" s="1009">
        <f t="shared" si="172"/>
        <v>0.94297632026374001</v>
      </c>
      <c r="ZH126" s="1009">
        <f t="shared" si="172"/>
        <v>0.94215188152056517</v>
      </c>
      <c r="ZI126" s="1009">
        <f t="shared" si="172"/>
        <v>0.94132744277739044</v>
      </c>
      <c r="ZJ126" s="1009">
        <f t="shared" si="172"/>
        <v>0.94050300403421561</v>
      </c>
      <c r="ZK126" s="1009">
        <f t="shared" si="172"/>
        <v>0.93967856529104066</v>
      </c>
      <c r="ZL126" s="1009">
        <f t="shared" si="172"/>
        <v>0.93912893946225751</v>
      </c>
      <c r="ZM126" s="1009">
        <f t="shared" si="172"/>
        <v>0.93830450071908256</v>
      </c>
      <c r="ZN126" s="1009">
        <f t="shared" si="172"/>
        <v>0.93789228134749481</v>
      </c>
      <c r="ZO126" s="1009">
        <f t="shared" si="172"/>
        <v>0.93756250585022494</v>
      </c>
      <c r="ZP126" s="1009">
        <f t="shared" si="172"/>
        <v>0.93723273035295496</v>
      </c>
      <c r="ZQ126" s="1009">
        <f t="shared" si="172"/>
        <v>0.93690295485568498</v>
      </c>
      <c r="ZR126" s="1009">
        <f t="shared" si="172"/>
        <v>0.93668310452417181</v>
      </c>
      <c r="ZS126" s="1009">
        <f t="shared" ref="ZS126:AAS126" si="173">(ZS121+$WW$126+$WQ$126)/($WK$126+$WQ$126+$WW$126)</f>
        <v>0.93635332902690172</v>
      </c>
      <c r="ZT126" s="1009">
        <f t="shared" si="173"/>
        <v>0.93602355352963185</v>
      </c>
      <c r="ZU126" s="1009">
        <f t="shared" si="173"/>
        <v>0.93580370319811856</v>
      </c>
      <c r="ZV126" s="1009">
        <f t="shared" si="173"/>
        <v>0.9354739277008487</v>
      </c>
      <c r="ZW126" s="1009">
        <f t="shared" si="173"/>
        <v>0.9351441522035786</v>
      </c>
      <c r="ZX126" s="1009">
        <f t="shared" si="173"/>
        <v>0.93492430187206543</v>
      </c>
      <c r="ZY126" s="1009">
        <f t="shared" si="173"/>
        <v>0.93459452637479534</v>
      </c>
      <c r="ZZ126" s="1009">
        <f t="shared" si="173"/>
        <v>0.93426475087752547</v>
      </c>
      <c r="AAA126" s="1009">
        <f t="shared" si="173"/>
        <v>0.93404490054601219</v>
      </c>
      <c r="AAB126" s="1009">
        <f t="shared" si="173"/>
        <v>0.93371512504874232</v>
      </c>
      <c r="AAC126" s="1009">
        <f t="shared" si="173"/>
        <v>0.93349527471722904</v>
      </c>
      <c r="AAD126" s="1009">
        <f t="shared" si="173"/>
        <v>0.93316549921995917</v>
      </c>
      <c r="AAE126" s="1009">
        <f t="shared" si="173"/>
        <v>0.93294564888844578</v>
      </c>
      <c r="AAF126" s="1009">
        <f t="shared" si="173"/>
        <v>0.93261587339117569</v>
      </c>
      <c r="AAG126" s="1009">
        <f t="shared" si="173"/>
        <v>0.9323960230596624</v>
      </c>
      <c r="AAH126" s="1009">
        <f t="shared" si="173"/>
        <v>0.93206624756239254</v>
      </c>
      <c r="AAI126" s="1009">
        <f t="shared" si="173"/>
        <v>0.93184639723087925</v>
      </c>
      <c r="AAJ126" s="1009">
        <f t="shared" si="173"/>
        <v>0.93151662173360938</v>
      </c>
      <c r="AAK126" s="1009">
        <f t="shared" si="173"/>
        <v>0.93129677140209599</v>
      </c>
      <c r="AAL126" s="1009">
        <f t="shared" si="173"/>
        <v>0.93074714557331284</v>
      </c>
      <c r="AAM126" s="1009">
        <f t="shared" si="173"/>
        <v>0.929922706830138</v>
      </c>
      <c r="AAN126" s="1009">
        <f t="shared" si="173"/>
        <v>0.92937308100135474</v>
      </c>
      <c r="AAO126" s="1009">
        <f t="shared" si="173"/>
        <v>0.9285486422581799</v>
      </c>
      <c r="AAP126" s="1009">
        <f t="shared" si="173"/>
        <v>0.92799901642939664</v>
      </c>
      <c r="AAQ126" s="1009">
        <f t="shared" si="173"/>
        <v>0.92744939060061349</v>
      </c>
      <c r="AAR126" s="1009">
        <f t="shared" si="173"/>
        <v>0.92662495185743854</v>
      </c>
      <c r="AAS126" s="1009">
        <f t="shared" si="173"/>
        <v>0.92607532602865539</v>
      </c>
      <c r="AAT126" s="1005">
        <v>10</v>
      </c>
      <c r="AAU126" s="960"/>
      <c r="AAV126" s="1101"/>
      <c r="AAW126" s="1101"/>
      <c r="AAX126" s="1101"/>
      <c r="AAY126" s="1101"/>
      <c r="AAZ126" s="1101"/>
      <c r="ABA126" s="1101"/>
      <c r="ABB126" s="1101"/>
      <c r="ABC126" s="961"/>
      <c r="ABD126" s="160"/>
      <c r="ABE126" s="160"/>
      <c r="ABF126" s="160"/>
      <c r="ABG126" s="160"/>
      <c r="ABH126" s="160"/>
      <c r="ABI126" s="160"/>
      <c r="ABJ126" s="160"/>
      <c r="ABK126" s="160"/>
      <c r="ABL126" s="160"/>
      <c r="ABM126" s="160"/>
      <c r="ABN126" s="160"/>
      <c r="ABO126" s="160"/>
      <c r="ABP126" s="161"/>
      <c r="ABX126" s="1527"/>
      <c r="ABY126" s="1527"/>
      <c r="ABZ126" s="1527"/>
      <c r="ACA126" s="1527"/>
      <c r="ACB126" s="1527"/>
      <c r="ACC126" s="1527"/>
      <c r="ACD126" s="1527"/>
      <c r="ACE126" s="1527"/>
      <c r="ACF126" s="1527"/>
      <c r="ACG126" s="1527"/>
      <c r="ACH126" s="1527"/>
      <c r="ACJ126" s="759">
        <v>1</v>
      </c>
      <c r="ACK126" s="760"/>
      <c r="ACL126" s="759">
        <v>-1.2</v>
      </c>
      <c r="ACM126" s="760"/>
      <c r="ACN126" s="592">
        <v>42</v>
      </c>
      <c r="ACO126" s="759">
        <f t="shared" si="91"/>
        <v>0.21999999999999997</v>
      </c>
      <c r="ACP126" s="760"/>
      <c r="ACQ126" s="757">
        <f t="shared" si="159"/>
        <v>1.42</v>
      </c>
      <c r="ACR126" s="758"/>
      <c r="ACT126" s="759">
        <v>1.5454545454545501</v>
      </c>
      <c r="ACU126" s="760"/>
      <c r="ACV126" s="759">
        <v>-2.1818181818181799</v>
      </c>
      <c r="ACW126" s="760"/>
      <c r="ACX126" s="591">
        <v>92</v>
      </c>
      <c r="ACY126" s="759">
        <f t="shared" si="92"/>
        <v>0.78545454545455629</v>
      </c>
      <c r="ACZ126" s="760"/>
      <c r="ADA126" s="757">
        <f t="shared" si="160"/>
        <v>1.92</v>
      </c>
      <c r="ADB126" s="758"/>
      <c r="ADD126" s="759">
        <v>1.5454545454545501</v>
      </c>
      <c r="ADE126" s="760"/>
      <c r="ADF126" s="759">
        <v>-2.1818181818181799</v>
      </c>
      <c r="ADG126" s="760"/>
      <c r="ADH126" s="591">
        <v>141</v>
      </c>
      <c r="ADI126" s="759">
        <f t="shared" si="93"/>
        <v>1.5427272727272858</v>
      </c>
      <c r="ADJ126" s="760"/>
      <c r="ADK126" s="757">
        <f t="shared" si="161"/>
        <v>2.41</v>
      </c>
      <c r="ADL126" s="758"/>
      <c r="ADN126" s="759">
        <v>1.5454545454545501</v>
      </c>
      <c r="ADO126" s="760"/>
      <c r="ADP126" s="759">
        <v>-2.1818181818181799</v>
      </c>
      <c r="ADQ126" s="760"/>
      <c r="ADR126" s="591">
        <v>191</v>
      </c>
      <c r="ADS126" s="759">
        <f t="shared" si="94"/>
        <v>2.3154545454545614</v>
      </c>
      <c r="ADT126" s="760"/>
      <c r="ADU126" s="757">
        <f t="shared" si="162"/>
        <v>2.91</v>
      </c>
      <c r="ADV126" s="758"/>
      <c r="ADW126" s="653"/>
      <c r="ADX126" s="759">
        <v>1.5454545454545501</v>
      </c>
      <c r="ADY126" s="760"/>
      <c r="ADZ126" s="759">
        <v>-2.1818181818181799</v>
      </c>
      <c r="AEA126" s="760"/>
      <c r="AEB126" s="591">
        <v>241</v>
      </c>
      <c r="AEC126" s="759">
        <f t="shared" si="134"/>
        <v>3.0881818181818357</v>
      </c>
      <c r="AED126" s="760"/>
      <c r="AEE126" s="757">
        <f t="shared" si="163"/>
        <v>3.41</v>
      </c>
      <c r="AEF126" s="758"/>
      <c r="AEH126" s="759">
        <v>1.5454545454545501</v>
      </c>
      <c r="AEI126" s="760"/>
      <c r="AEJ126" s="759">
        <v>-2.1818181818181799</v>
      </c>
      <c r="AEK126" s="760"/>
      <c r="AEL126" s="591">
        <v>291</v>
      </c>
      <c r="AEM126" s="759">
        <f t="shared" si="101"/>
        <v>3.8609090909091108</v>
      </c>
      <c r="AEN126" s="760"/>
      <c r="AEO126" s="757">
        <f t="shared" si="164"/>
        <v>3.91</v>
      </c>
      <c r="AEP126" s="758"/>
      <c r="AGL126" s="121"/>
      <c r="AGM126" s="809" t="s">
        <v>137</v>
      </c>
      <c r="AGN126" s="797"/>
      <c r="AGO126" s="797"/>
      <c r="AGP126" s="797"/>
      <c r="AGQ126" s="797"/>
      <c r="AGR126" s="797"/>
      <c r="AGS126" s="797"/>
      <c r="AGT126" s="797"/>
      <c r="AGU126" s="797"/>
      <c r="AGV126" s="797"/>
      <c r="AGW126" s="797"/>
      <c r="AGX126" s="797"/>
      <c r="AGY126" s="798"/>
      <c r="AGZ126" s="835">
        <f>AGQ125*AGT125</f>
        <v>17.205099098916754</v>
      </c>
      <c r="AHA126" s="836"/>
      <c r="AHB126" s="1188" t="s">
        <v>392</v>
      </c>
      <c r="AHC126" s="1189"/>
      <c r="AHD126" s="841"/>
      <c r="AHE126" s="1170" t="s">
        <v>1393</v>
      </c>
      <c r="AHF126" s="1171"/>
      <c r="AHG126" s="1172"/>
      <c r="AHH126" s="847"/>
      <c r="AHI126" s="826"/>
      <c r="AHJ126" s="945"/>
      <c r="AHK126" s="945"/>
      <c r="AHL126" s="945"/>
      <c r="AHM126" s="945"/>
      <c r="AHN126" s="946"/>
      <c r="AHR126" s="130"/>
      <c r="AHS126" s="130"/>
      <c r="AHT126" s="130"/>
      <c r="AHU126" s="130"/>
      <c r="AHV126" s="130"/>
      <c r="AHW126" s="130"/>
      <c r="AHX126" s="130"/>
      <c r="AHY126" s="130"/>
      <c r="AHZ126" s="130"/>
      <c r="AIA126" s="130"/>
      <c r="AIB126" s="130"/>
      <c r="AIC126" s="130"/>
      <c r="AID126" s="130"/>
      <c r="AIE126" s="130"/>
      <c r="AIF126" s="130"/>
      <c r="AIG126" s="130"/>
      <c r="AIH126" s="130"/>
      <c r="AQO126" s="851"/>
      <c r="AQP126" s="857"/>
      <c r="AQQ126" s="857"/>
      <c r="AQR126" s="857"/>
      <c r="AQS126" s="857"/>
      <c r="AQT126" s="857"/>
      <c r="AQU126" s="857"/>
      <c r="AQV126" s="857"/>
      <c r="AQW126" s="857"/>
      <c r="AQX126" s="857"/>
      <c r="AQY126" s="857"/>
      <c r="AQZ126" s="857"/>
      <c r="ARA126" s="857"/>
      <c r="ARB126" s="857"/>
      <c r="ARC126" s="837"/>
      <c r="ARD126" s="838"/>
      <c r="ARE126" s="777"/>
      <c r="ARF126" s="799"/>
      <c r="ARG126" s="842"/>
      <c r="ARH126" s="845"/>
      <c r="ARI126" s="846"/>
      <c r="ARJ126" s="848"/>
      <c r="ARU126" s="377"/>
      <c r="ARV126" s="373"/>
      <c r="ARW126" s="373"/>
      <c r="ARX126" s="373"/>
      <c r="ARY126" s="373"/>
      <c r="ARZ126" s="849"/>
      <c r="ASA126" s="957" t="s">
        <v>970</v>
      </c>
      <c r="ASB126" s="957"/>
      <c r="ASC126" s="957"/>
      <c r="ASD126" s="957"/>
      <c r="ASE126" s="957"/>
      <c r="ASF126" s="957"/>
      <c r="ASG126" s="957"/>
      <c r="ASH126" s="957"/>
      <c r="ASI126" s="957"/>
      <c r="ASJ126" s="957"/>
      <c r="ASK126" s="957"/>
      <c r="ASL126" s="957"/>
      <c r="ASM126" s="957"/>
      <c r="ASN126" s="835" t="e">
        <f>ASI209*(ASI213*ASI217+0.1)*((AP6/100)*AX25^2)</f>
        <v>#REF!</v>
      </c>
      <c r="ASO126" s="836"/>
      <c r="ASP126" s="1345" t="s">
        <v>919</v>
      </c>
      <c r="ASQ126" s="932"/>
      <c r="ASR126" s="1066"/>
      <c r="ASS126" s="843" t="s">
        <v>416</v>
      </c>
      <c r="AST126" s="844"/>
      <c r="ASU126" s="847"/>
      <c r="ASV126" s="373"/>
      <c r="ASW126" s="373"/>
      <c r="ASX126" s="373"/>
      <c r="ASY126" s="373"/>
      <c r="ASZ126" s="373"/>
      <c r="ATA126" s="373"/>
      <c r="ATB126" s="373"/>
      <c r="ATC126" s="373"/>
      <c r="ATD126" s="373"/>
      <c r="ATE126" s="373"/>
      <c r="ATF126" s="374"/>
      <c r="ATI126" s="851"/>
      <c r="ATJ126" s="1147"/>
      <c r="ATK126" s="1147"/>
      <c r="ATL126" s="1147"/>
      <c r="ATM126" s="1147"/>
      <c r="ATN126" s="1147"/>
      <c r="ATO126" s="1147"/>
      <c r="ATP126" s="1147"/>
      <c r="ATQ126" s="1147"/>
      <c r="ATR126" s="1147"/>
      <c r="ATS126" s="1147"/>
      <c r="ATT126" s="1147"/>
      <c r="ATU126" s="1147"/>
      <c r="ATV126" s="1147"/>
      <c r="ATW126" s="837"/>
      <c r="ATX126" s="838"/>
      <c r="ATY126" s="1476"/>
      <c r="ATZ126" s="1332"/>
      <c r="AUA126" s="842"/>
      <c r="AUB126" s="845"/>
      <c r="AUC126" s="846"/>
      <c r="AUD126" s="848"/>
    </row>
    <row r="127" spans="60:920 1133:1226" ht="48" customHeight="1" thickBot="1">
      <c r="BM127" s="130"/>
      <c r="BN127" s="130"/>
      <c r="BO127" s="130"/>
      <c r="BP127" s="130"/>
      <c r="BV127" s="653"/>
      <c r="BW127" s="653"/>
      <c r="BX127" s="653"/>
      <c r="BY127" s="653"/>
      <c r="BZ127" s="900"/>
      <c r="CA127" s="901"/>
      <c r="CB127" s="902"/>
      <c r="CC127" s="849"/>
      <c r="CD127" s="810" t="s">
        <v>453</v>
      </c>
      <c r="CE127" s="770"/>
      <c r="CF127" s="770"/>
      <c r="CG127" s="770"/>
      <c r="CH127" s="770"/>
      <c r="CI127" s="770"/>
      <c r="CJ127" s="770"/>
      <c r="CK127" s="770"/>
      <c r="CL127" s="770"/>
      <c r="CM127" s="770"/>
      <c r="CN127" s="770"/>
      <c r="CO127" s="1453">
        <f xml:space="preserve">
IF(CO119='Программные таблицы'!L64,'Программные таблицы'!K64,
IF(CO119='Программные таблицы'!L65,'Программные таблицы'!K65,
IF(CO119='Программные таблицы'!L66,'Программные таблицы'!K66,
IF(CO119='Программные таблицы'!L67,'Программные таблицы'!K67,
IF(CO119='Программные таблицы'!L68,'Программные таблицы'!K68,
IF(CO119='Программные таблицы'!L69,'Программные таблицы'!K69,
IF(CO119='Программные таблицы'!L70,'Программные таблицы'!K70,
IF(CO119='Программные таблицы'!L71,'Программные таблицы'!K71,
IF(CO119='Программные таблицы'!L72,'Программные таблицы'!K72,
IF(CO119='Программные таблицы'!L73,'Программные таблицы'!K73,
IF(CO119='Программные таблицы'!L74,'Программные таблицы'!K74,
IF(CO119='Программные таблицы'!L75,'Программные таблицы'!K75,
IF(CO119='Программные таблицы'!L76,'Программные таблицы'!K76,
IF(CO119='Программные таблицы'!L77,'Программные таблицы'!K77,
IF(CO119='Программные таблицы'!L78,'Программные таблицы'!K78,
IF(CO119='Программные таблицы'!L79,'Программные таблицы'!K79,
IF(CO119='Программные таблицы'!L80,'Программные таблицы'!K80,
IF(CO119='Программные таблицы'!L81,'Программные таблицы'!K81,
IF(CO119='Программные таблицы'!P64,'Программные таблицы'!O64,
IF(CO119='Программные таблицы'!P65,'Программные таблицы'!O65,
IF(CO119='Программные таблицы'!P66,'Программные таблицы'!O66,
"Вне рамок диапозона таблицы 4"
)))))))))))))))))))))</f>
        <v>1.1399999999999999</v>
      </c>
      <c r="CP127" s="1454"/>
      <c r="CQ127" s="927" t="s">
        <v>45</v>
      </c>
      <c r="CR127" s="928"/>
      <c r="CS127" s="1773"/>
      <c r="CT127" s="1482" t="s">
        <v>959</v>
      </c>
      <c r="CU127" s="1483"/>
      <c r="CV127" s="841"/>
      <c r="DA127" s="130"/>
      <c r="GF127" s="850"/>
      <c r="GG127" s="953" t="s">
        <v>988</v>
      </c>
      <c r="GH127" s="954"/>
      <c r="GI127" s="954"/>
      <c r="GJ127" s="954"/>
      <c r="GK127" s="954"/>
      <c r="GL127" s="954"/>
      <c r="GM127" s="1167">
        <f>GQ107/GM123</f>
        <v>20.62546824302779</v>
      </c>
      <c r="GN127" s="840"/>
      <c r="GO127" s="931" t="s">
        <v>45</v>
      </c>
      <c r="GP127" s="932"/>
      <c r="GQ127" s="841"/>
      <c r="GR127" s="1170" t="s">
        <v>1094</v>
      </c>
      <c r="GS127" s="1172"/>
      <c r="GT127" s="847"/>
      <c r="GU127" s="827"/>
      <c r="GV127" s="947"/>
      <c r="GW127" s="947"/>
      <c r="GX127" s="948"/>
      <c r="HI127" s="130"/>
      <c r="HJ127" s="130"/>
      <c r="HK127" s="130"/>
      <c r="HP127" s="130"/>
      <c r="HQ127" s="130"/>
      <c r="HR127" s="130"/>
      <c r="IE127" s="130"/>
      <c r="IF127" s="130"/>
      <c r="IG127" s="130"/>
      <c r="IH127" s="130"/>
      <c r="II127" s="130"/>
      <c r="JZ127" s="130"/>
      <c r="KA127" s="130"/>
      <c r="KB127" s="130"/>
      <c r="KC127" s="130"/>
      <c r="KD127" s="130"/>
      <c r="KE127" s="130"/>
      <c r="KF127" s="130"/>
      <c r="KG127" s="130"/>
      <c r="KH127" s="130"/>
      <c r="KI127" s="130"/>
      <c r="KJ127" s="130"/>
      <c r="KK127" s="130"/>
      <c r="KL127" s="130"/>
      <c r="KM127" s="130"/>
      <c r="KN127" s="130"/>
      <c r="LJ127" s="653"/>
      <c r="LK127" s="653"/>
      <c r="LL127" s="653"/>
      <c r="LM127" s="653"/>
      <c r="LN127" s="653"/>
      <c r="LO127" s="653"/>
      <c r="LP127" s="653"/>
      <c r="LQ127" s="653"/>
      <c r="LR127" s="653"/>
      <c r="LS127" s="130"/>
      <c r="LX127" s="377"/>
      <c r="LY127" s="373"/>
      <c r="LZ127" s="373"/>
      <c r="MA127" s="373"/>
      <c r="MB127" s="373"/>
      <c r="MC127" s="373"/>
      <c r="MD127" s="373"/>
      <c r="ME127" s="373"/>
      <c r="MF127" s="373"/>
      <c r="MG127" s="373"/>
      <c r="MH127" s="373"/>
      <c r="MI127" s="373"/>
      <c r="MJ127" s="373"/>
      <c r="MK127" s="373"/>
      <c r="ML127" s="373"/>
      <c r="MM127" s="373"/>
      <c r="MN127" s="373"/>
      <c r="MO127" s="373"/>
      <c r="MP127" s="373"/>
      <c r="MQ127" s="373"/>
      <c r="MR127" s="373"/>
      <c r="MS127" s="373"/>
      <c r="MT127" s="54"/>
      <c r="MU127" s="373"/>
      <c r="MV127" s="54"/>
      <c r="MW127" s="373"/>
      <c r="MX127" s="373"/>
      <c r="MY127" s="373"/>
      <c r="MZ127" s="373"/>
      <c r="NA127" s="373"/>
      <c r="NB127" s="373"/>
      <c r="NC127" s="373"/>
      <c r="ND127" s="373"/>
      <c r="NE127" s="373"/>
      <c r="NF127" s="373"/>
      <c r="NG127" s="373"/>
      <c r="NH127" s="373"/>
      <c r="NI127" s="373"/>
      <c r="NJ127" s="373"/>
      <c r="NK127" s="373"/>
      <c r="NL127" s="373"/>
      <c r="NM127" s="373"/>
      <c r="NN127" s="373"/>
      <c r="NO127" s="373"/>
      <c r="NP127" s="373"/>
      <c r="NQ127" s="373"/>
      <c r="NR127" s="373"/>
      <c r="NS127" s="373"/>
      <c r="NT127" s="373"/>
      <c r="NU127" s="373"/>
      <c r="NV127" s="373"/>
      <c r="NW127" s="373"/>
      <c r="NX127" s="373"/>
      <c r="NY127" s="373"/>
      <c r="NZ127" s="373"/>
      <c r="OA127" s="373"/>
      <c r="OB127" s="373"/>
      <c r="OC127" s="373"/>
      <c r="OD127" s="373"/>
      <c r="OE127" s="373"/>
      <c r="OF127" s="373"/>
      <c r="OG127" s="373"/>
      <c r="OH127" s="373"/>
      <c r="OI127" s="373"/>
      <c r="OJ127" s="373"/>
      <c r="OK127" s="373"/>
      <c r="OL127" s="373"/>
      <c r="OM127" s="373"/>
      <c r="ON127" s="373"/>
      <c r="OO127" s="373"/>
      <c r="OP127" s="373"/>
      <c r="OQ127" s="373"/>
      <c r="OR127" s="373"/>
      <c r="OS127" s="373"/>
      <c r="OT127" s="373"/>
      <c r="OU127" s="374"/>
      <c r="OX127" s="130"/>
      <c r="OY127" s="130"/>
      <c r="OZ127" s="130"/>
      <c r="PA127" s="130"/>
      <c r="PB127" s="130"/>
      <c r="PC127" s="130"/>
      <c r="PD127" s="130"/>
      <c r="PE127" s="130"/>
      <c r="PF127" s="130"/>
      <c r="PG127" s="130"/>
      <c r="PH127" s="130"/>
      <c r="PL127" s="851"/>
      <c r="PM127" s="802" t="s">
        <v>1673</v>
      </c>
      <c r="PN127" s="803"/>
      <c r="PO127" s="1333">
        <f>$PW$120</f>
        <v>142.98018291973614</v>
      </c>
      <c r="PP127" s="1334"/>
      <c r="PQ127" s="778"/>
      <c r="PR127" s="778"/>
      <c r="PS127" s="778"/>
      <c r="PT127" s="778"/>
      <c r="PU127" s="778"/>
      <c r="PV127" s="778"/>
      <c r="PW127" s="778"/>
      <c r="PX127" s="778"/>
      <c r="PY127" s="799"/>
      <c r="PZ127" s="887"/>
      <c r="QA127" s="888"/>
      <c r="QB127" s="1077"/>
      <c r="QC127" s="1078"/>
      <c r="QD127" s="1067"/>
      <c r="QE127" s="1173"/>
      <c r="QF127" s="1175"/>
      <c r="QG127" s="848"/>
      <c r="QH127" s="1053"/>
      <c r="QI127" s="1053"/>
      <c r="QJ127" s="1053"/>
      <c r="QK127" s="1053"/>
      <c r="QL127" s="1053"/>
      <c r="QM127" s="1053"/>
      <c r="QN127" s="1053"/>
      <c r="QV127" s="130"/>
      <c r="QW127" s="130"/>
      <c r="QX127" s="130"/>
      <c r="QY127" s="130"/>
      <c r="QZ127" s="130"/>
      <c r="RA127" s="130"/>
      <c r="RB127" s="130"/>
      <c r="RC127" s="130"/>
      <c r="RD127" s="130"/>
      <c r="RE127" s="130"/>
      <c r="RF127" s="130"/>
      <c r="RG127" s="130"/>
      <c r="RH127" s="130"/>
      <c r="RI127" s="130"/>
      <c r="RJ127" s="130"/>
      <c r="RK127" s="130"/>
      <c r="RL127" s="130"/>
      <c r="RM127" s="130"/>
      <c r="RN127" s="130"/>
      <c r="RO127" s="130"/>
      <c r="RP127" s="130"/>
      <c r="RQ127" s="130"/>
      <c r="RR127" s="130"/>
      <c r="RS127" s="130"/>
      <c r="RT127" s="130"/>
      <c r="RU127" s="130"/>
      <c r="RV127" s="130"/>
      <c r="RW127" s="130"/>
      <c r="RX127" s="130"/>
      <c r="RY127" s="130"/>
      <c r="RZ127" s="130"/>
      <c r="SA127" s="130"/>
      <c r="SB127" s="130"/>
      <c r="SC127" s="130"/>
      <c r="SD127" s="130"/>
      <c r="SE127" s="130"/>
      <c r="SF127" s="130"/>
      <c r="VD127" s="1026"/>
      <c r="VE127" s="1027"/>
      <c r="VF127" s="1027"/>
      <c r="VG127" s="1027"/>
      <c r="VH127" s="1027"/>
      <c r="VI127" s="1027"/>
      <c r="VJ127" s="1027"/>
      <c r="VK127" s="1027"/>
      <c r="VL127" s="1027"/>
      <c r="VM127" s="1027"/>
      <c r="VN127" s="1027"/>
      <c r="VO127" s="1027"/>
      <c r="VP127" s="1027"/>
      <c r="VQ127" s="1027"/>
      <c r="VR127" s="1027"/>
      <c r="VS127" s="1027"/>
      <c r="VT127" s="1027"/>
      <c r="VU127" s="1027"/>
      <c r="VV127" s="1027"/>
      <c r="VW127" s="1027"/>
      <c r="VX127" s="1027"/>
      <c r="VY127" s="1027"/>
      <c r="VZ127" s="1028"/>
      <c r="WA127" s="15"/>
      <c r="WE127" s="996"/>
      <c r="WF127" s="997"/>
      <c r="WG127" s="175"/>
      <c r="WH127" s="173"/>
      <c r="WI127" s="173"/>
      <c r="WJ127" s="173"/>
      <c r="WK127" s="173"/>
      <c r="WL127" s="173"/>
      <c r="WM127" s="173"/>
      <c r="WN127" s="173"/>
      <c r="WO127" s="173"/>
      <c r="WP127" s="173"/>
      <c r="WQ127" s="173"/>
      <c r="WR127" s="173"/>
      <c r="WS127" s="173"/>
      <c r="WT127" s="173"/>
      <c r="WU127" s="173"/>
      <c r="WV127" s="173"/>
      <c r="WW127" s="173"/>
      <c r="WX127" s="173"/>
      <c r="WY127" s="174"/>
      <c r="WZ127" s="1004"/>
      <c r="XA127" s="1004"/>
      <c r="XB127" s="175"/>
      <c r="XC127" s="173"/>
      <c r="XD127" s="173"/>
      <c r="XE127" s="173"/>
      <c r="XF127" s="174"/>
      <c r="XG127" s="1010"/>
      <c r="XH127" s="1010"/>
      <c r="XI127" s="1010"/>
      <c r="XJ127" s="1010"/>
      <c r="XK127" s="1010"/>
      <c r="XL127" s="1010"/>
      <c r="XM127" s="1010"/>
      <c r="XN127" s="1010"/>
      <c r="XO127" s="1010"/>
      <c r="XP127" s="1010"/>
      <c r="XQ127" s="1010"/>
      <c r="XR127" s="1010"/>
      <c r="XS127" s="1010"/>
      <c r="XT127" s="1010"/>
      <c r="XU127" s="1010"/>
      <c r="XV127" s="1010"/>
      <c r="XW127" s="1010"/>
      <c r="XX127" s="1010"/>
      <c r="XY127" s="1010"/>
      <c r="XZ127" s="1010"/>
      <c r="YA127" s="1010"/>
      <c r="YB127" s="1010"/>
      <c r="YC127" s="1010"/>
      <c r="YD127" s="1010"/>
      <c r="YE127" s="1010"/>
      <c r="YF127" s="1010"/>
      <c r="YG127" s="1010"/>
      <c r="YH127" s="1010"/>
      <c r="YI127" s="1010"/>
      <c r="YJ127" s="1010"/>
      <c r="YK127" s="1010"/>
      <c r="YL127" s="1010"/>
      <c r="YM127" s="1010"/>
      <c r="YN127" s="1010"/>
      <c r="YO127" s="1010"/>
      <c r="YP127" s="1010"/>
      <c r="YQ127" s="1010"/>
      <c r="YR127" s="1010"/>
      <c r="YS127" s="1010"/>
      <c r="YT127" s="1010"/>
      <c r="YU127" s="1010"/>
      <c r="YV127" s="1010"/>
      <c r="YW127" s="1010"/>
      <c r="YX127" s="1010"/>
      <c r="YY127" s="1010"/>
      <c r="YZ127" s="1010"/>
      <c r="ZA127" s="1010"/>
      <c r="ZB127" s="1010"/>
      <c r="ZC127" s="1010"/>
      <c r="ZD127" s="1010"/>
      <c r="ZE127" s="1010"/>
      <c r="ZF127" s="1010"/>
      <c r="ZG127" s="1010"/>
      <c r="ZH127" s="1010"/>
      <c r="ZI127" s="1010"/>
      <c r="ZJ127" s="1010"/>
      <c r="ZK127" s="1010"/>
      <c r="ZL127" s="1010"/>
      <c r="ZM127" s="1010"/>
      <c r="ZN127" s="1010"/>
      <c r="ZO127" s="1010"/>
      <c r="ZP127" s="1010"/>
      <c r="ZQ127" s="1010"/>
      <c r="ZR127" s="1010"/>
      <c r="ZS127" s="1010"/>
      <c r="ZT127" s="1010"/>
      <c r="ZU127" s="1010"/>
      <c r="ZV127" s="1010"/>
      <c r="ZW127" s="1010"/>
      <c r="ZX127" s="1010"/>
      <c r="ZY127" s="1010"/>
      <c r="ZZ127" s="1010"/>
      <c r="AAA127" s="1010"/>
      <c r="AAB127" s="1010"/>
      <c r="AAC127" s="1010"/>
      <c r="AAD127" s="1010"/>
      <c r="AAE127" s="1010"/>
      <c r="AAF127" s="1010"/>
      <c r="AAG127" s="1010"/>
      <c r="AAH127" s="1010"/>
      <c r="AAI127" s="1010"/>
      <c r="AAJ127" s="1010"/>
      <c r="AAK127" s="1010"/>
      <c r="AAL127" s="1010"/>
      <c r="AAM127" s="1010"/>
      <c r="AAN127" s="1010"/>
      <c r="AAO127" s="1010"/>
      <c r="AAP127" s="1010"/>
      <c r="AAQ127" s="1010"/>
      <c r="AAR127" s="1010"/>
      <c r="AAS127" s="1010"/>
      <c r="AAT127" s="1006"/>
      <c r="AAU127" s="960"/>
      <c r="AAV127" s="1101"/>
      <c r="AAW127" s="1101"/>
      <c r="AAX127" s="1101"/>
      <c r="AAY127" s="1101"/>
      <c r="AAZ127" s="1101"/>
      <c r="ABA127" s="1101"/>
      <c r="ABB127" s="1101"/>
      <c r="ABC127" s="961"/>
      <c r="ABD127" s="158"/>
      <c r="ABE127" s="158"/>
      <c r="ABF127" s="158"/>
      <c r="ABG127" s="158"/>
      <c r="ABH127" s="158"/>
      <c r="ABI127" s="158"/>
      <c r="ABJ127" s="158"/>
      <c r="ABK127" s="158"/>
      <c r="ABL127" s="158"/>
      <c r="ABM127" s="158"/>
      <c r="ABN127" s="158"/>
      <c r="ABO127" s="158"/>
      <c r="ABP127" s="163"/>
      <c r="ABX127" s="1527"/>
      <c r="ABY127" s="1527"/>
      <c r="ABZ127" s="1527"/>
      <c r="ACA127" s="1527"/>
      <c r="ACB127" s="1527"/>
      <c r="ACC127" s="1527"/>
      <c r="ACD127" s="1527"/>
      <c r="ACE127" s="1527"/>
      <c r="ACF127" s="1527"/>
      <c r="ACG127" s="1527"/>
      <c r="ACH127" s="1527"/>
      <c r="ACJ127" s="759">
        <v>1</v>
      </c>
      <c r="ACK127" s="760"/>
      <c r="ACL127" s="759">
        <v>-1.2</v>
      </c>
      <c r="ACM127" s="760"/>
      <c r="ACN127" s="592">
        <v>43</v>
      </c>
      <c r="ACO127" s="759">
        <f t="shared" si="91"/>
        <v>0.22999999999999998</v>
      </c>
      <c r="ACP127" s="760"/>
      <c r="ACQ127" s="757">
        <f t="shared" si="159"/>
        <v>1.43</v>
      </c>
      <c r="ACR127" s="758"/>
      <c r="ACT127" s="759">
        <v>1.5454545454545501</v>
      </c>
      <c r="ACU127" s="760"/>
      <c r="ACV127" s="759">
        <v>-2.1818181818181799</v>
      </c>
      <c r="ACW127" s="760"/>
      <c r="ACX127" s="591">
        <v>93</v>
      </c>
      <c r="ACY127" s="759">
        <f t="shared" si="92"/>
        <v>0.8009090909091019</v>
      </c>
      <c r="ACZ127" s="760"/>
      <c r="ADA127" s="757">
        <f t="shared" si="160"/>
        <v>1.9300000000000002</v>
      </c>
      <c r="ADB127" s="758"/>
      <c r="ADD127" s="759">
        <v>1.5454545454545501</v>
      </c>
      <c r="ADE127" s="760"/>
      <c r="ADF127" s="759">
        <v>-2.1818181818181799</v>
      </c>
      <c r="ADG127" s="760"/>
      <c r="ADH127" s="591">
        <v>142</v>
      </c>
      <c r="ADI127" s="759">
        <f t="shared" si="93"/>
        <v>1.558181818181831</v>
      </c>
      <c r="ADJ127" s="760"/>
      <c r="ADK127" s="757">
        <f t="shared" si="161"/>
        <v>2.42</v>
      </c>
      <c r="ADL127" s="758"/>
      <c r="ADN127" s="759">
        <v>1.5454545454545501</v>
      </c>
      <c r="ADO127" s="760"/>
      <c r="ADP127" s="759">
        <v>-2.1818181818181799</v>
      </c>
      <c r="ADQ127" s="760"/>
      <c r="ADR127" s="591">
        <v>192</v>
      </c>
      <c r="ADS127" s="759">
        <f t="shared" si="94"/>
        <v>2.3309090909091061</v>
      </c>
      <c r="ADT127" s="760"/>
      <c r="ADU127" s="757">
        <f t="shared" si="162"/>
        <v>2.92</v>
      </c>
      <c r="ADV127" s="758"/>
      <c r="ADW127" s="653"/>
      <c r="ADX127" s="759">
        <v>1.5454545454545501</v>
      </c>
      <c r="ADY127" s="760"/>
      <c r="ADZ127" s="759">
        <v>-2.1818181818181799</v>
      </c>
      <c r="AEA127" s="760"/>
      <c r="AEB127" s="591">
        <v>242</v>
      </c>
      <c r="AEC127" s="759">
        <f t="shared" si="134"/>
        <v>3.1036363636363813</v>
      </c>
      <c r="AED127" s="760"/>
      <c r="AEE127" s="757">
        <f t="shared" si="163"/>
        <v>3.42</v>
      </c>
      <c r="AEF127" s="758"/>
      <c r="AEH127" s="759">
        <v>1.5454545454545501</v>
      </c>
      <c r="AEI127" s="760"/>
      <c r="AEJ127" s="759">
        <v>-2.1818181818181799</v>
      </c>
      <c r="AEK127" s="760"/>
      <c r="AEL127" s="591">
        <v>292</v>
      </c>
      <c r="AEM127" s="759">
        <f t="shared" si="101"/>
        <v>3.8763636363636564</v>
      </c>
      <c r="AEN127" s="760"/>
      <c r="AEO127" s="757">
        <f t="shared" si="164"/>
        <v>3.92</v>
      </c>
      <c r="AEP127" s="758"/>
      <c r="AGL127" s="122"/>
      <c r="AGM127" s="777"/>
      <c r="AGN127" s="778"/>
      <c r="AGO127" s="778"/>
      <c r="AGP127" s="778"/>
      <c r="AGQ127" s="778"/>
      <c r="AGR127" s="778"/>
      <c r="AGS127" s="778"/>
      <c r="AGT127" s="778"/>
      <c r="AGU127" s="778"/>
      <c r="AGV127" s="778"/>
      <c r="AGW127" s="778"/>
      <c r="AGX127" s="778"/>
      <c r="AGY127" s="799"/>
      <c r="AGZ127" s="837"/>
      <c r="AHA127" s="838"/>
      <c r="AHB127" s="1190"/>
      <c r="AHC127" s="1191"/>
      <c r="AHD127" s="842"/>
      <c r="AHE127" s="1173"/>
      <c r="AHF127" s="1174"/>
      <c r="AHG127" s="1175"/>
      <c r="AHH127" s="848"/>
      <c r="AHI127" s="828"/>
      <c r="AHJ127" s="949"/>
      <c r="AHK127" s="949"/>
      <c r="AHL127" s="949"/>
      <c r="AHM127" s="949"/>
      <c r="AHN127" s="950"/>
      <c r="AHR127" s="130"/>
      <c r="AHS127" s="130"/>
      <c r="AHT127" s="130"/>
      <c r="AHU127" s="130"/>
      <c r="AHV127" s="130"/>
      <c r="AHW127" s="130"/>
      <c r="AHX127" s="130"/>
      <c r="AHY127" s="130"/>
      <c r="AHZ127" s="130"/>
      <c r="AIA127" s="130"/>
      <c r="AIB127" s="130"/>
      <c r="AIC127" s="130"/>
      <c r="AID127" s="130"/>
      <c r="AIE127" s="130"/>
      <c r="AIF127" s="130"/>
      <c r="AIG127" s="130"/>
      <c r="AIH127" s="130"/>
      <c r="AQV127" s="653"/>
      <c r="AQW127" s="653"/>
      <c r="AQX127" s="653"/>
      <c r="AQY127" s="653"/>
      <c r="AQZ127" s="653"/>
      <c r="ARA127" s="653"/>
      <c r="ARB127" s="653"/>
      <c r="ARC127" s="653"/>
      <c r="ARD127" s="653"/>
      <c r="ARE127" s="653"/>
      <c r="ARF127" s="653"/>
      <c r="ARG127" s="653"/>
      <c r="ARH127" s="653"/>
      <c r="ARI127" s="653"/>
      <c r="ARJ127" s="653"/>
      <c r="ARK127" s="653"/>
      <c r="ARL127" s="653"/>
      <c r="ARM127" s="653"/>
      <c r="ARN127" s="653"/>
      <c r="ARO127" s="653"/>
      <c r="ARU127" s="377"/>
      <c r="ARV127" s="373"/>
      <c r="ARW127" s="373"/>
      <c r="ARX127" s="373"/>
      <c r="ARY127" s="373"/>
      <c r="ARZ127" s="851"/>
      <c r="ASA127" s="1147"/>
      <c r="ASB127" s="1147"/>
      <c r="ASC127" s="1147"/>
      <c r="ASD127" s="1147"/>
      <c r="ASE127" s="1147"/>
      <c r="ASF127" s="1147"/>
      <c r="ASG127" s="1147"/>
      <c r="ASH127" s="1147"/>
      <c r="ASI127" s="1147"/>
      <c r="ASJ127" s="1147"/>
      <c r="ASK127" s="1147"/>
      <c r="ASL127" s="1147"/>
      <c r="ASM127" s="1147"/>
      <c r="ASN127" s="837"/>
      <c r="ASO127" s="838"/>
      <c r="ASP127" s="1346"/>
      <c r="ASQ127" s="934"/>
      <c r="ASR127" s="1067"/>
      <c r="ASS127" s="845"/>
      <c r="AST127" s="846"/>
      <c r="ASU127" s="848"/>
      <c r="ASV127" s="373"/>
      <c r="ASW127" s="373"/>
      <c r="ASX127" s="373"/>
      <c r="ASY127" s="373"/>
      <c r="ASZ127" s="373"/>
      <c r="ATA127" s="373"/>
      <c r="ATB127" s="373"/>
      <c r="ATC127" s="373"/>
      <c r="ATD127" s="373"/>
      <c r="ATE127" s="373"/>
      <c r="ATF127" s="374"/>
    </row>
    <row r="128" spans="60:920 1133:1226" ht="48" customHeight="1" thickBot="1">
      <c r="BV128" s="653"/>
      <c r="BW128" s="653"/>
      <c r="BX128" s="653"/>
      <c r="BY128" s="653"/>
      <c r="BZ128" s="903"/>
      <c r="CA128" s="904"/>
      <c r="CB128" s="905"/>
      <c r="CC128" s="851"/>
      <c r="CD128" s="811"/>
      <c r="CE128" s="772"/>
      <c r="CF128" s="772"/>
      <c r="CG128" s="772"/>
      <c r="CH128" s="772"/>
      <c r="CI128" s="772"/>
      <c r="CJ128" s="772"/>
      <c r="CK128" s="772"/>
      <c r="CL128" s="772"/>
      <c r="CM128" s="772"/>
      <c r="CN128" s="772"/>
      <c r="CO128" s="1455"/>
      <c r="CP128" s="1456"/>
      <c r="CQ128" s="929"/>
      <c r="CR128" s="930"/>
      <c r="CS128" s="1774"/>
      <c r="CT128" s="1484"/>
      <c r="CU128" s="1485"/>
      <c r="CV128" s="842"/>
      <c r="DA128" s="130"/>
      <c r="GF128" s="851"/>
      <c r="GG128" s="955"/>
      <c r="GH128" s="956"/>
      <c r="GI128" s="956"/>
      <c r="GJ128" s="956"/>
      <c r="GK128" s="956"/>
      <c r="GL128" s="956"/>
      <c r="GM128" s="1169"/>
      <c r="GN128" s="799"/>
      <c r="GO128" s="933"/>
      <c r="GP128" s="934"/>
      <c r="GQ128" s="842"/>
      <c r="GR128" s="1173"/>
      <c r="GS128" s="1175"/>
      <c r="GT128" s="848"/>
      <c r="GU128" s="828"/>
      <c r="GV128" s="949"/>
      <c r="GW128" s="949"/>
      <c r="GX128" s="950"/>
      <c r="HI128" s="130"/>
      <c r="HJ128" s="130"/>
      <c r="HK128" s="130"/>
      <c r="HQ128" s="130"/>
      <c r="HR128" s="130"/>
      <c r="IE128" s="130"/>
      <c r="IF128" s="130"/>
      <c r="IG128" s="130"/>
      <c r="IH128" s="130"/>
      <c r="II128" s="130"/>
      <c r="JZ128" s="130"/>
      <c r="KA128" s="130"/>
      <c r="KB128" s="130"/>
      <c r="KC128" s="130"/>
      <c r="KD128" s="130"/>
      <c r="KE128" s="130"/>
      <c r="KF128" s="130"/>
      <c r="KG128" s="130"/>
      <c r="KH128" s="130"/>
      <c r="KI128" s="130"/>
      <c r="KJ128" s="130"/>
      <c r="KK128" s="130"/>
      <c r="KL128" s="130"/>
      <c r="KM128" s="130"/>
      <c r="KN128" s="130"/>
      <c r="LX128" s="377"/>
      <c r="LY128" s="373"/>
      <c r="LZ128" s="373"/>
      <c r="MA128" s="373"/>
      <c r="MB128" s="373"/>
      <c r="MC128" s="373"/>
      <c r="MD128" s="373"/>
      <c r="ME128" s="373"/>
      <c r="MF128" s="373"/>
      <c r="MG128" s="373"/>
      <c r="MH128" s="373"/>
      <c r="MI128" s="373"/>
      <c r="MJ128" s="373"/>
      <c r="MK128" s="373"/>
      <c r="ML128" s="373"/>
      <c r="MM128" s="373"/>
      <c r="MN128" s="373"/>
      <c r="MO128" s="373"/>
      <c r="MP128" s="849"/>
      <c r="MQ128" s="852" t="s">
        <v>416</v>
      </c>
      <c r="MR128" s="853"/>
      <c r="MS128" s="371"/>
      <c r="MT128" s="370" t="s">
        <v>1301</v>
      </c>
      <c r="MU128" s="951">
        <f>IF(NI111=NI108,MP123,
IF(NI111=NI109,OA123,"Введите корректный тип укорочения"))</f>
        <v>1</v>
      </c>
      <c r="MV128" s="952"/>
      <c r="MW128" s="78"/>
      <c r="MX128" s="78"/>
      <c r="MY128" s="78"/>
      <c r="MZ128" s="371"/>
      <c r="NA128" s="76" t="s">
        <v>441</v>
      </c>
      <c r="NB128" s="854" t="s">
        <v>435</v>
      </c>
      <c r="NC128" s="855"/>
      <c r="ND128" s="924" t="s">
        <v>111</v>
      </c>
      <c r="NE128" s="925"/>
      <c r="NF128" s="916" t="s">
        <v>704</v>
      </c>
      <c r="NG128" s="917"/>
      <c r="NH128" s="1051" t="s">
        <v>447</v>
      </c>
      <c r="NI128" s="1051"/>
      <c r="NJ128" s="1051"/>
      <c r="NK128" s="1051"/>
      <c r="NL128" s="1051"/>
      <c r="NM128" s="1051" t="s">
        <v>436</v>
      </c>
      <c r="NN128" s="1051"/>
      <c r="NO128" s="1051"/>
      <c r="NP128" s="1051"/>
      <c r="NQ128" s="1051"/>
      <c r="NR128" s="1051"/>
      <c r="NS128" s="1051"/>
      <c r="NT128" s="906" t="s">
        <v>863</v>
      </c>
      <c r="NU128" s="907"/>
      <c r="NV128" s="908"/>
      <c r="NW128" s="373"/>
      <c r="NX128" s="373"/>
      <c r="NY128" s="373"/>
      <c r="NZ128" s="373"/>
      <c r="OA128" s="373"/>
      <c r="OB128" s="373"/>
      <c r="OC128" s="373"/>
      <c r="OD128" s="373"/>
      <c r="OE128" s="373"/>
      <c r="OF128" s="373"/>
      <c r="OG128" s="373"/>
      <c r="OH128" s="373"/>
      <c r="OI128" s="373"/>
      <c r="OJ128" s="373"/>
      <c r="OK128" s="373"/>
      <c r="OL128" s="373"/>
      <c r="OM128" s="373"/>
      <c r="ON128" s="373"/>
      <c r="OO128" s="373"/>
      <c r="OP128" s="373"/>
      <c r="OQ128" s="373"/>
      <c r="OR128" s="373"/>
      <c r="OS128" s="373"/>
      <c r="OT128" s="373"/>
      <c r="OU128" s="374"/>
      <c r="OX128" s="130"/>
      <c r="OY128" s="130"/>
      <c r="OZ128" s="130"/>
      <c r="PA128" s="130"/>
      <c r="PB128" s="130"/>
      <c r="PC128" s="130"/>
      <c r="PD128" s="130"/>
      <c r="PE128" s="130"/>
      <c r="PF128" s="130"/>
      <c r="PG128" s="130"/>
      <c r="PH128" s="130"/>
      <c r="QV128" s="130"/>
      <c r="QW128" s="130"/>
      <c r="QX128" s="130"/>
      <c r="QY128" s="130"/>
      <c r="QZ128" s="130"/>
      <c r="RA128" s="130"/>
      <c r="RB128" s="130"/>
      <c r="RC128" s="130"/>
      <c r="RD128" s="130"/>
      <c r="RE128" s="130"/>
      <c r="RF128" s="130"/>
      <c r="RG128" s="130"/>
      <c r="RH128" s="130"/>
      <c r="RI128" s="130"/>
      <c r="RJ128" s="130"/>
      <c r="RK128" s="130"/>
      <c r="RL128" s="130"/>
      <c r="RM128" s="130"/>
      <c r="RN128" s="130"/>
      <c r="RO128" s="130"/>
      <c r="RP128" s="130"/>
      <c r="RQ128" s="130"/>
      <c r="RR128" s="130"/>
      <c r="RS128" s="130"/>
      <c r="RT128" s="130"/>
      <c r="RU128" s="130"/>
      <c r="RV128" s="130"/>
      <c r="RW128" s="130"/>
      <c r="RX128" s="130"/>
      <c r="RY128" s="130"/>
      <c r="RZ128" s="130"/>
      <c r="SA128" s="130"/>
      <c r="SB128" s="130"/>
      <c r="SC128" s="130"/>
      <c r="SD128" s="130"/>
      <c r="SE128" s="130"/>
      <c r="SF128" s="130"/>
      <c r="VD128" s="1026"/>
      <c r="VE128" s="1027"/>
      <c r="VF128" s="1027"/>
      <c r="VG128" s="1027"/>
      <c r="VH128" s="1027"/>
      <c r="VI128" s="1027"/>
      <c r="VJ128" s="1027"/>
      <c r="VK128" s="1027"/>
      <c r="VL128" s="1027"/>
      <c r="VM128" s="1027"/>
      <c r="VN128" s="1027"/>
      <c r="VO128" s="1027"/>
      <c r="VP128" s="1027"/>
      <c r="VQ128" s="1027"/>
      <c r="VR128" s="1027"/>
      <c r="VS128" s="1027"/>
      <c r="VT128" s="1027"/>
      <c r="VU128" s="1027"/>
      <c r="VV128" s="1027"/>
      <c r="VW128" s="1027"/>
      <c r="VX128" s="1027"/>
      <c r="VY128" s="1027"/>
      <c r="VZ128" s="1028"/>
      <c r="WE128" s="754"/>
      <c r="WF128" s="755"/>
      <c r="WG128" s="169"/>
      <c r="WH128" s="170"/>
      <c r="WI128" s="170"/>
      <c r="WJ128" s="170"/>
      <c r="WK128" s="170"/>
      <c r="WL128" s="170"/>
      <c r="WM128" s="170"/>
      <c r="WN128" s="170"/>
      <c r="WO128" s="170"/>
      <c r="WP128" s="170"/>
      <c r="WQ128" s="170"/>
      <c r="WR128" s="170"/>
      <c r="WS128" s="170"/>
      <c r="WT128" s="170"/>
      <c r="WU128" s="170"/>
      <c r="WV128" s="170"/>
      <c r="WW128" s="170"/>
      <c r="WX128" s="170"/>
      <c r="WY128" s="172"/>
      <c r="WZ128" s="1004"/>
      <c r="XA128" s="1004"/>
      <c r="XB128" s="169"/>
      <c r="XC128" s="170"/>
      <c r="XD128" s="170"/>
      <c r="XE128" s="170"/>
      <c r="XF128" s="172"/>
      <c r="XG128" s="1011"/>
      <c r="XH128" s="1011"/>
      <c r="XI128" s="1011"/>
      <c r="XJ128" s="1011"/>
      <c r="XK128" s="1011"/>
      <c r="XL128" s="1011"/>
      <c r="XM128" s="1011"/>
      <c r="XN128" s="1011"/>
      <c r="XO128" s="1011"/>
      <c r="XP128" s="1011"/>
      <c r="XQ128" s="1011"/>
      <c r="XR128" s="1011"/>
      <c r="XS128" s="1011"/>
      <c r="XT128" s="1011"/>
      <c r="XU128" s="1011"/>
      <c r="XV128" s="1011"/>
      <c r="XW128" s="1011"/>
      <c r="XX128" s="1011"/>
      <c r="XY128" s="1011"/>
      <c r="XZ128" s="1011"/>
      <c r="YA128" s="1011"/>
      <c r="YB128" s="1011"/>
      <c r="YC128" s="1011"/>
      <c r="YD128" s="1011"/>
      <c r="YE128" s="1011"/>
      <c r="YF128" s="1011"/>
      <c r="YG128" s="1011"/>
      <c r="YH128" s="1011"/>
      <c r="YI128" s="1011"/>
      <c r="YJ128" s="1011"/>
      <c r="YK128" s="1011"/>
      <c r="YL128" s="1011"/>
      <c r="YM128" s="1011"/>
      <c r="YN128" s="1011"/>
      <c r="YO128" s="1011"/>
      <c r="YP128" s="1011"/>
      <c r="YQ128" s="1011"/>
      <c r="YR128" s="1011"/>
      <c r="YS128" s="1011"/>
      <c r="YT128" s="1011"/>
      <c r="YU128" s="1011"/>
      <c r="YV128" s="1011"/>
      <c r="YW128" s="1011"/>
      <c r="YX128" s="1011"/>
      <c r="YY128" s="1011"/>
      <c r="YZ128" s="1011"/>
      <c r="ZA128" s="1011"/>
      <c r="ZB128" s="1011"/>
      <c r="ZC128" s="1011"/>
      <c r="ZD128" s="1011"/>
      <c r="ZE128" s="1011"/>
      <c r="ZF128" s="1011"/>
      <c r="ZG128" s="1011"/>
      <c r="ZH128" s="1011"/>
      <c r="ZI128" s="1011"/>
      <c r="ZJ128" s="1011"/>
      <c r="ZK128" s="1011"/>
      <c r="ZL128" s="1011"/>
      <c r="ZM128" s="1011"/>
      <c r="ZN128" s="1011"/>
      <c r="ZO128" s="1011"/>
      <c r="ZP128" s="1011"/>
      <c r="ZQ128" s="1011"/>
      <c r="ZR128" s="1011"/>
      <c r="ZS128" s="1011"/>
      <c r="ZT128" s="1011"/>
      <c r="ZU128" s="1011"/>
      <c r="ZV128" s="1011"/>
      <c r="ZW128" s="1011"/>
      <c r="ZX128" s="1011"/>
      <c r="ZY128" s="1011"/>
      <c r="ZZ128" s="1011"/>
      <c r="AAA128" s="1011"/>
      <c r="AAB128" s="1011"/>
      <c r="AAC128" s="1011"/>
      <c r="AAD128" s="1011"/>
      <c r="AAE128" s="1011"/>
      <c r="AAF128" s="1011"/>
      <c r="AAG128" s="1011"/>
      <c r="AAH128" s="1011"/>
      <c r="AAI128" s="1011"/>
      <c r="AAJ128" s="1011"/>
      <c r="AAK128" s="1011"/>
      <c r="AAL128" s="1011"/>
      <c r="AAM128" s="1011"/>
      <c r="AAN128" s="1011"/>
      <c r="AAO128" s="1011"/>
      <c r="AAP128" s="1011"/>
      <c r="AAQ128" s="1011"/>
      <c r="AAR128" s="1011"/>
      <c r="AAS128" s="1011"/>
      <c r="AAT128" s="1007"/>
      <c r="AAU128" s="962"/>
      <c r="AAV128" s="1059"/>
      <c r="AAW128" s="1059"/>
      <c r="AAX128" s="1059"/>
      <c r="AAY128" s="1059"/>
      <c r="AAZ128" s="1059"/>
      <c r="ABA128" s="1059"/>
      <c r="ABB128" s="1059"/>
      <c r="ABC128" s="963"/>
      <c r="ABD128" s="158"/>
      <c r="ABE128" s="158"/>
      <c r="ABF128" s="158"/>
      <c r="ABG128" s="158"/>
      <c r="ABH128" s="158"/>
      <c r="ABI128" s="158"/>
      <c r="ABJ128" s="158"/>
      <c r="ABK128" s="158"/>
      <c r="ABL128" s="158"/>
      <c r="ABM128" s="158"/>
      <c r="ABN128" s="158"/>
      <c r="ABO128" s="158"/>
      <c r="ABP128" s="163"/>
      <c r="ACJ128" s="759">
        <v>1</v>
      </c>
      <c r="ACK128" s="760"/>
      <c r="ACL128" s="759">
        <v>-1.2</v>
      </c>
      <c r="ACM128" s="760"/>
      <c r="ACN128" s="592">
        <v>44</v>
      </c>
      <c r="ACO128" s="759">
        <f t="shared" si="91"/>
        <v>0.24</v>
      </c>
      <c r="ACP128" s="760"/>
      <c r="ACQ128" s="757">
        <f t="shared" si="159"/>
        <v>1.44</v>
      </c>
      <c r="ACR128" s="758"/>
      <c r="ACT128" s="759">
        <v>1.5454545454545501</v>
      </c>
      <c r="ACU128" s="760"/>
      <c r="ACV128" s="759">
        <v>-2.1818181818181799</v>
      </c>
      <c r="ACW128" s="760"/>
      <c r="ACX128" s="591">
        <v>94</v>
      </c>
      <c r="ACY128" s="759">
        <f t="shared" si="92"/>
        <v>0.81636363636364706</v>
      </c>
      <c r="ACZ128" s="760"/>
      <c r="ADA128" s="757">
        <f t="shared" si="160"/>
        <v>1.94</v>
      </c>
      <c r="ADB128" s="758"/>
      <c r="ADD128" s="759">
        <v>1.5454545454545501</v>
      </c>
      <c r="ADE128" s="760"/>
      <c r="ADF128" s="759">
        <v>-2.1818181818181799</v>
      </c>
      <c r="ADG128" s="760"/>
      <c r="ADH128" s="591">
        <v>143</v>
      </c>
      <c r="ADI128" s="759">
        <f t="shared" si="93"/>
        <v>1.5736363636363762</v>
      </c>
      <c r="ADJ128" s="760"/>
      <c r="ADK128" s="757">
        <f t="shared" si="161"/>
        <v>2.4299999999999997</v>
      </c>
      <c r="ADL128" s="758"/>
      <c r="ADN128" s="759">
        <v>1.5454545454545501</v>
      </c>
      <c r="ADO128" s="760"/>
      <c r="ADP128" s="759">
        <v>-2.1818181818181799</v>
      </c>
      <c r="ADQ128" s="760"/>
      <c r="ADR128" s="591">
        <v>193</v>
      </c>
      <c r="ADS128" s="759">
        <f t="shared" si="94"/>
        <v>2.3463636363636518</v>
      </c>
      <c r="ADT128" s="760"/>
      <c r="ADU128" s="757">
        <f t="shared" si="162"/>
        <v>2.9299999999999997</v>
      </c>
      <c r="ADV128" s="758"/>
      <c r="ADX128" s="759">
        <v>1.5454545454545501</v>
      </c>
      <c r="ADY128" s="760"/>
      <c r="ADZ128" s="759">
        <v>-2.1818181818181799</v>
      </c>
      <c r="AEA128" s="760"/>
      <c r="AEB128" s="591">
        <v>243</v>
      </c>
      <c r="AEC128" s="759">
        <f t="shared" si="134"/>
        <v>3.1190909090909269</v>
      </c>
      <c r="AED128" s="760"/>
      <c r="AEE128" s="757">
        <f t="shared" si="163"/>
        <v>3.43</v>
      </c>
      <c r="AEF128" s="758"/>
      <c r="AEH128" s="759">
        <v>1.5454545454545501</v>
      </c>
      <c r="AEI128" s="760"/>
      <c r="AEJ128" s="759">
        <v>-2.1818181818181799</v>
      </c>
      <c r="AEK128" s="760"/>
      <c r="AEL128" s="591">
        <v>293</v>
      </c>
      <c r="AEM128" s="759">
        <f t="shared" si="101"/>
        <v>3.891818181818202</v>
      </c>
      <c r="AEN128" s="760"/>
      <c r="AEO128" s="757">
        <f t="shared" si="164"/>
        <v>3.93</v>
      </c>
      <c r="AEP128" s="758"/>
      <c r="AHR128" s="130"/>
      <c r="AQO128" s="849"/>
      <c r="AQP128" s="852" t="s">
        <v>416</v>
      </c>
      <c r="AQQ128" s="853"/>
      <c r="AQR128" s="700"/>
      <c r="AQS128" s="78"/>
      <c r="AQT128" s="78"/>
      <c r="AQU128" s="78"/>
      <c r="AQV128" s="78"/>
      <c r="AQW128" s="78"/>
      <c r="AQX128" s="78"/>
      <c r="AQY128" s="700"/>
      <c r="AQZ128" s="76" t="s">
        <v>441</v>
      </c>
      <c r="ARA128" s="854" t="s">
        <v>435</v>
      </c>
      <c r="ARB128" s="855"/>
      <c r="ARC128" s="920" t="s">
        <v>111</v>
      </c>
      <c r="ARD128" s="921"/>
      <c r="ARE128" s="916" t="s">
        <v>704</v>
      </c>
      <c r="ARF128" s="917"/>
      <c r="ARG128" s="906" t="s">
        <v>447</v>
      </c>
      <c r="ARH128" s="907"/>
      <c r="ARI128" s="907"/>
      <c r="ARJ128" s="908"/>
      <c r="ARK128" s="653"/>
      <c r="ARL128" s="653"/>
      <c r="ARM128" s="653"/>
      <c r="ARN128" s="653"/>
      <c r="ARO128" s="653"/>
      <c r="ARU128" s="377"/>
      <c r="ARV128" s="373"/>
      <c r="ARW128" s="373"/>
      <c r="ARX128" s="373"/>
      <c r="ARY128" s="373"/>
      <c r="ARZ128" s="373"/>
      <c r="ASA128" s="373"/>
      <c r="ASB128" s="373"/>
      <c r="ASC128" s="373"/>
      <c r="ASD128" s="373"/>
      <c r="ASE128" s="373"/>
      <c r="ASF128" s="373"/>
      <c r="ASG128" s="373"/>
      <c r="ASH128" s="373"/>
      <c r="ASI128" s="373"/>
      <c r="ASJ128" s="373"/>
      <c r="ASK128" s="373"/>
      <c r="ASL128" s="373"/>
      <c r="ASM128" s="373"/>
      <c r="ASN128" s="373"/>
      <c r="ASO128" s="373"/>
      <c r="ASP128" s="373"/>
      <c r="ASQ128" s="373"/>
      <c r="ASR128" s="373"/>
      <c r="ASS128" s="373"/>
      <c r="AST128" s="373"/>
      <c r="ASU128" s="373"/>
      <c r="ASV128" s="373"/>
      <c r="ASW128" s="373"/>
      <c r="ASX128" s="373"/>
      <c r="ASY128" s="373"/>
      <c r="ASZ128" s="373"/>
      <c r="ATA128" s="373"/>
      <c r="ATB128" s="373"/>
      <c r="ATC128" s="373"/>
      <c r="ATD128" s="373"/>
      <c r="ATE128" s="373"/>
      <c r="ATF128" s="374"/>
      <c r="ATK128" s="199"/>
      <c r="ATL128" s="852" t="s">
        <v>873</v>
      </c>
      <c r="ATM128" s="923"/>
      <c r="ATN128" s="199"/>
      <c r="ATO128" s="1117" t="s">
        <v>881</v>
      </c>
      <c r="ATP128" s="1118"/>
      <c r="ATQ128" s="1118"/>
      <c r="ATR128" s="1118"/>
      <c r="ATS128" s="1118"/>
      <c r="ATT128" s="1118"/>
      <c r="ATU128" s="1118"/>
      <c r="ATV128" s="1118"/>
      <c r="ATW128" s="1118"/>
      <c r="ATX128" s="1118"/>
      <c r="ATY128" s="1119"/>
      <c r="ATZ128" s="199"/>
    </row>
    <row r="129" spans="43:908 1133:1230" ht="48" customHeight="1" thickBot="1">
      <c r="BV129" s="653"/>
      <c r="BW129" s="653"/>
      <c r="BX129" s="653"/>
      <c r="BY129" s="653"/>
      <c r="DA129" s="130"/>
      <c r="HI129" s="130"/>
      <c r="HJ129" s="130"/>
      <c r="HK129" s="130"/>
      <c r="HL129" s="130"/>
      <c r="LX129" s="377"/>
      <c r="LY129" s="373"/>
      <c r="LZ129" s="373"/>
      <c r="MA129" s="373"/>
      <c r="MB129" s="373"/>
      <c r="MC129" s="373"/>
      <c r="MD129" s="373"/>
      <c r="ME129" s="373"/>
      <c r="MF129" s="373"/>
      <c r="MG129" s="373"/>
      <c r="MH129" s="373"/>
      <c r="MI129" s="373"/>
      <c r="MJ129" s="373"/>
      <c r="MK129" s="373"/>
      <c r="ML129" s="373"/>
      <c r="MM129" s="373"/>
      <c r="MN129" s="373"/>
      <c r="MO129" s="373"/>
      <c r="MP129" s="850"/>
      <c r="MQ129" s="809" t="s">
        <v>1277</v>
      </c>
      <c r="MR129" s="797"/>
      <c r="MS129" s="797"/>
      <c r="MT129" s="797"/>
      <c r="MU129" s="797"/>
      <c r="MV129" s="797"/>
      <c r="MW129" s="797"/>
      <c r="MX129" s="797"/>
      <c r="MY129" s="797"/>
      <c r="MZ129" s="797"/>
      <c r="NA129" s="797"/>
      <c r="NB129" s="797"/>
      <c r="NC129" s="798"/>
      <c r="ND129" s="1404">
        <f>0.25*(1+3*MU128)</f>
        <v>1</v>
      </c>
      <c r="NE129" s="1405"/>
      <c r="NF129" s="1322"/>
      <c r="NG129" s="840"/>
      <c r="NH129" s="1066"/>
      <c r="NI129" s="893" t="s">
        <v>1302</v>
      </c>
      <c r="NJ129" s="1081"/>
      <c r="NK129" s="894"/>
      <c r="NL129" s="847"/>
      <c r="NM129" s="1052"/>
      <c r="NN129" s="1052"/>
      <c r="NO129" s="1052"/>
      <c r="NP129" s="1052"/>
      <c r="NQ129" s="1052"/>
      <c r="NR129" s="1052"/>
      <c r="NS129" s="1052"/>
      <c r="NT129" s="1203" t="s">
        <v>862</v>
      </c>
      <c r="NU129" s="1275"/>
      <c r="NV129" s="1204"/>
      <c r="NW129" s="373"/>
      <c r="NX129" s="373"/>
      <c r="NY129" s="373"/>
      <c r="NZ129" s="373"/>
      <c r="OA129" s="373"/>
      <c r="OB129" s="373"/>
      <c r="OC129" s="373"/>
      <c r="OD129" s="373"/>
      <c r="OE129" s="373"/>
      <c r="OF129" s="373"/>
      <c r="OG129" s="373"/>
      <c r="OH129" s="373"/>
      <c r="OI129" s="373"/>
      <c r="OJ129" s="373"/>
      <c r="OK129" s="373"/>
      <c r="OL129" s="373"/>
      <c r="OM129" s="373"/>
      <c r="ON129" s="373"/>
      <c r="OO129" s="373"/>
      <c r="OP129" s="373"/>
      <c r="OQ129" s="373"/>
      <c r="OR129" s="373"/>
      <c r="OS129" s="373"/>
      <c r="OT129" s="373"/>
      <c r="OU129" s="374"/>
      <c r="OX129" s="130"/>
      <c r="OY129" s="130"/>
      <c r="OZ129" s="130"/>
      <c r="PA129" s="130"/>
      <c r="PB129" s="130"/>
      <c r="PC129" s="130"/>
      <c r="PD129" s="130"/>
      <c r="PE129" s="130"/>
      <c r="PF129" s="130"/>
      <c r="PG129" s="130"/>
      <c r="PH129" s="130"/>
      <c r="PN129" s="466"/>
      <c r="PO129" s="852" t="s">
        <v>1518</v>
      </c>
      <c r="PP129" s="923"/>
      <c r="PQ129" s="466"/>
      <c r="PR129" s="1069" t="s">
        <v>1526</v>
      </c>
      <c r="PS129" s="1070"/>
      <c r="PT129" s="1070"/>
      <c r="PU129" s="1070"/>
      <c r="PV129" s="1070"/>
      <c r="PW129" s="1070"/>
      <c r="PX129" s="1070"/>
      <c r="PY129" s="1070"/>
      <c r="PZ129" s="1070"/>
      <c r="QA129" s="1070"/>
      <c r="QB129" s="1071"/>
      <c r="QC129" s="466"/>
      <c r="QU129" s="130"/>
      <c r="QV129" s="130"/>
      <c r="QW129" s="130"/>
      <c r="QX129" s="130"/>
      <c r="RB129" s="130"/>
      <c r="RC129" s="130"/>
      <c r="RD129" s="130"/>
      <c r="RE129" s="130"/>
      <c r="RF129" s="130"/>
      <c r="RG129" s="130"/>
      <c r="RH129" s="130"/>
      <c r="RI129" s="130"/>
      <c r="RJ129" s="130"/>
      <c r="RK129" s="130"/>
      <c r="RL129" s="130"/>
      <c r="RM129" s="130"/>
      <c r="RN129" s="130"/>
      <c r="RO129" s="130"/>
      <c r="RP129" s="130"/>
      <c r="RQ129" s="130"/>
      <c r="RR129" s="130"/>
      <c r="RS129" s="130"/>
      <c r="RT129" s="130"/>
      <c r="RU129" s="130"/>
      <c r="RV129" s="130"/>
      <c r="RW129" s="130"/>
      <c r="RX129" s="130"/>
      <c r="RY129" s="130"/>
      <c r="RZ129" s="130"/>
      <c r="SA129" s="130"/>
      <c r="SB129" s="130"/>
      <c r="SC129" s="130"/>
      <c r="SD129" s="130"/>
      <c r="SE129" s="130"/>
      <c r="SF129" s="130"/>
      <c r="VD129" s="1026"/>
      <c r="VE129" s="1027"/>
      <c r="VF129" s="1027"/>
      <c r="VG129" s="1027"/>
      <c r="VH129" s="1027"/>
      <c r="VI129" s="1027"/>
      <c r="VJ129" s="1027"/>
      <c r="VK129" s="1027"/>
      <c r="VL129" s="1027"/>
      <c r="VM129" s="1027"/>
      <c r="VN129" s="1027"/>
      <c r="VO129" s="1027"/>
      <c r="VP129" s="1027"/>
      <c r="VQ129" s="1027"/>
      <c r="VR129" s="1027"/>
      <c r="VS129" s="1027"/>
      <c r="VT129" s="1027"/>
      <c r="VU129" s="1027"/>
      <c r="VV129" s="1027"/>
      <c r="VW129" s="1027"/>
      <c r="VX129" s="1027"/>
      <c r="VY129" s="1027"/>
      <c r="VZ129" s="1028"/>
      <c r="WE129" s="752">
        <v>11</v>
      </c>
      <c r="WF129" s="753"/>
      <c r="WG129" s="1146" t="s">
        <v>1339</v>
      </c>
      <c r="WH129" s="1146"/>
      <c r="WI129" s="1146"/>
      <c r="WJ129" s="1146"/>
      <c r="WK129" s="1156">
        <f>$MM$241</f>
        <v>0.37750130463778836</v>
      </c>
      <c r="WL129" s="1156"/>
      <c r="WM129" s="168"/>
      <c r="WN129" s="168"/>
      <c r="WO129" s="168"/>
      <c r="WP129" s="168"/>
      <c r="WQ129" s="168"/>
      <c r="WR129" s="168"/>
      <c r="WS129" s="168"/>
      <c r="WT129" s="168"/>
      <c r="WU129" s="168"/>
      <c r="WV129" s="168"/>
      <c r="WW129" s="168"/>
      <c r="WX129" s="168"/>
      <c r="WY129" s="171"/>
      <c r="WZ129" s="752" t="s">
        <v>392</v>
      </c>
      <c r="XA129" s="753"/>
      <c r="XB129" s="167"/>
      <c r="XC129" s="168"/>
      <c r="XD129" s="168"/>
      <c r="XE129" s="168"/>
      <c r="XF129" s="171"/>
      <c r="XG129" s="858">
        <f t="shared" ref="XG129:YL129" si="174">$WK$129*XG126</f>
        <v>0.37693072235236058</v>
      </c>
      <c r="XH129" s="858">
        <f t="shared" si="174"/>
        <v>0.37668433454728945</v>
      </c>
      <c r="XI129" s="858">
        <f t="shared" si="174"/>
        <v>0.37651575341750398</v>
      </c>
      <c r="XJ129" s="858">
        <f t="shared" si="174"/>
        <v>0.3763601400669328</v>
      </c>
      <c r="XK129" s="858">
        <f t="shared" si="174"/>
        <v>0.37621749449557573</v>
      </c>
      <c r="XL129" s="858">
        <f t="shared" si="174"/>
        <v>0.37592788075979067</v>
      </c>
      <c r="XM129" s="858">
        <f t="shared" si="174"/>
        <v>0.37561665405864819</v>
      </c>
      <c r="XN129" s="858">
        <f t="shared" si="174"/>
        <v>0.37534000810207707</v>
      </c>
      <c r="XO129" s="858">
        <f t="shared" si="174"/>
        <v>0.37509794289007742</v>
      </c>
      <c r="XP129" s="858">
        <f t="shared" si="174"/>
        <v>0.37481882688032253</v>
      </c>
      <c r="XQ129" s="858">
        <f t="shared" si="174"/>
        <v>0.3744038579454661</v>
      </c>
      <c r="XR129" s="858">
        <f t="shared" si="174"/>
        <v>0.37404817028701753</v>
      </c>
      <c r="XS129" s="858">
        <f t="shared" si="174"/>
        <v>0.37363320135216105</v>
      </c>
      <c r="XT129" s="858">
        <f t="shared" si="174"/>
        <v>0.37327751369371254</v>
      </c>
      <c r="XU129" s="858">
        <f t="shared" si="174"/>
        <v>0.37298110731167206</v>
      </c>
      <c r="XV129" s="858">
        <f t="shared" si="174"/>
        <v>0.3726254196532236</v>
      </c>
      <c r="XW129" s="858">
        <f t="shared" si="174"/>
        <v>0.37232901327118317</v>
      </c>
      <c r="XX129" s="858">
        <f t="shared" si="174"/>
        <v>0.37183697867699589</v>
      </c>
      <c r="XY129" s="858">
        <f t="shared" si="174"/>
        <v>0.37142200974213929</v>
      </c>
      <c r="XZ129" s="858">
        <f t="shared" si="174"/>
        <v>0.3710070408072827</v>
      </c>
      <c r="YA129" s="858">
        <f t="shared" si="174"/>
        <v>0.3706750656593974</v>
      </c>
      <c r="YB129" s="858">
        <f t="shared" si="174"/>
        <v>0.37026009672454085</v>
      </c>
      <c r="YC129" s="858">
        <f t="shared" si="174"/>
        <v>0.36984512778968426</v>
      </c>
      <c r="YD129" s="858">
        <f t="shared" si="174"/>
        <v>0.36937482966351348</v>
      </c>
      <c r="YE129" s="858">
        <f t="shared" si="174"/>
        <v>0.36868321477208582</v>
      </c>
      <c r="YF129" s="858">
        <f t="shared" si="174"/>
        <v>0.36812992285894369</v>
      </c>
      <c r="YG129" s="858">
        <f t="shared" si="174"/>
        <v>0.36757663094580156</v>
      </c>
      <c r="YH129" s="858">
        <f t="shared" si="174"/>
        <v>0.36688501605437396</v>
      </c>
      <c r="YI129" s="858">
        <f t="shared" si="174"/>
        <v>0.36633172414123183</v>
      </c>
      <c r="YJ129" s="858">
        <f t="shared" si="174"/>
        <v>0.3657784322280897</v>
      </c>
      <c r="YK129" s="858">
        <f t="shared" si="174"/>
        <v>0.36522514031494752</v>
      </c>
      <c r="YL129" s="858">
        <f t="shared" si="174"/>
        <v>0.36467184840180544</v>
      </c>
      <c r="YM129" s="858">
        <f t="shared" ref="YM129:ZR129" si="175">$WK$129*YM126</f>
        <v>0.36425687946694885</v>
      </c>
      <c r="YN129" s="858">
        <f t="shared" si="175"/>
        <v>0.36370358755380694</v>
      </c>
      <c r="YO129" s="858">
        <f t="shared" si="175"/>
        <v>0.36315029564066481</v>
      </c>
      <c r="YP129" s="858">
        <f t="shared" si="175"/>
        <v>0.36259700372752268</v>
      </c>
      <c r="YQ129" s="858">
        <f t="shared" si="175"/>
        <v>0.36218203479266614</v>
      </c>
      <c r="YR129" s="858">
        <f t="shared" si="175"/>
        <v>0.36162874287952396</v>
      </c>
      <c r="YS129" s="858">
        <f t="shared" si="175"/>
        <v>0.36121377394466736</v>
      </c>
      <c r="YT129" s="858">
        <f t="shared" si="175"/>
        <v>0.36066048203152529</v>
      </c>
      <c r="YU129" s="858">
        <f t="shared" si="175"/>
        <v>0.36024551309666863</v>
      </c>
      <c r="YV129" s="858">
        <f t="shared" si="175"/>
        <v>0.35969222118352651</v>
      </c>
      <c r="YW129" s="858">
        <f t="shared" si="175"/>
        <v>0.35927725224866996</v>
      </c>
      <c r="YX129" s="858">
        <f t="shared" si="175"/>
        <v>0.35898331591981303</v>
      </c>
      <c r="YY129" s="858">
        <f t="shared" si="175"/>
        <v>0.35856834698495638</v>
      </c>
      <c r="YZ129" s="858">
        <f t="shared" si="175"/>
        <v>0.35825712028381396</v>
      </c>
      <c r="ZA129" s="858">
        <f t="shared" si="175"/>
        <v>0.35794589358267154</v>
      </c>
      <c r="ZB129" s="858">
        <f t="shared" si="175"/>
        <v>0.35763466688152906</v>
      </c>
      <c r="ZC129" s="858">
        <f t="shared" si="175"/>
        <v>0.35732344018038659</v>
      </c>
      <c r="ZD129" s="858">
        <f t="shared" si="175"/>
        <v>0.35690847124553005</v>
      </c>
      <c r="ZE129" s="858">
        <f t="shared" si="175"/>
        <v>0.35659724454438757</v>
      </c>
      <c r="ZF129" s="858">
        <f t="shared" si="175"/>
        <v>0.35628601784324526</v>
      </c>
      <c r="ZG129" s="858">
        <f t="shared" si="175"/>
        <v>0.35597479114210279</v>
      </c>
      <c r="ZH129" s="858">
        <f t="shared" si="175"/>
        <v>0.35566356444096037</v>
      </c>
      <c r="ZI129" s="858">
        <f t="shared" si="175"/>
        <v>0.35535233773981795</v>
      </c>
      <c r="ZJ129" s="858">
        <f t="shared" si="175"/>
        <v>0.35504111103867553</v>
      </c>
      <c r="ZK129" s="858">
        <f t="shared" si="175"/>
        <v>0.35472988433753305</v>
      </c>
      <c r="ZL129" s="858">
        <f t="shared" si="175"/>
        <v>0.35452239987010475</v>
      </c>
      <c r="ZM129" s="858">
        <f t="shared" si="175"/>
        <v>0.35421117316896228</v>
      </c>
      <c r="ZN129" s="858">
        <f t="shared" si="175"/>
        <v>0.35405555981839093</v>
      </c>
      <c r="ZO129" s="858">
        <f t="shared" si="175"/>
        <v>0.35393106913793398</v>
      </c>
      <c r="ZP129" s="858">
        <f t="shared" si="175"/>
        <v>0.35380657845747698</v>
      </c>
      <c r="ZQ129" s="858">
        <f t="shared" si="175"/>
        <v>0.35368208777701998</v>
      </c>
      <c r="ZR129" s="858">
        <f t="shared" si="175"/>
        <v>0.35359909399004874</v>
      </c>
      <c r="ZS129" s="858">
        <f t="shared" ref="ZS129:AAS129" si="176">$WK$129*ZS126</f>
        <v>0.35347460330959168</v>
      </c>
      <c r="ZT129" s="858">
        <f t="shared" si="176"/>
        <v>0.35335011262913474</v>
      </c>
      <c r="ZU129" s="858">
        <f t="shared" si="176"/>
        <v>0.35326711884216344</v>
      </c>
      <c r="ZV129" s="858">
        <f t="shared" si="176"/>
        <v>0.3531426281617065</v>
      </c>
      <c r="ZW129" s="858">
        <f t="shared" si="176"/>
        <v>0.35301813748124944</v>
      </c>
      <c r="ZX129" s="858">
        <f t="shared" si="176"/>
        <v>0.3529351436942782</v>
      </c>
      <c r="ZY129" s="858">
        <f t="shared" si="176"/>
        <v>0.35281065301382114</v>
      </c>
      <c r="ZZ129" s="858">
        <f t="shared" si="176"/>
        <v>0.35268616233336419</v>
      </c>
      <c r="AAA129" s="858">
        <f t="shared" si="176"/>
        <v>0.3526031685463929</v>
      </c>
      <c r="AAB129" s="858">
        <f t="shared" si="176"/>
        <v>0.35247867786593595</v>
      </c>
      <c r="AAC129" s="858">
        <f t="shared" si="176"/>
        <v>0.3523956840789646</v>
      </c>
      <c r="AAD129" s="858">
        <f t="shared" si="176"/>
        <v>0.35227119339850765</v>
      </c>
      <c r="AAE129" s="858">
        <f t="shared" si="176"/>
        <v>0.3521881996115363</v>
      </c>
      <c r="AAF129" s="858">
        <f t="shared" si="176"/>
        <v>0.35206370893107924</v>
      </c>
      <c r="AAG129" s="858">
        <f t="shared" si="176"/>
        <v>0.35198071514410795</v>
      </c>
      <c r="AAH129" s="858">
        <f t="shared" si="176"/>
        <v>0.351856224463651</v>
      </c>
      <c r="AAI129" s="858">
        <f t="shared" si="176"/>
        <v>0.3517732306766797</v>
      </c>
      <c r="AAJ129" s="858">
        <f t="shared" si="176"/>
        <v>0.35164873999622276</v>
      </c>
      <c r="AAK129" s="858">
        <f t="shared" si="176"/>
        <v>0.35156574620925141</v>
      </c>
      <c r="AAL129" s="858">
        <f t="shared" si="176"/>
        <v>0.35135826174182311</v>
      </c>
      <c r="AAM129" s="858">
        <f t="shared" si="176"/>
        <v>0.35104703504068069</v>
      </c>
      <c r="AAN129" s="858">
        <f t="shared" si="176"/>
        <v>0.35083955057325239</v>
      </c>
      <c r="AAO129" s="858">
        <f t="shared" si="176"/>
        <v>0.35052832387210991</v>
      </c>
      <c r="AAP129" s="858">
        <f t="shared" si="176"/>
        <v>0.35032083940468162</v>
      </c>
      <c r="AAQ129" s="858">
        <f t="shared" si="176"/>
        <v>0.35011335493725337</v>
      </c>
      <c r="AAR129" s="858">
        <f t="shared" si="176"/>
        <v>0.3498021282361109</v>
      </c>
      <c r="AAS129" s="858">
        <f t="shared" si="176"/>
        <v>0.3495946437686826</v>
      </c>
      <c r="AAT129" s="1005">
        <v>11</v>
      </c>
      <c r="AAU129" s="972"/>
      <c r="AAV129" s="972"/>
      <c r="AAW129" s="972"/>
      <c r="AAX129" s="972"/>
      <c r="AAY129" s="972"/>
      <c r="AAZ129" s="972"/>
      <c r="ABA129" s="972"/>
      <c r="ABB129" s="972"/>
      <c r="ABC129" s="159"/>
      <c r="ABD129" s="158"/>
      <c r="ABE129" s="158"/>
      <c r="ABF129" s="158"/>
      <c r="ABG129" s="158"/>
      <c r="ABH129" s="158"/>
      <c r="ABI129" s="158"/>
      <c r="ABJ129" s="158"/>
      <c r="ABK129" s="158"/>
      <c r="ABL129" s="158"/>
      <c r="ABM129" s="158"/>
      <c r="ABN129" s="158"/>
      <c r="ABO129" s="158"/>
      <c r="ABP129" s="163"/>
      <c r="ABT129" s="1287" t="s">
        <v>1584</v>
      </c>
      <c r="ABU129" s="1287"/>
      <c r="ABV129" s="1287"/>
      <c r="ABW129" s="1287"/>
      <c r="ABX129" s="1287"/>
      <c r="ABY129" s="1287"/>
      <c r="ABZ129" s="1287"/>
      <c r="ACA129" s="1287"/>
      <c r="ACB129" s="1287"/>
      <c r="ACC129" s="1287"/>
      <c r="ACD129" s="1287"/>
      <c r="ACE129" s="1287"/>
      <c r="ACF129" s="1287"/>
      <c r="ACG129" s="1287"/>
      <c r="ACH129" s="981"/>
      <c r="ACJ129" s="759">
        <v>1</v>
      </c>
      <c r="ACK129" s="760"/>
      <c r="ACL129" s="759">
        <v>-1.2</v>
      </c>
      <c r="ACM129" s="760"/>
      <c r="ACN129" s="592">
        <v>45</v>
      </c>
      <c r="ACO129" s="759">
        <f t="shared" si="91"/>
        <v>0.25</v>
      </c>
      <c r="ACP129" s="760"/>
      <c r="ACQ129" s="757">
        <f t="shared" si="159"/>
        <v>1.45</v>
      </c>
      <c r="ACR129" s="758"/>
      <c r="ACT129" s="759">
        <v>1.5454545454545501</v>
      </c>
      <c r="ACU129" s="760"/>
      <c r="ACV129" s="759">
        <v>-2.1818181818181799</v>
      </c>
      <c r="ACW129" s="760"/>
      <c r="ACX129" s="591">
        <v>95</v>
      </c>
      <c r="ACY129" s="759">
        <f t="shared" si="92"/>
        <v>0.83181818181819311</v>
      </c>
      <c r="ACZ129" s="760"/>
      <c r="ADA129" s="757">
        <f t="shared" si="160"/>
        <v>1.9500000000000002</v>
      </c>
      <c r="ADB129" s="758"/>
      <c r="ADD129" s="759">
        <v>1.5454545454545501</v>
      </c>
      <c r="ADE129" s="760"/>
      <c r="ADF129" s="759">
        <v>-2.1818181818181799</v>
      </c>
      <c r="ADG129" s="760"/>
      <c r="ADH129" s="591">
        <v>144</v>
      </c>
      <c r="ADI129" s="759">
        <f t="shared" si="93"/>
        <v>1.5890909090909222</v>
      </c>
      <c r="ADJ129" s="760"/>
      <c r="ADK129" s="757">
        <f t="shared" si="161"/>
        <v>2.44</v>
      </c>
      <c r="ADL129" s="758"/>
      <c r="ADN129" s="759">
        <v>1.5454545454545501</v>
      </c>
      <c r="ADO129" s="760"/>
      <c r="ADP129" s="759">
        <v>-2.1818181818181799</v>
      </c>
      <c r="ADQ129" s="760"/>
      <c r="ADR129" s="591">
        <v>194</v>
      </c>
      <c r="ADS129" s="759">
        <f t="shared" si="94"/>
        <v>2.3618181818181974</v>
      </c>
      <c r="ADT129" s="760"/>
      <c r="ADU129" s="757">
        <f t="shared" si="162"/>
        <v>2.94</v>
      </c>
      <c r="ADV129" s="758"/>
      <c r="ADX129" s="759">
        <v>1.5454545454545501</v>
      </c>
      <c r="ADY129" s="760"/>
      <c r="ADZ129" s="759">
        <v>-2.1818181818181799</v>
      </c>
      <c r="AEA129" s="760"/>
      <c r="AEB129" s="591">
        <v>244</v>
      </c>
      <c r="AEC129" s="759">
        <f t="shared" si="134"/>
        <v>3.1345454545454725</v>
      </c>
      <c r="AED129" s="760"/>
      <c r="AEE129" s="757">
        <f t="shared" si="163"/>
        <v>3.44</v>
      </c>
      <c r="AEF129" s="758"/>
      <c r="AEH129" s="759">
        <v>1.5454545454545501</v>
      </c>
      <c r="AEI129" s="760"/>
      <c r="AEJ129" s="759">
        <v>-2.1818181818181799</v>
      </c>
      <c r="AEK129" s="760"/>
      <c r="AEL129" s="591">
        <v>294</v>
      </c>
      <c r="AEM129" s="759">
        <f t="shared" si="101"/>
        <v>3.9072727272727477</v>
      </c>
      <c r="AEN129" s="760"/>
      <c r="AEO129" s="757">
        <f t="shared" si="164"/>
        <v>3.94</v>
      </c>
      <c r="AEP129" s="758"/>
      <c r="AGN129" s="199"/>
      <c r="AGO129" s="852" t="s">
        <v>1741</v>
      </c>
      <c r="AGP129" s="923"/>
      <c r="AGQ129" s="199"/>
      <c r="AGR129" s="1069" t="s">
        <v>137</v>
      </c>
      <c r="AGS129" s="1070"/>
      <c r="AGT129" s="1070"/>
      <c r="AGU129" s="1070"/>
      <c r="AGV129" s="1070"/>
      <c r="AGW129" s="1070"/>
      <c r="AGX129" s="1070"/>
      <c r="AGY129" s="1070"/>
      <c r="AGZ129" s="1070"/>
      <c r="AHA129" s="1070"/>
      <c r="AHB129" s="1071"/>
      <c r="AHC129" s="199"/>
      <c r="AHR129" s="130"/>
      <c r="AQO129" s="850"/>
      <c r="AQP129" s="856"/>
      <c r="AQQ129" s="856"/>
      <c r="AQR129" s="856"/>
      <c r="AQS129" s="856"/>
      <c r="AQT129" s="856"/>
      <c r="AQU129" s="856"/>
      <c r="AQV129" s="856"/>
      <c r="AQW129" s="856"/>
      <c r="AQX129" s="856"/>
      <c r="AQY129" s="856"/>
      <c r="AQZ129" s="856"/>
      <c r="ARA129" s="856"/>
      <c r="ARB129" s="856"/>
      <c r="ARC129" s="835"/>
      <c r="ARD129" s="836"/>
      <c r="ARE129" s="839"/>
      <c r="ARF129" s="840"/>
      <c r="ARG129" s="841"/>
      <c r="ARH129" s="843"/>
      <c r="ARI129" s="844"/>
      <c r="ARJ129" s="847"/>
      <c r="ARK129" s="653"/>
      <c r="ARL129" s="653"/>
      <c r="ARM129" s="653"/>
      <c r="ARN129" s="653"/>
      <c r="ARO129" s="653"/>
      <c r="ARU129" s="377"/>
      <c r="ARV129" s="373"/>
      <c r="ARW129" s="373"/>
      <c r="ARX129" s="373"/>
      <c r="ARY129" s="373"/>
      <c r="ARZ129" s="197" t="s">
        <v>849</v>
      </c>
      <c r="ASA129" s="852" t="s">
        <v>416</v>
      </c>
      <c r="ASB129" s="853"/>
      <c r="ASC129" s="687"/>
      <c r="ASD129" s="78"/>
      <c r="ASE129" s="78"/>
      <c r="ASF129" s="78"/>
      <c r="ASG129" s="78"/>
      <c r="ASH129" s="78"/>
      <c r="ASI129" s="78"/>
      <c r="ASJ129" s="687"/>
      <c r="ASK129" s="76" t="s">
        <v>441</v>
      </c>
      <c r="ASL129" s="854" t="s">
        <v>435</v>
      </c>
      <c r="ASM129" s="855"/>
      <c r="ASN129" s="920" t="s">
        <v>111</v>
      </c>
      <c r="ASO129" s="921"/>
      <c r="ASP129" s="916" t="s">
        <v>704</v>
      </c>
      <c r="ASQ129" s="917"/>
      <c r="ASR129" s="906" t="s">
        <v>447</v>
      </c>
      <c r="ASS129" s="907"/>
      <c r="AST129" s="907"/>
      <c r="ASU129" s="908"/>
      <c r="ASV129" s="373"/>
      <c r="ASW129" s="373"/>
      <c r="ASX129" s="373"/>
      <c r="ASY129" s="373"/>
      <c r="ASZ129" s="373"/>
      <c r="ATA129" s="373"/>
      <c r="ATB129" s="373"/>
      <c r="ATC129" s="373"/>
      <c r="ATD129" s="373"/>
      <c r="ATE129" s="373"/>
      <c r="ATF129" s="374"/>
    </row>
    <row r="130" spans="43:908 1133:1230" ht="48" customHeight="1" thickBot="1">
      <c r="BV130" s="653"/>
      <c r="BW130" s="653"/>
      <c r="BX130" s="653"/>
      <c r="BY130" s="653"/>
      <c r="BZ130" s="897" t="s">
        <v>930</v>
      </c>
      <c r="CA130" s="898"/>
      <c r="CB130" s="899"/>
      <c r="CC130" s="849"/>
      <c r="CD130" s="852" t="s">
        <v>416</v>
      </c>
      <c r="CE130" s="853"/>
      <c r="CF130" s="132"/>
      <c r="CG130" s="76" t="s">
        <v>441</v>
      </c>
      <c r="CH130" s="854" t="s">
        <v>435</v>
      </c>
      <c r="CI130" s="855"/>
      <c r="CJ130" s="920" t="s">
        <v>111</v>
      </c>
      <c r="CK130" s="921"/>
      <c r="CL130" s="916" t="s">
        <v>704</v>
      </c>
      <c r="CM130" s="917"/>
      <c r="CN130" s="906" t="s">
        <v>447</v>
      </c>
      <c r="CO130" s="907"/>
      <c r="CP130" s="907"/>
      <c r="CQ130" s="908"/>
      <c r="DA130" s="130"/>
      <c r="FE130" s="6"/>
      <c r="GF130" s="76" t="s">
        <v>793</v>
      </c>
      <c r="GG130" s="852" t="s">
        <v>416</v>
      </c>
      <c r="GH130" s="923"/>
      <c r="GI130" s="138"/>
      <c r="GJ130" s="76" t="s">
        <v>441</v>
      </c>
      <c r="GK130" s="854" t="s">
        <v>435</v>
      </c>
      <c r="GL130" s="855"/>
      <c r="GM130" s="920" t="s">
        <v>111</v>
      </c>
      <c r="GN130" s="921"/>
      <c r="GO130" s="916" t="s">
        <v>704</v>
      </c>
      <c r="GP130" s="917"/>
      <c r="GQ130" s="906" t="s">
        <v>447</v>
      </c>
      <c r="GR130" s="907"/>
      <c r="GS130" s="907"/>
      <c r="GT130" s="908"/>
      <c r="GU130" s="1051" t="s">
        <v>436</v>
      </c>
      <c r="GV130" s="1051"/>
      <c r="GW130" s="1051"/>
      <c r="GX130" s="1051"/>
      <c r="GY130" s="1051"/>
      <c r="HG130" s="56"/>
      <c r="HI130" s="130"/>
      <c r="JW130" s="130"/>
      <c r="LX130" s="377"/>
      <c r="LY130" s="373"/>
      <c r="LZ130" s="373"/>
      <c r="MA130" s="373"/>
      <c r="MB130" s="373"/>
      <c r="MC130" s="373"/>
      <c r="MD130" s="373"/>
      <c r="ME130" s="373"/>
      <c r="MF130" s="373"/>
      <c r="MG130" s="373"/>
      <c r="MH130" s="373"/>
      <c r="MI130" s="373"/>
      <c r="MJ130" s="373"/>
      <c r="MK130" s="373"/>
      <c r="ML130" s="373"/>
      <c r="MM130" s="373"/>
      <c r="MN130" s="373"/>
      <c r="MO130" s="373"/>
      <c r="MP130" s="851"/>
      <c r="MQ130" s="777"/>
      <c r="MR130" s="778"/>
      <c r="MS130" s="778"/>
      <c r="MT130" s="778"/>
      <c r="MU130" s="778"/>
      <c r="MV130" s="778"/>
      <c r="MW130" s="778"/>
      <c r="MX130" s="778"/>
      <c r="MY130" s="778"/>
      <c r="MZ130" s="778"/>
      <c r="NA130" s="778"/>
      <c r="NB130" s="778"/>
      <c r="NC130" s="799"/>
      <c r="ND130" s="1406"/>
      <c r="NE130" s="796"/>
      <c r="NF130" s="778"/>
      <c r="NG130" s="799"/>
      <c r="NH130" s="1067"/>
      <c r="NI130" s="918"/>
      <c r="NJ130" s="1082"/>
      <c r="NK130" s="919"/>
      <c r="NL130" s="848"/>
      <c r="NM130" s="1053"/>
      <c r="NN130" s="1053"/>
      <c r="NO130" s="1053"/>
      <c r="NP130" s="1053"/>
      <c r="NQ130" s="1053"/>
      <c r="NR130" s="1053"/>
      <c r="NS130" s="1053"/>
      <c r="NT130" s="1276"/>
      <c r="NU130" s="1277"/>
      <c r="NV130" s="1278"/>
      <c r="NW130" s="373"/>
      <c r="NX130" s="373"/>
      <c r="NY130" s="373"/>
      <c r="NZ130" s="373"/>
      <c r="OA130" s="373"/>
      <c r="OB130" s="373"/>
      <c r="OC130" s="373"/>
      <c r="OD130" s="373"/>
      <c r="OE130" s="373"/>
      <c r="OF130" s="373"/>
      <c r="OG130" s="373"/>
      <c r="OH130" s="373"/>
      <c r="OI130" s="373"/>
      <c r="OJ130" s="373"/>
      <c r="OK130" s="373"/>
      <c r="OL130" s="373"/>
      <c r="OM130" s="373"/>
      <c r="ON130" s="373"/>
      <c r="OO130" s="373"/>
      <c r="OP130" s="373"/>
      <c r="OQ130" s="373"/>
      <c r="OR130" s="373"/>
      <c r="OS130" s="373"/>
      <c r="OT130" s="373"/>
      <c r="OU130" s="374"/>
      <c r="OX130" s="130"/>
      <c r="OY130" s="130"/>
      <c r="OZ130" s="130"/>
      <c r="PA130" s="130"/>
      <c r="PB130" s="130"/>
      <c r="PC130" s="130"/>
      <c r="PD130" s="130"/>
      <c r="PE130" s="130"/>
      <c r="PF130" s="130"/>
      <c r="QU130" s="130"/>
      <c r="QV130" s="130"/>
      <c r="QW130" s="130"/>
      <c r="QX130" s="130"/>
      <c r="RB130" s="130"/>
      <c r="RC130" s="130"/>
      <c r="RD130" s="130"/>
      <c r="RE130" s="130"/>
      <c r="RF130" s="130"/>
      <c r="VD130" s="1026"/>
      <c r="VE130" s="1027"/>
      <c r="VF130" s="1027"/>
      <c r="VG130" s="1027"/>
      <c r="VH130" s="1027"/>
      <c r="VI130" s="1027"/>
      <c r="VJ130" s="1027"/>
      <c r="VK130" s="1027"/>
      <c r="VL130" s="1027"/>
      <c r="VM130" s="1027"/>
      <c r="VN130" s="1027"/>
      <c r="VO130" s="1027"/>
      <c r="VP130" s="1027"/>
      <c r="VQ130" s="1027"/>
      <c r="VR130" s="1027"/>
      <c r="VS130" s="1027"/>
      <c r="VT130" s="1027"/>
      <c r="VU130" s="1027"/>
      <c r="VV130" s="1027"/>
      <c r="VW130" s="1027"/>
      <c r="VX130" s="1027"/>
      <c r="VY130" s="1027"/>
      <c r="VZ130" s="1028"/>
      <c r="WE130" s="754"/>
      <c r="WF130" s="755"/>
      <c r="WG130" s="169"/>
      <c r="WH130" s="170"/>
      <c r="WI130" s="170"/>
      <c r="WJ130" s="170"/>
      <c r="WK130" s="170"/>
      <c r="WL130" s="170"/>
      <c r="WM130" s="170"/>
      <c r="WN130" s="170"/>
      <c r="WO130" s="170"/>
      <c r="WP130" s="170"/>
      <c r="WQ130" s="170"/>
      <c r="WR130" s="170"/>
      <c r="WS130" s="170"/>
      <c r="WT130" s="170"/>
      <c r="WU130" s="170"/>
      <c r="WV130" s="170"/>
      <c r="WW130" s="170"/>
      <c r="WX130" s="170"/>
      <c r="WY130" s="172"/>
      <c r="WZ130" s="754"/>
      <c r="XA130" s="755"/>
      <c r="XB130" s="169"/>
      <c r="XC130" s="170"/>
      <c r="XD130" s="170"/>
      <c r="XE130" s="170"/>
      <c r="XF130" s="172"/>
      <c r="XG130" s="860"/>
      <c r="XH130" s="860"/>
      <c r="XI130" s="860"/>
      <c r="XJ130" s="860"/>
      <c r="XK130" s="860"/>
      <c r="XL130" s="860"/>
      <c r="XM130" s="860"/>
      <c r="XN130" s="860"/>
      <c r="XO130" s="860"/>
      <c r="XP130" s="860"/>
      <c r="XQ130" s="860"/>
      <c r="XR130" s="860"/>
      <c r="XS130" s="860"/>
      <c r="XT130" s="860"/>
      <c r="XU130" s="860"/>
      <c r="XV130" s="860"/>
      <c r="XW130" s="860"/>
      <c r="XX130" s="860"/>
      <c r="XY130" s="860"/>
      <c r="XZ130" s="860"/>
      <c r="YA130" s="860"/>
      <c r="YB130" s="860"/>
      <c r="YC130" s="860"/>
      <c r="YD130" s="860"/>
      <c r="YE130" s="860"/>
      <c r="YF130" s="860"/>
      <c r="YG130" s="860"/>
      <c r="YH130" s="860"/>
      <c r="YI130" s="860"/>
      <c r="YJ130" s="860"/>
      <c r="YK130" s="860"/>
      <c r="YL130" s="860"/>
      <c r="YM130" s="860"/>
      <c r="YN130" s="860"/>
      <c r="YO130" s="860"/>
      <c r="YP130" s="860"/>
      <c r="YQ130" s="860"/>
      <c r="YR130" s="860"/>
      <c r="YS130" s="860"/>
      <c r="YT130" s="860"/>
      <c r="YU130" s="860"/>
      <c r="YV130" s="860"/>
      <c r="YW130" s="860"/>
      <c r="YX130" s="860"/>
      <c r="YY130" s="860"/>
      <c r="YZ130" s="860"/>
      <c r="ZA130" s="860"/>
      <c r="ZB130" s="860"/>
      <c r="ZC130" s="860"/>
      <c r="ZD130" s="860"/>
      <c r="ZE130" s="860"/>
      <c r="ZF130" s="860"/>
      <c r="ZG130" s="860"/>
      <c r="ZH130" s="860"/>
      <c r="ZI130" s="860"/>
      <c r="ZJ130" s="860"/>
      <c r="ZK130" s="860"/>
      <c r="ZL130" s="860"/>
      <c r="ZM130" s="860"/>
      <c r="ZN130" s="860"/>
      <c r="ZO130" s="860"/>
      <c r="ZP130" s="860"/>
      <c r="ZQ130" s="860"/>
      <c r="ZR130" s="860"/>
      <c r="ZS130" s="860"/>
      <c r="ZT130" s="860"/>
      <c r="ZU130" s="860"/>
      <c r="ZV130" s="860"/>
      <c r="ZW130" s="860"/>
      <c r="ZX130" s="860"/>
      <c r="ZY130" s="860"/>
      <c r="ZZ130" s="860"/>
      <c r="AAA130" s="860"/>
      <c r="AAB130" s="860"/>
      <c r="AAC130" s="860"/>
      <c r="AAD130" s="860"/>
      <c r="AAE130" s="860"/>
      <c r="AAF130" s="860"/>
      <c r="AAG130" s="860"/>
      <c r="AAH130" s="860"/>
      <c r="AAI130" s="860"/>
      <c r="AAJ130" s="860"/>
      <c r="AAK130" s="860"/>
      <c r="AAL130" s="860"/>
      <c r="AAM130" s="860"/>
      <c r="AAN130" s="860"/>
      <c r="AAO130" s="860"/>
      <c r="AAP130" s="860"/>
      <c r="AAQ130" s="860"/>
      <c r="AAR130" s="860"/>
      <c r="AAS130" s="860"/>
      <c r="AAT130" s="1007"/>
      <c r="AAU130" s="981"/>
      <c r="AAV130" s="981"/>
      <c r="AAW130" s="981"/>
      <c r="AAX130" s="981"/>
      <c r="AAY130" s="981"/>
      <c r="AAZ130" s="981"/>
      <c r="ABA130" s="981"/>
      <c r="ABB130" s="981"/>
      <c r="ABC130" s="162"/>
      <c r="ABD130" s="158"/>
      <c r="ABE130" s="158"/>
      <c r="ABF130" s="158"/>
      <c r="ABG130" s="158"/>
      <c r="ABH130" s="158"/>
      <c r="ABI130" s="158"/>
      <c r="ABJ130" s="158"/>
      <c r="ABK130" s="158"/>
      <c r="ABL130" s="158"/>
      <c r="ABM130" s="158"/>
      <c r="ABN130" s="158"/>
      <c r="ABO130" s="158"/>
      <c r="ABP130" s="163"/>
      <c r="ABT130" s="1287"/>
      <c r="ABU130" s="1287"/>
      <c r="ABV130" s="1287"/>
      <c r="ABW130" s="1287"/>
      <c r="ABX130" s="1287"/>
      <c r="ABY130" s="1287"/>
      <c r="ABZ130" s="1287"/>
      <c r="ACA130" s="1287"/>
      <c r="ACB130" s="1287"/>
      <c r="ACC130" s="1287"/>
      <c r="ACD130" s="1287"/>
      <c r="ACE130" s="1287"/>
      <c r="ACF130" s="1287"/>
      <c r="ACG130" s="1287"/>
      <c r="ACH130" s="981"/>
      <c r="ACJ130" s="759">
        <v>1</v>
      </c>
      <c r="ACK130" s="760"/>
      <c r="ACL130" s="759">
        <v>-1.2</v>
      </c>
      <c r="ACM130" s="760"/>
      <c r="ACN130" s="592">
        <v>46</v>
      </c>
      <c r="ACO130" s="759">
        <f t="shared" si="91"/>
        <v>0.26</v>
      </c>
      <c r="ACP130" s="760"/>
      <c r="ACQ130" s="757">
        <f t="shared" si="159"/>
        <v>1.46</v>
      </c>
      <c r="ACR130" s="758"/>
      <c r="ACT130" s="759">
        <v>1.5454545454545501</v>
      </c>
      <c r="ACU130" s="760"/>
      <c r="ACV130" s="759">
        <v>-2.1818181818181799</v>
      </c>
      <c r="ACW130" s="760"/>
      <c r="ACX130" s="591">
        <v>96</v>
      </c>
      <c r="ACY130" s="759">
        <f t="shared" si="92"/>
        <v>0.84727272727273828</v>
      </c>
      <c r="ACZ130" s="760"/>
      <c r="ADA130" s="757">
        <f t="shared" si="160"/>
        <v>1.96</v>
      </c>
      <c r="ADB130" s="758"/>
      <c r="ADD130" s="759">
        <v>1.5454545454545501</v>
      </c>
      <c r="ADE130" s="760"/>
      <c r="ADF130" s="759">
        <v>-2.1818181818181799</v>
      </c>
      <c r="ADG130" s="760"/>
      <c r="ADH130" s="591">
        <v>145</v>
      </c>
      <c r="ADI130" s="759">
        <f t="shared" si="93"/>
        <v>1.6045454545454683</v>
      </c>
      <c r="ADJ130" s="760"/>
      <c r="ADK130" s="757">
        <f t="shared" si="161"/>
        <v>2.4500000000000002</v>
      </c>
      <c r="ADL130" s="758"/>
      <c r="ADN130" s="759">
        <v>1.5454545454545501</v>
      </c>
      <c r="ADO130" s="760"/>
      <c r="ADP130" s="759">
        <v>-2.1818181818181799</v>
      </c>
      <c r="ADQ130" s="760"/>
      <c r="ADR130" s="591">
        <v>195</v>
      </c>
      <c r="ADS130" s="759">
        <f t="shared" si="94"/>
        <v>2.377272727272743</v>
      </c>
      <c r="ADT130" s="760"/>
      <c r="ADU130" s="757">
        <f t="shared" si="162"/>
        <v>2.95</v>
      </c>
      <c r="ADV130" s="758"/>
      <c r="ADX130" s="759">
        <v>1.5454545454545501</v>
      </c>
      <c r="ADY130" s="760"/>
      <c r="ADZ130" s="759">
        <v>-2.1818181818181799</v>
      </c>
      <c r="AEA130" s="760"/>
      <c r="AEB130" s="591">
        <v>245</v>
      </c>
      <c r="AEC130" s="759">
        <f t="shared" si="134"/>
        <v>3.1500000000000181</v>
      </c>
      <c r="AED130" s="760"/>
      <c r="AEE130" s="757">
        <f t="shared" si="163"/>
        <v>3.45</v>
      </c>
      <c r="AEF130" s="758"/>
      <c r="AEH130" s="759">
        <v>1.5454545454545501</v>
      </c>
      <c r="AEI130" s="760"/>
      <c r="AEJ130" s="759">
        <v>-2.1818181818181799</v>
      </c>
      <c r="AEK130" s="760"/>
      <c r="AEL130" s="591">
        <v>295</v>
      </c>
      <c r="AEM130" s="759">
        <f t="shared" si="101"/>
        <v>3.9227272727272933</v>
      </c>
      <c r="AEN130" s="760"/>
      <c r="AEO130" s="757">
        <f t="shared" si="164"/>
        <v>3.95</v>
      </c>
      <c r="AEP130" s="758"/>
      <c r="AEY130" s="591"/>
      <c r="AEZ130" s="591"/>
      <c r="AFA130" s="591"/>
      <c r="AFB130" s="591"/>
      <c r="AFC130" s="591"/>
      <c r="AFD130" s="591"/>
      <c r="AFE130" s="591"/>
      <c r="AFF130" s="591"/>
      <c r="AHR130" s="130"/>
      <c r="AQO130" s="851"/>
      <c r="AQP130" s="857"/>
      <c r="AQQ130" s="857"/>
      <c r="AQR130" s="857"/>
      <c r="AQS130" s="857"/>
      <c r="AQT130" s="857"/>
      <c r="AQU130" s="857"/>
      <c r="AQV130" s="857"/>
      <c r="AQW130" s="857"/>
      <c r="AQX130" s="857"/>
      <c r="AQY130" s="857"/>
      <c r="AQZ130" s="857"/>
      <c r="ARA130" s="857"/>
      <c r="ARB130" s="857"/>
      <c r="ARC130" s="837"/>
      <c r="ARD130" s="838"/>
      <c r="ARE130" s="777"/>
      <c r="ARF130" s="799"/>
      <c r="ARG130" s="842"/>
      <c r="ARH130" s="845"/>
      <c r="ARI130" s="846"/>
      <c r="ARJ130" s="848"/>
      <c r="ARK130" s="653"/>
      <c r="ARL130" s="653"/>
      <c r="ARM130" s="653"/>
      <c r="ARN130" s="653"/>
      <c r="ARO130" s="653"/>
      <c r="ARU130" s="377"/>
      <c r="ARV130" s="373"/>
      <c r="ARW130" s="373"/>
      <c r="ARX130" s="373"/>
      <c r="ARY130" s="373"/>
      <c r="ARZ130" s="849"/>
      <c r="ASA130" s="957" t="s">
        <v>969</v>
      </c>
      <c r="ASB130" s="957"/>
      <c r="ASC130" s="957"/>
      <c r="ASD130" s="957"/>
      <c r="ASE130" s="957"/>
      <c r="ASF130" s="957"/>
      <c r="ASG130" s="957"/>
      <c r="ASH130" s="957"/>
      <c r="ASI130" s="957"/>
      <c r="ASJ130" s="957"/>
      <c r="ASK130" s="957"/>
      <c r="ASL130" s="957"/>
      <c r="ASM130" s="957"/>
      <c r="ASN130" s="835">
        <f>0.6*AX25^3*(AP6/100)</f>
        <v>0.27597867299999995</v>
      </c>
      <c r="ASO130" s="836"/>
      <c r="ASP130" s="1345" t="s">
        <v>919</v>
      </c>
      <c r="ASQ130" s="932"/>
      <c r="ASR130" s="841"/>
      <c r="ASS130" s="843" t="s">
        <v>416</v>
      </c>
      <c r="AST130" s="844"/>
      <c r="ASU130" s="847"/>
      <c r="ASV130" s="373"/>
      <c r="ASW130" s="373"/>
      <c r="ASX130" s="373"/>
      <c r="ASY130" s="373"/>
      <c r="ASZ130" s="373"/>
      <c r="ATA130" s="373"/>
      <c r="ATB130" s="373"/>
      <c r="ATC130" s="373"/>
      <c r="ATD130" s="373"/>
      <c r="ATE130" s="373"/>
      <c r="ATF130" s="374"/>
      <c r="ATI130" s="849"/>
      <c r="ATJ130" s="852" t="s">
        <v>416</v>
      </c>
      <c r="ATK130" s="853"/>
      <c r="ATL130" s="142"/>
      <c r="ATM130" s="78"/>
      <c r="ATN130" s="78"/>
      <c r="ATO130" s="78"/>
      <c r="ATP130" s="78"/>
      <c r="ATQ130" s="78"/>
      <c r="ATR130" s="78"/>
      <c r="ATS130" s="142"/>
      <c r="ATT130" s="76" t="s">
        <v>441</v>
      </c>
      <c r="ATU130" s="854" t="s">
        <v>435</v>
      </c>
      <c r="ATV130" s="855"/>
      <c r="ATW130" s="920" t="s">
        <v>111</v>
      </c>
      <c r="ATX130" s="921"/>
      <c r="ATY130" s="916" t="s">
        <v>704</v>
      </c>
      <c r="ATZ130" s="917"/>
      <c r="AUA130" s="906" t="s">
        <v>447</v>
      </c>
      <c r="AUB130" s="907"/>
      <c r="AUC130" s="907"/>
      <c r="AUD130" s="908"/>
      <c r="AUE130" s="1051" t="s">
        <v>436</v>
      </c>
      <c r="AUF130" s="1051"/>
      <c r="AUG130" s="1051"/>
      <c r="AUH130" s="1051"/>
    </row>
    <row r="131" spans="43:908 1133:1230" ht="48" customHeight="1" thickBot="1">
      <c r="BZ131" s="900"/>
      <c r="CA131" s="901"/>
      <c r="CB131" s="902"/>
      <c r="CC131" s="850"/>
      <c r="CD131" s="768" t="s">
        <v>1863</v>
      </c>
      <c r="CE131" s="762"/>
      <c r="CF131" s="762"/>
      <c r="CG131" s="762"/>
      <c r="CH131" s="762"/>
      <c r="CI131" s="762"/>
      <c r="CJ131" s="1453">
        <v>6</v>
      </c>
      <c r="CK131" s="1454"/>
      <c r="CL131" s="1183" t="s">
        <v>726</v>
      </c>
      <c r="CM131" s="1184"/>
      <c r="CN131" s="841"/>
      <c r="CO131" s="893" t="s">
        <v>761</v>
      </c>
      <c r="CP131" s="894"/>
      <c r="CQ131" s="847"/>
      <c r="DA131" s="130"/>
      <c r="GF131" s="849"/>
      <c r="GG131" s="791" t="s">
        <v>54</v>
      </c>
      <c r="GH131" s="792"/>
      <c r="GI131" s="792"/>
      <c r="GJ131" s="792"/>
      <c r="GK131" s="792"/>
      <c r="GL131" s="792"/>
      <c r="GM131" s="1167">
        <f>GM20*1000-GM123</f>
        <v>173.44767567689519</v>
      </c>
      <c r="GN131" s="840"/>
      <c r="GO131" s="931" t="s">
        <v>45</v>
      </c>
      <c r="GP131" s="932"/>
      <c r="GQ131" s="841"/>
      <c r="GR131" s="843" t="s">
        <v>1095</v>
      </c>
      <c r="GS131" s="844"/>
      <c r="GT131" s="847"/>
      <c r="GU131" s="1052"/>
      <c r="GV131" s="1052"/>
      <c r="GW131" s="1052"/>
      <c r="GX131" s="1052"/>
      <c r="GY131" s="1052"/>
      <c r="LX131" s="378"/>
      <c r="LY131" s="375"/>
      <c r="LZ131" s="375"/>
      <c r="MA131" s="375"/>
      <c r="MB131" s="375"/>
      <c r="MC131" s="375"/>
      <c r="MD131" s="375"/>
      <c r="ME131" s="375"/>
      <c r="MF131" s="375"/>
      <c r="MG131" s="375"/>
      <c r="MH131" s="375"/>
      <c r="MI131" s="375"/>
      <c r="MJ131" s="375"/>
      <c r="MK131" s="375"/>
      <c r="ML131" s="375"/>
      <c r="MM131" s="375"/>
      <c r="MN131" s="375"/>
      <c r="MO131" s="375"/>
      <c r="MP131" s="165"/>
      <c r="MQ131" s="165"/>
      <c r="MR131" s="165"/>
      <c r="MS131" s="165"/>
      <c r="MT131" s="165"/>
      <c r="MU131" s="165"/>
      <c r="MV131" s="165"/>
      <c r="MW131" s="165"/>
      <c r="MX131" s="165"/>
      <c r="MY131" s="165"/>
      <c r="MZ131" s="165"/>
      <c r="NA131" s="165"/>
      <c r="NB131" s="165"/>
      <c r="NC131" s="165"/>
      <c r="ND131" s="165"/>
      <c r="NE131" s="165"/>
      <c r="NF131" s="165"/>
      <c r="NG131" s="165"/>
      <c r="NH131" s="165"/>
      <c r="NI131" s="165"/>
      <c r="NJ131" s="165"/>
      <c r="NK131" s="165"/>
      <c r="NL131" s="165"/>
      <c r="NM131" s="165"/>
      <c r="NN131" s="165"/>
      <c r="NO131" s="165"/>
      <c r="NP131" s="165"/>
      <c r="NQ131" s="165"/>
      <c r="NR131" s="165"/>
      <c r="NS131" s="165"/>
      <c r="NT131" s="165"/>
      <c r="NU131" s="165"/>
      <c r="NV131" s="375"/>
      <c r="NW131" s="375"/>
      <c r="NX131" s="375"/>
      <c r="NY131" s="375"/>
      <c r="NZ131" s="375"/>
      <c r="OA131" s="375"/>
      <c r="OB131" s="375"/>
      <c r="OC131" s="375"/>
      <c r="OD131" s="375"/>
      <c r="OE131" s="375"/>
      <c r="OF131" s="375"/>
      <c r="OG131" s="375"/>
      <c r="OH131" s="375"/>
      <c r="OI131" s="375"/>
      <c r="OJ131" s="375"/>
      <c r="OK131" s="375"/>
      <c r="OL131" s="375"/>
      <c r="OM131" s="375"/>
      <c r="ON131" s="375"/>
      <c r="OO131" s="375"/>
      <c r="OP131" s="375"/>
      <c r="OQ131" s="375"/>
      <c r="OR131" s="375"/>
      <c r="OS131" s="375"/>
      <c r="OT131" s="375"/>
      <c r="OU131" s="376"/>
      <c r="OX131" s="130"/>
      <c r="OY131" s="130"/>
      <c r="OZ131" s="130"/>
      <c r="PA131" s="130"/>
      <c r="PB131" s="130"/>
      <c r="PC131" s="130"/>
      <c r="PD131" s="130"/>
      <c r="PE131" s="130"/>
      <c r="PF131" s="130"/>
      <c r="PG131" s="136"/>
      <c r="PH131" s="891"/>
      <c r="PI131" s="891"/>
      <c r="PJ131" s="891"/>
      <c r="PK131" s="891"/>
      <c r="PL131" s="891"/>
      <c r="PM131" s="891"/>
      <c r="PN131" s="891"/>
      <c r="PO131" s="891"/>
      <c r="PP131" s="891"/>
      <c r="PQ131" s="891"/>
      <c r="PR131" s="891"/>
      <c r="PS131" s="891"/>
      <c r="PT131" s="891"/>
      <c r="PU131" s="891"/>
      <c r="PV131" s="891"/>
      <c r="PW131" s="891"/>
      <c r="PX131" s="891"/>
      <c r="PY131" s="891"/>
      <c r="PZ131" s="891"/>
      <c r="QA131" s="891"/>
      <c r="QB131" s="891"/>
      <c r="QC131" s="891"/>
      <c r="QD131" s="891"/>
      <c r="QE131" s="891"/>
      <c r="QF131" s="891"/>
      <c r="QG131" s="891"/>
      <c r="QH131" s="891"/>
      <c r="QI131" s="891"/>
      <c r="QJ131" s="891"/>
      <c r="QK131" s="891"/>
      <c r="QL131" s="891"/>
      <c r="QM131" s="891"/>
      <c r="QN131" s="891"/>
      <c r="QO131" s="891"/>
      <c r="QP131" s="891"/>
      <c r="QQ131" s="891"/>
      <c r="QR131" s="136"/>
      <c r="QU131" s="130"/>
      <c r="VD131" s="1026"/>
      <c r="VE131" s="1027"/>
      <c r="VF131" s="1027"/>
      <c r="VG131" s="1027"/>
      <c r="VH131" s="1027"/>
      <c r="VI131" s="1027"/>
      <c r="VJ131" s="1027"/>
      <c r="VK131" s="1027"/>
      <c r="VL131" s="1027"/>
      <c r="VM131" s="1027"/>
      <c r="VN131" s="1027"/>
      <c r="VO131" s="1027"/>
      <c r="VP131" s="1027"/>
      <c r="VQ131" s="1027"/>
      <c r="VR131" s="1027"/>
      <c r="VS131" s="1027"/>
      <c r="VT131" s="1027"/>
      <c r="VU131" s="1027"/>
      <c r="VV131" s="1027"/>
      <c r="VW131" s="1027"/>
      <c r="VX131" s="1027"/>
      <c r="VY131" s="1027"/>
      <c r="VZ131" s="1028"/>
      <c r="WE131" s="752">
        <v>13</v>
      </c>
      <c r="WF131" s="753"/>
      <c r="WG131" s="1394" t="s">
        <v>1335</v>
      </c>
      <c r="WH131" s="1394"/>
      <c r="WI131" s="1394"/>
      <c r="WJ131" s="1394"/>
      <c r="WK131" s="1120">
        <f>$MP$98</f>
        <v>0.38958741854614803</v>
      </c>
      <c r="WL131" s="1120"/>
      <c r="WM131" s="167"/>
      <c r="WN131" s="168"/>
      <c r="WO131" s="168"/>
      <c r="WP131" s="168"/>
      <c r="WQ131" s="168"/>
      <c r="WR131" s="168"/>
      <c r="WS131" s="168"/>
      <c r="WT131" s="168"/>
      <c r="WU131" s="168"/>
      <c r="WV131" s="168"/>
      <c r="WW131" s="168"/>
      <c r="WX131" s="168"/>
      <c r="WY131" s="171"/>
      <c r="WZ131" s="1004" t="s">
        <v>729</v>
      </c>
      <c r="XA131" s="1004"/>
      <c r="XB131" s="167"/>
      <c r="XC131" s="168"/>
      <c r="XD131" s="168"/>
      <c r="XE131" s="168"/>
      <c r="XF131" s="171"/>
      <c r="XG131" s="1361" t="s">
        <v>750</v>
      </c>
      <c r="XH131" s="1362"/>
      <c r="XI131" s="1362"/>
      <c r="XJ131" s="1362"/>
      <c r="XK131" s="1362"/>
      <c r="XL131" s="1363"/>
      <c r="XM131" s="1386">
        <f>1+WK131/WK132</f>
        <v>1.0226437183712982</v>
      </c>
      <c r="XN131" s="160"/>
      <c r="XO131" s="160"/>
      <c r="XP131" s="160"/>
      <c r="XQ131" s="160"/>
      <c r="XR131" s="160"/>
      <c r="XS131" s="160"/>
      <c r="XT131" s="160"/>
      <c r="XU131" s="160"/>
      <c r="XV131" s="160"/>
      <c r="XW131" s="160"/>
      <c r="XX131" s="160"/>
      <c r="XY131" s="160"/>
      <c r="XZ131" s="160"/>
      <c r="YA131" s="160"/>
      <c r="YB131" s="160"/>
      <c r="YC131" s="160"/>
      <c r="YD131" s="160"/>
      <c r="YE131" s="160"/>
      <c r="YF131" s="160"/>
      <c r="YG131" s="160"/>
      <c r="YH131" s="160"/>
      <c r="YI131" s="160"/>
      <c r="YJ131" s="160"/>
      <c r="YK131" s="160"/>
      <c r="YL131" s="160"/>
      <c r="YM131" s="160"/>
      <c r="YN131" s="160"/>
      <c r="YO131" s="160"/>
      <c r="YP131" s="160"/>
      <c r="YQ131" s="160"/>
      <c r="YR131" s="160"/>
      <c r="YS131" s="160"/>
      <c r="YT131" s="160"/>
      <c r="YU131" s="160"/>
      <c r="YV131" s="160"/>
      <c r="YW131" s="160"/>
      <c r="YX131" s="160"/>
      <c r="YY131" s="160"/>
      <c r="YZ131" s="160"/>
      <c r="ZA131" s="160"/>
      <c r="ZB131" s="160"/>
      <c r="ZC131" s="160"/>
      <c r="ZD131" s="160"/>
      <c r="ZE131" s="160"/>
      <c r="ZF131" s="160"/>
      <c r="ZG131" s="160"/>
      <c r="ZH131" s="160"/>
      <c r="ZI131" s="160"/>
      <c r="ZJ131" s="160"/>
      <c r="ZK131" s="160"/>
      <c r="ZL131" s="160"/>
      <c r="ZM131" s="160"/>
      <c r="ZN131" s="160"/>
      <c r="ZO131" s="160"/>
      <c r="ZP131" s="160"/>
      <c r="ZQ131" s="160"/>
      <c r="ZR131" s="160"/>
      <c r="ZS131" s="160"/>
      <c r="ZT131" s="160"/>
      <c r="ZU131" s="160"/>
      <c r="ZV131" s="160"/>
      <c r="ZW131" s="160"/>
      <c r="ZX131" s="160"/>
      <c r="ZY131" s="160"/>
      <c r="ZZ131" s="160"/>
      <c r="AAA131" s="160"/>
      <c r="AAB131" s="160"/>
      <c r="AAC131" s="160"/>
      <c r="AAD131" s="160"/>
      <c r="AAE131" s="160"/>
      <c r="AAF131" s="160"/>
      <c r="AAG131" s="160"/>
      <c r="AAH131" s="160"/>
      <c r="AAI131" s="160"/>
      <c r="AAJ131" s="160"/>
      <c r="AAK131" s="160"/>
      <c r="AAL131" s="160"/>
      <c r="AAM131" s="160"/>
      <c r="AAN131" s="160"/>
      <c r="AAO131" s="160"/>
      <c r="AAP131" s="160"/>
      <c r="AAQ131" s="160"/>
      <c r="AAR131" s="160"/>
      <c r="AAS131" s="161"/>
      <c r="AAT131" s="1005">
        <v>13</v>
      </c>
      <c r="AAU131" s="958"/>
      <c r="AAV131" s="1058"/>
      <c r="AAW131" s="1058"/>
      <c r="AAX131" s="1058"/>
      <c r="AAY131" s="1058"/>
      <c r="AAZ131" s="1058"/>
      <c r="ABA131" s="959"/>
      <c r="ABB131" s="162"/>
      <c r="ABC131" s="158"/>
      <c r="ABD131" s="158"/>
      <c r="ABE131" s="158"/>
      <c r="ABF131" s="158"/>
      <c r="ABG131" s="158"/>
      <c r="ABH131" s="158"/>
      <c r="ABI131" s="158"/>
      <c r="ABJ131" s="158"/>
      <c r="ABK131" s="158"/>
      <c r="ABL131" s="158"/>
      <c r="ABM131" s="158"/>
      <c r="ABN131" s="158"/>
      <c r="ABO131" s="158"/>
      <c r="ABP131" s="163"/>
      <c r="ABT131" s="1513"/>
      <c r="ABU131" s="1514"/>
      <c r="ABV131" s="1514"/>
      <c r="ABW131" s="1514"/>
      <c r="ABX131" s="1514"/>
      <c r="ABY131" s="1514"/>
      <c r="ABZ131" s="1514"/>
      <c r="ACA131" s="1514"/>
      <c r="ACB131" s="1514"/>
      <c r="ACC131" s="1514"/>
      <c r="ACD131" s="1514"/>
      <c r="ACE131" s="1514"/>
      <c r="ACF131" s="1514"/>
      <c r="ACG131" s="1514"/>
      <c r="ACH131" s="1515"/>
      <c r="ACJ131" s="759">
        <v>1</v>
      </c>
      <c r="ACK131" s="760"/>
      <c r="ACL131" s="759">
        <v>-1.2</v>
      </c>
      <c r="ACM131" s="760"/>
      <c r="ACN131" s="592">
        <v>47</v>
      </c>
      <c r="ACO131" s="759">
        <f t="shared" si="91"/>
        <v>0.27</v>
      </c>
      <c r="ACP131" s="760"/>
      <c r="ACQ131" s="757">
        <f t="shared" si="159"/>
        <v>1.47</v>
      </c>
      <c r="ACR131" s="758"/>
      <c r="ACT131" s="759">
        <v>1.5454545454545501</v>
      </c>
      <c r="ACU131" s="760"/>
      <c r="ACV131" s="759">
        <v>-2.1818181818181799</v>
      </c>
      <c r="ACW131" s="760"/>
      <c r="ACX131" s="591">
        <v>97</v>
      </c>
      <c r="ACY131" s="759">
        <f t="shared" si="92"/>
        <v>0.86272727272728389</v>
      </c>
      <c r="ACZ131" s="760"/>
      <c r="ADA131" s="757">
        <f t="shared" si="160"/>
        <v>1.97</v>
      </c>
      <c r="ADB131" s="758"/>
      <c r="ADD131" s="759">
        <v>1.5454545454545501</v>
      </c>
      <c r="ADE131" s="760"/>
      <c r="ADF131" s="759">
        <v>-2.1818181818181799</v>
      </c>
      <c r="ADG131" s="760"/>
      <c r="ADH131" s="591">
        <v>146</v>
      </c>
      <c r="ADI131" s="759">
        <f t="shared" si="93"/>
        <v>1.6200000000000134</v>
      </c>
      <c r="ADJ131" s="760"/>
      <c r="ADK131" s="757">
        <f t="shared" si="161"/>
        <v>2.46</v>
      </c>
      <c r="ADL131" s="758"/>
      <c r="ADN131" s="759">
        <v>1.5454545454545501</v>
      </c>
      <c r="ADO131" s="760"/>
      <c r="ADP131" s="759">
        <v>-2.1818181818181799</v>
      </c>
      <c r="ADQ131" s="760"/>
      <c r="ADR131" s="591">
        <v>196</v>
      </c>
      <c r="ADS131" s="759">
        <f t="shared" si="94"/>
        <v>2.3927272727272886</v>
      </c>
      <c r="ADT131" s="760"/>
      <c r="ADU131" s="757">
        <f t="shared" si="162"/>
        <v>2.96</v>
      </c>
      <c r="ADV131" s="758"/>
      <c r="ADX131" s="759">
        <v>1.5454545454545501</v>
      </c>
      <c r="ADY131" s="760"/>
      <c r="ADZ131" s="759">
        <v>-2.1818181818181799</v>
      </c>
      <c r="AEA131" s="760"/>
      <c r="AEB131" s="591">
        <v>246</v>
      </c>
      <c r="AEC131" s="759">
        <f t="shared" si="134"/>
        <v>3.1654545454545637</v>
      </c>
      <c r="AED131" s="760"/>
      <c r="AEE131" s="757">
        <f t="shared" si="163"/>
        <v>3.46</v>
      </c>
      <c r="AEF131" s="758"/>
      <c r="AEH131" s="759">
        <v>1.5454545454545501</v>
      </c>
      <c r="AEI131" s="760"/>
      <c r="AEJ131" s="759">
        <v>-2.1818181818181799</v>
      </c>
      <c r="AEK131" s="760"/>
      <c r="AEL131" s="591">
        <v>296</v>
      </c>
      <c r="AEM131" s="759">
        <f t="shared" si="101"/>
        <v>3.938181818181838</v>
      </c>
      <c r="AEN131" s="760"/>
      <c r="AEO131" s="757">
        <f t="shared" si="164"/>
        <v>3.96</v>
      </c>
      <c r="AEP131" s="758"/>
      <c r="AEY131" s="756" t="s">
        <v>1381</v>
      </c>
      <c r="AEZ131" s="756"/>
      <c r="AFA131" s="756"/>
      <c r="AFB131" s="756"/>
      <c r="AFC131" s="756"/>
      <c r="AFD131" s="756"/>
      <c r="AFE131" s="756"/>
      <c r="AFF131" s="677"/>
      <c r="AGL131" s="849"/>
      <c r="AGM131" s="852" t="s">
        <v>416</v>
      </c>
      <c r="AGN131" s="853"/>
      <c r="AGO131" s="427"/>
      <c r="AGP131" s="78"/>
      <c r="AGQ131" s="78"/>
      <c r="AGR131" s="78"/>
      <c r="AGS131" s="78"/>
      <c r="AGT131" s="78"/>
      <c r="AGU131" s="78"/>
      <c r="AGV131" s="427"/>
      <c r="AGW131" s="76" t="s">
        <v>441</v>
      </c>
      <c r="AGX131" s="854" t="s">
        <v>435</v>
      </c>
      <c r="AGY131" s="1111"/>
      <c r="AGZ131" s="920" t="s">
        <v>111</v>
      </c>
      <c r="AHA131" s="921"/>
      <c r="AHB131" s="916" t="s">
        <v>704</v>
      </c>
      <c r="AHC131" s="922"/>
      <c r="AHD131" s="906" t="s">
        <v>447</v>
      </c>
      <c r="AHE131" s="907"/>
      <c r="AHF131" s="907"/>
      <c r="AHG131" s="907"/>
      <c r="AHH131" s="1051" t="s">
        <v>436</v>
      </c>
      <c r="AHI131" s="1051"/>
      <c r="AHJ131" s="1051"/>
      <c r="AHK131" s="1051"/>
      <c r="AHL131" s="1051"/>
      <c r="AHM131" s="1051"/>
      <c r="AHR131" s="130"/>
      <c r="ARU131" s="377"/>
      <c r="ARV131" s="373"/>
      <c r="ARW131" s="373"/>
      <c r="ARX131" s="373"/>
      <c r="ARY131" s="373"/>
      <c r="ARZ131" s="851"/>
      <c r="ASA131" s="1147"/>
      <c r="ASB131" s="1147"/>
      <c r="ASC131" s="1147"/>
      <c r="ASD131" s="1147"/>
      <c r="ASE131" s="1147"/>
      <c r="ASF131" s="1147"/>
      <c r="ASG131" s="1147"/>
      <c r="ASH131" s="1147"/>
      <c r="ASI131" s="1147"/>
      <c r="ASJ131" s="1147"/>
      <c r="ASK131" s="1147"/>
      <c r="ASL131" s="1147"/>
      <c r="ASM131" s="1147"/>
      <c r="ASN131" s="837"/>
      <c r="ASO131" s="838"/>
      <c r="ASP131" s="1346"/>
      <c r="ASQ131" s="934"/>
      <c r="ASR131" s="842"/>
      <c r="ASS131" s="845"/>
      <c r="AST131" s="846"/>
      <c r="ASU131" s="848"/>
      <c r="ASV131" s="373"/>
      <c r="ASW131" s="373"/>
      <c r="ASX131" s="373"/>
      <c r="ASY131" s="373"/>
      <c r="ASZ131" s="373"/>
      <c r="ATA131" s="373"/>
      <c r="ATB131" s="373"/>
      <c r="ATC131" s="373"/>
      <c r="ATD131" s="373"/>
      <c r="ATE131" s="373"/>
      <c r="ATF131" s="374"/>
      <c r="ATI131" s="850"/>
      <c r="ATJ131" s="957" t="s">
        <v>146</v>
      </c>
      <c r="ATK131" s="957"/>
      <c r="ATL131" s="957"/>
      <c r="ATM131" s="957"/>
      <c r="ATN131" s="957"/>
      <c r="ATO131" s="957"/>
      <c r="ATP131" s="957"/>
      <c r="ATQ131" s="957"/>
      <c r="ATR131" s="957"/>
      <c r="ATS131" s="957"/>
      <c r="ATT131" s="957"/>
      <c r="ATU131" s="957"/>
      <c r="ATV131" s="957"/>
      <c r="ATW131" s="835" t="e">
        <f>(ASM62/(ASM195*ASI119))/1000</f>
        <v>#REF!</v>
      </c>
      <c r="ATX131" s="836"/>
      <c r="ATY131" s="839"/>
      <c r="ATZ131" s="840"/>
      <c r="AUA131" s="841"/>
      <c r="AUB131" s="843" t="s">
        <v>416</v>
      </c>
      <c r="AUC131" s="844"/>
      <c r="AUD131" s="847"/>
      <c r="AUE131" s="827"/>
      <c r="AUF131" s="947"/>
      <c r="AUG131" s="947"/>
      <c r="AUH131" s="948"/>
    </row>
    <row r="132" spans="43:908 1133:1230" ht="48" customHeight="1" thickBot="1">
      <c r="BZ132" s="903"/>
      <c r="CA132" s="904"/>
      <c r="CB132" s="905"/>
      <c r="CC132" s="851"/>
      <c r="CD132" s="769"/>
      <c r="CE132" s="764"/>
      <c r="CF132" s="764"/>
      <c r="CG132" s="764"/>
      <c r="CH132" s="764"/>
      <c r="CI132" s="764"/>
      <c r="CJ132" s="1455"/>
      <c r="CK132" s="1456"/>
      <c r="CL132" s="1185"/>
      <c r="CM132" s="1186"/>
      <c r="CN132" s="842"/>
      <c r="CO132" s="918"/>
      <c r="CP132" s="919"/>
      <c r="CQ132" s="848"/>
      <c r="DA132" s="130"/>
      <c r="GF132" s="851"/>
      <c r="GG132" s="794"/>
      <c r="GH132" s="795"/>
      <c r="GI132" s="795"/>
      <c r="GJ132" s="795"/>
      <c r="GK132" s="795"/>
      <c r="GL132" s="795"/>
      <c r="GM132" s="1169"/>
      <c r="GN132" s="799"/>
      <c r="GO132" s="933"/>
      <c r="GP132" s="934"/>
      <c r="GQ132" s="842"/>
      <c r="GR132" s="845"/>
      <c r="GS132" s="846"/>
      <c r="GT132" s="848"/>
      <c r="GU132" s="1053"/>
      <c r="GV132" s="1053"/>
      <c r="GW132" s="1053"/>
      <c r="GX132" s="1053"/>
      <c r="GY132" s="1053"/>
      <c r="LX132" s="136"/>
      <c r="LY132" s="891"/>
      <c r="LZ132" s="891"/>
      <c r="MA132" s="891"/>
      <c r="MB132" s="891"/>
      <c r="MC132" s="891"/>
      <c r="MD132" s="891"/>
      <c r="ME132" s="891"/>
      <c r="MF132" s="891"/>
      <c r="MG132" s="891"/>
      <c r="MH132" s="891"/>
      <c r="MI132" s="891"/>
      <c r="MJ132" s="891"/>
      <c r="MK132" s="891"/>
      <c r="ML132" s="891"/>
      <c r="MM132" s="891"/>
      <c r="MN132" s="891"/>
      <c r="MO132" s="891"/>
      <c r="MP132" s="891"/>
      <c r="MQ132" s="891"/>
      <c r="MR132" s="891"/>
      <c r="MS132" s="891"/>
      <c r="MT132" s="891"/>
      <c r="MU132" s="891"/>
      <c r="MV132" s="891"/>
      <c r="MW132" s="891"/>
      <c r="MX132" s="891"/>
      <c r="MY132" s="891"/>
      <c r="MZ132" s="891"/>
      <c r="NA132" s="891"/>
      <c r="NB132" s="891"/>
      <c r="NC132" s="891"/>
      <c r="ND132" s="891"/>
      <c r="NE132" s="891"/>
      <c r="NF132" s="891"/>
      <c r="NG132" s="891"/>
      <c r="NH132" s="891"/>
      <c r="NI132" s="891"/>
      <c r="NJ132" s="891"/>
      <c r="NK132" s="891"/>
      <c r="NL132" s="891"/>
      <c r="NM132" s="891"/>
      <c r="NN132" s="891"/>
      <c r="NO132" s="891"/>
      <c r="NP132" s="891"/>
      <c r="NQ132" s="891"/>
      <c r="NR132" s="891"/>
      <c r="NS132" s="891"/>
      <c r="NT132" s="891"/>
      <c r="NU132" s="891"/>
      <c r="NV132" s="891"/>
      <c r="NW132" s="891"/>
      <c r="NX132" s="891"/>
      <c r="NY132" s="891"/>
      <c r="NZ132" s="891"/>
      <c r="OA132" s="891"/>
      <c r="OB132" s="891"/>
      <c r="OC132" s="891"/>
      <c r="OD132" s="891"/>
      <c r="OE132" s="891"/>
      <c r="OF132" s="891"/>
      <c r="OG132" s="891"/>
      <c r="OH132" s="891"/>
      <c r="OI132" s="891"/>
      <c r="OJ132" s="891"/>
      <c r="OK132" s="891"/>
      <c r="OL132" s="891"/>
      <c r="OM132" s="891"/>
      <c r="ON132" s="891"/>
      <c r="OO132" s="891"/>
      <c r="OP132" s="891"/>
      <c r="OQ132" s="891"/>
      <c r="OR132" s="891"/>
      <c r="OS132" s="891"/>
      <c r="OT132" s="891"/>
      <c r="OU132" s="383"/>
      <c r="OX132" s="130"/>
      <c r="OY132" s="130"/>
      <c r="OZ132" s="130"/>
      <c r="PA132" s="130"/>
      <c r="PB132" s="130"/>
      <c r="PC132" s="130"/>
      <c r="PD132" s="130"/>
      <c r="PE132" s="130"/>
      <c r="PF132" s="130"/>
      <c r="PG132" s="377"/>
      <c r="PH132" s="373"/>
      <c r="PI132" s="373"/>
      <c r="PJ132" s="373"/>
      <c r="PK132" s="373"/>
      <c r="PL132" s="373"/>
      <c r="PM132" s="373"/>
      <c r="PN132" s="373"/>
      <c r="PO132" s="373"/>
      <c r="PP132" s="373"/>
      <c r="PQ132" s="373"/>
      <c r="PR132" s="373"/>
      <c r="PS132" s="373"/>
      <c r="PT132" s="373"/>
      <c r="PU132" s="373"/>
      <c r="PV132" s="373"/>
      <c r="PW132" s="373"/>
      <c r="PX132" s="373"/>
      <c r="PY132" s="373"/>
      <c r="PZ132" s="373"/>
      <c r="QA132" s="373"/>
      <c r="QB132" s="373"/>
      <c r="QC132" s="373"/>
      <c r="QD132" s="373"/>
      <c r="QE132" s="379"/>
      <c r="QF132" s="379"/>
      <c r="QG132" s="379"/>
      <c r="QH132" s="379"/>
      <c r="QI132" s="379"/>
      <c r="QJ132" s="379"/>
      <c r="QK132" s="379"/>
      <c r="QL132" s="379"/>
      <c r="QM132" s="379"/>
      <c r="QN132" s="379"/>
      <c r="QO132" s="379"/>
      <c r="QP132" s="379"/>
      <c r="QQ132" s="379"/>
      <c r="QR132" s="382" t="s">
        <v>1298</v>
      </c>
      <c r="QU132" s="130"/>
      <c r="VD132" s="1026"/>
      <c r="VE132" s="1027"/>
      <c r="VF132" s="1027"/>
      <c r="VG132" s="1027"/>
      <c r="VH132" s="1027"/>
      <c r="VI132" s="1027"/>
      <c r="VJ132" s="1027"/>
      <c r="VK132" s="1027"/>
      <c r="VL132" s="1027"/>
      <c r="VM132" s="1027"/>
      <c r="VN132" s="1027"/>
      <c r="VO132" s="1027"/>
      <c r="VP132" s="1027"/>
      <c r="VQ132" s="1027"/>
      <c r="VR132" s="1027"/>
      <c r="VS132" s="1027"/>
      <c r="VT132" s="1027"/>
      <c r="VU132" s="1027"/>
      <c r="VV132" s="1027"/>
      <c r="VW132" s="1027"/>
      <c r="VX132" s="1027"/>
      <c r="VY132" s="1027"/>
      <c r="VZ132" s="1028"/>
      <c r="WE132" s="996"/>
      <c r="WF132" s="997"/>
      <c r="WG132" s="861" t="s">
        <v>1468</v>
      </c>
      <c r="WH132" s="861"/>
      <c r="WI132" s="861"/>
      <c r="WJ132" s="861"/>
      <c r="WK132" s="951">
        <f>$AGZ$126</f>
        <v>17.205099098916754</v>
      </c>
      <c r="WL132" s="952"/>
      <c r="WM132" s="175"/>
      <c r="WN132" s="173"/>
      <c r="WO132" s="173"/>
      <c r="WP132" s="173"/>
      <c r="WQ132" s="173"/>
      <c r="WR132" s="173"/>
      <c r="WS132" s="173"/>
      <c r="WT132" s="173"/>
      <c r="WU132" s="173"/>
      <c r="WV132" s="173"/>
      <c r="WW132" s="173"/>
      <c r="WX132" s="173"/>
      <c r="WY132" s="174"/>
      <c r="WZ132" s="1004"/>
      <c r="XA132" s="1004"/>
      <c r="XB132" s="175"/>
      <c r="XC132" s="173"/>
      <c r="XD132" s="173"/>
      <c r="XE132" s="173"/>
      <c r="XF132" s="174"/>
      <c r="XG132" s="1364"/>
      <c r="XH132" s="1365"/>
      <c r="XI132" s="1365"/>
      <c r="XJ132" s="1365"/>
      <c r="XK132" s="1365"/>
      <c r="XL132" s="1366"/>
      <c r="XM132" s="1387"/>
      <c r="XN132" s="158"/>
      <c r="XO132" s="158"/>
      <c r="XP132" s="158"/>
      <c r="XQ132" s="158"/>
      <c r="XR132" s="158"/>
      <c r="XS132" s="158"/>
      <c r="XT132" s="158"/>
      <c r="XU132" s="158"/>
      <c r="XV132" s="158"/>
      <c r="XW132" s="158"/>
      <c r="XX132" s="158"/>
      <c r="XY132" s="158"/>
      <c r="XZ132" s="158"/>
      <c r="YA132" s="158"/>
      <c r="YB132" s="158"/>
      <c r="YC132" s="158"/>
      <c r="YD132" s="158"/>
      <c r="YE132" s="158"/>
      <c r="YF132" s="158"/>
      <c r="YG132" s="158"/>
      <c r="YH132" s="158"/>
      <c r="YI132" s="158"/>
      <c r="YJ132" s="158"/>
      <c r="YK132" s="158"/>
      <c r="YL132" s="158"/>
      <c r="YM132" s="158"/>
      <c r="YN132" s="158"/>
      <c r="YO132" s="158"/>
      <c r="YP132" s="158"/>
      <c r="YQ132" s="158"/>
      <c r="YR132" s="158"/>
      <c r="YS132" s="158"/>
      <c r="YT132" s="158"/>
      <c r="YU132" s="158"/>
      <c r="YV132" s="158"/>
      <c r="YW132" s="158"/>
      <c r="YX132" s="158"/>
      <c r="YY132" s="158"/>
      <c r="YZ132" s="158"/>
      <c r="ZA132" s="158"/>
      <c r="ZB132" s="158"/>
      <c r="ZC132" s="158"/>
      <c r="ZD132" s="158"/>
      <c r="ZE132" s="158"/>
      <c r="ZF132" s="158"/>
      <c r="ZG132" s="158"/>
      <c r="ZH132" s="158"/>
      <c r="ZI132" s="158"/>
      <c r="ZJ132" s="158"/>
      <c r="ZK132" s="158"/>
      <c r="ZL132" s="158"/>
      <c r="ZM132" s="158"/>
      <c r="ZN132" s="158"/>
      <c r="ZO132" s="158"/>
      <c r="ZP132" s="158"/>
      <c r="ZQ132" s="158"/>
      <c r="ZR132" s="158"/>
      <c r="ZS132" s="158"/>
      <c r="ZT132" s="158"/>
      <c r="ZU132" s="158"/>
      <c r="ZV132" s="158"/>
      <c r="ZW132" s="158"/>
      <c r="ZX132" s="158"/>
      <c r="ZY132" s="158"/>
      <c r="ZZ132" s="158"/>
      <c r="AAA132" s="158"/>
      <c r="AAB132" s="158"/>
      <c r="AAC132" s="158"/>
      <c r="AAD132" s="158"/>
      <c r="AAE132" s="158"/>
      <c r="AAF132" s="158"/>
      <c r="AAG132" s="158"/>
      <c r="AAH132" s="158"/>
      <c r="AAI132" s="158"/>
      <c r="AAJ132" s="158"/>
      <c r="AAK132" s="158"/>
      <c r="AAL132" s="158"/>
      <c r="AAM132" s="158"/>
      <c r="AAN132" s="158"/>
      <c r="AAO132" s="158"/>
      <c r="AAP132" s="158"/>
      <c r="AAQ132" s="158"/>
      <c r="AAR132" s="158"/>
      <c r="AAS132" s="163"/>
      <c r="AAT132" s="1006"/>
      <c r="AAU132" s="960"/>
      <c r="AAV132" s="1101"/>
      <c r="AAW132" s="1101"/>
      <c r="AAX132" s="1101"/>
      <c r="AAY132" s="1101"/>
      <c r="AAZ132" s="1101"/>
      <c r="ABA132" s="961"/>
      <c r="ABB132" s="162"/>
      <c r="ABC132" s="158"/>
      <c r="ABD132" s="158"/>
      <c r="ABE132" s="158"/>
      <c r="ABF132" s="158"/>
      <c r="ABG132" s="158"/>
      <c r="ABH132" s="158"/>
      <c r="ABI132" s="158"/>
      <c r="ABJ132" s="158"/>
      <c r="ABK132" s="158"/>
      <c r="ABL132" s="158"/>
      <c r="ABM132" s="158"/>
      <c r="ABN132" s="158"/>
      <c r="ABO132" s="158"/>
      <c r="ABP132" s="163"/>
      <c r="ABT132" s="1516"/>
      <c r="ABU132" s="1517"/>
      <c r="ABV132" s="1517"/>
      <c r="ABW132" s="1517"/>
      <c r="ABX132" s="1517"/>
      <c r="ABY132" s="1517"/>
      <c r="ABZ132" s="1517"/>
      <c r="ACA132" s="1517"/>
      <c r="ACB132" s="1517"/>
      <c r="ACC132" s="1517"/>
      <c r="ACD132" s="1517"/>
      <c r="ACE132" s="1517"/>
      <c r="ACF132" s="1517"/>
      <c r="ACG132" s="1517"/>
      <c r="ACH132" s="1518"/>
      <c r="ACJ132" s="759">
        <v>1</v>
      </c>
      <c r="ACK132" s="760"/>
      <c r="ACL132" s="759">
        <v>-1.2</v>
      </c>
      <c r="ACM132" s="760"/>
      <c r="ACN132" s="592">
        <v>48</v>
      </c>
      <c r="ACO132" s="759">
        <f t="shared" si="91"/>
        <v>0.28000000000000003</v>
      </c>
      <c r="ACP132" s="760"/>
      <c r="ACQ132" s="757">
        <f t="shared" si="159"/>
        <v>1.48</v>
      </c>
      <c r="ACR132" s="758"/>
      <c r="ACT132" s="759">
        <v>1.5454545454545501</v>
      </c>
      <c r="ACU132" s="760"/>
      <c r="ACV132" s="759">
        <v>-2.1818181818181799</v>
      </c>
      <c r="ACW132" s="760"/>
      <c r="ACX132" s="591">
        <v>98</v>
      </c>
      <c r="ACY132" s="759">
        <f t="shared" si="92"/>
        <v>0.87818181818182905</v>
      </c>
      <c r="ACZ132" s="760"/>
      <c r="ADA132" s="757">
        <f t="shared" si="160"/>
        <v>1.98</v>
      </c>
      <c r="ADB132" s="758"/>
      <c r="ADD132" s="759">
        <v>1.5454545454545501</v>
      </c>
      <c r="ADE132" s="760"/>
      <c r="ADF132" s="759">
        <v>-2.1818181818181799</v>
      </c>
      <c r="ADG132" s="760"/>
      <c r="ADH132" s="591">
        <v>147</v>
      </c>
      <c r="ADI132" s="759">
        <f t="shared" si="93"/>
        <v>1.6354545454545586</v>
      </c>
      <c r="ADJ132" s="760"/>
      <c r="ADK132" s="757">
        <f t="shared" si="161"/>
        <v>2.4699999999999998</v>
      </c>
      <c r="ADL132" s="758"/>
      <c r="ADN132" s="759">
        <v>1.5454545454545501</v>
      </c>
      <c r="ADO132" s="760"/>
      <c r="ADP132" s="759">
        <v>-2.1818181818181799</v>
      </c>
      <c r="ADQ132" s="760"/>
      <c r="ADR132" s="591">
        <v>197</v>
      </c>
      <c r="ADS132" s="759">
        <f t="shared" si="94"/>
        <v>2.4081818181818333</v>
      </c>
      <c r="ADT132" s="760"/>
      <c r="ADU132" s="757">
        <f t="shared" si="162"/>
        <v>2.9699999999999998</v>
      </c>
      <c r="ADV132" s="758"/>
      <c r="ADX132" s="759">
        <v>1.5454545454545501</v>
      </c>
      <c r="ADY132" s="760"/>
      <c r="ADZ132" s="759">
        <v>-2.1818181818181799</v>
      </c>
      <c r="AEA132" s="760"/>
      <c r="AEB132" s="591">
        <v>247</v>
      </c>
      <c r="AEC132" s="759">
        <f t="shared" si="134"/>
        <v>3.1809090909091093</v>
      </c>
      <c r="AED132" s="760"/>
      <c r="AEE132" s="757">
        <f t="shared" si="163"/>
        <v>3.47</v>
      </c>
      <c r="AEF132" s="758"/>
      <c r="AEH132" s="759">
        <v>1.5454545454545501</v>
      </c>
      <c r="AEI132" s="760"/>
      <c r="AEJ132" s="759">
        <v>-2.1818181818181799</v>
      </c>
      <c r="AEK132" s="760"/>
      <c r="AEL132" s="591">
        <v>297</v>
      </c>
      <c r="AEM132" s="759">
        <f t="shared" si="101"/>
        <v>3.9536363636363845</v>
      </c>
      <c r="AEN132" s="760"/>
      <c r="AEO132" s="757">
        <f t="shared" si="164"/>
        <v>3.97</v>
      </c>
      <c r="AEP132" s="758"/>
      <c r="AEY132" s="856" t="s">
        <v>1692</v>
      </c>
      <c r="AEZ132" s="856"/>
      <c r="AFA132" s="856" t="s">
        <v>1693</v>
      </c>
      <c r="AFB132" s="856"/>
      <c r="AFC132" s="856" t="s">
        <v>1585</v>
      </c>
      <c r="AFD132" s="856"/>
      <c r="AFE132" s="856" t="s">
        <v>829</v>
      </c>
      <c r="AFF132" s="856"/>
      <c r="AGL132" s="850"/>
      <c r="AGM132" s="1583" t="s">
        <v>1335</v>
      </c>
      <c r="AGN132" s="1584"/>
      <c r="AGO132" s="1585"/>
      <c r="AGP132" s="937">
        <f>$MP$98</f>
        <v>0.38958741854614803</v>
      </c>
      <c r="AGQ132" s="937"/>
      <c r="AGR132" s="792" t="s">
        <v>1402</v>
      </c>
      <c r="AGS132" s="792"/>
      <c r="AGT132" s="792"/>
      <c r="AGU132" s="792"/>
      <c r="AGV132" s="792"/>
      <c r="AGW132" s="792"/>
      <c r="AGX132" s="792"/>
      <c r="AGY132" s="793"/>
      <c r="AGZ132" s="835">
        <f>1+AGP132/AGP133</f>
        <v>1.0226437183712982</v>
      </c>
      <c r="AHA132" s="836"/>
      <c r="AHB132" s="1167"/>
      <c r="AHC132" s="840"/>
      <c r="AHD132" s="1248"/>
      <c r="AHE132" s="843" t="s">
        <v>1514</v>
      </c>
      <c r="AHF132" s="1327"/>
      <c r="AHG132" s="1289"/>
      <c r="AHH132" s="1052"/>
      <c r="AHI132" s="1052"/>
      <c r="AHJ132" s="1052"/>
      <c r="AHK132" s="1052"/>
      <c r="AHL132" s="1052"/>
      <c r="AHM132" s="1052"/>
      <c r="AHR132" s="130"/>
      <c r="AQO132" s="849"/>
      <c r="AQP132" s="852" t="s">
        <v>416</v>
      </c>
      <c r="AQQ132" s="853"/>
      <c r="AQR132" s="700"/>
      <c r="AQS132" s="78"/>
      <c r="AQT132" s="78"/>
      <c r="AQU132" s="78"/>
      <c r="AQV132" s="78"/>
      <c r="AQW132" s="78"/>
      <c r="AQX132" s="78"/>
      <c r="AQY132" s="700"/>
      <c r="AQZ132" s="76" t="s">
        <v>441</v>
      </c>
      <c r="ARA132" s="854" t="s">
        <v>435</v>
      </c>
      <c r="ARB132" s="855"/>
      <c r="ARC132" s="920" t="s">
        <v>111</v>
      </c>
      <c r="ARD132" s="921"/>
      <c r="ARE132" s="916" t="s">
        <v>704</v>
      </c>
      <c r="ARF132" s="917"/>
      <c r="ARG132" s="906" t="s">
        <v>447</v>
      </c>
      <c r="ARH132" s="907"/>
      <c r="ARI132" s="907"/>
      <c r="ARJ132" s="908"/>
      <c r="ARU132" s="377"/>
      <c r="ARV132" s="373"/>
      <c r="ARW132" s="373"/>
      <c r="ARX132" s="373"/>
      <c r="ARY132" s="373"/>
      <c r="ARZ132" s="373"/>
      <c r="ASA132" s="373"/>
      <c r="ASB132" s="373"/>
      <c r="ASC132" s="373"/>
      <c r="ASD132" s="373"/>
      <c r="ASE132" s="373"/>
      <c r="ASF132" s="373"/>
      <c r="ASG132" s="373"/>
      <c r="ASH132" s="373"/>
      <c r="ASI132" s="373"/>
      <c r="ASJ132" s="373"/>
      <c r="ASK132" s="373"/>
      <c r="ASL132" s="373"/>
      <c r="ASM132" s="373"/>
      <c r="ASN132" s="373"/>
      <c r="ASO132" s="373"/>
      <c r="ASP132" s="373"/>
      <c r="ASQ132" s="373"/>
      <c r="ASR132" s="373"/>
      <c r="ASS132" s="373"/>
      <c r="AST132" s="373"/>
      <c r="ASU132" s="373"/>
      <c r="ASV132" s="373"/>
      <c r="ASW132" s="373"/>
      <c r="ASX132" s="373"/>
      <c r="ASY132" s="373"/>
      <c r="ASZ132" s="373"/>
      <c r="ATA132" s="373"/>
      <c r="ATB132" s="373"/>
      <c r="ATC132" s="373"/>
      <c r="ATD132" s="373"/>
      <c r="ATE132" s="373"/>
      <c r="ATF132" s="374"/>
      <c r="ATI132" s="851"/>
      <c r="ATJ132" s="1147"/>
      <c r="ATK132" s="1147"/>
      <c r="ATL132" s="1147"/>
      <c r="ATM132" s="1147"/>
      <c r="ATN132" s="1147"/>
      <c r="ATO132" s="1147"/>
      <c r="ATP132" s="1147"/>
      <c r="ATQ132" s="1147"/>
      <c r="ATR132" s="1147"/>
      <c r="ATS132" s="1147"/>
      <c r="ATT132" s="1147"/>
      <c r="ATU132" s="1147"/>
      <c r="ATV132" s="1147"/>
      <c r="ATW132" s="837"/>
      <c r="ATX132" s="838"/>
      <c r="ATY132" s="777"/>
      <c r="ATZ132" s="799"/>
      <c r="AUA132" s="842"/>
      <c r="AUB132" s="845"/>
      <c r="AUC132" s="846"/>
      <c r="AUD132" s="848"/>
      <c r="AUE132" s="828"/>
      <c r="AUF132" s="949"/>
      <c r="AUG132" s="949"/>
      <c r="AUH132" s="950"/>
    </row>
    <row r="133" spans="43:908 1133:1230" ht="48" customHeight="1" thickBot="1">
      <c r="AQ133" s="897" t="s">
        <v>974</v>
      </c>
      <c r="AR133" s="898"/>
      <c r="AS133" s="899"/>
      <c r="AT133" s="849"/>
      <c r="AU133" s="852" t="s">
        <v>36</v>
      </c>
      <c r="AV133" s="853"/>
      <c r="AW133" s="132"/>
      <c r="AX133" s="78"/>
      <c r="AY133" s="78"/>
      <c r="AZ133" s="78"/>
      <c r="BA133" s="78"/>
      <c r="BB133" s="135"/>
      <c r="BC133" s="75" t="s">
        <v>702</v>
      </c>
      <c r="BD133" s="132"/>
      <c r="BE133" s="76" t="s">
        <v>441</v>
      </c>
      <c r="BF133" s="854" t="s">
        <v>435</v>
      </c>
      <c r="BG133" s="855"/>
      <c r="BH133" s="1072" t="s">
        <v>111</v>
      </c>
      <c r="BI133" s="1073"/>
      <c r="BJ133" s="1074"/>
      <c r="BK133" s="916" t="s">
        <v>704</v>
      </c>
      <c r="BL133" s="917"/>
      <c r="BM133" s="906" t="s">
        <v>447</v>
      </c>
      <c r="BN133" s="907"/>
      <c r="BO133" s="907"/>
      <c r="BP133" s="908"/>
      <c r="NH133" s="130"/>
      <c r="NI133" s="130"/>
      <c r="OX133" s="130"/>
      <c r="OY133" s="130"/>
      <c r="OZ133" s="130"/>
      <c r="PA133" s="130"/>
      <c r="PB133" s="130"/>
      <c r="PC133" s="130"/>
      <c r="PD133" s="130"/>
      <c r="PE133" s="130"/>
      <c r="PF133" s="130"/>
      <c r="PG133" s="377"/>
      <c r="PH133" s="373"/>
      <c r="PI133" s="373"/>
      <c r="PJ133" s="373"/>
      <c r="PK133" s="373"/>
      <c r="PL133" s="373"/>
      <c r="PM133" s="373"/>
      <c r="PN133" s="1458" t="s">
        <v>885</v>
      </c>
      <c r="PO133" s="1280"/>
      <c r="PP133" s="1280"/>
      <c r="PQ133" s="1281"/>
      <c r="PR133" s="1706" t="str">
        <f>$M$67</f>
        <v>IP44</v>
      </c>
      <c r="PS133" s="1707"/>
      <c r="PT133" s="487"/>
      <c r="PU133" s="478" t="s">
        <v>911</v>
      </c>
      <c r="PV133" s="1615" t="str">
        <f>IF(PR133="IP23","Расчет по формуле данной последовательности","Данная переменная не используется в расчете")</f>
        <v>Данная переменная не используется в расчете</v>
      </c>
      <c r="PW133" s="1616"/>
      <c r="PX133" s="1616"/>
      <c r="PY133" s="1616"/>
      <c r="PZ133" s="1616"/>
      <c r="QA133" s="1616"/>
      <c r="QB133" s="1616"/>
      <c r="QC133" s="1616"/>
      <c r="QD133" s="1617"/>
      <c r="QE133" s="373"/>
      <c r="QF133" s="373"/>
      <c r="QG133" s="373"/>
      <c r="QH133" s="373"/>
      <c r="QI133" s="373"/>
      <c r="QJ133" s="373"/>
      <c r="QK133" s="373"/>
      <c r="QL133" s="373"/>
      <c r="QM133" s="373"/>
      <c r="QN133" s="373"/>
      <c r="QO133" s="373"/>
      <c r="QP133" s="373"/>
      <c r="QQ133" s="373"/>
      <c r="QR133" s="381" t="s">
        <v>1297</v>
      </c>
      <c r="VD133" s="1026"/>
      <c r="VE133" s="1027"/>
      <c r="VF133" s="1027"/>
      <c r="VG133" s="1027"/>
      <c r="VH133" s="1027"/>
      <c r="VI133" s="1027"/>
      <c r="VJ133" s="1027"/>
      <c r="VK133" s="1027"/>
      <c r="VL133" s="1027"/>
      <c r="VM133" s="1027"/>
      <c r="VN133" s="1027"/>
      <c r="VO133" s="1027"/>
      <c r="VP133" s="1027"/>
      <c r="VQ133" s="1027"/>
      <c r="VR133" s="1027"/>
      <c r="VS133" s="1027"/>
      <c r="VT133" s="1027"/>
      <c r="VU133" s="1027"/>
      <c r="VV133" s="1027"/>
      <c r="VW133" s="1027"/>
      <c r="VX133" s="1027"/>
      <c r="VY133" s="1027"/>
      <c r="VZ133" s="1028"/>
      <c r="WE133" s="754"/>
      <c r="WF133" s="755"/>
      <c r="WG133" s="170"/>
      <c r="WH133" s="170"/>
      <c r="WI133" s="170"/>
      <c r="WJ133" s="170"/>
      <c r="WK133" s="170"/>
      <c r="WL133" s="170"/>
      <c r="WM133" s="170"/>
      <c r="WN133" s="170"/>
      <c r="WO133" s="170"/>
      <c r="WP133" s="170"/>
      <c r="WQ133" s="170"/>
      <c r="WR133" s="170"/>
      <c r="WS133" s="170"/>
      <c r="WT133" s="170"/>
      <c r="WU133" s="170"/>
      <c r="WV133" s="170"/>
      <c r="WW133" s="170"/>
      <c r="WX133" s="170"/>
      <c r="WY133" s="172"/>
      <c r="WZ133" s="1004"/>
      <c r="XA133" s="1004"/>
      <c r="XB133" s="169"/>
      <c r="XC133" s="170"/>
      <c r="XD133" s="170"/>
      <c r="XE133" s="170"/>
      <c r="XF133" s="172"/>
      <c r="XG133" s="1367"/>
      <c r="XH133" s="1368"/>
      <c r="XI133" s="1368"/>
      <c r="XJ133" s="1368"/>
      <c r="XK133" s="1368"/>
      <c r="XL133" s="1369"/>
      <c r="XM133" s="1388"/>
      <c r="XN133" s="165"/>
      <c r="XO133" s="165"/>
      <c r="XP133" s="165"/>
      <c r="XQ133" s="165"/>
      <c r="XR133" s="165"/>
      <c r="XS133" s="165"/>
      <c r="XT133" s="165"/>
      <c r="XU133" s="165"/>
      <c r="XV133" s="165"/>
      <c r="XW133" s="165"/>
      <c r="XX133" s="165"/>
      <c r="XY133" s="165"/>
      <c r="XZ133" s="165"/>
      <c r="YA133" s="165"/>
      <c r="YB133" s="165"/>
      <c r="YC133" s="165"/>
      <c r="YD133" s="165"/>
      <c r="YE133" s="165"/>
      <c r="YF133" s="165"/>
      <c r="YG133" s="165"/>
      <c r="YH133" s="165"/>
      <c r="YI133" s="165"/>
      <c r="YJ133" s="165"/>
      <c r="YK133" s="165"/>
      <c r="YL133" s="165"/>
      <c r="YM133" s="165"/>
      <c r="YN133" s="165"/>
      <c r="YO133" s="165"/>
      <c r="YP133" s="165"/>
      <c r="YQ133" s="165"/>
      <c r="YR133" s="165"/>
      <c r="YS133" s="165"/>
      <c r="YT133" s="165"/>
      <c r="YU133" s="165"/>
      <c r="YV133" s="165"/>
      <c r="YW133" s="165"/>
      <c r="YX133" s="165"/>
      <c r="YY133" s="165"/>
      <c r="YZ133" s="165"/>
      <c r="ZA133" s="165"/>
      <c r="ZB133" s="165"/>
      <c r="ZC133" s="165"/>
      <c r="ZD133" s="165"/>
      <c r="ZE133" s="165"/>
      <c r="ZF133" s="165"/>
      <c r="ZG133" s="165"/>
      <c r="ZH133" s="165"/>
      <c r="ZI133" s="165"/>
      <c r="ZJ133" s="165"/>
      <c r="ZK133" s="165"/>
      <c r="ZL133" s="165"/>
      <c r="ZM133" s="165"/>
      <c r="ZN133" s="165"/>
      <c r="ZO133" s="165"/>
      <c r="ZP133" s="165"/>
      <c r="ZQ133" s="165"/>
      <c r="ZR133" s="165"/>
      <c r="ZS133" s="165"/>
      <c r="ZT133" s="165"/>
      <c r="ZU133" s="165"/>
      <c r="ZV133" s="165"/>
      <c r="ZW133" s="165"/>
      <c r="ZX133" s="165"/>
      <c r="ZY133" s="165"/>
      <c r="ZZ133" s="165"/>
      <c r="AAA133" s="165"/>
      <c r="AAB133" s="165"/>
      <c r="AAC133" s="165"/>
      <c r="AAD133" s="165"/>
      <c r="AAE133" s="165"/>
      <c r="AAF133" s="165"/>
      <c r="AAG133" s="165"/>
      <c r="AAH133" s="165"/>
      <c r="AAI133" s="165"/>
      <c r="AAJ133" s="165"/>
      <c r="AAK133" s="165"/>
      <c r="AAL133" s="165"/>
      <c r="AAM133" s="165"/>
      <c r="AAN133" s="165"/>
      <c r="AAO133" s="165"/>
      <c r="AAP133" s="165"/>
      <c r="AAQ133" s="165"/>
      <c r="AAR133" s="165"/>
      <c r="AAS133" s="166"/>
      <c r="AAT133" s="1007"/>
      <c r="AAU133" s="962"/>
      <c r="AAV133" s="1059"/>
      <c r="AAW133" s="1059"/>
      <c r="AAX133" s="1059"/>
      <c r="AAY133" s="1059"/>
      <c r="AAZ133" s="1059"/>
      <c r="ABA133" s="963"/>
      <c r="ABB133" s="162"/>
      <c r="ABC133" s="158"/>
      <c r="ABD133" s="158"/>
      <c r="ABE133" s="158"/>
      <c r="ABF133" s="158"/>
      <c r="ABG133" s="158"/>
      <c r="ABH133" s="158"/>
      <c r="ABI133" s="158"/>
      <c r="ABJ133" s="158"/>
      <c r="ABK133" s="158"/>
      <c r="ABL133" s="158"/>
      <c r="ABM133" s="158"/>
      <c r="ABN133" s="158"/>
      <c r="ABO133" s="158"/>
      <c r="ABP133" s="163"/>
      <c r="ABT133" s="1516"/>
      <c r="ABU133" s="1517"/>
      <c r="ABV133" s="1517"/>
      <c r="ABW133" s="1517"/>
      <c r="ABX133" s="1517"/>
      <c r="ABY133" s="1517"/>
      <c r="ABZ133" s="1517"/>
      <c r="ACA133" s="1517"/>
      <c r="ACB133" s="1517"/>
      <c r="ACC133" s="1517"/>
      <c r="ACD133" s="1517"/>
      <c r="ACE133" s="1517"/>
      <c r="ACF133" s="1517"/>
      <c r="ACG133" s="1517"/>
      <c r="ACH133" s="1518"/>
      <c r="ACJ133" s="759">
        <v>1</v>
      </c>
      <c r="ACK133" s="760"/>
      <c r="ACL133" s="759">
        <v>-1.2</v>
      </c>
      <c r="ACM133" s="760"/>
      <c r="ACN133" s="592">
        <v>49</v>
      </c>
      <c r="ACO133" s="759">
        <f t="shared" si="91"/>
        <v>0.29000000000000004</v>
      </c>
      <c r="ACP133" s="760"/>
      <c r="ACQ133" s="757">
        <f t="shared" si="159"/>
        <v>1.49</v>
      </c>
      <c r="ACR133" s="758"/>
      <c r="ACT133" s="759">
        <v>1.5454545454545501</v>
      </c>
      <c r="ACU133" s="760"/>
      <c r="ACV133" s="759">
        <v>-2.1818181818181799</v>
      </c>
      <c r="ACW133" s="760"/>
      <c r="ACX133" s="591">
        <v>99</v>
      </c>
      <c r="ACY133" s="759">
        <f t="shared" si="92"/>
        <v>0.89363636363637466</v>
      </c>
      <c r="ACZ133" s="760"/>
      <c r="ADA133" s="757">
        <f t="shared" si="160"/>
        <v>1.99</v>
      </c>
      <c r="ADB133" s="758"/>
      <c r="ADD133" s="759">
        <v>1.5454545454545501</v>
      </c>
      <c r="ADE133" s="760"/>
      <c r="ADF133" s="759">
        <v>-2.1818181818181799</v>
      </c>
      <c r="ADG133" s="760"/>
      <c r="ADH133" s="591">
        <v>148</v>
      </c>
      <c r="ADI133" s="759">
        <f t="shared" si="93"/>
        <v>1.6509090909091042</v>
      </c>
      <c r="ADJ133" s="760"/>
      <c r="ADK133" s="757">
        <f t="shared" si="161"/>
        <v>2.48</v>
      </c>
      <c r="ADL133" s="758"/>
      <c r="ADN133" s="759">
        <v>1.5454545454545501</v>
      </c>
      <c r="ADO133" s="760"/>
      <c r="ADP133" s="759">
        <v>-2.1818181818181799</v>
      </c>
      <c r="ADQ133" s="760"/>
      <c r="ADR133" s="591">
        <v>198</v>
      </c>
      <c r="ADS133" s="759">
        <f t="shared" si="94"/>
        <v>2.4236363636363789</v>
      </c>
      <c r="ADT133" s="760"/>
      <c r="ADU133" s="757">
        <f t="shared" si="162"/>
        <v>2.98</v>
      </c>
      <c r="ADV133" s="758"/>
      <c r="ADX133" s="759">
        <v>1.5454545454545501</v>
      </c>
      <c r="ADY133" s="760"/>
      <c r="ADZ133" s="759">
        <v>-2.1818181818181799</v>
      </c>
      <c r="AEA133" s="760"/>
      <c r="AEB133" s="591">
        <v>248</v>
      </c>
      <c r="AEC133" s="759">
        <f t="shared" si="134"/>
        <v>3.1963636363636541</v>
      </c>
      <c r="AED133" s="760"/>
      <c r="AEE133" s="757">
        <f t="shared" si="163"/>
        <v>3.48</v>
      </c>
      <c r="AEF133" s="758"/>
      <c r="AEH133" s="759">
        <v>1.5454545454545501</v>
      </c>
      <c r="AEI133" s="760"/>
      <c r="AEJ133" s="759">
        <v>-2.1818181818181799</v>
      </c>
      <c r="AEK133" s="760"/>
      <c r="AEL133" s="591">
        <v>298</v>
      </c>
      <c r="AEM133" s="759">
        <f t="shared" si="101"/>
        <v>3.9690909090909292</v>
      </c>
      <c r="AEN133" s="760"/>
      <c r="AEO133" s="757">
        <f t="shared" si="164"/>
        <v>3.98</v>
      </c>
      <c r="AEP133" s="758"/>
      <c r="AEY133" s="1069">
        <v>0</v>
      </c>
      <c r="AEZ133" s="1071"/>
      <c r="AFA133" s="1069">
        <v>1</v>
      </c>
      <c r="AFB133" s="1071"/>
      <c r="AFC133" s="856">
        <f>(AFA134-AFA133)/(AEY134-AEY133)</f>
        <v>-3.1250000000000028E-2</v>
      </c>
      <c r="AFD133" s="856"/>
      <c r="AFE133" s="856">
        <f>AFA133-AFC133*AEY133</f>
        <v>1</v>
      </c>
      <c r="AFF133" s="856"/>
      <c r="AGL133" s="850"/>
      <c r="AGM133" s="800" t="s">
        <v>1468</v>
      </c>
      <c r="AGN133" s="982"/>
      <c r="AGO133" s="801"/>
      <c r="AGP133" s="951">
        <f>$AGZ$126</f>
        <v>17.205099098916754</v>
      </c>
      <c r="AGQ133" s="952"/>
      <c r="AGR133" s="824"/>
      <c r="AGS133" s="824"/>
      <c r="AGT133" s="824"/>
      <c r="AGU133" s="824"/>
      <c r="AGV133" s="824"/>
      <c r="AGW133" s="824"/>
      <c r="AGX133" s="824"/>
      <c r="AGY133" s="1049"/>
      <c r="AGZ133" s="837"/>
      <c r="AHA133" s="838"/>
      <c r="AHB133" s="1169"/>
      <c r="AHC133" s="799"/>
      <c r="AHD133" s="1249"/>
      <c r="AHE133" s="845"/>
      <c r="AHF133" s="1328"/>
      <c r="AHG133" s="1290"/>
      <c r="AHH133" s="1052"/>
      <c r="AHI133" s="1052"/>
      <c r="AHJ133" s="1052"/>
      <c r="AHK133" s="1052"/>
      <c r="AHL133" s="1052"/>
      <c r="AHM133" s="1052"/>
      <c r="AHR133" s="130"/>
      <c r="AQO133" s="850"/>
      <c r="AQP133" s="856"/>
      <c r="AQQ133" s="856"/>
      <c r="AQR133" s="856"/>
      <c r="AQS133" s="856"/>
      <c r="AQT133" s="856"/>
      <c r="AQU133" s="856"/>
      <c r="AQV133" s="856"/>
      <c r="AQW133" s="856"/>
      <c r="AQX133" s="856"/>
      <c r="AQY133" s="856"/>
      <c r="AQZ133" s="856"/>
      <c r="ARA133" s="856"/>
      <c r="ARB133" s="856"/>
      <c r="ARC133" s="835"/>
      <c r="ARD133" s="836"/>
      <c r="ARE133" s="839"/>
      <c r="ARF133" s="840"/>
      <c r="ARG133" s="841"/>
      <c r="ARH133" s="843"/>
      <c r="ARI133" s="844"/>
      <c r="ARJ133" s="847"/>
      <c r="ARU133" s="377"/>
      <c r="ARV133" s="373"/>
      <c r="ARW133" s="373"/>
      <c r="ARX133" s="373"/>
      <c r="ARY133" s="373"/>
      <c r="ARZ133" s="849"/>
      <c r="ASA133" s="852" t="s">
        <v>416</v>
      </c>
      <c r="ASB133" s="853"/>
      <c r="ASC133" s="687"/>
      <c r="ASD133" s="78"/>
      <c r="ASE133" s="78"/>
      <c r="ASF133" s="78"/>
      <c r="ASG133" s="78"/>
      <c r="ASH133" s="78"/>
      <c r="ASI133" s="78"/>
      <c r="ASJ133" s="687"/>
      <c r="ASK133" s="76" t="s">
        <v>441</v>
      </c>
      <c r="ASL133" s="854" t="s">
        <v>435</v>
      </c>
      <c r="ASM133" s="1111"/>
      <c r="ASN133" s="920" t="s">
        <v>111</v>
      </c>
      <c r="ASO133" s="921"/>
      <c r="ASP133" s="916" t="s">
        <v>704</v>
      </c>
      <c r="ASQ133" s="917"/>
      <c r="ASR133" s="906" t="s">
        <v>447</v>
      </c>
      <c r="ASS133" s="907"/>
      <c r="AST133" s="907"/>
      <c r="ASU133" s="908"/>
      <c r="ASV133" s="906" t="s">
        <v>863</v>
      </c>
      <c r="ASW133" s="907"/>
      <c r="ASX133" s="908"/>
      <c r="ASY133" s="373"/>
      <c r="ASZ133" s="373"/>
      <c r="ATA133" s="373"/>
      <c r="ATB133" s="373"/>
      <c r="ATC133" s="373"/>
      <c r="ATD133" s="373"/>
      <c r="ATE133" s="373"/>
      <c r="ATF133" s="374"/>
    </row>
    <row r="134" spans="43:908 1133:1230" ht="48" customHeight="1" thickBot="1">
      <c r="AQ134" s="900"/>
      <c r="AR134" s="901"/>
      <c r="AS134" s="902"/>
      <c r="AT134" s="850"/>
      <c r="AU134" s="810" t="s">
        <v>42</v>
      </c>
      <c r="AV134" s="770"/>
      <c r="AW134" s="770"/>
      <c r="AX134" s="770"/>
      <c r="AY134" s="770"/>
      <c r="AZ134" s="770"/>
      <c r="BA134" s="770"/>
      <c r="BB134" s="770"/>
      <c r="BC134" s="770"/>
      <c r="BD134" s="770"/>
      <c r="BE134" s="770"/>
      <c r="BF134" s="770"/>
      <c r="BG134" s="771"/>
      <c r="BH134" s="1095">
        <f>180*10^9</f>
        <v>180000000000</v>
      </c>
      <c r="BI134" s="1096"/>
      <c r="BJ134" s="1097"/>
      <c r="BK134" s="1075" t="s">
        <v>756</v>
      </c>
      <c r="BL134" s="1076"/>
      <c r="BM134" s="841"/>
      <c r="BN134" s="1603" t="s">
        <v>1173</v>
      </c>
      <c r="BO134" s="1172"/>
      <c r="BP134" s="847"/>
      <c r="HI134" s="130"/>
      <c r="HJ134" s="130"/>
      <c r="HX134" s="130"/>
      <c r="HY134" s="130"/>
      <c r="HZ134" s="130"/>
      <c r="IA134" s="130"/>
      <c r="IB134" s="130"/>
      <c r="IC134" s="130"/>
      <c r="ID134" s="130"/>
      <c r="IE134" s="130"/>
      <c r="IF134" s="130"/>
      <c r="IG134" s="130"/>
      <c r="IH134" s="130"/>
      <c r="II134" s="130"/>
      <c r="IJ134" s="130"/>
      <c r="IK134" s="130"/>
      <c r="IL134" s="130"/>
      <c r="IM134" s="130"/>
      <c r="LP134" s="130"/>
      <c r="LQ134" s="130"/>
      <c r="LR134" s="130"/>
      <c r="LS134" s="130"/>
      <c r="LT134" s="130"/>
      <c r="MW134" s="130"/>
      <c r="MX134" s="130"/>
      <c r="MY134" s="130"/>
      <c r="MZ134" s="130"/>
      <c r="NB134" s="130"/>
      <c r="NC134" s="130"/>
      <c r="ND134" s="130"/>
      <c r="NE134" s="130"/>
      <c r="NF134" s="130"/>
      <c r="NG134" s="130"/>
      <c r="NH134" s="130"/>
      <c r="NI134" s="130"/>
      <c r="NJ134" s="130"/>
      <c r="NK134" s="130"/>
      <c r="OX134" s="130"/>
      <c r="OY134" s="130"/>
      <c r="OZ134" s="130"/>
      <c r="PA134" s="130"/>
      <c r="PB134" s="130"/>
      <c r="PC134" s="130"/>
      <c r="PD134" s="130"/>
      <c r="PE134" s="130"/>
      <c r="PF134" s="130"/>
      <c r="PG134" s="377"/>
      <c r="PH134" s="373"/>
      <c r="PI134" s="373"/>
      <c r="PJ134" s="373"/>
      <c r="PK134" s="373"/>
      <c r="PL134" s="197" t="s">
        <v>849</v>
      </c>
      <c r="PM134" s="1257" t="s">
        <v>416</v>
      </c>
      <c r="PN134" s="1257"/>
      <c r="PO134" s="486"/>
      <c r="PP134" s="800" t="s">
        <v>1681</v>
      </c>
      <c r="PQ134" s="982"/>
      <c r="PR134" s="761">
        <f>PZ141</f>
        <v>6</v>
      </c>
      <c r="PS134" s="761"/>
      <c r="PT134" s="477" t="s">
        <v>441</v>
      </c>
      <c r="PU134" s="1791" t="s">
        <v>435</v>
      </c>
      <c r="PV134" s="1792"/>
      <c r="PW134" s="1374" t="s">
        <v>111</v>
      </c>
      <c r="PX134" s="1375"/>
      <c r="PY134" s="1376" t="s">
        <v>704</v>
      </c>
      <c r="PZ134" s="1377"/>
      <c r="QA134" s="1460" t="s">
        <v>447</v>
      </c>
      <c r="QB134" s="907"/>
      <c r="QC134" s="907"/>
      <c r="QD134" s="908"/>
      <c r="QE134" s="1051" t="s">
        <v>436</v>
      </c>
      <c r="QF134" s="1051"/>
      <c r="QG134" s="1051"/>
      <c r="QH134" s="1051"/>
      <c r="QI134" s="1051"/>
      <c r="QJ134" s="1051"/>
      <c r="QK134" s="1051"/>
      <c r="QL134" s="1051"/>
      <c r="QM134" s="1051"/>
      <c r="QN134" s="373"/>
      <c r="QO134" s="373"/>
      <c r="QP134" s="373"/>
      <c r="QQ134" s="373"/>
      <c r="QR134" s="382" t="s">
        <v>798</v>
      </c>
      <c r="VD134" s="1026"/>
      <c r="VE134" s="1027"/>
      <c r="VF134" s="1027"/>
      <c r="VG134" s="1027"/>
      <c r="VH134" s="1027"/>
      <c r="VI134" s="1027"/>
      <c r="VJ134" s="1027"/>
      <c r="VK134" s="1027"/>
      <c r="VL134" s="1027"/>
      <c r="VM134" s="1027"/>
      <c r="VN134" s="1027"/>
      <c r="VO134" s="1027"/>
      <c r="VP134" s="1027"/>
      <c r="VQ134" s="1027"/>
      <c r="VR134" s="1027"/>
      <c r="VS134" s="1027"/>
      <c r="VT134" s="1027"/>
      <c r="VU134" s="1027"/>
      <c r="VV134" s="1027"/>
      <c r="VW134" s="1027"/>
      <c r="VX134" s="1027"/>
      <c r="VY134" s="1027"/>
      <c r="VZ134" s="1028"/>
      <c r="WE134" s="752">
        <v>14</v>
      </c>
      <c r="WF134" s="753"/>
      <c r="WG134" s="861" t="s">
        <v>1455</v>
      </c>
      <c r="WH134" s="861"/>
      <c r="WI134" s="861"/>
      <c r="WJ134" s="861"/>
      <c r="WK134" s="1156">
        <f>$MP$23</f>
        <v>0.14308700299628158</v>
      </c>
      <c r="WL134" s="1156"/>
      <c r="WM134" s="167"/>
      <c r="WN134" s="168"/>
      <c r="WO134" s="168"/>
      <c r="WP134" s="168"/>
      <c r="WQ134" s="168"/>
      <c r="WR134" s="168"/>
      <c r="WS134" s="168"/>
      <c r="WT134" s="168"/>
      <c r="WU134" s="168"/>
      <c r="WV134" s="168"/>
      <c r="WW134" s="168"/>
      <c r="WX134" s="168"/>
      <c r="WY134" s="171"/>
      <c r="WZ134" s="1004" t="s">
        <v>392</v>
      </c>
      <c r="XA134" s="1004"/>
      <c r="XB134" s="167"/>
      <c r="XC134" s="168"/>
      <c r="XD134" s="168"/>
      <c r="XE134" s="168"/>
      <c r="XF134" s="171"/>
      <c r="XG134" s="1009">
        <f t="shared" ref="XG134:YL134" si="177">$WK$134 + $WK$135 *(XG107/XG79)</f>
        <v>16.1002574447289</v>
      </c>
      <c r="XH134" s="1009">
        <f>$WK$134 + $WK$135 *(XH107/XH79)</f>
        <v>8.1216722238625909</v>
      </c>
      <c r="XI134" s="1009">
        <f>$WK$134 + $WK$135 *(XI107/XI79)</f>
        <v>5.4621438169071554</v>
      </c>
      <c r="XJ134" s="1009">
        <f>$WK$134 + $WK$135 *(XJ107/XJ79)</f>
        <v>4.1323796134294364</v>
      </c>
      <c r="XK134" s="1009">
        <f>$WK$134 + $WK$135 *(XK107/XK79)</f>
        <v>3.3345210913428049</v>
      </c>
      <c r="XL134" s="1009">
        <f>$WK$134 + $WK$135 *(XL107/XL79)</f>
        <v>2.8026154099517182</v>
      </c>
      <c r="XM134" s="1009">
        <f t="shared" si="177"/>
        <v>2.4226827803866553</v>
      </c>
      <c r="XN134" s="1009">
        <f t="shared" si="177"/>
        <v>2.1377333082128587</v>
      </c>
      <c r="XO134" s="1009">
        <f t="shared" si="177"/>
        <v>1.9089630983142212</v>
      </c>
      <c r="XP134" s="1009">
        <f t="shared" si="177"/>
        <v>1.7165651131667812</v>
      </c>
      <c r="XQ134" s="1009">
        <f t="shared" si="177"/>
        <v>1.5650567721765036</v>
      </c>
      <c r="XR134" s="1009">
        <f t="shared" si="177"/>
        <v>1.4214516968472819</v>
      </c>
      <c r="XS134" s="1009">
        <f t="shared" si="177"/>
        <v>1.3009606898159827</v>
      </c>
      <c r="XT134" s="1009">
        <f t="shared" si="177"/>
        <v>1.2304888609597424</v>
      </c>
      <c r="XU134" s="1009">
        <f t="shared" si="177"/>
        <v>1.1282039441430669</v>
      </c>
      <c r="XV134" s="1009">
        <f t="shared" si="177"/>
        <v>1.0343190189990092</v>
      </c>
      <c r="XW134" s="1009">
        <f t="shared" si="177"/>
        <v>0.95931408407391938</v>
      </c>
      <c r="XX134" s="1009">
        <f t="shared" si="177"/>
        <v>0.89396551789666057</v>
      </c>
      <c r="XY134" s="1009">
        <f t="shared" si="177"/>
        <v>0.83663558863434218</v>
      </c>
      <c r="XZ134" s="1009">
        <f t="shared" si="177"/>
        <v>0.78602665271017891</v>
      </c>
      <c r="YA134" s="1009">
        <f t="shared" si="177"/>
        <v>0.77998587190222413</v>
      </c>
      <c r="YB134" s="1009">
        <f t="shared" si="177"/>
        <v>0.72821754845754438</v>
      </c>
      <c r="YC134" s="1009">
        <f t="shared" si="177"/>
        <v>0.6828378958753083</v>
      </c>
      <c r="YD134" s="1009">
        <f t="shared" si="177"/>
        <v>0.64706711764135094</v>
      </c>
      <c r="YE134" s="1009">
        <f t="shared" si="177"/>
        <v>0.6111036493710833</v>
      </c>
      <c r="YF134" s="1009">
        <f t="shared" si="177"/>
        <v>0.5824838328782278</v>
      </c>
      <c r="YG134" s="1009">
        <f t="shared" si="177"/>
        <v>0.55347129507632586</v>
      </c>
      <c r="YH134" s="1009">
        <f t="shared" si="177"/>
        <v>0.53019077246025759</v>
      </c>
      <c r="YI134" s="1009">
        <f t="shared" si="177"/>
        <v>0.50895977044422891</v>
      </c>
      <c r="YJ134" s="1009">
        <f t="shared" si="177"/>
        <v>0.487214526350777</v>
      </c>
      <c r="YK134" s="1009">
        <f t="shared" si="177"/>
        <v>0.4695884652120168</v>
      </c>
      <c r="YL134" s="1009">
        <f t="shared" si="177"/>
        <v>0.45337357138966711</v>
      </c>
      <c r="YM134" s="1009">
        <f t="shared" ref="YM134:ZR134" si="178">$WK$134 + $WK$135 *(YM107/YM79)</f>
        <v>0.43842003667560653</v>
      </c>
      <c r="YN134" s="1009">
        <f t="shared" si="178"/>
        <v>0.42459762747738738</v>
      </c>
      <c r="YO134" s="1009">
        <f t="shared" si="178"/>
        <v>0.41179267240130674</v>
      </c>
      <c r="YP134" s="1009">
        <f t="shared" si="178"/>
        <v>0.3999055800085391</v>
      </c>
      <c r="YQ134" s="1009">
        <f t="shared" si="178"/>
        <v>0.38884878226603281</v>
      </c>
      <c r="YR134" s="1009">
        <f t="shared" si="178"/>
        <v>0.37854502190360928</v>
      </c>
      <c r="YS134" s="1009">
        <f t="shared" si="178"/>
        <v>0.36892591921508089</v>
      </c>
      <c r="YT134" s="1009">
        <f t="shared" si="178"/>
        <v>0.36103181770934634</v>
      </c>
      <c r="YU134" s="1009">
        <f t="shared" si="178"/>
        <v>0.3525368968281174</v>
      </c>
      <c r="YV134" s="1009">
        <f t="shared" si="178"/>
        <v>0.34456938296778339</v>
      </c>
      <c r="YW134" s="1009">
        <f t="shared" si="178"/>
        <v>0.3370854896316039</v>
      </c>
      <c r="YX134" s="1009">
        <f t="shared" si="178"/>
        <v>0.33091156182102788</v>
      </c>
      <c r="YY134" s="1009">
        <f t="shared" si="178"/>
        <v>0.32423033338281482</v>
      </c>
      <c r="YZ134" s="1009">
        <f t="shared" si="178"/>
        <v>0.31870782408780174</v>
      </c>
      <c r="ZA134" s="1009">
        <f t="shared" si="178"/>
        <v>0.31271556423539326</v>
      </c>
      <c r="ZB134" s="1009">
        <f t="shared" si="178"/>
        <v>0.30705208395125216</v>
      </c>
      <c r="ZC134" s="1009">
        <f t="shared" si="178"/>
        <v>0.30235614732272897</v>
      </c>
      <c r="ZD134" s="1009">
        <f t="shared" si="178"/>
        <v>0.29724418962040816</v>
      </c>
      <c r="ZE134" s="1009">
        <f t="shared" si="178"/>
        <v>0.29299837458739292</v>
      </c>
      <c r="ZF134" s="1009">
        <f t="shared" si="178"/>
        <v>0.28894304208373994</v>
      </c>
      <c r="ZG134" s="1009">
        <f t="shared" si="178"/>
        <v>0.28451364563465037</v>
      </c>
      <c r="ZH134" s="1009">
        <f t="shared" si="178"/>
        <v>0.28082730929735406</v>
      </c>
      <c r="ZI134" s="1009">
        <f t="shared" si="178"/>
        <v>0.27679365381015608</v>
      </c>
      <c r="ZJ134" s="1009">
        <f t="shared" si="178"/>
        <v>0.2734315574112689</v>
      </c>
      <c r="ZK134" s="1009">
        <f t="shared" si="178"/>
        <v>0.27020774192624153</v>
      </c>
      <c r="ZL134" s="1009">
        <f t="shared" si="178"/>
        <v>0.26667069774738117</v>
      </c>
      <c r="ZM134" s="1009">
        <f t="shared" si="178"/>
        <v>0.2637171672484046</v>
      </c>
      <c r="ZN134" s="1009">
        <f t="shared" si="178"/>
        <v>0.26087936550933594</v>
      </c>
      <c r="ZO134" s="1009">
        <f t="shared" si="178"/>
        <v>0.25815108474003756</v>
      </c>
      <c r="ZP134" s="1009">
        <f t="shared" si="178"/>
        <v>0.25514795063565843</v>
      </c>
      <c r="ZQ134" s="1009">
        <f t="shared" si="178"/>
        <v>0.25263508706742366</v>
      </c>
      <c r="ZR134" s="1009">
        <f t="shared" si="178"/>
        <v>0.25021488337273445</v>
      </c>
      <c r="ZS134" s="1009">
        <f t="shared" ref="ZS134:AAS134" si="179">$WK$134 + $WK$135 *(ZS107/ZS79)</f>
        <v>0.24788265867638698</v>
      </c>
      <c r="ZT134" s="1009">
        <f t="shared" si="179"/>
        <v>0.24563403106680004</v>
      </c>
      <c r="ZU134" s="1009">
        <f t="shared" si="179"/>
        <v>0.24315013098507143</v>
      </c>
      <c r="ZV134" s="1009">
        <f t="shared" si="179"/>
        <v>0.2410670595074591</v>
      </c>
      <c r="ZW134" s="1009">
        <f t="shared" si="179"/>
        <v>0.23905555224096156</v>
      </c>
      <c r="ZX134" s="1009">
        <f t="shared" si="179"/>
        <v>0.23711223803633011</v>
      </c>
      <c r="ZY134" s="1009">
        <f t="shared" si="179"/>
        <v>0.23523394659443878</v>
      </c>
      <c r="ZZ134" s="1009">
        <f t="shared" si="179"/>
        <v>0.23341769403199164</v>
      </c>
      <c r="AAA134" s="1009">
        <f t="shared" si="179"/>
        <v>0.23166066965936302</v>
      </c>
      <c r="AAB134" s="1009">
        <f t="shared" si="179"/>
        <v>0.2299602238543324</v>
      </c>
      <c r="AAC134" s="1009">
        <f t="shared" si="179"/>
        <v>0.22831385692798337</v>
      </c>
      <c r="AAD134" s="1009">
        <f t="shared" si="179"/>
        <v>0.22671920889005615</v>
      </c>
      <c r="AAE134" s="1009">
        <f t="shared" si="179"/>
        <v>0.22517405003076374</v>
      </c>
      <c r="AAF134" s="1009">
        <f t="shared" si="179"/>
        <v>0.22367627224467829</v>
      </c>
      <c r="AAG134" s="1009">
        <f t="shared" si="179"/>
        <v>0.22222388102990134</v>
      </c>
      <c r="AAH134" s="1009">
        <f t="shared" si="179"/>
        <v>0.22081498810248024</v>
      </c>
      <c r="AAI134" s="1009">
        <f t="shared" si="179"/>
        <v>0.21944780457202423</v>
      </c>
      <c r="AAJ134" s="1009">
        <f t="shared" si="179"/>
        <v>0.21812063462980513</v>
      </c>
      <c r="AAK134" s="1009">
        <f t="shared" si="179"/>
        <v>0.21683186970537377</v>
      </c>
      <c r="AAL134" s="1009">
        <f t="shared" si="179"/>
        <v>0.2155799830519613</v>
      </c>
      <c r="AAM134" s="1009">
        <f t="shared" si="179"/>
        <v>0.2143635247247152</v>
      </c>
      <c r="AAN134" s="1009">
        <f t="shared" si="179"/>
        <v>0.21318111691920652</v>
      </c>
      <c r="AAO134" s="1009">
        <f t="shared" si="179"/>
        <v>0.21203144964067488</v>
      </c>
      <c r="AAP134" s="1009">
        <f t="shared" si="179"/>
        <v>0.210913276677198</v>
      </c>
      <c r="AAQ134" s="1009">
        <f t="shared" si="179"/>
        <v>0.20998765783410406</v>
      </c>
      <c r="AAR134" s="1009">
        <f t="shared" si="179"/>
        <v>0.20892468160372102</v>
      </c>
      <c r="AAS134" s="1009">
        <f t="shared" si="179"/>
        <v>0.20788995858581977</v>
      </c>
      <c r="AAT134" s="1005">
        <v>14</v>
      </c>
      <c r="AAU134" s="981"/>
      <c r="AAV134" s="981"/>
      <c r="AAW134" s="981"/>
      <c r="AAX134" s="981"/>
      <c r="AAY134" s="981"/>
      <c r="AAZ134" s="981"/>
      <c r="ABA134" s="981"/>
      <c r="ABB134" s="981"/>
      <c r="ABC134" s="162"/>
      <c r="ABD134" s="158"/>
      <c r="ABE134" s="158"/>
      <c r="ABF134" s="158"/>
      <c r="ABG134" s="158"/>
      <c r="ABH134" s="158"/>
      <c r="ABI134" s="158"/>
      <c r="ABJ134" s="158"/>
      <c r="ABK134" s="158"/>
      <c r="ABL134" s="158"/>
      <c r="ABM134" s="158"/>
      <c r="ABN134" s="158"/>
      <c r="ABO134" s="158"/>
      <c r="ABP134" s="163"/>
      <c r="ABT134" s="1516"/>
      <c r="ABU134" s="1517"/>
      <c r="ABV134" s="1517"/>
      <c r="ABW134" s="1517"/>
      <c r="ABX134" s="1517"/>
      <c r="ABY134" s="1517"/>
      <c r="ABZ134" s="1517"/>
      <c r="ACA134" s="1517"/>
      <c r="ACB134" s="1517"/>
      <c r="ACC134" s="1517"/>
      <c r="ACD134" s="1517"/>
      <c r="ACE134" s="1517"/>
      <c r="ACF134" s="1517"/>
      <c r="ACG134" s="1517"/>
      <c r="ACH134" s="1518"/>
      <c r="ACJ134" s="759">
        <v>1</v>
      </c>
      <c r="ACK134" s="760"/>
      <c r="ACL134" s="759">
        <v>-1.2</v>
      </c>
      <c r="ACM134" s="760"/>
      <c r="ACN134" s="592">
        <v>50</v>
      </c>
      <c r="ACO134" s="759">
        <f t="shared" si="91"/>
        <v>0.30000000000000004</v>
      </c>
      <c r="ACP134" s="760"/>
      <c r="ACQ134" s="757">
        <f t="shared" si="159"/>
        <v>1.5</v>
      </c>
      <c r="ACR134" s="758"/>
      <c r="ACT134" s="759">
        <v>1.5454545454545501</v>
      </c>
      <c r="ACU134" s="760"/>
      <c r="ACV134" s="759">
        <v>-2.1818181818181799</v>
      </c>
      <c r="ACW134" s="760"/>
      <c r="ACX134" s="591">
        <v>100</v>
      </c>
      <c r="ACY134" s="759">
        <f t="shared" si="92"/>
        <v>0.90909090909092027</v>
      </c>
      <c r="ACZ134" s="760"/>
      <c r="ADA134" s="757">
        <f t="shared" si="160"/>
        <v>2</v>
      </c>
      <c r="ADB134" s="758"/>
      <c r="ADD134" s="759">
        <v>1.5454545454545501</v>
      </c>
      <c r="ADE134" s="760"/>
      <c r="ADF134" s="759">
        <v>-2.1818181818181799</v>
      </c>
      <c r="ADG134" s="760"/>
      <c r="ADH134" s="591">
        <v>149</v>
      </c>
      <c r="ADI134" s="759">
        <f t="shared" si="93"/>
        <v>1.6663636363636503</v>
      </c>
      <c r="ADJ134" s="760"/>
      <c r="ADK134" s="757">
        <f t="shared" si="161"/>
        <v>2.4900000000000002</v>
      </c>
      <c r="ADL134" s="758"/>
      <c r="ADN134" s="759">
        <v>1.5454545454545501</v>
      </c>
      <c r="ADO134" s="760"/>
      <c r="ADP134" s="759">
        <v>-2.1818181818181799</v>
      </c>
      <c r="ADQ134" s="760"/>
      <c r="ADR134" s="591">
        <v>199</v>
      </c>
      <c r="ADS134" s="759">
        <f t="shared" si="94"/>
        <v>2.4390909090909254</v>
      </c>
      <c r="ADT134" s="760"/>
      <c r="ADU134" s="757">
        <f t="shared" si="162"/>
        <v>2.99</v>
      </c>
      <c r="ADV134" s="758"/>
      <c r="ADX134" s="759">
        <v>1.5454545454545501</v>
      </c>
      <c r="ADY134" s="760"/>
      <c r="ADZ134" s="759">
        <v>-2.1818181818181799</v>
      </c>
      <c r="AEA134" s="760"/>
      <c r="AEB134" s="591">
        <v>249</v>
      </c>
      <c r="AEC134" s="759">
        <f t="shared" si="134"/>
        <v>3.2118181818182006</v>
      </c>
      <c r="AED134" s="760"/>
      <c r="AEE134" s="757">
        <f t="shared" si="163"/>
        <v>3.49</v>
      </c>
      <c r="AEF134" s="758"/>
      <c r="AEH134" s="759">
        <v>1.5454545454545501</v>
      </c>
      <c r="AEI134" s="760"/>
      <c r="AEJ134" s="759">
        <v>-2.1818181818181799</v>
      </c>
      <c r="AEK134" s="760"/>
      <c r="AEL134" s="591">
        <v>299</v>
      </c>
      <c r="AEM134" s="759">
        <f t="shared" si="101"/>
        <v>3.9845454545454748</v>
      </c>
      <c r="AEN134" s="760"/>
      <c r="AEO134" s="757">
        <f t="shared" si="164"/>
        <v>3.99</v>
      </c>
      <c r="AEP134" s="758"/>
      <c r="AEY134" s="1069">
        <v>0.8</v>
      </c>
      <c r="AEZ134" s="1071"/>
      <c r="AFA134" s="1069">
        <v>0.97499999999999998</v>
      </c>
      <c r="AFB134" s="1071"/>
      <c r="AFC134" s="856">
        <f>(AFA135-AFA134)/(AEY135-AEY134)</f>
        <v>-8.3333333333333398E-2</v>
      </c>
      <c r="AFD134" s="856"/>
      <c r="AFE134" s="856">
        <f>AFA134-AFC134*AEY134</f>
        <v>1.0416666666666667</v>
      </c>
      <c r="AFF134" s="856"/>
      <c r="AGL134" s="851"/>
      <c r="AGM134" s="1319"/>
      <c r="AGN134" s="1319"/>
      <c r="AGO134" s="1319"/>
      <c r="AGP134" s="1319"/>
      <c r="AGQ134" s="1319"/>
      <c r="AGR134" s="795"/>
      <c r="AGS134" s="795"/>
      <c r="AGT134" s="795"/>
      <c r="AGU134" s="795"/>
      <c r="AGV134" s="795"/>
      <c r="AGW134" s="795"/>
      <c r="AGX134" s="795"/>
      <c r="AGY134" s="796"/>
      <c r="AGZ134" s="942"/>
      <c r="AHA134" s="943"/>
      <c r="AHB134" s="943"/>
      <c r="AHC134" s="943"/>
      <c r="AHD134" s="943"/>
      <c r="AHE134" s="943"/>
      <c r="AHF134" s="943"/>
      <c r="AHG134" s="943"/>
      <c r="AHH134" s="1053"/>
      <c r="AHI134" s="1053"/>
      <c r="AHJ134" s="1053"/>
      <c r="AHK134" s="1053"/>
      <c r="AHL134" s="1053"/>
      <c r="AHM134" s="1053"/>
      <c r="AQO134" s="851"/>
      <c r="AQP134" s="857"/>
      <c r="AQQ134" s="857"/>
      <c r="AQR134" s="857"/>
      <c r="AQS134" s="857"/>
      <c r="AQT134" s="857"/>
      <c r="AQU134" s="857"/>
      <c r="AQV134" s="857"/>
      <c r="AQW134" s="857"/>
      <c r="AQX134" s="857"/>
      <c r="AQY134" s="857"/>
      <c r="AQZ134" s="857"/>
      <c r="ARA134" s="857"/>
      <c r="ARB134" s="857"/>
      <c r="ARC134" s="837"/>
      <c r="ARD134" s="838"/>
      <c r="ARE134" s="777"/>
      <c r="ARF134" s="799"/>
      <c r="ARG134" s="842"/>
      <c r="ARH134" s="845"/>
      <c r="ARI134" s="846"/>
      <c r="ARJ134" s="848"/>
      <c r="ARU134" s="377"/>
      <c r="ARV134" s="373"/>
      <c r="ARW134" s="373"/>
      <c r="ARX134" s="373"/>
      <c r="ARY134" s="373"/>
      <c r="ARZ134" s="850"/>
      <c r="ASA134" s="809"/>
      <c r="ASB134" s="797"/>
      <c r="ASC134" s="797"/>
      <c r="ASD134" s="797"/>
      <c r="ASE134" s="797"/>
      <c r="ASF134" s="797"/>
      <c r="ASG134" s="797"/>
      <c r="ASH134" s="797"/>
      <c r="ASI134" s="797"/>
      <c r="ASJ134" s="797"/>
      <c r="ASK134" s="797"/>
      <c r="ASL134" s="797"/>
      <c r="ASM134" s="797"/>
      <c r="ASN134" s="835"/>
      <c r="ASO134" s="836"/>
      <c r="ASP134" s="1322"/>
      <c r="ASQ134" s="840"/>
      <c r="ASR134" s="1066"/>
      <c r="ASS134" s="843" t="s">
        <v>416</v>
      </c>
      <c r="AST134" s="844"/>
      <c r="ASU134" s="847"/>
      <c r="ASV134" s="1203" t="s">
        <v>862</v>
      </c>
      <c r="ASW134" s="1275"/>
      <c r="ASX134" s="1204"/>
      <c r="ASY134" s="373"/>
      <c r="ASZ134" s="373"/>
      <c r="ATA134" s="373"/>
      <c r="ATB134" s="373"/>
      <c r="ATC134" s="373"/>
      <c r="ATD134" s="373"/>
      <c r="ATE134" s="373"/>
      <c r="ATF134" s="374"/>
    </row>
    <row r="135" spans="43:908 1133:1230" ht="48" customHeight="1" thickBot="1">
      <c r="AQ135" s="903"/>
      <c r="AR135" s="904"/>
      <c r="AS135" s="905"/>
      <c r="AT135" s="851"/>
      <c r="AU135" s="811"/>
      <c r="AV135" s="772"/>
      <c r="AW135" s="772"/>
      <c r="AX135" s="772"/>
      <c r="AY135" s="772"/>
      <c r="AZ135" s="772"/>
      <c r="BA135" s="772"/>
      <c r="BB135" s="772"/>
      <c r="BC135" s="772"/>
      <c r="BD135" s="772"/>
      <c r="BE135" s="772"/>
      <c r="BF135" s="772"/>
      <c r="BG135" s="773"/>
      <c r="BH135" s="1098"/>
      <c r="BI135" s="1099"/>
      <c r="BJ135" s="1100"/>
      <c r="BK135" s="1077"/>
      <c r="BL135" s="1078"/>
      <c r="BM135" s="842"/>
      <c r="BN135" s="1173"/>
      <c r="BO135" s="1175"/>
      <c r="BP135" s="848"/>
      <c r="HX135" s="130"/>
      <c r="HY135" s="130"/>
      <c r="HZ135" s="130"/>
      <c r="IA135" s="130"/>
      <c r="IB135" s="130"/>
      <c r="IC135" s="130"/>
      <c r="ID135" s="130"/>
      <c r="IE135" s="130"/>
      <c r="IF135" s="130"/>
      <c r="IG135" s="130"/>
      <c r="IH135" s="130"/>
      <c r="II135" s="130"/>
      <c r="IJ135" s="130"/>
      <c r="IK135" s="130"/>
      <c r="IL135" s="130"/>
      <c r="IM135" s="130"/>
      <c r="LP135" s="130"/>
      <c r="LQ135" s="130"/>
      <c r="LR135" s="130"/>
      <c r="LS135" s="130"/>
      <c r="LT135" s="130"/>
      <c r="MW135" s="130"/>
      <c r="MX135" s="130"/>
      <c r="MY135" s="130"/>
      <c r="MZ135" s="130"/>
      <c r="NB135" s="130"/>
      <c r="NC135" s="130"/>
      <c r="ND135" s="130"/>
      <c r="NE135" s="130"/>
      <c r="NF135" s="130"/>
      <c r="NG135" s="130"/>
      <c r="NH135" s="130"/>
      <c r="NK135" s="130"/>
      <c r="NL135" s="130"/>
      <c r="NM135" s="130"/>
      <c r="NN135" s="130"/>
      <c r="NO135" s="130"/>
      <c r="NP135" s="130"/>
      <c r="NQ135" s="130"/>
      <c r="NR135" s="130"/>
      <c r="OX135" s="130"/>
      <c r="PB135" s="130"/>
      <c r="PC135" s="130"/>
      <c r="PE135" s="130"/>
      <c r="PF135" s="130"/>
      <c r="PG135" s="377"/>
      <c r="PH135" s="54"/>
      <c r="PI135" s="54"/>
      <c r="PJ135" s="54"/>
      <c r="PK135" s="381" t="s">
        <v>1297</v>
      </c>
      <c r="PL135" s="849"/>
      <c r="PM135" s="717" t="s">
        <v>444</v>
      </c>
      <c r="PN135" s="890">
        <f>$AP$49</f>
        <v>0.21284000000000003</v>
      </c>
      <c r="PO135" s="890"/>
      <c r="PP135" s="791" t="s">
        <v>1778</v>
      </c>
      <c r="PQ135" s="792"/>
      <c r="PR135" s="792"/>
      <c r="PS135" s="792"/>
      <c r="PT135" s="792"/>
      <c r="PU135" s="792"/>
      <c r="PV135" s="793"/>
      <c r="PW135" s="1378">
        <f>PZ141*((AP6/1000)^2)*((10*AP49)^3)</f>
        <v>130.16478916310399</v>
      </c>
      <c r="PX135" s="1379"/>
      <c r="PY135" s="1075" t="s">
        <v>3</v>
      </c>
      <c r="PZ135" s="1076"/>
      <c r="QA135" s="841"/>
      <c r="QB135" s="1170" t="s">
        <v>1534</v>
      </c>
      <c r="QC135" s="1172"/>
      <c r="QD135" s="847"/>
      <c r="QE135" s="1052"/>
      <c r="QF135" s="1052"/>
      <c r="QG135" s="1052"/>
      <c r="QH135" s="1052"/>
      <c r="QI135" s="1052"/>
      <c r="QJ135" s="1052"/>
      <c r="QK135" s="1052"/>
      <c r="QL135" s="1052"/>
      <c r="QM135" s="1052"/>
      <c r="QN135" s="381" t="s">
        <v>1297</v>
      </c>
      <c r="QO135" s="54"/>
      <c r="QP135" s="373"/>
      <c r="QQ135" s="373"/>
      <c r="QR135" s="382" t="s">
        <v>1583</v>
      </c>
      <c r="QV135" s="130"/>
      <c r="QW135" s="130"/>
      <c r="QX135" s="130"/>
      <c r="VD135" s="1026"/>
      <c r="VE135" s="1027"/>
      <c r="VF135" s="1027"/>
      <c r="VG135" s="1027"/>
      <c r="VH135" s="1027"/>
      <c r="VI135" s="1027"/>
      <c r="VJ135" s="1027"/>
      <c r="VK135" s="1027"/>
      <c r="VL135" s="1027"/>
      <c r="VM135" s="1027"/>
      <c r="VN135" s="1027"/>
      <c r="VO135" s="1027"/>
      <c r="VP135" s="1027"/>
      <c r="VQ135" s="1027"/>
      <c r="VR135" s="1027"/>
      <c r="VS135" s="1027"/>
      <c r="VT135" s="1027"/>
      <c r="VU135" s="1027"/>
      <c r="VV135" s="1027"/>
      <c r="VW135" s="1027"/>
      <c r="VX135" s="1027"/>
      <c r="VY135" s="1027"/>
      <c r="VZ135" s="1028"/>
      <c r="WE135" s="996"/>
      <c r="WF135" s="997"/>
      <c r="WG135" s="800" t="s">
        <v>1467</v>
      </c>
      <c r="WH135" s="982"/>
      <c r="WI135" s="982"/>
      <c r="WJ135" s="801"/>
      <c r="WK135" s="1480">
        <f>$AGZ$132</f>
        <v>1.0226437183712982</v>
      </c>
      <c r="WL135" s="1481"/>
      <c r="WM135" s="175"/>
      <c r="WN135" s="173"/>
      <c r="WO135" s="173"/>
      <c r="WP135" s="173"/>
      <c r="WQ135" s="173"/>
      <c r="WR135" s="173"/>
      <c r="WS135" s="173"/>
      <c r="WT135" s="173"/>
      <c r="WU135" s="173"/>
      <c r="WV135" s="173"/>
      <c r="WW135" s="173"/>
      <c r="WX135" s="173"/>
      <c r="WY135" s="174"/>
      <c r="WZ135" s="1004"/>
      <c r="XA135" s="1004"/>
      <c r="XB135" s="175"/>
      <c r="XC135" s="173"/>
      <c r="XD135" s="173"/>
      <c r="XE135" s="173"/>
      <c r="XF135" s="174"/>
      <c r="XG135" s="1010"/>
      <c r="XH135" s="1010"/>
      <c r="XI135" s="1010"/>
      <c r="XJ135" s="1010"/>
      <c r="XK135" s="1010"/>
      <c r="XL135" s="1010"/>
      <c r="XM135" s="1010"/>
      <c r="XN135" s="1010"/>
      <c r="XO135" s="1010"/>
      <c r="XP135" s="1010"/>
      <c r="XQ135" s="1010"/>
      <c r="XR135" s="1010"/>
      <c r="XS135" s="1010"/>
      <c r="XT135" s="1010"/>
      <c r="XU135" s="1010"/>
      <c r="XV135" s="1010"/>
      <c r="XW135" s="1010"/>
      <c r="XX135" s="1010"/>
      <c r="XY135" s="1010"/>
      <c r="XZ135" s="1010"/>
      <c r="YA135" s="1010"/>
      <c r="YB135" s="1010"/>
      <c r="YC135" s="1010"/>
      <c r="YD135" s="1010"/>
      <c r="YE135" s="1010"/>
      <c r="YF135" s="1010"/>
      <c r="YG135" s="1010"/>
      <c r="YH135" s="1010"/>
      <c r="YI135" s="1010"/>
      <c r="YJ135" s="1010"/>
      <c r="YK135" s="1010"/>
      <c r="YL135" s="1010"/>
      <c r="YM135" s="1010"/>
      <c r="YN135" s="1010"/>
      <c r="YO135" s="1010"/>
      <c r="YP135" s="1010"/>
      <c r="YQ135" s="1010"/>
      <c r="YR135" s="1010"/>
      <c r="YS135" s="1010"/>
      <c r="YT135" s="1010"/>
      <c r="YU135" s="1010"/>
      <c r="YV135" s="1010"/>
      <c r="YW135" s="1010"/>
      <c r="YX135" s="1010"/>
      <c r="YY135" s="1010"/>
      <c r="YZ135" s="1010"/>
      <c r="ZA135" s="1010"/>
      <c r="ZB135" s="1010"/>
      <c r="ZC135" s="1010"/>
      <c r="ZD135" s="1010"/>
      <c r="ZE135" s="1010"/>
      <c r="ZF135" s="1010"/>
      <c r="ZG135" s="1010"/>
      <c r="ZH135" s="1010"/>
      <c r="ZI135" s="1010"/>
      <c r="ZJ135" s="1010"/>
      <c r="ZK135" s="1010"/>
      <c r="ZL135" s="1010"/>
      <c r="ZM135" s="1010"/>
      <c r="ZN135" s="1010"/>
      <c r="ZO135" s="1010"/>
      <c r="ZP135" s="1010"/>
      <c r="ZQ135" s="1010"/>
      <c r="ZR135" s="1010"/>
      <c r="ZS135" s="1010"/>
      <c r="ZT135" s="1010"/>
      <c r="ZU135" s="1010"/>
      <c r="ZV135" s="1010"/>
      <c r="ZW135" s="1010"/>
      <c r="ZX135" s="1010"/>
      <c r="ZY135" s="1010"/>
      <c r="ZZ135" s="1010"/>
      <c r="AAA135" s="1010"/>
      <c r="AAB135" s="1010"/>
      <c r="AAC135" s="1010"/>
      <c r="AAD135" s="1010"/>
      <c r="AAE135" s="1010"/>
      <c r="AAF135" s="1010"/>
      <c r="AAG135" s="1010"/>
      <c r="AAH135" s="1010"/>
      <c r="AAI135" s="1010"/>
      <c r="AAJ135" s="1010"/>
      <c r="AAK135" s="1010"/>
      <c r="AAL135" s="1010"/>
      <c r="AAM135" s="1010"/>
      <c r="AAN135" s="1010"/>
      <c r="AAO135" s="1010"/>
      <c r="AAP135" s="1010"/>
      <c r="AAQ135" s="1010"/>
      <c r="AAR135" s="1010"/>
      <c r="AAS135" s="1010"/>
      <c r="AAT135" s="1006"/>
      <c r="AAU135" s="981"/>
      <c r="AAV135" s="981"/>
      <c r="AAW135" s="981"/>
      <c r="AAX135" s="981"/>
      <c r="AAY135" s="981"/>
      <c r="AAZ135" s="981"/>
      <c r="ABA135" s="981"/>
      <c r="ABB135" s="981"/>
      <c r="ABC135" s="162"/>
      <c r="ABD135" s="158"/>
      <c r="ABE135" s="158"/>
      <c r="ABF135" s="158"/>
      <c r="ABG135" s="158"/>
      <c r="ABH135" s="158"/>
      <c r="ABI135" s="158"/>
      <c r="ABJ135" s="158"/>
      <c r="ABK135" s="158"/>
      <c r="ABL135" s="158"/>
      <c r="ABM135" s="158"/>
      <c r="ABN135" s="158"/>
      <c r="ABO135" s="158"/>
      <c r="ABP135" s="163"/>
      <c r="ABT135" s="1516"/>
      <c r="ABU135" s="1517"/>
      <c r="ABV135" s="1517"/>
      <c r="ABW135" s="1517"/>
      <c r="ABX135" s="1517"/>
      <c r="ABY135" s="1517"/>
      <c r="ABZ135" s="1517"/>
      <c r="ACA135" s="1517"/>
      <c r="ACB135" s="1517"/>
      <c r="ACC135" s="1517"/>
      <c r="ACD135" s="1517"/>
      <c r="ACE135" s="1517"/>
      <c r="ACF135" s="1517"/>
      <c r="ACG135" s="1517"/>
      <c r="ACH135" s="1518"/>
      <c r="ACM135" s="653"/>
      <c r="ACN135" s="653"/>
      <c r="ACO135" s="653"/>
      <c r="ACP135" s="653"/>
      <c r="ACQ135" s="653"/>
      <c r="ACR135" s="653"/>
      <c r="ACS135" s="653"/>
      <c r="ACT135" s="653"/>
      <c r="ACU135" s="653"/>
      <c r="ACV135" s="653"/>
      <c r="ACW135" s="653"/>
      <c r="ACX135" s="653"/>
      <c r="ACY135" s="653"/>
      <c r="ACZ135" s="653"/>
      <c r="ADA135" s="653"/>
      <c r="ADB135" s="653"/>
      <c r="ADC135" s="653"/>
      <c r="ADD135" s="653"/>
      <c r="ADE135" s="653"/>
      <c r="ADF135" s="653"/>
      <c r="ADG135" s="653"/>
      <c r="ADH135" s="653"/>
      <c r="ADI135" s="653"/>
      <c r="ADJ135" s="653"/>
      <c r="ADK135" s="653"/>
      <c r="ADL135" s="653"/>
      <c r="ADM135" s="653"/>
      <c r="ADN135" s="653"/>
      <c r="ADO135" s="653"/>
      <c r="ADP135" s="653"/>
      <c r="ADQ135" s="653"/>
      <c r="ADR135" s="653"/>
      <c r="ADS135" s="653"/>
      <c r="ADT135" s="653"/>
      <c r="ADU135" s="653"/>
      <c r="AEH135" s="759">
        <v>1.5454545454545501</v>
      </c>
      <c r="AEI135" s="760"/>
      <c r="AEJ135" s="759">
        <v>-2.1818181818181799</v>
      </c>
      <c r="AEK135" s="760"/>
      <c r="AEL135" s="591">
        <v>300</v>
      </c>
      <c r="AEM135" s="759">
        <f>AEH135*AEO135 + AEJ135</f>
        <v>4.0000000000000204</v>
      </c>
      <c r="AEN135" s="760"/>
      <c r="AEO135" s="757">
        <f t="shared" si="164"/>
        <v>4</v>
      </c>
      <c r="AEP135" s="758"/>
      <c r="AEY135" s="1069">
        <v>1.1000000000000001</v>
      </c>
      <c r="AEZ135" s="1071"/>
      <c r="AFA135" s="1069">
        <v>0.95</v>
      </c>
      <c r="AFB135" s="1071"/>
      <c r="AFC135" s="856">
        <f>(AFA136-AFA135)/(AEY136-AEY135)</f>
        <v>-0.14285714285714271</v>
      </c>
      <c r="AFD135" s="856"/>
      <c r="AFE135" s="856">
        <f>AFA135-AFC135*AEY135</f>
        <v>1.107142857142857</v>
      </c>
      <c r="AFF135" s="856"/>
      <c r="AHN135" s="130"/>
      <c r="AHO135" s="130"/>
      <c r="AHP135" s="130"/>
      <c r="ARU135" s="377"/>
      <c r="ARV135" s="373"/>
      <c r="ARW135" s="373"/>
      <c r="ARX135" s="373"/>
      <c r="ARY135" s="373"/>
      <c r="ARZ135" s="851"/>
      <c r="ASA135" s="777"/>
      <c r="ASB135" s="778"/>
      <c r="ASC135" s="778"/>
      <c r="ASD135" s="778"/>
      <c r="ASE135" s="778"/>
      <c r="ASF135" s="778"/>
      <c r="ASG135" s="778"/>
      <c r="ASH135" s="778"/>
      <c r="ASI135" s="778"/>
      <c r="ASJ135" s="778"/>
      <c r="ASK135" s="778"/>
      <c r="ASL135" s="778"/>
      <c r="ASM135" s="778"/>
      <c r="ASN135" s="837"/>
      <c r="ASO135" s="838"/>
      <c r="ASP135" s="778"/>
      <c r="ASQ135" s="799"/>
      <c r="ASR135" s="1067"/>
      <c r="ASS135" s="845"/>
      <c r="AST135" s="846"/>
      <c r="ASU135" s="848"/>
      <c r="ASV135" s="1276"/>
      <c r="ASW135" s="1277"/>
      <c r="ASX135" s="1278"/>
      <c r="ASY135" s="373"/>
      <c r="ASZ135" s="373"/>
      <c r="ATA135" s="373"/>
      <c r="ATB135" s="373"/>
      <c r="ATC135" s="373"/>
      <c r="ATD135" s="373"/>
      <c r="ATE135" s="373"/>
      <c r="ATF135" s="374"/>
    </row>
    <row r="136" spans="43:908 1133:1230" ht="48" customHeight="1" thickBot="1">
      <c r="HX136" s="130"/>
      <c r="HY136" s="130"/>
      <c r="HZ136" s="130"/>
      <c r="IA136" s="130"/>
      <c r="IB136" s="130"/>
      <c r="IC136" s="130"/>
      <c r="ID136" s="130"/>
      <c r="IE136" s="130"/>
      <c r="IF136" s="130"/>
      <c r="IG136" s="130"/>
      <c r="IH136" s="130"/>
      <c r="II136" s="130"/>
      <c r="IJ136" s="130"/>
      <c r="IK136" s="130"/>
      <c r="IL136" s="130"/>
      <c r="IM136" s="130"/>
      <c r="LP136" s="130"/>
      <c r="LQ136" s="130"/>
      <c r="LR136" s="130"/>
      <c r="LS136" s="130"/>
      <c r="LT136" s="130"/>
      <c r="MB136" s="849"/>
      <c r="MC136" s="852" t="s">
        <v>416</v>
      </c>
      <c r="MD136" s="853"/>
      <c r="ME136" s="386"/>
      <c r="MF136" s="800" t="s">
        <v>1246</v>
      </c>
      <c r="MG136" s="801"/>
      <c r="MH136" s="766">
        <f>$CI$36</f>
        <v>4</v>
      </c>
      <c r="MI136" s="766"/>
      <c r="MJ136" s="387" t="s">
        <v>430</v>
      </c>
      <c r="MK136" s="890">
        <f>AP53</f>
        <v>0.16707940000000002</v>
      </c>
      <c r="ML136" s="890"/>
      <c r="MM136" s="344"/>
      <c r="MN136" s="76" t="s">
        <v>441</v>
      </c>
      <c r="MO136" s="854" t="s">
        <v>435</v>
      </c>
      <c r="MP136" s="855"/>
      <c r="MQ136" s="920" t="s">
        <v>111</v>
      </c>
      <c r="MR136" s="921"/>
      <c r="MS136" s="916" t="s">
        <v>704</v>
      </c>
      <c r="MT136" s="917"/>
      <c r="MU136" s="906" t="s">
        <v>447</v>
      </c>
      <c r="MV136" s="907"/>
      <c r="MW136" s="907"/>
      <c r="MX136" s="908"/>
      <c r="MY136" s="1051" t="s">
        <v>436</v>
      </c>
      <c r="MZ136" s="1051"/>
      <c r="NA136" s="1051"/>
      <c r="NB136" s="1051"/>
      <c r="NC136" s="1051"/>
      <c r="ND136" s="1051"/>
      <c r="NE136" s="1051"/>
      <c r="NF136" s="1051"/>
      <c r="NG136" s="1051"/>
      <c r="NH136" s="1051"/>
      <c r="NI136" s="1051"/>
      <c r="NJ136" s="130"/>
      <c r="NK136" s="130"/>
      <c r="NL136" s="130"/>
      <c r="PB136" s="130"/>
      <c r="PC136" s="130"/>
      <c r="PE136" s="130"/>
      <c r="PF136" s="130"/>
      <c r="PG136" s="377"/>
      <c r="PH136" s="54"/>
      <c r="PI136" s="373"/>
      <c r="PJ136" s="373"/>
      <c r="PK136" s="373"/>
      <c r="PL136" s="850"/>
      <c r="PM136" s="714" t="s">
        <v>1570</v>
      </c>
      <c r="PN136" s="766">
        <f>$AP$6</f>
        <v>1500</v>
      </c>
      <c r="PO136" s="766"/>
      <c r="PP136" s="823"/>
      <c r="PQ136" s="824"/>
      <c r="PR136" s="824"/>
      <c r="PS136" s="824"/>
      <c r="PT136" s="824"/>
      <c r="PU136" s="824"/>
      <c r="PV136" s="1049"/>
      <c r="PW136" s="1380"/>
      <c r="PX136" s="1381"/>
      <c r="PY136" s="1077"/>
      <c r="PZ136" s="1078"/>
      <c r="QA136" s="842"/>
      <c r="QB136" s="1173"/>
      <c r="QC136" s="1175"/>
      <c r="QD136" s="848"/>
      <c r="QE136" s="1052"/>
      <c r="QF136" s="1052"/>
      <c r="QG136" s="1052"/>
      <c r="QH136" s="1052"/>
      <c r="QI136" s="1052"/>
      <c r="QJ136" s="1052"/>
      <c r="QK136" s="1052"/>
      <c r="QL136" s="1052"/>
      <c r="QM136" s="1052"/>
      <c r="QN136" s="373"/>
      <c r="QO136" s="54"/>
      <c r="QP136" s="373"/>
      <c r="QQ136" s="373"/>
      <c r="QR136" s="374"/>
      <c r="QV136" s="130"/>
      <c r="QW136" s="130"/>
      <c r="QX136" s="130"/>
      <c r="VD136" s="1026"/>
      <c r="VE136" s="1027"/>
      <c r="VF136" s="1027"/>
      <c r="VG136" s="1027"/>
      <c r="VH136" s="1027"/>
      <c r="VI136" s="1027"/>
      <c r="VJ136" s="1027"/>
      <c r="VK136" s="1027"/>
      <c r="VL136" s="1027"/>
      <c r="VM136" s="1027"/>
      <c r="VN136" s="1027"/>
      <c r="VO136" s="1027"/>
      <c r="VP136" s="1027"/>
      <c r="VQ136" s="1027"/>
      <c r="VR136" s="1027"/>
      <c r="VS136" s="1027"/>
      <c r="VT136" s="1027"/>
      <c r="VU136" s="1027"/>
      <c r="VV136" s="1027"/>
      <c r="VW136" s="1027"/>
      <c r="VX136" s="1027"/>
      <c r="VY136" s="1027"/>
      <c r="VZ136" s="1028"/>
      <c r="WE136" s="754"/>
      <c r="WF136" s="755"/>
      <c r="WG136" s="170"/>
      <c r="WH136" s="170"/>
      <c r="WI136" s="170"/>
      <c r="WJ136" s="170"/>
      <c r="WK136" s="170"/>
      <c r="WL136" s="170"/>
      <c r="WM136" s="170"/>
      <c r="WN136" s="170"/>
      <c r="WO136" s="170"/>
      <c r="WP136" s="170"/>
      <c r="WQ136" s="170"/>
      <c r="WR136" s="170"/>
      <c r="WS136" s="170"/>
      <c r="WT136" s="170"/>
      <c r="WU136" s="170"/>
      <c r="WV136" s="170"/>
      <c r="WW136" s="170"/>
      <c r="WX136" s="170"/>
      <c r="WY136" s="172"/>
      <c r="WZ136" s="1004"/>
      <c r="XA136" s="1004"/>
      <c r="XB136" s="169"/>
      <c r="XC136" s="170"/>
      <c r="XD136" s="170"/>
      <c r="XE136" s="170"/>
      <c r="XF136" s="172"/>
      <c r="XG136" s="1011"/>
      <c r="XH136" s="1011"/>
      <c r="XI136" s="1011"/>
      <c r="XJ136" s="1011"/>
      <c r="XK136" s="1011"/>
      <c r="XL136" s="1011"/>
      <c r="XM136" s="1011"/>
      <c r="XN136" s="1011"/>
      <c r="XO136" s="1011"/>
      <c r="XP136" s="1011"/>
      <c r="XQ136" s="1011"/>
      <c r="XR136" s="1011"/>
      <c r="XS136" s="1011"/>
      <c r="XT136" s="1011"/>
      <c r="XU136" s="1011"/>
      <c r="XV136" s="1011"/>
      <c r="XW136" s="1011"/>
      <c r="XX136" s="1011"/>
      <c r="XY136" s="1011"/>
      <c r="XZ136" s="1011"/>
      <c r="YA136" s="1011"/>
      <c r="YB136" s="1011"/>
      <c r="YC136" s="1011"/>
      <c r="YD136" s="1011"/>
      <c r="YE136" s="1011"/>
      <c r="YF136" s="1011"/>
      <c r="YG136" s="1011"/>
      <c r="YH136" s="1011"/>
      <c r="YI136" s="1011"/>
      <c r="YJ136" s="1011"/>
      <c r="YK136" s="1011"/>
      <c r="YL136" s="1011"/>
      <c r="YM136" s="1011"/>
      <c r="YN136" s="1011"/>
      <c r="YO136" s="1011"/>
      <c r="YP136" s="1011"/>
      <c r="YQ136" s="1011"/>
      <c r="YR136" s="1011"/>
      <c r="YS136" s="1011"/>
      <c r="YT136" s="1011"/>
      <c r="YU136" s="1011"/>
      <c r="YV136" s="1011"/>
      <c r="YW136" s="1011"/>
      <c r="YX136" s="1011"/>
      <c r="YY136" s="1011"/>
      <c r="YZ136" s="1011"/>
      <c r="ZA136" s="1011"/>
      <c r="ZB136" s="1011"/>
      <c r="ZC136" s="1011"/>
      <c r="ZD136" s="1011"/>
      <c r="ZE136" s="1011"/>
      <c r="ZF136" s="1011"/>
      <c r="ZG136" s="1011"/>
      <c r="ZH136" s="1011"/>
      <c r="ZI136" s="1011"/>
      <c r="ZJ136" s="1011"/>
      <c r="ZK136" s="1011"/>
      <c r="ZL136" s="1011"/>
      <c r="ZM136" s="1011"/>
      <c r="ZN136" s="1011"/>
      <c r="ZO136" s="1011"/>
      <c r="ZP136" s="1011"/>
      <c r="ZQ136" s="1011"/>
      <c r="ZR136" s="1011"/>
      <c r="ZS136" s="1011"/>
      <c r="ZT136" s="1011"/>
      <c r="ZU136" s="1011"/>
      <c r="ZV136" s="1011"/>
      <c r="ZW136" s="1011"/>
      <c r="ZX136" s="1011"/>
      <c r="ZY136" s="1011"/>
      <c r="ZZ136" s="1011"/>
      <c r="AAA136" s="1011"/>
      <c r="AAB136" s="1011"/>
      <c r="AAC136" s="1011"/>
      <c r="AAD136" s="1011"/>
      <c r="AAE136" s="1011"/>
      <c r="AAF136" s="1011"/>
      <c r="AAG136" s="1011"/>
      <c r="AAH136" s="1011"/>
      <c r="AAI136" s="1011"/>
      <c r="AAJ136" s="1011"/>
      <c r="AAK136" s="1011"/>
      <c r="AAL136" s="1011"/>
      <c r="AAM136" s="1011"/>
      <c r="AAN136" s="1011"/>
      <c r="AAO136" s="1011"/>
      <c r="AAP136" s="1011"/>
      <c r="AAQ136" s="1011"/>
      <c r="AAR136" s="1011"/>
      <c r="AAS136" s="1011"/>
      <c r="AAT136" s="1007"/>
      <c r="AAU136" s="970"/>
      <c r="AAV136" s="970"/>
      <c r="AAW136" s="970"/>
      <c r="AAX136" s="970"/>
      <c r="AAY136" s="970"/>
      <c r="AAZ136" s="970"/>
      <c r="ABA136" s="970"/>
      <c r="ABB136" s="970"/>
      <c r="ABC136" s="164"/>
      <c r="ABD136" s="158"/>
      <c r="ABE136" s="158"/>
      <c r="ABF136" s="158"/>
      <c r="ABG136" s="158"/>
      <c r="ABH136" s="158"/>
      <c r="ABI136" s="158"/>
      <c r="ABJ136" s="158"/>
      <c r="ABK136" s="158"/>
      <c r="ABL136" s="158"/>
      <c r="ABM136" s="158"/>
      <c r="ABN136" s="158"/>
      <c r="ABO136" s="158"/>
      <c r="ABP136" s="163"/>
      <c r="ABT136" s="1516"/>
      <c r="ABU136" s="1517"/>
      <c r="ABV136" s="1517"/>
      <c r="ABW136" s="1517"/>
      <c r="ABX136" s="1517"/>
      <c r="ABY136" s="1517"/>
      <c r="ABZ136" s="1517"/>
      <c r="ACA136" s="1517"/>
      <c r="ACB136" s="1517"/>
      <c r="ACC136" s="1517"/>
      <c r="ACD136" s="1517"/>
      <c r="ACE136" s="1517"/>
      <c r="ACF136" s="1517"/>
      <c r="ACG136" s="1517"/>
      <c r="ACH136" s="1518"/>
      <c r="ACI136" s="653"/>
      <c r="ACJ136" s="653"/>
      <c r="ACK136" s="653"/>
      <c r="ACL136" s="653"/>
      <c r="ACM136" s="653"/>
      <c r="ACN136" s="653"/>
      <c r="ACO136" s="653"/>
      <c r="ACP136" s="653"/>
      <c r="ACQ136" s="653"/>
      <c r="ACR136" s="653"/>
      <c r="ACS136" s="653"/>
      <c r="ACT136" s="653"/>
      <c r="ACU136" s="653"/>
      <c r="ACV136" s="653"/>
      <c r="ACW136" s="653"/>
      <c r="ACX136" s="653"/>
      <c r="ACY136" s="653"/>
      <c r="ACZ136" s="653"/>
      <c r="ADA136" s="653"/>
      <c r="ADB136" s="653"/>
      <c r="ADC136" s="653"/>
      <c r="ADD136" s="653"/>
      <c r="ADE136" s="653"/>
      <c r="AEH136" s="653"/>
      <c r="AEY136" s="1069">
        <v>1.45</v>
      </c>
      <c r="AEZ136" s="1071"/>
      <c r="AFA136" s="1069">
        <v>0.9</v>
      </c>
      <c r="AFB136" s="1071"/>
      <c r="AFC136" s="856">
        <f>(AFA137-AFA136)/(AEY137-AEY136)</f>
        <v>-0.20000000000000018</v>
      </c>
      <c r="AFD136" s="856"/>
      <c r="AFE136" s="856">
        <f>AFA136-AFC136*AEY136</f>
        <v>1.1900000000000004</v>
      </c>
      <c r="AFF136" s="856"/>
      <c r="AGL136" s="849"/>
      <c r="AGM136" s="852" t="s">
        <v>416</v>
      </c>
      <c r="AGN136" s="853"/>
      <c r="AGO136" s="427"/>
      <c r="AGP136" s="861" t="s">
        <v>1701</v>
      </c>
      <c r="AGQ136" s="861"/>
      <c r="AGR136" s="861"/>
      <c r="AGS136" s="890">
        <f>$AGZ$122</f>
        <v>0.28519634407158206</v>
      </c>
      <c r="AGT136" s="890"/>
      <c r="AGU136" s="78"/>
      <c r="AGV136" s="427"/>
      <c r="AGW136" s="76" t="s">
        <v>441</v>
      </c>
      <c r="AGX136" s="854" t="s">
        <v>435</v>
      </c>
      <c r="AGY136" s="1111"/>
      <c r="AGZ136" s="924" t="s">
        <v>111</v>
      </c>
      <c r="AHA136" s="925"/>
      <c r="AHB136" s="916" t="s">
        <v>704</v>
      </c>
      <c r="AHC136" s="917"/>
      <c r="AHD136" s="906" t="s">
        <v>447</v>
      </c>
      <c r="AHE136" s="907"/>
      <c r="AHF136" s="907"/>
      <c r="AHG136" s="908"/>
      <c r="AHH136" s="1051" t="s">
        <v>436</v>
      </c>
      <c r="AHI136" s="1051"/>
      <c r="AHJ136" s="1051"/>
      <c r="AHK136" s="1051"/>
      <c r="AHL136" s="1051"/>
      <c r="AHM136" s="1051"/>
      <c r="AHN136" s="1051"/>
      <c r="AHO136" s="1051"/>
      <c r="AHP136" s="1051"/>
      <c r="AQO136" s="849"/>
      <c r="AQP136" s="852" t="s">
        <v>416</v>
      </c>
      <c r="AQQ136" s="853"/>
      <c r="AQR136" s="700"/>
      <c r="AQS136" s="78"/>
      <c r="AQT136" s="78"/>
      <c r="AQU136" s="78"/>
      <c r="AQV136" s="78"/>
      <c r="AQW136" s="78"/>
      <c r="AQX136" s="78"/>
      <c r="AQY136" s="700"/>
      <c r="AQZ136" s="76" t="s">
        <v>441</v>
      </c>
      <c r="ARA136" s="854" t="s">
        <v>435</v>
      </c>
      <c r="ARB136" s="855"/>
      <c r="ARC136" s="920" t="s">
        <v>111</v>
      </c>
      <c r="ARD136" s="921"/>
      <c r="ARE136" s="916" t="s">
        <v>704</v>
      </c>
      <c r="ARF136" s="917"/>
      <c r="ARG136" s="906" t="s">
        <v>447</v>
      </c>
      <c r="ARH136" s="907"/>
      <c r="ARI136" s="907"/>
      <c r="ARJ136" s="908"/>
      <c r="ARU136" s="377"/>
      <c r="ARV136" s="373"/>
      <c r="ARW136" s="373"/>
      <c r="ARX136" s="373"/>
      <c r="ARY136" s="373"/>
      <c r="ARZ136" s="373"/>
      <c r="ASA136" s="373"/>
      <c r="ASB136" s="373"/>
      <c r="ASC136" s="373"/>
      <c r="ASD136" s="373"/>
      <c r="ASE136" s="373"/>
      <c r="ASF136" s="373"/>
      <c r="ASG136" s="373"/>
      <c r="ASH136" s="373"/>
      <c r="ASI136" s="373"/>
      <c r="ASJ136" s="373"/>
      <c r="ASK136" s="373"/>
      <c r="ASL136" s="373"/>
      <c r="ASM136" s="373"/>
      <c r="ASN136" s="373"/>
      <c r="ASO136" s="373"/>
      <c r="ASP136" s="373"/>
      <c r="ASQ136" s="373"/>
      <c r="ASR136" s="373"/>
      <c r="ASS136" s="373"/>
      <c r="AST136" s="373"/>
      <c r="ASU136" s="373"/>
      <c r="ASV136" s="373"/>
      <c r="ASW136" s="373"/>
      <c r="ASX136" s="373"/>
      <c r="ASY136" s="373"/>
      <c r="ASZ136" s="373"/>
      <c r="ATA136" s="373"/>
      <c r="ATB136" s="373"/>
      <c r="ATC136" s="373"/>
      <c r="ATD136" s="373"/>
      <c r="ATE136" s="373"/>
      <c r="ATF136" s="374"/>
    </row>
    <row r="137" spans="43:908 1133:1230" ht="48" customHeight="1" thickBot="1">
      <c r="HX137" s="130"/>
      <c r="HY137" s="130"/>
      <c r="HZ137" s="130"/>
      <c r="IA137" s="130"/>
      <c r="IB137" s="130"/>
      <c r="IC137" s="130"/>
      <c r="ID137" s="130"/>
      <c r="IE137" s="130"/>
      <c r="IF137" s="130"/>
      <c r="IG137" s="130"/>
      <c r="IH137" s="130"/>
      <c r="II137" s="130"/>
      <c r="IJ137" s="130"/>
      <c r="IK137" s="130"/>
      <c r="IL137" s="130"/>
      <c r="IM137" s="130"/>
      <c r="LP137" s="130"/>
      <c r="LQ137" s="130"/>
      <c r="LR137" s="130"/>
      <c r="LS137" s="130"/>
      <c r="LT137" s="130"/>
      <c r="MB137" s="850"/>
      <c r="MC137" s="384" t="s">
        <v>1018</v>
      </c>
      <c r="MD137" s="890">
        <f>$AW$95</f>
        <v>0.19391178434038603</v>
      </c>
      <c r="ME137" s="890"/>
      <c r="MF137" s="823" t="s">
        <v>1279</v>
      </c>
      <c r="MG137" s="824"/>
      <c r="MH137" s="824"/>
      <c r="MI137" s="824"/>
      <c r="MJ137" s="792"/>
      <c r="MK137" s="792"/>
      <c r="ML137" s="792"/>
      <c r="MM137" s="792"/>
      <c r="MN137" s="792"/>
      <c r="MO137" s="792"/>
      <c r="MP137" s="793"/>
      <c r="MQ137" s="835">
        <f>(34*MH136/(MD137*100)*(MD138-0.64*MD139*MK136))</f>
        <v>1.0957328694424708</v>
      </c>
      <c r="MR137" s="836"/>
      <c r="MS137" s="1183" t="s">
        <v>729</v>
      </c>
      <c r="MT137" s="1184"/>
      <c r="MU137" s="1066"/>
      <c r="MV137" s="893" t="s">
        <v>1269</v>
      </c>
      <c r="MW137" s="894"/>
      <c r="MX137" s="847"/>
      <c r="MY137" s="1052"/>
      <c r="MZ137" s="1052"/>
      <c r="NA137" s="1052"/>
      <c r="NB137" s="1052"/>
      <c r="NC137" s="1052"/>
      <c r="ND137" s="1052"/>
      <c r="NE137" s="1052"/>
      <c r="NF137" s="1052"/>
      <c r="NG137" s="1052"/>
      <c r="NH137" s="1052"/>
      <c r="NI137" s="1052"/>
      <c r="NJ137" s="130"/>
      <c r="NK137" s="130"/>
      <c r="NL137" s="130"/>
      <c r="OW137" s="653"/>
      <c r="OX137" s="653"/>
      <c r="OY137" s="653"/>
      <c r="OZ137" s="653"/>
      <c r="PA137" s="653"/>
      <c r="PB137" s="653"/>
      <c r="PC137" s="653"/>
      <c r="PD137" s="653"/>
      <c r="PE137" s="130"/>
      <c r="PF137" s="130"/>
      <c r="PG137" s="377"/>
      <c r="PH137" s="54"/>
      <c r="PI137" s="373"/>
      <c r="PJ137" s="373"/>
      <c r="PK137" s="373"/>
      <c r="PL137" s="851"/>
      <c r="PM137" s="1037"/>
      <c r="PN137" s="1038"/>
      <c r="PO137" s="1039"/>
      <c r="PP137" s="794"/>
      <c r="PQ137" s="795"/>
      <c r="PR137" s="795"/>
      <c r="PS137" s="795"/>
      <c r="PT137" s="795"/>
      <c r="PU137" s="795"/>
      <c r="PV137" s="796"/>
      <c r="PW137" s="1618"/>
      <c r="PX137" s="1619"/>
      <c r="PY137" s="1619"/>
      <c r="PZ137" s="1619"/>
      <c r="QA137" s="1619"/>
      <c r="QB137" s="1619"/>
      <c r="QC137" s="1619"/>
      <c r="QD137" s="1619"/>
      <c r="QE137" s="1053"/>
      <c r="QF137" s="1053"/>
      <c r="QG137" s="1053"/>
      <c r="QH137" s="1053"/>
      <c r="QI137" s="1053"/>
      <c r="QJ137" s="1053"/>
      <c r="QK137" s="1053"/>
      <c r="QL137" s="1053"/>
      <c r="QM137" s="1053"/>
      <c r="QN137" s="373"/>
      <c r="QO137" s="54"/>
      <c r="QP137" s="373"/>
      <c r="QQ137" s="373"/>
      <c r="QR137" s="374"/>
      <c r="QV137" s="130"/>
      <c r="QW137" s="130"/>
      <c r="QX137" s="130"/>
      <c r="VD137" s="1026"/>
      <c r="VE137" s="1027"/>
      <c r="VF137" s="1027"/>
      <c r="VG137" s="1027"/>
      <c r="VH137" s="1027"/>
      <c r="VI137" s="1027"/>
      <c r="VJ137" s="1027"/>
      <c r="VK137" s="1027"/>
      <c r="VL137" s="1027"/>
      <c r="VM137" s="1027"/>
      <c r="VN137" s="1027"/>
      <c r="VO137" s="1027"/>
      <c r="VP137" s="1027"/>
      <c r="VQ137" s="1027"/>
      <c r="VR137" s="1027"/>
      <c r="VS137" s="1027"/>
      <c r="VT137" s="1027"/>
      <c r="VU137" s="1027"/>
      <c r="VV137" s="1027"/>
      <c r="VW137" s="1027"/>
      <c r="VX137" s="1027"/>
      <c r="VY137" s="1027"/>
      <c r="VZ137" s="1028"/>
      <c r="WE137" s="752">
        <v>15</v>
      </c>
      <c r="WF137" s="753"/>
      <c r="WG137" s="1390" t="s">
        <v>1335</v>
      </c>
      <c r="WH137" s="1390"/>
      <c r="WI137" s="1390"/>
      <c r="WJ137" s="1390"/>
      <c r="WK137" s="937">
        <f>$MP$98</f>
        <v>0.38958741854614803</v>
      </c>
      <c r="WL137" s="937"/>
      <c r="WM137" s="800" t="s">
        <v>1467</v>
      </c>
      <c r="WN137" s="982"/>
      <c r="WO137" s="982"/>
      <c r="WP137" s="801"/>
      <c r="WQ137" s="1480">
        <f>$AGZ$132</f>
        <v>1.0226437183712982</v>
      </c>
      <c r="WR137" s="1481"/>
      <c r="WS137" s="168"/>
      <c r="WT137" s="168"/>
      <c r="WU137" s="168"/>
      <c r="WV137" s="168"/>
      <c r="WW137" s="168"/>
      <c r="WX137" s="168"/>
      <c r="WY137" s="171"/>
      <c r="WZ137" s="752" t="s">
        <v>1428</v>
      </c>
      <c r="XA137" s="753"/>
      <c r="XB137" s="167"/>
      <c r="XC137" s="168"/>
      <c r="XD137" s="168"/>
      <c r="XE137" s="168"/>
      <c r="XF137" s="171"/>
      <c r="XG137" s="858">
        <f t="shared" ref="XG137:YL137" si="180">$WK$137+$WQ$137*XG129</f>
        <v>0.77505325402094538</v>
      </c>
      <c r="XH137" s="858">
        <f t="shared" si="180"/>
        <v>0.77480128707980622</v>
      </c>
      <c r="XI137" s="858">
        <f t="shared" si="180"/>
        <v>0.77462888864639512</v>
      </c>
      <c r="XJ137" s="858">
        <f t="shared" si="180"/>
        <v>0.77446975163093879</v>
      </c>
      <c r="XK137" s="858">
        <f t="shared" si="180"/>
        <v>0.774323876033437</v>
      </c>
      <c r="XL137" s="858">
        <f t="shared" si="180"/>
        <v>0.77402770436578239</v>
      </c>
      <c r="XM137" s="858">
        <f t="shared" si="180"/>
        <v>0.77370943033486961</v>
      </c>
      <c r="XN137" s="858">
        <f t="shared" si="180"/>
        <v>0.77342652008516932</v>
      </c>
      <c r="XO137" s="858">
        <f t="shared" si="180"/>
        <v>0.77317897361668164</v>
      </c>
      <c r="XP137" s="858">
        <f t="shared" si="180"/>
        <v>0.77289353738260891</v>
      </c>
      <c r="XQ137" s="858">
        <f t="shared" si="180"/>
        <v>0.77246917200805876</v>
      </c>
      <c r="XR137" s="858">
        <f t="shared" si="180"/>
        <v>0.77210543025844425</v>
      </c>
      <c r="XS137" s="858">
        <f t="shared" si="180"/>
        <v>0.77168106488389399</v>
      </c>
      <c r="XT137" s="858">
        <f t="shared" si="180"/>
        <v>0.77131732313427936</v>
      </c>
      <c r="XU137" s="858">
        <f t="shared" si="180"/>
        <v>0.7710142050096005</v>
      </c>
      <c r="XV137" s="858">
        <f t="shared" si="180"/>
        <v>0.77065046325998598</v>
      </c>
      <c r="XW137" s="858">
        <f t="shared" si="180"/>
        <v>0.77034734513530723</v>
      </c>
      <c r="XX137" s="858">
        <f t="shared" si="180"/>
        <v>0.76984416904834019</v>
      </c>
      <c r="XY137" s="858">
        <f t="shared" si="180"/>
        <v>0.76941980367378993</v>
      </c>
      <c r="XZ137" s="858">
        <f t="shared" si="180"/>
        <v>0.76899543829923955</v>
      </c>
      <c r="YA137" s="858">
        <f t="shared" si="180"/>
        <v>0.7686559459995993</v>
      </c>
      <c r="YB137" s="858">
        <f t="shared" si="180"/>
        <v>0.76823158062504904</v>
      </c>
      <c r="YC137" s="858">
        <f t="shared" si="180"/>
        <v>0.76780721525049866</v>
      </c>
      <c r="YD137" s="858">
        <f t="shared" si="180"/>
        <v>0.76732626782600843</v>
      </c>
      <c r="YE137" s="858">
        <f t="shared" si="180"/>
        <v>0.76661899220175789</v>
      </c>
      <c r="YF137" s="858">
        <f t="shared" si="180"/>
        <v>0.76605317170235732</v>
      </c>
      <c r="YG137" s="858">
        <f t="shared" si="180"/>
        <v>0.76548735120295697</v>
      </c>
      <c r="YH137" s="858">
        <f t="shared" si="180"/>
        <v>0.76478007557870642</v>
      </c>
      <c r="YI137" s="858">
        <f t="shared" si="180"/>
        <v>0.76421425507930607</v>
      </c>
      <c r="YJ137" s="858">
        <f t="shared" si="180"/>
        <v>0.7636484345799055</v>
      </c>
      <c r="YK137" s="858">
        <f t="shared" si="180"/>
        <v>0.76308261408050515</v>
      </c>
      <c r="YL137" s="858">
        <f t="shared" si="180"/>
        <v>0.76251679358110469</v>
      </c>
      <c r="YM137" s="858">
        <f t="shared" ref="YM137:ZR137" si="181">$WK$137+$WQ$137*YM129</f>
        <v>0.76209242820655443</v>
      </c>
      <c r="YN137" s="858">
        <f t="shared" si="181"/>
        <v>0.76152660770715419</v>
      </c>
      <c r="YO137" s="858">
        <f t="shared" si="181"/>
        <v>0.76096078720775373</v>
      </c>
      <c r="YP137" s="858">
        <f t="shared" si="181"/>
        <v>0.76039496670835338</v>
      </c>
      <c r="YQ137" s="858">
        <f t="shared" si="181"/>
        <v>0.75997060133380301</v>
      </c>
      <c r="YR137" s="858">
        <f t="shared" si="181"/>
        <v>0.75940478083440255</v>
      </c>
      <c r="YS137" s="858">
        <f t="shared" si="181"/>
        <v>0.75898041545985229</v>
      </c>
      <c r="YT137" s="858">
        <f t="shared" si="181"/>
        <v>0.75841459496045183</v>
      </c>
      <c r="YU137" s="858">
        <f t="shared" si="181"/>
        <v>0.75799022958590145</v>
      </c>
      <c r="YV137" s="858">
        <f t="shared" si="181"/>
        <v>0.75742440908650099</v>
      </c>
      <c r="YW137" s="858">
        <f t="shared" si="181"/>
        <v>0.75700004371195073</v>
      </c>
      <c r="YX137" s="858">
        <f t="shared" si="181"/>
        <v>0.75669945157164409</v>
      </c>
      <c r="YY137" s="858">
        <f t="shared" si="181"/>
        <v>0.75627508619709372</v>
      </c>
      <c r="YZ137" s="858">
        <f t="shared" si="181"/>
        <v>0.75595681216618105</v>
      </c>
      <c r="ZA137" s="858">
        <f t="shared" si="181"/>
        <v>0.75563853813526827</v>
      </c>
      <c r="ZB137" s="858">
        <f t="shared" si="181"/>
        <v>0.75532026410435549</v>
      </c>
      <c r="ZC137" s="858">
        <f t="shared" si="181"/>
        <v>0.75500199007344271</v>
      </c>
      <c r="ZD137" s="858">
        <f t="shared" si="181"/>
        <v>0.75457762469889245</v>
      </c>
      <c r="ZE137" s="858">
        <f t="shared" si="181"/>
        <v>0.75425935066797967</v>
      </c>
      <c r="ZF137" s="858">
        <f t="shared" si="181"/>
        <v>0.75394107663706711</v>
      </c>
      <c r="ZG137" s="858">
        <f t="shared" si="181"/>
        <v>0.75362280260615422</v>
      </c>
      <c r="ZH137" s="858">
        <f t="shared" si="181"/>
        <v>0.75330452857524155</v>
      </c>
      <c r="ZI137" s="858">
        <f t="shared" si="181"/>
        <v>0.75298625454432888</v>
      </c>
      <c r="ZJ137" s="858">
        <f t="shared" si="181"/>
        <v>0.75266798051341621</v>
      </c>
      <c r="ZK137" s="858">
        <f t="shared" si="181"/>
        <v>0.75234970648250332</v>
      </c>
      <c r="ZL137" s="858">
        <f t="shared" si="181"/>
        <v>0.75213752379522814</v>
      </c>
      <c r="ZM137" s="858">
        <f t="shared" si="181"/>
        <v>0.75181924976431547</v>
      </c>
      <c r="ZN137" s="858">
        <f t="shared" si="181"/>
        <v>0.75166011274885891</v>
      </c>
      <c r="ZO137" s="858">
        <f t="shared" si="181"/>
        <v>0.75153280313649384</v>
      </c>
      <c r="ZP137" s="858">
        <f t="shared" si="181"/>
        <v>0.75140549352412878</v>
      </c>
      <c r="ZQ137" s="858">
        <f t="shared" si="181"/>
        <v>0.7512781839117636</v>
      </c>
      <c r="ZR137" s="858">
        <f t="shared" si="181"/>
        <v>0.75119331083685359</v>
      </c>
      <c r="ZS137" s="858">
        <f t="shared" ref="ZS137:AAS137" si="182">$WK$137+$WQ$137*ZS129</f>
        <v>0.75106600122448852</v>
      </c>
      <c r="ZT137" s="858">
        <f t="shared" si="182"/>
        <v>0.75093869161212345</v>
      </c>
      <c r="ZU137" s="858">
        <f t="shared" si="182"/>
        <v>0.75085381853721334</v>
      </c>
      <c r="ZV137" s="858">
        <f t="shared" si="182"/>
        <v>0.75072650892484827</v>
      </c>
      <c r="ZW137" s="858">
        <f t="shared" si="182"/>
        <v>0.75059919931248309</v>
      </c>
      <c r="ZX137" s="858">
        <f t="shared" si="182"/>
        <v>0.75051432623757308</v>
      </c>
      <c r="ZY137" s="858">
        <f t="shared" si="182"/>
        <v>0.75038701662520801</v>
      </c>
      <c r="ZZ137" s="858">
        <f t="shared" si="182"/>
        <v>0.75025970701284295</v>
      </c>
      <c r="AAA137" s="858">
        <f t="shared" si="182"/>
        <v>0.75017483393793283</v>
      </c>
      <c r="AAB137" s="858">
        <f t="shared" si="182"/>
        <v>0.75004752432556776</v>
      </c>
      <c r="AAC137" s="858">
        <f t="shared" si="182"/>
        <v>0.74996265125065764</v>
      </c>
      <c r="AAD137" s="858">
        <f t="shared" si="182"/>
        <v>0.74983534163829257</v>
      </c>
      <c r="AAE137" s="858">
        <f t="shared" si="182"/>
        <v>0.74975046856338246</v>
      </c>
      <c r="AAF137" s="858">
        <f t="shared" si="182"/>
        <v>0.74962315895101739</v>
      </c>
      <c r="AAG137" s="858">
        <f t="shared" si="182"/>
        <v>0.74953828587610727</v>
      </c>
      <c r="AAH137" s="858">
        <f t="shared" si="182"/>
        <v>0.7494109762637422</v>
      </c>
      <c r="AAI137" s="858">
        <f t="shared" si="182"/>
        <v>0.74932610318883219</v>
      </c>
      <c r="AAJ137" s="858">
        <f t="shared" si="182"/>
        <v>0.74919879357646713</v>
      </c>
      <c r="AAK137" s="858">
        <f t="shared" si="182"/>
        <v>0.74911392050155701</v>
      </c>
      <c r="AAL137" s="858">
        <f t="shared" si="182"/>
        <v>0.74890173781428193</v>
      </c>
      <c r="AAM137" s="858">
        <f t="shared" si="182"/>
        <v>0.74858346378336915</v>
      </c>
      <c r="AAN137" s="858">
        <f t="shared" si="182"/>
        <v>0.74837128109609397</v>
      </c>
      <c r="AAO137" s="858">
        <f t="shared" si="182"/>
        <v>0.74805300706518119</v>
      </c>
      <c r="AAP137" s="858">
        <f t="shared" si="182"/>
        <v>0.747840824377906</v>
      </c>
      <c r="AAQ137" s="858">
        <f t="shared" si="182"/>
        <v>0.74762864169063092</v>
      </c>
      <c r="AAR137" s="858">
        <f t="shared" si="182"/>
        <v>0.74731036765971814</v>
      </c>
      <c r="AAS137" s="858">
        <f t="shared" si="182"/>
        <v>0.74709818497244296</v>
      </c>
      <c r="AAT137" s="1005">
        <v>15</v>
      </c>
      <c r="AAU137" s="981"/>
      <c r="AAV137" s="981"/>
      <c r="AAW137" s="981"/>
      <c r="AAX137" s="981"/>
      <c r="AAY137" s="981"/>
      <c r="AAZ137" s="981"/>
      <c r="ABA137" s="981"/>
      <c r="ABB137" s="981"/>
      <c r="ABC137" s="981"/>
      <c r="ABD137" s="158"/>
      <c r="ABE137" s="158"/>
      <c r="ABF137" s="158"/>
      <c r="ABG137" s="158"/>
      <c r="ABH137" s="158"/>
      <c r="ABI137" s="158"/>
      <c r="ABJ137" s="158"/>
      <c r="ABK137" s="158"/>
      <c r="ABL137" s="158"/>
      <c r="ABM137" s="158"/>
      <c r="ABN137" s="158"/>
      <c r="ABO137" s="158"/>
      <c r="ABP137" s="163"/>
      <c r="ABT137" s="1516"/>
      <c r="ABU137" s="1517"/>
      <c r="ABV137" s="1517"/>
      <c r="ABW137" s="1517"/>
      <c r="ABX137" s="1517"/>
      <c r="ABY137" s="1517"/>
      <c r="ABZ137" s="1517"/>
      <c r="ACA137" s="1517"/>
      <c r="ACB137" s="1517"/>
      <c r="ACC137" s="1517"/>
      <c r="ACD137" s="1517"/>
      <c r="ACE137" s="1517"/>
      <c r="ACF137" s="1517"/>
      <c r="ACG137" s="1517"/>
      <c r="ACH137" s="1518"/>
      <c r="ACI137" s="653"/>
      <c r="ACJ137" s="653"/>
      <c r="ACK137" s="653"/>
      <c r="ACL137" s="653"/>
      <c r="ACM137" s="653"/>
      <c r="ACN137" s="653"/>
      <c r="ACO137" s="653"/>
      <c r="ACP137" s="653"/>
      <c r="ACQ137" s="653"/>
      <c r="ACR137" s="653"/>
      <c r="ACS137" s="653"/>
      <c r="ACT137" s="653"/>
      <c r="ACU137" s="653"/>
      <c r="ACV137" s="653"/>
      <c r="ACW137" s="653"/>
      <c r="ACX137" s="653"/>
      <c r="ACY137" s="653"/>
      <c r="ACZ137" s="653"/>
      <c r="ADA137" s="653"/>
      <c r="ADB137" s="653"/>
      <c r="ADC137" s="653"/>
      <c r="ADD137" s="653"/>
      <c r="ADE137" s="653"/>
      <c r="AEH137" s="653"/>
      <c r="AEY137" s="1069">
        <v>1.7</v>
      </c>
      <c r="AEZ137" s="1071"/>
      <c r="AFA137" s="1069">
        <v>0.85</v>
      </c>
      <c r="AFB137" s="1071"/>
      <c r="AFC137" s="856">
        <f t="shared" ref="AFC137:AFC143" si="183">(AFA138-AFA137)/(AEY138-AEY137)</f>
        <v>-0.33333333333333331</v>
      </c>
      <c r="AFD137" s="856"/>
      <c r="AFE137" s="856">
        <f t="shared" ref="AFE137:AFE143" si="184">AFA137-AFC137*AEY137</f>
        <v>1.4166666666666665</v>
      </c>
      <c r="AFF137" s="856"/>
      <c r="AGL137" s="850"/>
      <c r="AGM137" s="800" t="s">
        <v>1467</v>
      </c>
      <c r="AGN137" s="801"/>
      <c r="AGO137" s="1480">
        <f>$AGZ$132</f>
        <v>1.0226437183712982</v>
      </c>
      <c r="AGP137" s="1481"/>
      <c r="AGQ137" s="1412" t="s">
        <v>1459</v>
      </c>
      <c r="AGR137" s="1412"/>
      <c r="AGS137" s="1412"/>
      <c r="AGT137" s="1412"/>
      <c r="AGU137" s="1412"/>
      <c r="AGV137" s="1412"/>
      <c r="AGW137" s="1412"/>
      <c r="AGX137" s="1412"/>
      <c r="AGY137" s="1413"/>
      <c r="AGZ137" s="1353">
        <f>AIK190+AGZ132*AGS136</f>
        <v>0.29165424976726284</v>
      </c>
      <c r="AHA137" s="836"/>
      <c r="AHB137" s="1188" t="s">
        <v>392</v>
      </c>
      <c r="AHC137" s="1189"/>
      <c r="AHD137" s="1066"/>
      <c r="AHE137" s="1170" t="s">
        <v>1440</v>
      </c>
      <c r="AHF137" s="1172"/>
      <c r="AHG137" s="847"/>
      <c r="AHH137" s="1052"/>
      <c r="AHI137" s="1052"/>
      <c r="AHJ137" s="1052"/>
      <c r="AHK137" s="1052"/>
      <c r="AHL137" s="1052"/>
      <c r="AHM137" s="1052"/>
      <c r="AHN137" s="1052"/>
      <c r="AHO137" s="1052"/>
      <c r="AHP137" s="1052"/>
      <c r="AQO137" s="850"/>
      <c r="AQP137" s="856"/>
      <c r="AQQ137" s="856"/>
      <c r="AQR137" s="856"/>
      <c r="AQS137" s="856"/>
      <c r="AQT137" s="856"/>
      <c r="AQU137" s="856"/>
      <c r="AQV137" s="856"/>
      <c r="AQW137" s="856"/>
      <c r="AQX137" s="856"/>
      <c r="AQY137" s="856"/>
      <c r="AQZ137" s="856"/>
      <c r="ARA137" s="856"/>
      <c r="ARB137" s="856"/>
      <c r="ARC137" s="835"/>
      <c r="ARD137" s="836"/>
      <c r="ARE137" s="839"/>
      <c r="ARF137" s="840"/>
      <c r="ARG137" s="841"/>
      <c r="ARH137" s="843"/>
      <c r="ARI137" s="844"/>
      <c r="ARJ137" s="847"/>
      <c r="ARU137" s="136"/>
      <c r="ARV137" s="891"/>
      <c r="ARW137" s="891"/>
      <c r="ARX137" s="891"/>
      <c r="ARY137" s="891"/>
      <c r="ARZ137" s="891"/>
      <c r="ASA137" s="891"/>
      <c r="ASB137" s="891"/>
      <c r="ASC137" s="891"/>
      <c r="ASD137" s="891"/>
      <c r="ASE137" s="891"/>
      <c r="ASF137" s="891"/>
      <c r="ASG137" s="891"/>
      <c r="ASH137" s="891"/>
      <c r="ASI137" s="891"/>
      <c r="ASJ137" s="891"/>
      <c r="ASK137" s="891"/>
      <c r="ASL137" s="891"/>
      <c r="ASM137" s="891"/>
      <c r="ASN137" s="891"/>
      <c r="ASO137" s="891"/>
      <c r="ASP137" s="891"/>
      <c r="ASQ137" s="891"/>
      <c r="ASR137" s="891"/>
      <c r="ASS137" s="891"/>
      <c r="AST137" s="891"/>
      <c r="ASU137" s="891"/>
      <c r="ASV137" s="891"/>
      <c r="ASW137" s="891"/>
      <c r="ASX137" s="891"/>
      <c r="ASY137" s="891"/>
      <c r="ASZ137" s="891"/>
      <c r="ATA137" s="891"/>
      <c r="ATB137" s="891"/>
      <c r="ATC137" s="891"/>
      <c r="ATD137" s="891"/>
      <c r="ATE137" s="891"/>
      <c r="ATF137" s="136"/>
    </row>
    <row r="138" spans="43:908 1133:1230" ht="48" customHeight="1" thickBot="1">
      <c r="HG138" s="56"/>
      <c r="HX138" s="130"/>
      <c r="HY138" s="130"/>
      <c r="HZ138" s="130"/>
      <c r="IA138" s="130"/>
      <c r="IB138" s="130"/>
      <c r="IC138" s="130"/>
      <c r="ID138" s="130"/>
      <c r="IE138" s="130"/>
      <c r="IF138" s="130"/>
      <c r="IG138" s="130"/>
      <c r="IH138" s="130"/>
      <c r="II138" s="130"/>
      <c r="IJ138" s="130"/>
      <c r="IK138" s="130"/>
      <c r="IL138" s="130"/>
      <c r="IM138" s="130"/>
      <c r="LP138" s="130"/>
      <c r="LQ138" s="130"/>
      <c r="LR138" s="130"/>
      <c r="LS138" s="130"/>
      <c r="LT138" s="130"/>
      <c r="MB138" s="850"/>
      <c r="MC138" s="384" t="s">
        <v>1275</v>
      </c>
      <c r="MD138" s="890">
        <f>$MP$35</f>
        <v>0.26316281296617705</v>
      </c>
      <c r="ME138" s="890"/>
      <c r="MF138" s="823"/>
      <c r="MG138" s="824"/>
      <c r="MH138" s="824"/>
      <c r="MI138" s="824"/>
      <c r="MJ138" s="824"/>
      <c r="MK138" s="824"/>
      <c r="ML138" s="824"/>
      <c r="MM138" s="824"/>
      <c r="MN138" s="824"/>
      <c r="MO138" s="824"/>
      <c r="MP138" s="1049"/>
      <c r="MQ138" s="837"/>
      <c r="MR138" s="838"/>
      <c r="MS138" s="1185"/>
      <c r="MT138" s="1186"/>
      <c r="MU138" s="1067"/>
      <c r="MV138" s="918"/>
      <c r="MW138" s="919"/>
      <c r="MX138" s="848"/>
      <c r="MY138" s="1052"/>
      <c r="MZ138" s="1052"/>
      <c r="NA138" s="1052"/>
      <c r="NB138" s="1052"/>
      <c r="NC138" s="1052"/>
      <c r="ND138" s="1052"/>
      <c r="NE138" s="1052"/>
      <c r="NF138" s="1052"/>
      <c r="NG138" s="1052"/>
      <c r="NH138" s="1052"/>
      <c r="NI138" s="1052"/>
      <c r="NJ138" s="130"/>
      <c r="NK138" s="130"/>
      <c r="NL138" s="130"/>
      <c r="OW138" s="653"/>
      <c r="OX138" s="653"/>
      <c r="OY138" s="653"/>
      <c r="OZ138" s="653"/>
      <c r="PA138" s="653"/>
      <c r="PB138" s="653"/>
      <c r="PC138" s="653"/>
      <c r="PD138" s="653"/>
      <c r="PE138" s="130"/>
      <c r="PF138" s="130"/>
      <c r="PG138" s="377"/>
      <c r="PH138" s="54"/>
      <c r="PI138" s="373"/>
      <c r="PJ138" s="373"/>
      <c r="PK138" s="373"/>
      <c r="PL138" s="373"/>
      <c r="PM138" s="373"/>
      <c r="PN138" s="373"/>
      <c r="PO138" s="373"/>
      <c r="PP138" s="373"/>
      <c r="PQ138" s="373"/>
      <c r="PR138" s="373"/>
      <c r="PS138" s="373"/>
      <c r="PT138" s="373"/>
      <c r="PU138" s="373"/>
      <c r="PV138" s="373"/>
      <c r="PW138" s="373"/>
      <c r="PX138" s="373"/>
      <c r="PY138" s="373"/>
      <c r="PZ138" s="373"/>
      <c r="QA138" s="373"/>
      <c r="QB138" s="373"/>
      <c r="QC138" s="373"/>
      <c r="QD138" s="373"/>
      <c r="QE138" s="373"/>
      <c r="QF138" s="373"/>
      <c r="QG138" s="373"/>
      <c r="QH138" s="373"/>
      <c r="QI138" s="373"/>
      <c r="QJ138" s="373"/>
      <c r="QK138" s="373"/>
      <c r="QL138" s="373"/>
      <c r="QM138" s="373"/>
      <c r="QN138" s="373"/>
      <c r="QO138" s="54"/>
      <c r="QP138" s="373"/>
      <c r="QQ138" s="373"/>
      <c r="QR138" s="374"/>
      <c r="QV138" s="130"/>
      <c r="QW138" s="130"/>
      <c r="QX138" s="130"/>
      <c r="VD138" s="1026"/>
      <c r="VE138" s="1027"/>
      <c r="VF138" s="1027"/>
      <c r="VG138" s="1027"/>
      <c r="VH138" s="1027"/>
      <c r="VI138" s="1027"/>
      <c r="VJ138" s="1027"/>
      <c r="VK138" s="1027"/>
      <c r="VL138" s="1027"/>
      <c r="VM138" s="1027"/>
      <c r="VN138" s="1027"/>
      <c r="VO138" s="1027"/>
      <c r="VP138" s="1027"/>
      <c r="VQ138" s="1027"/>
      <c r="VR138" s="1027"/>
      <c r="VS138" s="1027"/>
      <c r="VT138" s="1027"/>
      <c r="VU138" s="1027"/>
      <c r="VV138" s="1027"/>
      <c r="VW138" s="1027"/>
      <c r="VX138" s="1027"/>
      <c r="VY138" s="1027"/>
      <c r="VZ138" s="1028"/>
      <c r="WE138" s="754"/>
      <c r="WF138" s="755"/>
      <c r="WG138" s="170"/>
      <c r="WH138" s="170"/>
      <c r="WI138" s="170"/>
      <c r="WJ138" s="170"/>
      <c r="WK138" s="170"/>
      <c r="WL138" s="170"/>
      <c r="WM138" s="170"/>
      <c r="WN138" s="170"/>
      <c r="WO138" s="170"/>
      <c r="WP138" s="170"/>
      <c r="WQ138" s="170"/>
      <c r="WR138" s="170"/>
      <c r="WS138" s="170"/>
      <c r="WT138" s="170"/>
      <c r="WU138" s="170"/>
      <c r="WV138" s="170"/>
      <c r="WW138" s="170"/>
      <c r="WX138" s="170"/>
      <c r="WY138" s="172"/>
      <c r="WZ138" s="754"/>
      <c r="XA138" s="755"/>
      <c r="XB138" s="169"/>
      <c r="XC138" s="170"/>
      <c r="XD138" s="170"/>
      <c r="XE138" s="170"/>
      <c r="XF138" s="172"/>
      <c r="XG138" s="860"/>
      <c r="XH138" s="860"/>
      <c r="XI138" s="860"/>
      <c r="XJ138" s="860"/>
      <c r="XK138" s="860"/>
      <c r="XL138" s="860"/>
      <c r="XM138" s="860"/>
      <c r="XN138" s="860"/>
      <c r="XO138" s="860"/>
      <c r="XP138" s="860"/>
      <c r="XQ138" s="860"/>
      <c r="XR138" s="860"/>
      <c r="XS138" s="860"/>
      <c r="XT138" s="860"/>
      <c r="XU138" s="860"/>
      <c r="XV138" s="860"/>
      <c r="XW138" s="860"/>
      <c r="XX138" s="860"/>
      <c r="XY138" s="860"/>
      <c r="XZ138" s="860"/>
      <c r="YA138" s="860"/>
      <c r="YB138" s="860"/>
      <c r="YC138" s="860"/>
      <c r="YD138" s="860"/>
      <c r="YE138" s="860"/>
      <c r="YF138" s="860"/>
      <c r="YG138" s="860"/>
      <c r="YH138" s="860"/>
      <c r="YI138" s="860"/>
      <c r="YJ138" s="860"/>
      <c r="YK138" s="860"/>
      <c r="YL138" s="860"/>
      <c r="YM138" s="860"/>
      <c r="YN138" s="860"/>
      <c r="YO138" s="860"/>
      <c r="YP138" s="860"/>
      <c r="YQ138" s="860"/>
      <c r="YR138" s="860"/>
      <c r="YS138" s="860"/>
      <c r="YT138" s="860"/>
      <c r="YU138" s="860"/>
      <c r="YV138" s="860"/>
      <c r="YW138" s="860"/>
      <c r="YX138" s="860"/>
      <c r="YY138" s="860"/>
      <c r="YZ138" s="860"/>
      <c r="ZA138" s="860"/>
      <c r="ZB138" s="860"/>
      <c r="ZC138" s="860"/>
      <c r="ZD138" s="860"/>
      <c r="ZE138" s="860"/>
      <c r="ZF138" s="860"/>
      <c r="ZG138" s="860"/>
      <c r="ZH138" s="860"/>
      <c r="ZI138" s="860"/>
      <c r="ZJ138" s="860"/>
      <c r="ZK138" s="860"/>
      <c r="ZL138" s="860"/>
      <c r="ZM138" s="860"/>
      <c r="ZN138" s="860"/>
      <c r="ZO138" s="860"/>
      <c r="ZP138" s="860"/>
      <c r="ZQ138" s="860"/>
      <c r="ZR138" s="860"/>
      <c r="ZS138" s="860"/>
      <c r="ZT138" s="860"/>
      <c r="ZU138" s="860"/>
      <c r="ZV138" s="860"/>
      <c r="ZW138" s="860"/>
      <c r="ZX138" s="860"/>
      <c r="ZY138" s="860"/>
      <c r="ZZ138" s="860"/>
      <c r="AAA138" s="860"/>
      <c r="AAB138" s="860"/>
      <c r="AAC138" s="860"/>
      <c r="AAD138" s="860"/>
      <c r="AAE138" s="860"/>
      <c r="AAF138" s="860"/>
      <c r="AAG138" s="860"/>
      <c r="AAH138" s="860"/>
      <c r="AAI138" s="860"/>
      <c r="AAJ138" s="860"/>
      <c r="AAK138" s="860"/>
      <c r="AAL138" s="860"/>
      <c r="AAM138" s="860"/>
      <c r="AAN138" s="860"/>
      <c r="AAO138" s="860"/>
      <c r="AAP138" s="860"/>
      <c r="AAQ138" s="860"/>
      <c r="AAR138" s="860"/>
      <c r="AAS138" s="860"/>
      <c r="AAT138" s="1007"/>
      <c r="AAU138" s="981"/>
      <c r="AAV138" s="981"/>
      <c r="AAW138" s="981"/>
      <c r="AAX138" s="981"/>
      <c r="AAY138" s="981"/>
      <c r="AAZ138" s="981"/>
      <c r="ABA138" s="981"/>
      <c r="ABB138" s="981"/>
      <c r="ABC138" s="981"/>
      <c r="ABD138" s="158"/>
      <c r="ABE138" s="158"/>
      <c r="ABF138" s="158"/>
      <c r="ABG138" s="158"/>
      <c r="ABH138" s="158"/>
      <c r="ABI138" s="158"/>
      <c r="ABJ138" s="158"/>
      <c r="ABK138" s="158"/>
      <c r="ABL138" s="158"/>
      <c r="ABM138" s="158"/>
      <c r="ABN138" s="158"/>
      <c r="ABO138" s="158"/>
      <c r="ABP138" s="163"/>
      <c r="ABT138" s="1516"/>
      <c r="ABU138" s="1517"/>
      <c r="ABV138" s="1517"/>
      <c r="ABW138" s="1517"/>
      <c r="ABX138" s="1517"/>
      <c r="ABY138" s="1517"/>
      <c r="ABZ138" s="1517"/>
      <c r="ACA138" s="1517"/>
      <c r="ACB138" s="1517"/>
      <c r="ACC138" s="1517"/>
      <c r="ACD138" s="1517"/>
      <c r="ACE138" s="1517"/>
      <c r="ACF138" s="1517"/>
      <c r="ACG138" s="1517"/>
      <c r="ACH138" s="1518"/>
      <c r="ACI138" s="653"/>
      <c r="ACJ138" s="653"/>
      <c r="ACK138" s="653"/>
      <c r="ACL138" s="653"/>
      <c r="ACM138" s="653"/>
      <c r="ACN138" s="653"/>
      <c r="ACO138" s="653"/>
      <c r="ACP138" s="653"/>
      <c r="ACQ138" s="653"/>
      <c r="ACR138" s="653"/>
      <c r="ACS138" s="653"/>
      <c r="ACT138" s="653"/>
      <c r="ACU138" s="653"/>
      <c r="ACV138" s="653"/>
      <c r="ACW138" s="653"/>
      <c r="ACX138" s="653"/>
      <c r="ACY138" s="653"/>
      <c r="AEH138" s="653"/>
      <c r="AEY138" s="1069">
        <v>2.2999999999999998</v>
      </c>
      <c r="AEZ138" s="1071"/>
      <c r="AFA138" s="1069">
        <v>0.65</v>
      </c>
      <c r="AFB138" s="1071"/>
      <c r="AFC138" s="856">
        <f t="shared" si="183"/>
        <v>-0.25</v>
      </c>
      <c r="AFD138" s="856"/>
      <c r="AFE138" s="856">
        <f t="shared" si="184"/>
        <v>1.2250000000000001</v>
      </c>
      <c r="AFF138" s="856"/>
      <c r="AGL138" s="851"/>
      <c r="AGM138" s="1492" t="s">
        <v>1335</v>
      </c>
      <c r="AGN138" s="1493"/>
      <c r="AGO138" s="774">
        <f>$MP$98</f>
        <v>0.38958741854614803</v>
      </c>
      <c r="AGP138" s="774"/>
      <c r="AGQ138" s="1414"/>
      <c r="AGR138" s="1414"/>
      <c r="AGS138" s="1414"/>
      <c r="AGT138" s="1414"/>
      <c r="AGU138" s="1414"/>
      <c r="AGV138" s="1414"/>
      <c r="AGW138" s="1414"/>
      <c r="AGX138" s="1414"/>
      <c r="AGY138" s="1304"/>
      <c r="AGZ138" s="1354"/>
      <c r="AHA138" s="838"/>
      <c r="AHB138" s="1190"/>
      <c r="AHC138" s="1191"/>
      <c r="AHD138" s="1067"/>
      <c r="AHE138" s="1173"/>
      <c r="AHF138" s="1175"/>
      <c r="AHG138" s="848"/>
      <c r="AHH138" s="1053"/>
      <c r="AHI138" s="1053"/>
      <c r="AHJ138" s="1053"/>
      <c r="AHK138" s="1053"/>
      <c r="AHL138" s="1053"/>
      <c r="AHM138" s="1053"/>
      <c r="AHN138" s="1053"/>
      <c r="AHO138" s="1053"/>
      <c r="AHP138" s="1053"/>
      <c r="AHX138" s="130"/>
      <c r="AQO138" s="851"/>
      <c r="AQP138" s="857"/>
      <c r="AQQ138" s="857"/>
      <c r="AQR138" s="857"/>
      <c r="AQS138" s="857"/>
      <c r="AQT138" s="857"/>
      <c r="AQU138" s="857"/>
      <c r="AQV138" s="857"/>
      <c r="AQW138" s="857"/>
      <c r="AQX138" s="857"/>
      <c r="AQY138" s="857"/>
      <c r="AQZ138" s="857"/>
      <c r="ARA138" s="857"/>
      <c r="ARB138" s="857"/>
      <c r="ARC138" s="837"/>
      <c r="ARD138" s="838"/>
      <c r="ARE138" s="777"/>
      <c r="ARF138" s="799"/>
      <c r="ARG138" s="842"/>
      <c r="ARH138" s="845"/>
      <c r="ARI138" s="846"/>
      <c r="ARJ138" s="848"/>
    </row>
    <row r="139" spans="43:908 1133:1230" ht="48" customHeight="1" thickBot="1">
      <c r="HI139" s="130"/>
      <c r="HJ139" s="130"/>
      <c r="HX139" s="130"/>
      <c r="HY139" s="130"/>
      <c r="HZ139" s="130"/>
      <c r="IA139" s="130"/>
      <c r="IB139" s="130"/>
      <c r="IC139" s="130"/>
      <c r="ID139" s="130"/>
      <c r="IE139" s="130"/>
      <c r="IF139" s="130"/>
      <c r="IG139" s="130"/>
      <c r="IH139" s="130"/>
      <c r="II139" s="130"/>
      <c r="IJ139" s="130"/>
      <c r="IK139" s="130"/>
      <c r="IL139" s="130"/>
      <c r="IM139" s="130"/>
      <c r="LP139" s="130"/>
      <c r="LQ139" s="130"/>
      <c r="LR139" s="130"/>
      <c r="LS139" s="130"/>
      <c r="LT139" s="130"/>
      <c r="MB139" s="851"/>
      <c r="MC139" s="385" t="s">
        <v>425</v>
      </c>
      <c r="MD139" s="1187">
        <f>$ML$111</f>
        <v>1</v>
      </c>
      <c r="ME139" s="1187"/>
      <c r="MF139" s="794"/>
      <c r="MG139" s="795"/>
      <c r="MH139" s="795"/>
      <c r="MI139" s="795"/>
      <c r="MJ139" s="795"/>
      <c r="MK139" s="795"/>
      <c r="ML139" s="795"/>
      <c r="MM139" s="795"/>
      <c r="MN139" s="795"/>
      <c r="MO139" s="795"/>
      <c r="MP139" s="796"/>
      <c r="MQ139" s="812"/>
      <c r="MR139" s="813"/>
      <c r="MS139" s="813"/>
      <c r="MT139" s="813"/>
      <c r="MU139" s="813"/>
      <c r="MV139" s="813"/>
      <c r="MW139" s="813"/>
      <c r="MX139" s="814"/>
      <c r="MY139" s="1053"/>
      <c r="MZ139" s="1053"/>
      <c r="NA139" s="1053"/>
      <c r="NB139" s="1053"/>
      <c r="NC139" s="1053"/>
      <c r="ND139" s="1053"/>
      <c r="NE139" s="1053"/>
      <c r="NF139" s="1053"/>
      <c r="NG139" s="1053"/>
      <c r="NH139" s="1053"/>
      <c r="NI139" s="1053"/>
      <c r="NK139" s="130"/>
      <c r="NL139" s="130"/>
      <c r="OW139" s="653"/>
      <c r="OX139" s="653"/>
      <c r="OY139" s="653"/>
      <c r="OZ139" s="653"/>
      <c r="PA139" s="653"/>
      <c r="PB139" s="653"/>
      <c r="PC139" s="653"/>
      <c r="PD139" s="653"/>
      <c r="PG139" s="377"/>
      <c r="PH139" s="54"/>
      <c r="PI139" s="373"/>
      <c r="PJ139" s="373"/>
      <c r="PK139" s="373"/>
      <c r="PL139" s="373"/>
      <c r="PM139" s="373"/>
      <c r="PN139" s="1458" t="s">
        <v>6</v>
      </c>
      <c r="PO139" s="1280"/>
      <c r="PP139" s="1280"/>
      <c r="PQ139" s="1280"/>
      <c r="PR139" s="1280"/>
      <c r="PS139" s="1281"/>
      <c r="PT139" s="485" t="s">
        <v>1034</v>
      </c>
      <c r="PU139" s="937">
        <f>$AX$25</f>
        <v>0.313</v>
      </c>
      <c r="PV139" s="937"/>
      <c r="PW139" s="485" t="s">
        <v>402</v>
      </c>
      <c r="PX139" s="766">
        <f>$AP$20</f>
        <v>4</v>
      </c>
      <c r="PY139" s="766"/>
      <c r="PZ139" s="373"/>
      <c r="QA139" s="373"/>
      <c r="QB139" s="373"/>
      <c r="QC139" s="373"/>
      <c r="QD139" s="373"/>
      <c r="QE139" s="373"/>
      <c r="QF139" s="373"/>
      <c r="QG139" s="373"/>
      <c r="QH139" s="373"/>
      <c r="QI139" s="373"/>
      <c r="QJ139" s="373"/>
      <c r="QK139" s="373"/>
      <c r="QL139" s="373"/>
      <c r="QM139" s="373"/>
      <c r="QN139" s="373"/>
      <c r="QO139" s="54"/>
      <c r="QP139" s="373"/>
      <c r="QQ139" s="373"/>
      <c r="QR139" s="374"/>
      <c r="QV139" s="130"/>
      <c r="QW139" s="130"/>
      <c r="QX139" s="130"/>
      <c r="VD139" s="1026"/>
      <c r="VE139" s="1027"/>
      <c r="VF139" s="1027"/>
      <c r="VG139" s="1027"/>
      <c r="VH139" s="1027"/>
      <c r="VI139" s="1027"/>
      <c r="VJ139" s="1027"/>
      <c r="VK139" s="1027"/>
      <c r="VL139" s="1027"/>
      <c r="VM139" s="1027"/>
      <c r="VN139" s="1027"/>
      <c r="VO139" s="1027"/>
      <c r="VP139" s="1027"/>
      <c r="VQ139" s="1027"/>
      <c r="VR139" s="1027"/>
      <c r="VS139" s="1027"/>
      <c r="VT139" s="1027"/>
      <c r="VU139" s="1027"/>
      <c r="VV139" s="1027"/>
      <c r="VW139" s="1027"/>
      <c r="VX139" s="1027"/>
      <c r="VY139" s="1027"/>
      <c r="VZ139" s="1028"/>
      <c r="WE139" s="752">
        <v>16</v>
      </c>
      <c r="WF139" s="753"/>
      <c r="WG139" s="800" t="s">
        <v>1216</v>
      </c>
      <c r="WH139" s="982"/>
      <c r="WI139" s="982"/>
      <c r="WJ139" s="801"/>
      <c r="WK139" s="766">
        <f>$AP$7</f>
        <v>220</v>
      </c>
      <c r="WL139" s="766"/>
      <c r="WM139" s="173"/>
      <c r="WN139" s="173"/>
      <c r="WO139" s="173"/>
      <c r="WP139" s="173"/>
      <c r="WQ139" s="173"/>
      <c r="WR139" s="173"/>
      <c r="WS139" s="173"/>
      <c r="WT139" s="173"/>
      <c r="WU139" s="173"/>
      <c r="WV139" s="173"/>
      <c r="WW139" s="173"/>
      <c r="WX139" s="173"/>
      <c r="WY139" s="173"/>
      <c r="WZ139" s="1004" t="s">
        <v>32</v>
      </c>
      <c r="XA139" s="1004"/>
      <c r="XB139" s="173"/>
      <c r="XC139" s="173"/>
      <c r="XD139" s="173"/>
      <c r="XE139" s="173"/>
      <c r="XF139" s="173"/>
      <c r="XG139" s="1009">
        <f>$WK$139/((XG134^2+XG137^2)^0.5)</f>
        <v>13.648572455041894</v>
      </c>
      <c r="XH139" s="1009">
        <f t="shared" ref="XH139:ZS139" si="185">$WK$139/((XH134^2+XH137^2)^0.5)</f>
        <v>26.965588419149455</v>
      </c>
      <c r="XI139" s="1009">
        <f t="shared" si="185"/>
        <v>39.878201555192788</v>
      </c>
      <c r="XJ139" s="1009">
        <f t="shared" si="185"/>
        <v>52.327044336624851</v>
      </c>
      <c r="XK139" s="1009">
        <f t="shared" si="185"/>
        <v>64.266501759984692</v>
      </c>
      <c r="XL139" s="1009">
        <f t="shared" si="185"/>
        <v>75.665414394901902</v>
      </c>
      <c r="XM139" s="1009">
        <f t="shared" si="185"/>
        <v>86.504174547914118</v>
      </c>
      <c r="XN139" s="1009">
        <f t="shared" si="185"/>
        <v>96.773745688487381</v>
      </c>
      <c r="XO139" s="1009">
        <f t="shared" si="185"/>
        <v>106.81693726526385</v>
      </c>
      <c r="XP139" s="1009">
        <f t="shared" si="185"/>
        <v>116.8633313638319</v>
      </c>
      <c r="XQ139" s="1009">
        <f t="shared" si="185"/>
        <v>126.05201585422967</v>
      </c>
      <c r="XR139" s="1009">
        <f t="shared" si="185"/>
        <v>136.00286596977202</v>
      </c>
      <c r="XS139" s="1009">
        <f t="shared" si="185"/>
        <v>145.44392415920981</v>
      </c>
      <c r="XT139" s="1009">
        <f t="shared" si="185"/>
        <v>151.48895421264655</v>
      </c>
      <c r="XU139" s="1009">
        <f t="shared" si="185"/>
        <v>160.99589883954562</v>
      </c>
      <c r="XV139" s="1009">
        <f t="shared" si="185"/>
        <v>170.56221491909915</v>
      </c>
      <c r="XW139" s="1009">
        <f t="shared" si="185"/>
        <v>178.813422277656</v>
      </c>
      <c r="XX139" s="1009">
        <f t="shared" si="185"/>
        <v>186.4785566335006</v>
      </c>
      <c r="XY139" s="1009">
        <f t="shared" si="185"/>
        <v>193.55177040737541</v>
      </c>
      <c r="XZ139" s="1009">
        <f t="shared" si="185"/>
        <v>200.06682000947799</v>
      </c>
      <c r="YA139" s="1009">
        <f t="shared" si="185"/>
        <v>200.89775053875115</v>
      </c>
      <c r="YB139" s="1009">
        <f t="shared" si="185"/>
        <v>207.83587677884023</v>
      </c>
      <c r="YC139" s="1009">
        <f t="shared" si="185"/>
        <v>214.10794101748547</v>
      </c>
      <c r="YD139" s="1009">
        <f t="shared" si="185"/>
        <v>219.18119383325561</v>
      </c>
      <c r="YE139" s="1009">
        <f t="shared" si="185"/>
        <v>224.40191815113278</v>
      </c>
      <c r="YF139" s="1009">
        <f t="shared" si="185"/>
        <v>228.60614788707522</v>
      </c>
      <c r="YG139" s="1009">
        <f t="shared" si="185"/>
        <v>232.8986137375048</v>
      </c>
      <c r="YH139" s="1009">
        <f t="shared" si="185"/>
        <v>236.41010554740353</v>
      </c>
      <c r="YI139" s="1009">
        <f t="shared" si="185"/>
        <v>239.60316115577342</v>
      </c>
      <c r="YJ139" s="1009">
        <f t="shared" si="185"/>
        <v>242.86985621870824</v>
      </c>
      <c r="YK139" s="1009">
        <f t="shared" si="185"/>
        <v>245.53687610431456</v>
      </c>
      <c r="YL139" s="1009">
        <f t="shared" si="185"/>
        <v>247.99389131681494</v>
      </c>
      <c r="YM139" s="1009">
        <f t="shared" si="185"/>
        <v>250.2267742104406</v>
      </c>
      <c r="YN139" s="1009">
        <f t="shared" si="185"/>
        <v>252.32312651129732</v>
      </c>
      <c r="YO139" s="1009">
        <f t="shared" si="185"/>
        <v>254.26568623236813</v>
      </c>
      <c r="YP139" s="1009">
        <f t="shared" si="185"/>
        <v>256.06942703196006</v>
      </c>
      <c r="YQ139" s="1009">
        <f t="shared" si="185"/>
        <v>257.70972497648415</v>
      </c>
      <c r="YR139" s="1009">
        <f t="shared" si="185"/>
        <v>259.27393499499948</v>
      </c>
      <c r="YS139" s="1009">
        <f t="shared" si="185"/>
        <v>260.69615309568263</v>
      </c>
      <c r="YT139" s="1009">
        <f t="shared" si="185"/>
        <v>261.91651588604759</v>
      </c>
      <c r="YU139" s="1009">
        <f t="shared" si="185"/>
        <v>263.17004786996927</v>
      </c>
      <c r="YV139" s="1009">
        <f t="shared" si="185"/>
        <v>264.38568889693755</v>
      </c>
      <c r="YW139" s="1009">
        <f t="shared" si="185"/>
        <v>265.48919057603808</v>
      </c>
      <c r="YX139" s="1009">
        <f t="shared" si="185"/>
        <v>266.37886453246176</v>
      </c>
      <c r="YY139" s="1009">
        <f t="shared" si="185"/>
        <v>267.36438114493893</v>
      </c>
      <c r="YZ139" s="1009">
        <f t="shared" si="185"/>
        <v>268.16401998991768</v>
      </c>
      <c r="ZA139" s="1009">
        <f t="shared" si="185"/>
        <v>269.01769026118478</v>
      </c>
      <c r="ZB139" s="1009">
        <f t="shared" si="185"/>
        <v>269.82398071848223</v>
      </c>
      <c r="ZC139" s="1009">
        <f t="shared" si="185"/>
        <v>270.5048616792954</v>
      </c>
      <c r="ZD139" s="1009">
        <f t="shared" si="185"/>
        <v>271.26580959500296</v>
      </c>
      <c r="ZE139" s="1009">
        <f t="shared" si="185"/>
        <v>271.88371630071879</v>
      </c>
      <c r="ZF139" s="1009">
        <f t="shared" si="185"/>
        <v>272.47528638948307</v>
      </c>
      <c r="ZG139" s="1009">
        <f t="shared" si="185"/>
        <v>273.10858498425438</v>
      </c>
      <c r="ZH139" s="1009">
        <f t="shared" si="185"/>
        <v>273.64968692198676</v>
      </c>
      <c r="ZI139" s="1009">
        <f t="shared" si="185"/>
        <v>274.22916548279977</v>
      </c>
      <c r="ZJ139" s="1009">
        <f t="shared" si="185"/>
        <v>274.72671727454815</v>
      </c>
      <c r="ZK139" s="1009">
        <f t="shared" si="185"/>
        <v>275.20598606910499</v>
      </c>
      <c r="ZL139" s="1009">
        <f t="shared" si="185"/>
        <v>275.68486884444127</v>
      </c>
      <c r="ZM139" s="1009">
        <f t="shared" si="185"/>
        <v>276.12862469442331</v>
      </c>
      <c r="ZN139" s="1009">
        <f t="shared" si="185"/>
        <v>276.50522479157354</v>
      </c>
      <c r="ZO139" s="1009">
        <f t="shared" si="185"/>
        <v>276.8569433036846</v>
      </c>
      <c r="ZP139" s="1009">
        <f t="shared" si="185"/>
        <v>277.23761048826282</v>
      </c>
      <c r="ZQ139" s="1009">
        <f t="shared" si="185"/>
        <v>277.56117320123184</v>
      </c>
      <c r="ZR139" s="1009">
        <f t="shared" si="185"/>
        <v>277.85865843335375</v>
      </c>
      <c r="ZS139" s="1009">
        <f t="shared" si="185"/>
        <v>278.1589717528957</v>
      </c>
      <c r="ZT139" s="1009">
        <f t="shared" ref="ZT139:AAS139" si="186">$WK$139/((ZT134^2+ZT137^2)^0.5)</f>
        <v>278.44866885377127</v>
      </c>
      <c r="ZU139" s="1009">
        <f t="shared" si="186"/>
        <v>278.74835628653648</v>
      </c>
      <c r="ZV139" s="1009">
        <f t="shared" si="186"/>
        <v>279.01720459729631</v>
      </c>
      <c r="ZW139" s="1009">
        <f t="shared" si="186"/>
        <v>279.27717343774361</v>
      </c>
      <c r="ZX139" s="1009">
        <f t="shared" si="186"/>
        <v>279.51436994876173</v>
      </c>
      <c r="ZY139" s="1009">
        <f t="shared" si="186"/>
        <v>279.7579474690952</v>
      </c>
      <c r="ZZ139" s="1009">
        <f t="shared" si="186"/>
        <v>279.9939885479838</v>
      </c>
      <c r="AAA139" s="1009">
        <f t="shared" si="186"/>
        <v>280.20841167367405</v>
      </c>
      <c r="AAB139" s="1009">
        <f t="shared" si="186"/>
        <v>280.43049378718149</v>
      </c>
      <c r="AAC139" s="1009">
        <f t="shared" si="186"/>
        <v>280.63160502274189</v>
      </c>
      <c r="AAD139" s="1009">
        <f t="shared" si="186"/>
        <v>280.84110290062711</v>
      </c>
      <c r="AAE139" s="1009">
        <f t="shared" si="186"/>
        <v>281.03019500709792</v>
      </c>
      <c r="AAF139" s="1009">
        <f t="shared" si="186"/>
        <v>281.2283182103177</v>
      </c>
      <c r="AAG139" s="1009">
        <f t="shared" si="186"/>
        <v>281.40653049714012</v>
      </c>
      <c r="AAH139" s="1009">
        <f t="shared" si="186"/>
        <v>281.59434654273463</v>
      </c>
      <c r="AAI139" s="1009">
        <f t="shared" si="186"/>
        <v>281.76268611424899</v>
      </c>
      <c r="AAJ139" s="1009">
        <f t="shared" si="186"/>
        <v>281.9411399426653</v>
      </c>
      <c r="AAK139" s="1009">
        <f t="shared" si="186"/>
        <v>282.1004996186619</v>
      </c>
      <c r="AAL139" s="1009">
        <f t="shared" si="186"/>
        <v>282.29997193798471</v>
      </c>
      <c r="AAM139" s="1009">
        <f t="shared" si="186"/>
        <v>282.53258182635045</v>
      </c>
      <c r="AAN139" s="1009">
        <f t="shared" si="186"/>
        <v>282.72456227175195</v>
      </c>
      <c r="AAO139" s="1009">
        <f t="shared" si="186"/>
        <v>282.95015173703649</v>
      </c>
      <c r="AAP139" s="1009">
        <f t="shared" si="186"/>
        <v>283.13528649111959</v>
      </c>
      <c r="AAQ139" s="1009">
        <f t="shared" si="186"/>
        <v>283.30118795949124</v>
      </c>
      <c r="AAR139" s="1009">
        <f t="shared" si="186"/>
        <v>283.51779456629004</v>
      </c>
      <c r="AAS139" s="1009">
        <f t="shared" si="186"/>
        <v>283.69415052416281</v>
      </c>
      <c r="AAT139" s="1005">
        <v>16</v>
      </c>
      <c r="AAU139" s="175"/>
      <c r="AAV139" s="173"/>
      <c r="AAW139" s="173"/>
      <c r="AAX139" s="173"/>
      <c r="AAY139" s="173"/>
      <c r="AAZ139" s="173"/>
      <c r="ABA139" s="162"/>
      <c r="ABB139" s="158"/>
      <c r="ABC139" s="160"/>
      <c r="ABD139" s="158"/>
      <c r="ABE139" s="158"/>
      <c r="ABF139" s="158"/>
      <c r="ABG139" s="158"/>
      <c r="ABH139" s="158"/>
      <c r="ABI139" s="158"/>
      <c r="ABJ139" s="158"/>
      <c r="ABK139" s="158"/>
      <c r="ABL139" s="158"/>
      <c r="ABM139" s="158"/>
      <c r="ABN139" s="158"/>
      <c r="ABO139" s="158"/>
      <c r="ABP139" s="163"/>
      <c r="ABT139" s="1516"/>
      <c r="ABU139" s="1517"/>
      <c r="ABV139" s="1517"/>
      <c r="ABW139" s="1517"/>
      <c r="ABX139" s="1517"/>
      <c r="ABY139" s="1517"/>
      <c r="ABZ139" s="1517"/>
      <c r="ACA139" s="1517"/>
      <c r="ACB139" s="1517"/>
      <c r="ACC139" s="1517"/>
      <c r="ACD139" s="1517"/>
      <c r="ACE139" s="1517"/>
      <c r="ACF139" s="1517"/>
      <c r="ACG139" s="1517"/>
      <c r="ACH139" s="1518"/>
      <c r="ACQ139" s="653"/>
      <c r="ACR139" s="653"/>
      <c r="ACS139" s="653"/>
      <c r="ACT139" s="653"/>
      <c r="ACU139" s="653"/>
      <c r="ACV139" s="653"/>
      <c r="ACW139" s="653"/>
      <c r="ACX139" s="653"/>
      <c r="ACY139" s="653"/>
      <c r="AEY139" s="1069">
        <v>2.5</v>
      </c>
      <c r="AEZ139" s="1071"/>
      <c r="AFA139" s="1069">
        <v>0.6</v>
      </c>
      <c r="AFB139" s="1071"/>
      <c r="AFC139" s="856">
        <f t="shared" si="183"/>
        <v>-0.24999999999999944</v>
      </c>
      <c r="AFD139" s="856"/>
      <c r="AFE139" s="856">
        <f t="shared" si="184"/>
        <v>1.2249999999999988</v>
      </c>
      <c r="AFF139" s="856"/>
    </row>
    <row r="140" spans="43:908 1133:1230" ht="48" customHeight="1" thickBot="1">
      <c r="HI140" s="130"/>
      <c r="HJ140" s="130"/>
      <c r="HX140" s="130"/>
      <c r="HY140" s="130"/>
      <c r="HZ140" s="130"/>
      <c r="IA140" s="130"/>
      <c r="IB140" s="130"/>
      <c r="IC140" s="130"/>
      <c r="ID140" s="130"/>
      <c r="IE140" s="130"/>
      <c r="IF140" s="130"/>
      <c r="IG140" s="130"/>
      <c r="IH140" s="130"/>
      <c r="II140" s="130"/>
      <c r="IJ140" s="130"/>
      <c r="IK140" s="130"/>
      <c r="IL140" s="130"/>
      <c r="IM140" s="130"/>
      <c r="LP140" s="130"/>
      <c r="LQ140" s="130"/>
      <c r="LR140" s="130"/>
      <c r="LS140" s="130"/>
      <c r="LT140" s="130"/>
      <c r="NG140" s="130"/>
      <c r="NH140" s="130"/>
      <c r="NK140" s="130"/>
      <c r="NM140" s="653"/>
      <c r="NN140" s="653"/>
      <c r="NO140" s="653"/>
      <c r="NP140" s="653"/>
      <c r="NQ140" s="653"/>
      <c r="NR140" s="653"/>
      <c r="NS140" s="653"/>
      <c r="NT140" s="653"/>
      <c r="NU140" s="653"/>
      <c r="NV140" s="653"/>
      <c r="NW140" s="653"/>
      <c r="NX140" s="653"/>
      <c r="NY140" s="653"/>
      <c r="NZ140" s="653"/>
      <c r="OW140" s="653"/>
      <c r="OX140" s="653"/>
      <c r="OY140" s="653"/>
      <c r="OZ140" s="653"/>
      <c r="PA140" s="653"/>
      <c r="PB140" s="653"/>
      <c r="PC140" s="653"/>
      <c r="PD140" s="653"/>
      <c r="PE140" s="130"/>
      <c r="PF140" s="130"/>
      <c r="PG140" s="377"/>
      <c r="PH140" s="54"/>
      <c r="PI140" s="373"/>
      <c r="PJ140" s="373"/>
      <c r="PK140" s="373"/>
      <c r="PL140" s="849"/>
      <c r="PM140" s="1257" t="s">
        <v>416</v>
      </c>
      <c r="PN140" s="1257"/>
      <c r="PO140" s="486"/>
      <c r="PP140" s="471"/>
      <c r="PQ140" s="471"/>
      <c r="PR140" s="78"/>
      <c r="PS140" s="78"/>
      <c r="PT140" s="78"/>
      <c r="PU140" s="78"/>
      <c r="PV140" s="484"/>
      <c r="PW140" s="76" t="s">
        <v>441</v>
      </c>
      <c r="PX140" s="854" t="s">
        <v>435</v>
      </c>
      <c r="PY140" s="1111"/>
      <c r="PZ140" s="920" t="s">
        <v>111</v>
      </c>
      <c r="QA140" s="921"/>
      <c r="QB140" s="916" t="s">
        <v>704</v>
      </c>
      <c r="QC140" s="922"/>
      <c r="QD140" s="1051" t="s">
        <v>447</v>
      </c>
      <c r="QE140" s="1051"/>
      <c r="QF140" s="1051"/>
      <c r="QG140" s="1051"/>
      <c r="QH140" s="1051"/>
      <c r="QI140" s="906" t="s">
        <v>863</v>
      </c>
      <c r="QJ140" s="907"/>
      <c r="QK140" s="908"/>
      <c r="QL140" s="373"/>
      <c r="QM140" s="373"/>
      <c r="QN140" s="373"/>
      <c r="QO140" s="54"/>
      <c r="QP140" s="373"/>
      <c r="QQ140" s="373"/>
      <c r="QR140" s="374"/>
      <c r="QV140" s="130"/>
      <c r="QW140" s="130"/>
      <c r="QX140" s="130"/>
      <c r="VD140" s="1026"/>
      <c r="VE140" s="1027"/>
      <c r="VF140" s="1027"/>
      <c r="VG140" s="1027"/>
      <c r="VH140" s="1027"/>
      <c r="VI140" s="1027"/>
      <c r="VJ140" s="1027"/>
      <c r="VK140" s="1027"/>
      <c r="VL140" s="1027"/>
      <c r="VM140" s="1027"/>
      <c r="VN140" s="1027"/>
      <c r="VO140" s="1027"/>
      <c r="VP140" s="1027"/>
      <c r="VQ140" s="1027"/>
      <c r="VR140" s="1027"/>
      <c r="VS140" s="1027"/>
      <c r="VT140" s="1027"/>
      <c r="VU140" s="1027"/>
      <c r="VV140" s="1027"/>
      <c r="VW140" s="1027"/>
      <c r="VX140" s="1027"/>
      <c r="VY140" s="1027"/>
      <c r="VZ140" s="1028"/>
      <c r="WE140" s="996"/>
      <c r="WF140" s="997"/>
      <c r="WG140" s="173"/>
      <c r="WH140" s="173"/>
      <c r="WI140" s="173"/>
      <c r="WJ140" s="173"/>
      <c r="WK140" s="173"/>
      <c r="WL140" s="173"/>
      <c r="WM140" s="173"/>
      <c r="WN140" s="173"/>
      <c r="WO140" s="173"/>
      <c r="WP140" s="173"/>
      <c r="WQ140" s="173"/>
      <c r="WR140" s="173"/>
      <c r="WS140" s="173"/>
      <c r="WT140" s="173"/>
      <c r="WU140" s="173"/>
      <c r="WV140" s="173"/>
      <c r="WW140" s="173"/>
      <c r="WX140" s="173"/>
      <c r="WY140" s="173"/>
      <c r="WZ140" s="1004"/>
      <c r="XA140" s="1004"/>
      <c r="XB140" s="173"/>
      <c r="XC140" s="173"/>
      <c r="XD140" s="173"/>
      <c r="XE140" s="173"/>
      <c r="XF140" s="173"/>
      <c r="XG140" s="1010"/>
      <c r="XH140" s="1010"/>
      <c r="XI140" s="1010"/>
      <c r="XJ140" s="1010"/>
      <c r="XK140" s="1010"/>
      <c r="XL140" s="1010"/>
      <c r="XM140" s="1010"/>
      <c r="XN140" s="1010"/>
      <c r="XO140" s="1010"/>
      <c r="XP140" s="1010"/>
      <c r="XQ140" s="1010"/>
      <c r="XR140" s="1010"/>
      <c r="XS140" s="1010"/>
      <c r="XT140" s="1010"/>
      <c r="XU140" s="1010"/>
      <c r="XV140" s="1010"/>
      <c r="XW140" s="1010"/>
      <c r="XX140" s="1010"/>
      <c r="XY140" s="1010"/>
      <c r="XZ140" s="1010"/>
      <c r="YA140" s="1010"/>
      <c r="YB140" s="1010"/>
      <c r="YC140" s="1010"/>
      <c r="YD140" s="1010"/>
      <c r="YE140" s="1010"/>
      <c r="YF140" s="1010"/>
      <c r="YG140" s="1010"/>
      <c r="YH140" s="1010"/>
      <c r="YI140" s="1010"/>
      <c r="YJ140" s="1010"/>
      <c r="YK140" s="1010"/>
      <c r="YL140" s="1010"/>
      <c r="YM140" s="1010"/>
      <c r="YN140" s="1010"/>
      <c r="YO140" s="1010"/>
      <c r="YP140" s="1010"/>
      <c r="YQ140" s="1010"/>
      <c r="YR140" s="1010"/>
      <c r="YS140" s="1010"/>
      <c r="YT140" s="1010"/>
      <c r="YU140" s="1010"/>
      <c r="YV140" s="1010"/>
      <c r="YW140" s="1010"/>
      <c r="YX140" s="1010"/>
      <c r="YY140" s="1010"/>
      <c r="YZ140" s="1010"/>
      <c r="ZA140" s="1010"/>
      <c r="ZB140" s="1010"/>
      <c r="ZC140" s="1010"/>
      <c r="ZD140" s="1010"/>
      <c r="ZE140" s="1010"/>
      <c r="ZF140" s="1010"/>
      <c r="ZG140" s="1010"/>
      <c r="ZH140" s="1010"/>
      <c r="ZI140" s="1010"/>
      <c r="ZJ140" s="1010"/>
      <c r="ZK140" s="1010"/>
      <c r="ZL140" s="1010"/>
      <c r="ZM140" s="1010"/>
      <c r="ZN140" s="1010"/>
      <c r="ZO140" s="1010"/>
      <c r="ZP140" s="1010"/>
      <c r="ZQ140" s="1010"/>
      <c r="ZR140" s="1010"/>
      <c r="ZS140" s="1010"/>
      <c r="ZT140" s="1010"/>
      <c r="ZU140" s="1010"/>
      <c r="ZV140" s="1010"/>
      <c r="ZW140" s="1010"/>
      <c r="ZX140" s="1010"/>
      <c r="ZY140" s="1010"/>
      <c r="ZZ140" s="1010"/>
      <c r="AAA140" s="1010"/>
      <c r="AAB140" s="1010"/>
      <c r="AAC140" s="1010"/>
      <c r="AAD140" s="1010"/>
      <c r="AAE140" s="1010"/>
      <c r="AAF140" s="1010"/>
      <c r="AAG140" s="1010"/>
      <c r="AAH140" s="1010"/>
      <c r="AAI140" s="1010"/>
      <c r="AAJ140" s="1010"/>
      <c r="AAK140" s="1010"/>
      <c r="AAL140" s="1010"/>
      <c r="AAM140" s="1010"/>
      <c r="AAN140" s="1010"/>
      <c r="AAO140" s="1010"/>
      <c r="AAP140" s="1010"/>
      <c r="AAQ140" s="1010"/>
      <c r="AAR140" s="1010"/>
      <c r="AAS140" s="1010"/>
      <c r="AAT140" s="1006"/>
      <c r="AAU140" s="175"/>
      <c r="AAV140" s="173"/>
      <c r="AAW140" s="173"/>
      <c r="AAX140" s="173"/>
      <c r="AAY140" s="173"/>
      <c r="AAZ140" s="173"/>
      <c r="ABA140" s="162"/>
      <c r="ABB140" s="158"/>
      <c r="ABC140" s="158"/>
      <c r="ABD140" s="158"/>
      <c r="ABE140" s="158"/>
      <c r="ABF140" s="158"/>
      <c r="ABG140" s="158"/>
      <c r="ABH140" s="158"/>
      <c r="ABI140" s="158"/>
      <c r="ABJ140" s="158"/>
      <c r="ABK140" s="158"/>
      <c r="ABL140" s="158"/>
      <c r="ABM140" s="158"/>
      <c r="ABN140" s="158"/>
      <c r="ABO140" s="158"/>
      <c r="ABP140" s="163"/>
      <c r="ABQ140" s="653"/>
      <c r="ABR140" s="653"/>
      <c r="ABT140" s="1516"/>
      <c r="ABU140" s="1517"/>
      <c r="ABV140" s="1517"/>
      <c r="ABW140" s="1517"/>
      <c r="ABX140" s="1517"/>
      <c r="ABY140" s="1517"/>
      <c r="ABZ140" s="1517"/>
      <c r="ACA140" s="1517"/>
      <c r="ACB140" s="1517"/>
      <c r="ACC140" s="1517"/>
      <c r="ACD140" s="1517"/>
      <c r="ACE140" s="1517"/>
      <c r="ACF140" s="1517"/>
      <c r="ACG140" s="1517"/>
      <c r="ACH140" s="1518"/>
      <c r="ACQ140" s="653"/>
      <c r="ACR140" s="653"/>
      <c r="ACS140" s="653"/>
      <c r="ACT140" s="653"/>
      <c r="ACU140" s="653"/>
      <c r="ACV140" s="653"/>
      <c r="ACW140" s="653"/>
      <c r="ACX140" s="653"/>
      <c r="ACY140" s="653"/>
      <c r="AEY140" s="1069">
        <v>2.7</v>
      </c>
      <c r="AEZ140" s="1071"/>
      <c r="AFA140" s="1069">
        <v>0.55000000000000004</v>
      </c>
      <c r="AFB140" s="1071"/>
      <c r="AFC140" s="856">
        <f t="shared" si="183"/>
        <v>-0.10000000000000009</v>
      </c>
      <c r="AFD140" s="856"/>
      <c r="AFE140" s="856">
        <f t="shared" si="184"/>
        <v>0.82000000000000028</v>
      </c>
      <c r="AFF140" s="856"/>
      <c r="AGL140" s="849"/>
      <c r="AGM140" s="852" t="s">
        <v>416</v>
      </c>
      <c r="AGN140" s="853"/>
      <c r="AGO140" s="427"/>
      <c r="AGP140" s="861" t="s">
        <v>1700</v>
      </c>
      <c r="AGQ140" s="861"/>
      <c r="AGR140" s="861"/>
      <c r="AGS140" s="890">
        <f>$AGZ$93</f>
        <v>0.1099161577219142</v>
      </c>
      <c r="AGT140" s="890"/>
      <c r="AGU140" s="78"/>
      <c r="AGV140" s="427"/>
      <c r="AGW140" s="76" t="s">
        <v>441</v>
      </c>
      <c r="AGX140" s="854" t="s">
        <v>435</v>
      </c>
      <c r="AGY140" s="1111"/>
      <c r="AGZ140" s="920" t="s">
        <v>111</v>
      </c>
      <c r="AHA140" s="921"/>
      <c r="AHB140" s="916" t="s">
        <v>704</v>
      </c>
      <c r="AHC140" s="917"/>
      <c r="AHD140" s="906" t="s">
        <v>447</v>
      </c>
      <c r="AHE140" s="907"/>
      <c r="AHF140" s="907"/>
      <c r="AHG140" s="908"/>
      <c r="AHH140" s="1051" t="s">
        <v>436</v>
      </c>
      <c r="AHI140" s="1051"/>
      <c r="AHJ140" s="1051"/>
      <c r="AHK140" s="1051"/>
      <c r="AHL140" s="1051"/>
      <c r="AHM140" s="1051"/>
      <c r="AHN140" s="1051"/>
      <c r="AHO140" s="1051"/>
      <c r="AHP140" s="1051"/>
      <c r="AHX140" s="130"/>
      <c r="AQO140" s="849"/>
      <c r="AQP140" s="852" t="s">
        <v>416</v>
      </c>
      <c r="AQQ140" s="853"/>
      <c r="AQR140" s="700"/>
      <c r="AQS140" s="78"/>
      <c r="AQT140" s="78"/>
      <c r="AQU140" s="78"/>
      <c r="AQV140" s="78"/>
      <c r="AQW140" s="78"/>
      <c r="AQX140" s="78"/>
      <c r="AQY140" s="700"/>
      <c r="AQZ140" s="76" t="s">
        <v>441</v>
      </c>
      <c r="ARA140" s="854" t="s">
        <v>435</v>
      </c>
      <c r="ARB140" s="855"/>
      <c r="ARC140" s="920" t="s">
        <v>111</v>
      </c>
      <c r="ARD140" s="921"/>
      <c r="ARE140" s="916" t="s">
        <v>704</v>
      </c>
      <c r="ARF140" s="917"/>
      <c r="ARG140" s="906" t="s">
        <v>447</v>
      </c>
      <c r="ARH140" s="907"/>
      <c r="ARI140" s="907"/>
      <c r="ARJ140" s="908"/>
    </row>
    <row r="141" spans="43:908 1133:1230" ht="48" customHeight="1" thickBot="1">
      <c r="HI141" s="130"/>
      <c r="HJ141" s="130"/>
      <c r="HX141" s="130"/>
      <c r="HY141" s="130"/>
      <c r="HZ141" s="130"/>
      <c r="IA141" s="130"/>
      <c r="IB141" s="130"/>
      <c r="IC141" s="130"/>
      <c r="ID141" s="130"/>
      <c r="IE141" s="130"/>
      <c r="IF141" s="130"/>
      <c r="IG141" s="130"/>
      <c r="IH141" s="130"/>
      <c r="II141" s="130"/>
      <c r="IJ141" s="130"/>
      <c r="IK141" s="130"/>
      <c r="IL141" s="130"/>
      <c r="IM141" s="130"/>
      <c r="LP141" s="130"/>
      <c r="LQ141" s="130"/>
      <c r="LR141" s="130"/>
      <c r="LS141" s="130"/>
      <c r="LT141" s="130"/>
      <c r="MB141" s="849"/>
      <c r="MC141" s="852" t="s">
        <v>416</v>
      </c>
      <c r="MD141" s="853"/>
      <c r="ME141" s="344"/>
      <c r="MF141" s="800" t="s">
        <v>1309</v>
      </c>
      <c r="MG141" s="982"/>
      <c r="MH141" s="801"/>
      <c r="MI141" s="890">
        <f>$MK$162</f>
        <v>1.5156633701854219</v>
      </c>
      <c r="MJ141" s="890"/>
      <c r="MK141" s="78"/>
      <c r="ML141" s="344"/>
      <c r="MM141" s="76" t="s">
        <v>441</v>
      </c>
      <c r="MN141" s="854" t="s">
        <v>435</v>
      </c>
      <c r="MO141" s="855"/>
      <c r="MP141" s="924" t="s">
        <v>111</v>
      </c>
      <c r="MQ141" s="925"/>
      <c r="MR141" s="916" t="s">
        <v>704</v>
      </c>
      <c r="MS141" s="917"/>
      <c r="MT141" s="906" t="s">
        <v>447</v>
      </c>
      <c r="MU141" s="907"/>
      <c r="MV141" s="907"/>
      <c r="MW141" s="907"/>
      <c r="MX141" s="906" t="s">
        <v>436</v>
      </c>
      <c r="MY141" s="907"/>
      <c r="MZ141" s="907"/>
      <c r="NA141" s="907"/>
      <c r="NB141" s="907"/>
      <c r="NC141" s="907"/>
      <c r="ND141" s="908"/>
      <c r="NG141" s="130"/>
      <c r="NH141" s="130"/>
      <c r="NK141" s="130"/>
      <c r="NM141" s="653"/>
      <c r="NN141" s="653"/>
      <c r="NO141" s="653"/>
      <c r="NP141" s="653"/>
      <c r="NQ141" s="653"/>
      <c r="NR141" s="653"/>
      <c r="NS141" s="653"/>
      <c r="NT141" s="653"/>
      <c r="NU141" s="653"/>
      <c r="NV141" s="653"/>
      <c r="NW141" s="653"/>
      <c r="NX141" s="653"/>
      <c r="NY141" s="653"/>
      <c r="NZ141" s="653"/>
      <c r="OW141" s="653"/>
      <c r="OX141" s="653"/>
      <c r="OY141" s="653"/>
      <c r="OZ141" s="653"/>
      <c r="PA141" s="653"/>
      <c r="PB141" s="653"/>
      <c r="PC141" s="653"/>
      <c r="PD141" s="653"/>
      <c r="PE141" s="130"/>
      <c r="PF141" s="130"/>
      <c r="PG141" s="377"/>
      <c r="PH141" s="54"/>
      <c r="PI141" s="373"/>
      <c r="PJ141" s="373"/>
      <c r="PK141" s="373"/>
      <c r="PL141" s="850"/>
      <c r="PM141" s="791" t="s">
        <v>1539</v>
      </c>
      <c r="PN141" s="792"/>
      <c r="PO141" s="792"/>
      <c r="PP141" s="792"/>
      <c r="PQ141" s="792"/>
      <c r="PR141" s="792"/>
      <c r="PS141" s="792"/>
      <c r="PT141" s="792"/>
      <c r="PU141" s="792"/>
      <c r="PV141" s="792"/>
      <c r="PW141" s="792"/>
      <c r="PX141" s="792"/>
      <c r="PY141" s="793"/>
      <c r="PZ141" s="835">
        <v>6</v>
      </c>
      <c r="QA141" s="836"/>
      <c r="QB141" s="1183" t="s">
        <v>729</v>
      </c>
      <c r="QC141" s="1184"/>
      <c r="QD141" s="1248"/>
      <c r="QE141" s="1320" t="s">
        <v>1538</v>
      </c>
      <c r="QF141" s="1320"/>
      <c r="QG141" s="1320"/>
      <c r="QH141" s="1289"/>
      <c r="QI141" s="1203" t="s">
        <v>862</v>
      </c>
      <c r="QJ141" s="1275"/>
      <c r="QK141" s="1204"/>
      <c r="QL141" s="382" t="s">
        <v>1298</v>
      </c>
      <c r="QM141" s="54"/>
      <c r="QN141" s="54"/>
      <c r="QO141" s="54"/>
      <c r="QP141" s="373"/>
      <c r="QQ141" s="373"/>
      <c r="QR141" s="374"/>
      <c r="QV141" s="130"/>
      <c r="QW141" s="130"/>
      <c r="QX141" s="130"/>
      <c r="VD141" s="1026"/>
      <c r="VE141" s="1027"/>
      <c r="VF141" s="1027"/>
      <c r="VG141" s="1027"/>
      <c r="VH141" s="1027"/>
      <c r="VI141" s="1027"/>
      <c r="VJ141" s="1027"/>
      <c r="VK141" s="1027"/>
      <c r="VL141" s="1027"/>
      <c r="VM141" s="1027"/>
      <c r="VN141" s="1027"/>
      <c r="VO141" s="1027"/>
      <c r="VP141" s="1027"/>
      <c r="VQ141" s="1027"/>
      <c r="VR141" s="1027"/>
      <c r="VS141" s="1027"/>
      <c r="VT141" s="1027"/>
      <c r="VU141" s="1027"/>
      <c r="VV141" s="1027"/>
      <c r="VW141" s="1027"/>
      <c r="VX141" s="1027"/>
      <c r="VY141" s="1027"/>
      <c r="VZ141" s="1028"/>
      <c r="WE141" s="754"/>
      <c r="WF141" s="755"/>
      <c r="WG141" s="173"/>
      <c r="WH141" s="173"/>
      <c r="WI141" s="173"/>
      <c r="WJ141" s="173"/>
      <c r="WK141" s="173"/>
      <c r="WL141" s="173"/>
      <c r="WM141" s="173"/>
      <c r="WN141" s="173"/>
      <c r="WO141" s="173"/>
      <c r="WP141" s="173"/>
      <c r="WQ141" s="173"/>
      <c r="WR141" s="173"/>
      <c r="WS141" s="173"/>
      <c r="WT141" s="173"/>
      <c r="WU141" s="173"/>
      <c r="WV141" s="173"/>
      <c r="WW141" s="173"/>
      <c r="WX141" s="173"/>
      <c r="WY141" s="173"/>
      <c r="WZ141" s="1009"/>
      <c r="XA141" s="1009"/>
      <c r="XB141" s="173"/>
      <c r="XC141" s="173"/>
      <c r="XD141" s="173"/>
      <c r="XE141" s="173"/>
      <c r="XF141" s="173"/>
      <c r="XG141" s="1011"/>
      <c r="XH141" s="1011"/>
      <c r="XI141" s="1011"/>
      <c r="XJ141" s="1011"/>
      <c r="XK141" s="1011"/>
      <c r="XL141" s="1011"/>
      <c r="XM141" s="1011"/>
      <c r="XN141" s="1011"/>
      <c r="XO141" s="1011"/>
      <c r="XP141" s="1011"/>
      <c r="XQ141" s="1011"/>
      <c r="XR141" s="1011"/>
      <c r="XS141" s="1011"/>
      <c r="XT141" s="1011"/>
      <c r="XU141" s="1011"/>
      <c r="XV141" s="1011"/>
      <c r="XW141" s="1011"/>
      <c r="XX141" s="1011"/>
      <c r="XY141" s="1011"/>
      <c r="XZ141" s="1011"/>
      <c r="YA141" s="1011"/>
      <c r="YB141" s="1011"/>
      <c r="YC141" s="1011"/>
      <c r="YD141" s="1011"/>
      <c r="YE141" s="1011"/>
      <c r="YF141" s="1011"/>
      <c r="YG141" s="1011"/>
      <c r="YH141" s="1011"/>
      <c r="YI141" s="1011"/>
      <c r="YJ141" s="1011"/>
      <c r="YK141" s="1011"/>
      <c r="YL141" s="1011"/>
      <c r="YM141" s="1011"/>
      <c r="YN141" s="1011"/>
      <c r="YO141" s="1011"/>
      <c r="YP141" s="1011"/>
      <c r="YQ141" s="1011"/>
      <c r="YR141" s="1011"/>
      <c r="YS141" s="1011"/>
      <c r="YT141" s="1011"/>
      <c r="YU141" s="1011"/>
      <c r="YV141" s="1011"/>
      <c r="YW141" s="1011"/>
      <c r="YX141" s="1011"/>
      <c r="YY141" s="1011"/>
      <c r="YZ141" s="1011"/>
      <c r="ZA141" s="1011"/>
      <c r="ZB141" s="1011"/>
      <c r="ZC141" s="1011"/>
      <c r="ZD141" s="1011"/>
      <c r="ZE141" s="1011"/>
      <c r="ZF141" s="1011"/>
      <c r="ZG141" s="1011"/>
      <c r="ZH141" s="1011"/>
      <c r="ZI141" s="1011"/>
      <c r="ZJ141" s="1011"/>
      <c r="ZK141" s="1011"/>
      <c r="ZL141" s="1011"/>
      <c r="ZM141" s="1011"/>
      <c r="ZN141" s="1011"/>
      <c r="ZO141" s="1011"/>
      <c r="ZP141" s="1011"/>
      <c r="ZQ141" s="1011"/>
      <c r="ZR141" s="1011"/>
      <c r="ZS141" s="1011"/>
      <c r="ZT141" s="1011"/>
      <c r="ZU141" s="1011"/>
      <c r="ZV141" s="1011"/>
      <c r="ZW141" s="1011"/>
      <c r="ZX141" s="1011"/>
      <c r="ZY141" s="1011"/>
      <c r="ZZ141" s="1011"/>
      <c r="AAA141" s="1011"/>
      <c r="AAB141" s="1011"/>
      <c r="AAC141" s="1011"/>
      <c r="AAD141" s="1011"/>
      <c r="AAE141" s="1011"/>
      <c r="AAF141" s="1011"/>
      <c r="AAG141" s="1011"/>
      <c r="AAH141" s="1011"/>
      <c r="AAI141" s="1011"/>
      <c r="AAJ141" s="1011"/>
      <c r="AAK141" s="1011"/>
      <c r="AAL141" s="1011"/>
      <c r="AAM141" s="1011"/>
      <c r="AAN141" s="1011"/>
      <c r="AAO141" s="1011"/>
      <c r="AAP141" s="1011"/>
      <c r="AAQ141" s="1011"/>
      <c r="AAR141" s="1011"/>
      <c r="AAS141" s="1011"/>
      <c r="AAT141" s="1007"/>
      <c r="AAU141" s="175"/>
      <c r="AAV141" s="173"/>
      <c r="AAW141" s="173"/>
      <c r="AAX141" s="173"/>
      <c r="AAY141" s="173"/>
      <c r="AAZ141" s="173"/>
      <c r="ABA141" s="162"/>
      <c r="ABB141" s="158"/>
      <c r="ABC141" s="165"/>
      <c r="ABD141" s="158"/>
      <c r="ABE141" s="158"/>
      <c r="ABF141" s="158"/>
      <c r="ABG141" s="158"/>
      <c r="ABH141" s="158"/>
      <c r="ABI141" s="158"/>
      <c r="ABJ141" s="158"/>
      <c r="ABK141" s="158"/>
      <c r="ABL141" s="158"/>
      <c r="ABM141" s="158"/>
      <c r="ABN141" s="158"/>
      <c r="ABO141" s="158"/>
      <c r="ABP141" s="163"/>
      <c r="ABQ141" s="653"/>
      <c r="ABR141" s="653"/>
      <c r="ABT141" s="1516"/>
      <c r="ABU141" s="1517"/>
      <c r="ABV141" s="1517"/>
      <c r="ABW141" s="1517"/>
      <c r="ABX141" s="1517"/>
      <c r="ABY141" s="1517"/>
      <c r="ABZ141" s="1517"/>
      <c r="ACA141" s="1517"/>
      <c r="ACB141" s="1517"/>
      <c r="ACC141" s="1517"/>
      <c r="ACD141" s="1517"/>
      <c r="ACE141" s="1517"/>
      <c r="ACF141" s="1517"/>
      <c r="ACG141" s="1517"/>
      <c r="ACH141" s="1518"/>
      <c r="ACI141" s="704"/>
      <c r="ACJ141" s="653"/>
      <c r="ACK141" s="653"/>
      <c r="ACL141" s="653"/>
      <c r="ACM141" s="653"/>
      <c r="ACN141" s="653"/>
      <c r="ACO141" s="653"/>
      <c r="ACP141" s="653"/>
      <c r="ACQ141" s="653"/>
      <c r="ACR141" s="653"/>
      <c r="ACS141" s="653"/>
      <c r="ACT141" s="653"/>
      <c r="ACU141" s="653"/>
      <c r="ACV141" s="653"/>
      <c r="ACW141" s="653"/>
      <c r="ACX141" s="653"/>
      <c r="ACY141" s="653"/>
      <c r="AEY141" s="1069">
        <v>3.2</v>
      </c>
      <c r="AEZ141" s="1071"/>
      <c r="AFA141" s="1069">
        <v>0.5</v>
      </c>
      <c r="AFB141" s="1071"/>
      <c r="AFC141" s="856">
        <f t="shared" si="183"/>
        <v>-0.25000000000000028</v>
      </c>
      <c r="AFD141" s="856"/>
      <c r="AFE141" s="856">
        <f t="shared" si="184"/>
        <v>1.3000000000000009</v>
      </c>
      <c r="AFF141" s="856"/>
      <c r="AGL141" s="850"/>
      <c r="AGM141" s="800" t="s">
        <v>1704</v>
      </c>
      <c r="AGN141" s="982"/>
      <c r="AGO141" s="801"/>
      <c r="AGP141" s="1480">
        <f>$AGZ$132</f>
        <v>1.0226437183712982</v>
      </c>
      <c r="AGQ141" s="1481"/>
      <c r="AGR141" s="1307" t="s">
        <v>1451</v>
      </c>
      <c r="AGS141" s="1307"/>
      <c r="AGT141" s="1307"/>
      <c r="AGU141" s="1307"/>
      <c r="AGV141" s="1307"/>
      <c r="AGW141" s="1307"/>
      <c r="AGX141" s="1307"/>
      <c r="AGY141" s="1308"/>
      <c r="AGZ141" s="835">
        <f>AGP143+AGP141*AGS140/AGP142</f>
        <v>0.25549207123810602</v>
      </c>
      <c r="AHA141" s="836"/>
      <c r="AHB141" s="1188" t="s">
        <v>392</v>
      </c>
      <c r="AHC141" s="1189"/>
      <c r="AHD141" s="841"/>
      <c r="AHE141" s="1170" t="s">
        <v>1441</v>
      </c>
      <c r="AHF141" s="1172"/>
      <c r="AHG141" s="847"/>
      <c r="AHH141" s="1052"/>
      <c r="AHI141" s="1052"/>
      <c r="AHJ141" s="1052"/>
      <c r="AHK141" s="1052"/>
      <c r="AHL141" s="1052"/>
      <c r="AHM141" s="1052"/>
      <c r="AHN141" s="1052"/>
      <c r="AHO141" s="1052"/>
      <c r="AHP141" s="1052"/>
      <c r="AQO141" s="850"/>
      <c r="AQP141" s="856"/>
      <c r="AQQ141" s="856"/>
      <c r="AQR141" s="856"/>
      <c r="AQS141" s="856"/>
      <c r="AQT141" s="856"/>
      <c r="AQU141" s="856"/>
      <c r="AQV141" s="856"/>
      <c r="AQW141" s="856"/>
      <c r="AQX141" s="856"/>
      <c r="AQY141" s="856"/>
      <c r="AQZ141" s="856"/>
      <c r="ARA141" s="856"/>
      <c r="ARB141" s="856"/>
      <c r="ARC141" s="835"/>
      <c r="ARD141" s="836"/>
      <c r="ARE141" s="839"/>
      <c r="ARF141" s="840"/>
      <c r="ARG141" s="841"/>
      <c r="ARH141" s="843"/>
      <c r="ARI141" s="844"/>
      <c r="ARJ141" s="847"/>
    </row>
    <row r="142" spans="43:908 1133:1230" ht="48" customHeight="1" thickBot="1">
      <c r="HI142" s="130"/>
      <c r="HJ142" s="130"/>
      <c r="HX142" s="130"/>
      <c r="HY142" s="130"/>
      <c r="HZ142" s="130"/>
      <c r="IA142" s="130"/>
      <c r="IB142" s="130"/>
      <c r="IC142" s="130"/>
      <c r="ID142" s="130"/>
      <c r="IE142" s="130"/>
      <c r="IF142" s="130"/>
      <c r="IG142" s="130"/>
      <c r="IH142" s="130"/>
      <c r="II142" s="130"/>
      <c r="IJ142" s="130"/>
      <c r="IK142" s="130"/>
      <c r="IL142" s="130"/>
      <c r="IM142" s="130"/>
      <c r="LP142" s="130"/>
      <c r="LQ142" s="130"/>
      <c r="LR142" s="130"/>
      <c r="LS142" s="130"/>
      <c r="LT142" s="130"/>
      <c r="LZ142" s="130"/>
      <c r="MB142" s="850"/>
      <c r="MC142" s="348" t="s">
        <v>1015</v>
      </c>
      <c r="MD142" s="890">
        <f>$CL$40</f>
        <v>1.3923283333333335E-2</v>
      </c>
      <c r="ME142" s="890"/>
      <c r="MF142" s="791" t="s">
        <v>1278</v>
      </c>
      <c r="MG142" s="792"/>
      <c r="MH142" s="792"/>
      <c r="MI142" s="792"/>
      <c r="MJ142" s="792"/>
      <c r="MK142" s="792"/>
      <c r="ML142" s="792"/>
      <c r="MM142" s="792"/>
      <c r="MN142" s="792"/>
      <c r="MO142" s="792"/>
      <c r="MP142" s="835">
        <f>(CL40*1000)/(12*GU12*KL72)*MI141</f>
        <v>1.8841973697362955</v>
      </c>
      <c r="MQ142" s="836"/>
      <c r="MR142" s="1183" t="s">
        <v>729</v>
      </c>
      <c r="MS142" s="1184"/>
      <c r="MT142" s="1066"/>
      <c r="MU142" s="893" t="s">
        <v>1268</v>
      </c>
      <c r="MV142" s="894"/>
      <c r="MW142" s="1255"/>
      <c r="MX142" s="826"/>
      <c r="MY142" s="945"/>
      <c r="MZ142" s="945"/>
      <c r="NA142" s="945"/>
      <c r="NB142" s="945"/>
      <c r="NC142" s="945"/>
      <c r="ND142" s="946"/>
      <c r="NM142" s="653"/>
      <c r="NN142" s="653"/>
      <c r="NO142" s="653"/>
      <c r="NP142" s="653"/>
      <c r="NQ142" s="653"/>
      <c r="NR142" s="653"/>
      <c r="NS142" s="653"/>
      <c r="NT142" s="653"/>
      <c r="NU142" s="653"/>
      <c r="NV142" s="653"/>
      <c r="NW142" s="653"/>
      <c r="NX142" s="653"/>
      <c r="NY142" s="653"/>
      <c r="NZ142" s="653"/>
      <c r="OW142" s="653"/>
      <c r="OX142" s="653"/>
      <c r="OY142" s="653"/>
      <c r="OZ142" s="653"/>
      <c r="PA142" s="653"/>
      <c r="PB142" s="653"/>
      <c r="PC142" s="653"/>
      <c r="PD142" s="653"/>
      <c r="PG142" s="377"/>
      <c r="PH142" s="54"/>
      <c r="PI142" s="373"/>
      <c r="PJ142" s="373"/>
      <c r="PK142" s="373"/>
      <c r="PL142" s="851"/>
      <c r="PM142" s="794"/>
      <c r="PN142" s="795"/>
      <c r="PO142" s="795"/>
      <c r="PP142" s="795"/>
      <c r="PQ142" s="795"/>
      <c r="PR142" s="795"/>
      <c r="PS142" s="795"/>
      <c r="PT142" s="795"/>
      <c r="PU142" s="795"/>
      <c r="PV142" s="795"/>
      <c r="PW142" s="795"/>
      <c r="PX142" s="795"/>
      <c r="PY142" s="796"/>
      <c r="PZ142" s="837"/>
      <c r="QA142" s="838"/>
      <c r="QB142" s="1185"/>
      <c r="QC142" s="1186"/>
      <c r="QD142" s="1249"/>
      <c r="QE142" s="1321"/>
      <c r="QF142" s="1321"/>
      <c r="QG142" s="1321"/>
      <c r="QH142" s="1290"/>
      <c r="QI142" s="1276"/>
      <c r="QJ142" s="1277"/>
      <c r="QK142" s="1278"/>
      <c r="QL142" s="373"/>
      <c r="QM142" s="373"/>
      <c r="QN142" s="373"/>
      <c r="QO142" s="373"/>
      <c r="QP142" s="373"/>
      <c r="QQ142" s="373"/>
      <c r="QR142" s="374"/>
      <c r="QV142" s="130"/>
      <c r="QW142" s="130"/>
      <c r="QX142" s="130"/>
      <c r="VD142" s="1026"/>
      <c r="VE142" s="1027"/>
      <c r="VF142" s="1027"/>
      <c r="VG142" s="1027"/>
      <c r="VH142" s="1027"/>
      <c r="VI142" s="1027"/>
      <c r="VJ142" s="1027"/>
      <c r="VK142" s="1027"/>
      <c r="VL142" s="1027"/>
      <c r="VM142" s="1027"/>
      <c r="VN142" s="1027"/>
      <c r="VO142" s="1027"/>
      <c r="VP142" s="1027"/>
      <c r="VQ142" s="1027"/>
      <c r="VR142" s="1027"/>
      <c r="VS142" s="1027"/>
      <c r="VT142" s="1027"/>
      <c r="VU142" s="1027"/>
      <c r="VV142" s="1027"/>
      <c r="VW142" s="1027"/>
      <c r="VX142" s="1027"/>
      <c r="VY142" s="1027"/>
      <c r="VZ142" s="1028"/>
      <c r="WE142" s="752">
        <v>17</v>
      </c>
      <c r="WF142" s="753"/>
      <c r="WG142" s="861" t="s">
        <v>1468</v>
      </c>
      <c r="WH142" s="861"/>
      <c r="WI142" s="861"/>
      <c r="WJ142" s="861"/>
      <c r="WK142" s="951">
        <f>$AGZ$126</f>
        <v>17.205099098916754</v>
      </c>
      <c r="WL142" s="952"/>
      <c r="WM142" s="800" t="s">
        <v>1467</v>
      </c>
      <c r="WN142" s="982"/>
      <c r="WO142" s="982"/>
      <c r="WP142" s="801"/>
      <c r="WQ142" s="1480">
        <f>$AGZ$132</f>
        <v>1.0226437183712982</v>
      </c>
      <c r="WR142" s="1481"/>
      <c r="WS142" s="168"/>
      <c r="WT142" s="168"/>
      <c r="WU142" s="168"/>
      <c r="WV142" s="752" t="s">
        <v>32</v>
      </c>
      <c r="WW142" s="753"/>
      <c r="WX142" s="167"/>
      <c r="WY142" s="168"/>
      <c r="WZ142" s="168"/>
      <c r="XA142" s="168"/>
      <c r="XB142" s="168"/>
      <c r="XC142" s="168"/>
      <c r="XD142" s="168"/>
      <c r="XE142" s="168"/>
      <c r="XF142" s="171"/>
      <c r="XG142" s="1005">
        <f>XG139*((XG134^2+(XG137+$WK$142)^2)^0.5)/($WQ$142 * $WK$142)</f>
        <v>18.722128206258262</v>
      </c>
      <c r="XH142" s="1005">
        <f t="shared" ref="XH142:ZS142" si="187">XH139*((XH134^2+(XH137+$WK$142)^2)^0.5)/($WQ$142 * $WK$142)</f>
        <v>30.236825592518453</v>
      </c>
      <c r="XI142" s="1005">
        <f t="shared" si="187"/>
        <v>42.589873866076601</v>
      </c>
      <c r="XJ142" s="1005">
        <f t="shared" si="187"/>
        <v>54.865848274562708</v>
      </c>
      <c r="XK142" s="1005">
        <f t="shared" si="187"/>
        <v>66.791687702416425</v>
      </c>
      <c r="XL142" s="1005">
        <f t="shared" si="187"/>
        <v>78.25243636688559</v>
      </c>
      <c r="XM142" s="1005">
        <f t="shared" si="187"/>
        <v>89.191621276927478</v>
      </c>
      <c r="XN142" s="1005">
        <f t="shared" si="187"/>
        <v>99.58150716978713</v>
      </c>
      <c r="XO142" s="1005">
        <f t="shared" si="187"/>
        <v>109.75927214279724</v>
      </c>
      <c r="XP142" s="1005">
        <f t="shared" si="187"/>
        <v>119.95231282180508</v>
      </c>
      <c r="XQ142" s="1005">
        <f t="shared" si="187"/>
        <v>129.28219322025365</v>
      </c>
      <c r="XR142" s="1005">
        <f t="shared" si="187"/>
        <v>139.39335384422253</v>
      </c>
      <c r="XS142" s="1005">
        <f t="shared" si="187"/>
        <v>148.9910728762641</v>
      </c>
      <c r="XT142" s="1005">
        <f t="shared" si="187"/>
        <v>155.13779172263634</v>
      </c>
      <c r="XU142" s="1005">
        <f t="shared" si="187"/>
        <v>164.8096870056325</v>
      </c>
      <c r="XV142" s="1005">
        <f t="shared" si="187"/>
        <v>174.54445218238888</v>
      </c>
      <c r="XW142" s="1005">
        <f t="shared" si="187"/>
        <v>182.94302466125629</v>
      </c>
      <c r="XX142" s="1005">
        <f t="shared" si="187"/>
        <v>190.74419850128348</v>
      </c>
      <c r="XY142" s="1005">
        <f t="shared" si="187"/>
        <v>197.94422225762401</v>
      </c>
      <c r="XZ142" s="1005">
        <f t="shared" si="187"/>
        <v>204.5763542812559</v>
      </c>
      <c r="YA142" s="1005">
        <f t="shared" si="187"/>
        <v>205.41913951337048</v>
      </c>
      <c r="YB142" s="1005">
        <f t="shared" si="187"/>
        <v>212.48277227111069</v>
      </c>
      <c r="YC142" s="1005">
        <f t="shared" si="187"/>
        <v>218.8682497940195</v>
      </c>
      <c r="YD142" s="1005">
        <f t="shared" si="187"/>
        <v>224.03183496215428</v>
      </c>
      <c r="YE142" s="1005">
        <f t="shared" si="187"/>
        <v>229.34303726108388</v>
      </c>
      <c r="YF142" s="1005">
        <f t="shared" si="187"/>
        <v>233.62015087150797</v>
      </c>
      <c r="YG142" s="1005">
        <f t="shared" si="187"/>
        <v>237.9871455797271</v>
      </c>
      <c r="YH142" s="1005">
        <f t="shared" si="187"/>
        <v>241.5564326075777</v>
      </c>
      <c r="YI142" s="1005">
        <f t="shared" si="187"/>
        <v>244.80293839486768</v>
      </c>
      <c r="YJ142" s="1005">
        <f t="shared" si="187"/>
        <v>248.12440161783854</v>
      </c>
      <c r="YK142" s="1005">
        <f t="shared" si="187"/>
        <v>250.83468313543659</v>
      </c>
      <c r="YL142" s="1005">
        <f t="shared" si="187"/>
        <v>253.33087147984486</v>
      </c>
      <c r="YM142" s="1005">
        <f t="shared" si="187"/>
        <v>255.60049794904035</v>
      </c>
      <c r="YN142" s="1005">
        <f t="shared" si="187"/>
        <v>257.72899888630536</v>
      </c>
      <c r="YO142" s="1005">
        <f t="shared" si="187"/>
        <v>259.70069605773949</v>
      </c>
      <c r="YP142" s="1005">
        <f t="shared" si="187"/>
        <v>261.53085251035753</v>
      </c>
      <c r="YQ142" s="1005">
        <f t="shared" si="187"/>
        <v>263.19636610886801</v>
      </c>
      <c r="YR142" s="1005">
        <f t="shared" si="187"/>
        <v>264.78229997644223</v>
      </c>
      <c r="YS142" s="1005">
        <f t="shared" si="187"/>
        <v>266.22548276285505</v>
      </c>
      <c r="YT142" s="1005">
        <f t="shared" si="187"/>
        <v>267.46092108641403</v>
      </c>
      <c r="YU142" s="1005">
        <f t="shared" si="187"/>
        <v>268.73211927018662</v>
      </c>
      <c r="YV142" s="1005">
        <f t="shared" si="187"/>
        <v>269.96262937396006</v>
      </c>
      <c r="YW142" s="1005">
        <f t="shared" si="187"/>
        <v>271.08086376905209</v>
      </c>
      <c r="YX142" s="1005">
        <f t="shared" si="187"/>
        <v>271.98298795455219</v>
      </c>
      <c r="YY142" s="1005">
        <f t="shared" si="187"/>
        <v>272.9809392980813</v>
      </c>
      <c r="YZ142" s="1005">
        <f t="shared" si="187"/>
        <v>273.79101993720025</v>
      </c>
      <c r="ZA142" s="1005">
        <f t="shared" si="187"/>
        <v>274.65612734800402</v>
      </c>
      <c r="ZB142" s="1005">
        <f t="shared" si="187"/>
        <v>275.47293866398928</v>
      </c>
      <c r="ZC142" s="1005">
        <f t="shared" si="187"/>
        <v>276.16195716886813</v>
      </c>
      <c r="ZD142" s="1005">
        <f t="shared" si="187"/>
        <v>276.93096169765687</v>
      </c>
      <c r="ZE142" s="1005">
        <f t="shared" si="187"/>
        <v>277.55577737446777</v>
      </c>
      <c r="ZF142" s="1005">
        <f t="shared" si="187"/>
        <v>278.15374326544497</v>
      </c>
      <c r="ZG142" s="1005">
        <f t="shared" si="187"/>
        <v>278.79420270486582</v>
      </c>
      <c r="ZH142" s="1005">
        <f t="shared" si="187"/>
        <v>279.34071756800455</v>
      </c>
      <c r="ZI142" s="1005">
        <f t="shared" si="187"/>
        <v>279.92631147988192</v>
      </c>
      <c r="ZJ142" s="1005">
        <f t="shared" si="187"/>
        <v>280.42842682453227</v>
      </c>
      <c r="ZK142" s="1005">
        <f t="shared" si="187"/>
        <v>280.91190154495297</v>
      </c>
      <c r="ZL142" s="1005">
        <f t="shared" si="187"/>
        <v>281.3965604993063</v>
      </c>
      <c r="ZM142" s="1005">
        <f t="shared" si="187"/>
        <v>281.84383129662695</v>
      </c>
      <c r="ZN142" s="1005">
        <f t="shared" si="187"/>
        <v>282.22507414404799</v>
      </c>
      <c r="ZO142" s="1005">
        <f t="shared" si="187"/>
        <v>282.58144496939798</v>
      </c>
      <c r="ZP142" s="1005">
        <f t="shared" si="187"/>
        <v>282.96730104795887</v>
      </c>
      <c r="ZQ142" s="1005">
        <f t="shared" si="187"/>
        <v>283.29498226940706</v>
      </c>
      <c r="ZR142" s="1005">
        <f t="shared" si="187"/>
        <v>283.59673758847936</v>
      </c>
      <c r="ZS142" s="1005">
        <f t="shared" si="187"/>
        <v>283.900728883211</v>
      </c>
      <c r="ZT142" s="1005">
        <f t="shared" ref="ZT142:AAS142" si="188">ZT139*((ZT134^2+(ZT137+$WK$142)^2)^0.5)/($WQ$142 * $WK$142)</f>
        <v>284.19390234461872</v>
      </c>
      <c r="ZU142" s="1005">
        <f t="shared" si="188"/>
        <v>284.49789317857835</v>
      </c>
      <c r="ZV142" s="1005">
        <f t="shared" si="188"/>
        <v>284.76982276175113</v>
      </c>
      <c r="ZW142" s="1005">
        <f t="shared" si="188"/>
        <v>285.03270408080482</v>
      </c>
      <c r="ZX142" s="1005">
        <f t="shared" si="188"/>
        <v>285.27303138228365</v>
      </c>
      <c r="ZY142" s="1005">
        <f t="shared" si="188"/>
        <v>285.51921032621874</v>
      </c>
      <c r="ZZ142" s="1005">
        <f t="shared" si="188"/>
        <v>285.75770943360124</v>
      </c>
      <c r="AAA142" s="1005">
        <f t="shared" si="188"/>
        <v>285.97483257709541</v>
      </c>
      <c r="AAB142" s="1005">
        <f t="shared" si="188"/>
        <v>286.19910762293563</v>
      </c>
      <c r="AAC142" s="1005">
        <f t="shared" si="188"/>
        <v>286.40266714859735</v>
      </c>
      <c r="AAD142" s="1005">
        <f t="shared" si="188"/>
        <v>286.61411883578529</v>
      </c>
      <c r="AAE142" s="1005">
        <f t="shared" si="188"/>
        <v>286.80543187612693</v>
      </c>
      <c r="AAF142" s="1005">
        <f t="shared" si="188"/>
        <v>287.00529262306594</v>
      </c>
      <c r="AAG142" s="1005">
        <f t="shared" si="188"/>
        <v>287.18551996918188</v>
      </c>
      <c r="AAH142" s="1005">
        <f t="shared" si="188"/>
        <v>287.37487746994503</v>
      </c>
      <c r="AAI142" s="1005">
        <f t="shared" si="188"/>
        <v>287.54504521740279</v>
      </c>
      <c r="AAJ142" s="1005">
        <f t="shared" si="188"/>
        <v>287.72486227567339</v>
      </c>
      <c r="AAK142" s="1005">
        <f t="shared" si="188"/>
        <v>287.88588008209047</v>
      </c>
      <c r="AAL142" s="1005">
        <f t="shared" si="188"/>
        <v>288.08579722043362</v>
      </c>
      <c r="AAM142" s="1005">
        <f t="shared" si="188"/>
        <v>288.31783022332928</v>
      </c>
      <c r="AAN142" s="1005">
        <f t="shared" si="188"/>
        <v>288.51010625396822</v>
      </c>
      <c r="AAO142" s="1005">
        <f t="shared" si="188"/>
        <v>288.73497516231487</v>
      </c>
      <c r="AAP142" s="1005">
        <f t="shared" si="188"/>
        <v>288.92026877282547</v>
      </c>
      <c r="AAQ142" s="1005">
        <f t="shared" si="188"/>
        <v>289.08596899157357</v>
      </c>
      <c r="AAR142" s="1005">
        <f t="shared" si="188"/>
        <v>289.30167043591126</v>
      </c>
      <c r="AAS142" s="1005">
        <f t="shared" si="188"/>
        <v>289.47800948605715</v>
      </c>
      <c r="AAT142" s="1005">
        <v>17</v>
      </c>
      <c r="AAU142" s="958"/>
      <c r="AAV142" s="1058"/>
      <c r="AAW142" s="1058"/>
      <c r="AAX142" s="1058"/>
      <c r="AAY142" s="1058"/>
      <c r="AAZ142" s="1058"/>
      <c r="ABA142" s="1058"/>
      <c r="ABB142" s="1058"/>
      <c r="ABC142" s="959"/>
      <c r="ABD142" s="158"/>
      <c r="ABE142" s="158"/>
      <c r="ABF142" s="158"/>
      <c r="ABG142" s="158"/>
      <c r="ABH142" s="158"/>
      <c r="ABI142" s="158"/>
      <c r="ABJ142" s="158"/>
      <c r="ABK142" s="158"/>
      <c r="ABL142" s="158"/>
      <c r="ABM142" s="158"/>
      <c r="ABN142" s="158"/>
      <c r="ABO142" s="158"/>
      <c r="ABP142" s="163"/>
      <c r="ABQ142" s="653"/>
      <c r="ABR142" s="653"/>
      <c r="ABS142" s="653"/>
      <c r="ABT142" s="1516"/>
      <c r="ABU142" s="1517"/>
      <c r="ABV142" s="1517"/>
      <c r="ABW142" s="1517"/>
      <c r="ABX142" s="1517"/>
      <c r="ABY142" s="1517"/>
      <c r="ABZ142" s="1517"/>
      <c r="ACA142" s="1517"/>
      <c r="ACB142" s="1517"/>
      <c r="ACC142" s="1517"/>
      <c r="ACD142" s="1517"/>
      <c r="ACE142" s="1517"/>
      <c r="ACF142" s="1517"/>
      <c r="ACG142" s="1517"/>
      <c r="ACH142" s="1518"/>
      <c r="ACI142" s="704"/>
      <c r="ACJ142" s="653"/>
      <c r="ACK142" s="653"/>
      <c r="ACL142" s="653"/>
      <c r="ACM142" s="653"/>
      <c r="ACN142" s="653"/>
      <c r="ACO142" s="653"/>
      <c r="ACP142" s="653"/>
      <c r="ACQ142" s="653"/>
      <c r="ACR142" s="653"/>
      <c r="ACS142" s="653"/>
      <c r="ACT142" s="653"/>
      <c r="ACU142" s="653"/>
      <c r="ACV142" s="653"/>
      <c r="ACW142" s="653"/>
      <c r="ACX142" s="653"/>
      <c r="ACY142" s="653"/>
      <c r="AEY142" s="1069">
        <v>3.4</v>
      </c>
      <c r="AEZ142" s="1071"/>
      <c r="AFA142" s="1069">
        <v>0.45</v>
      </c>
      <c r="AFB142" s="1071"/>
      <c r="AFC142" s="856">
        <f t="shared" si="183"/>
        <v>-0.125</v>
      </c>
      <c r="AFD142" s="856"/>
      <c r="AFE142" s="856">
        <f t="shared" si="184"/>
        <v>0.875</v>
      </c>
      <c r="AFF142" s="856"/>
      <c r="AGL142" s="850"/>
      <c r="AGM142" s="800" t="s">
        <v>1199</v>
      </c>
      <c r="AGN142" s="982"/>
      <c r="AGO142" s="801"/>
      <c r="AGP142" s="883">
        <f>$AHA$15</f>
        <v>1</v>
      </c>
      <c r="AGQ142" s="884"/>
      <c r="AGR142" s="1309"/>
      <c r="AGS142" s="1309"/>
      <c r="AGT142" s="1309"/>
      <c r="AGU142" s="1309"/>
      <c r="AGV142" s="1309"/>
      <c r="AGW142" s="1309"/>
      <c r="AGX142" s="1309"/>
      <c r="AGY142" s="1310"/>
      <c r="AGZ142" s="837"/>
      <c r="AHA142" s="838"/>
      <c r="AHB142" s="1190"/>
      <c r="AHC142" s="1191"/>
      <c r="AHD142" s="842"/>
      <c r="AHE142" s="1173"/>
      <c r="AHF142" s="1175"/>
      <c r="AHG142" s="848"/>
      <c r="AHH142" s="1052"/>
      <c r="AHI142" s="1052"/>
      <c r="AHJ142" s="1052"/>
      <c r="AHK142" s="1052"/>
      <c r="AHL142" s="1052"/>
      <c r="AHM142" s="1052"/>
      <c r="AHN142" s="1052"/>
      <c r="AHO142" s="1052"/>
      <c r="AHP142" s="1052"/>
      <c r="AHX142" s="130"/>
      <c r="AQO142" s="851"/>
      <c r="AQP142" s="857"/>
      <c r="AQQ142" s="857"/>
      <c r="AQR142" s="857"/>
      <c r="AQS142" s="857"/>
      <c r="AQT142" s="857"/>
      <c r="AQU142" s="857"/>
      <c r="AQV142" s="857"/>
      <c r="AQW142" s="857"/>
      <c r="AQX142" s="857"/>
      <c r="AQY142" s="857"/>
      <c r="AQZ142" s="857"/>
      <c r="ARA142" s="857"/>
      <c r="ARB142" s="857"/>
      <c r="ARC142" s="837"/>
      <c r="ARD142" s="838"/>
      <c r="ARE142" s="777"/>
      <c r="ARF142" s="799"/>
      <c r="ARG142" s="842"/>
      <c r="ARH142" s="845"/>
      <c r="ARI142" s="846"/>
      <c r="ARJ142" s="848"/>
      <c r="ARU142" s="826"/>
      <c r="ARV142" s="852" t="s">
        <v>416</v>
      </c>
      <c r="ARW142" s="853"/>
      <c r="ARX142" s="142"/>
      <c r="ARY142" s="806" t="s">
        <v>1847</v>
      </c>
      <c r="ARZ142" s="807"/>
      <c r="ASA142" s="808"/>
      <c r="ASB142" s="75" t="s">
        <v>451</v>
      </c>
      <c r="ASC142" s="142"/>
      <c r="ASD142" s="76" t="s">
        <v>441</v>
      </c>
      <c r="ASE142" s="854" t="s">
        <v>435</v>
      </c>
      <c r="ASF142" s="1111"/>
      <c r="ASG142" s="924" t="s">
        <v>111</v>
      </c>
      <c r="ASH142" s="925"/>
      <c r="ASI142" s="916" t="s">
        <v>704</v>
      </c>
      <c r="ASJ142" s="917"/>
      <c r="ASK142" s="906" t="s">
        <v>447</v>
      </c>
      <c r="ASL142" s="907"/>
      <c r="ASM142" s="907"/>
      <c r="ASN142" s="908"/>
    </row>
    <row r="143" spans="43:908 1133:1230" ht="48" customHeight="1" thickBot="1">
      <c r="HI143" s="130"/>
      <c r="HJ143" s="130"/>
      <c r="LZ143" s="130"/>
      <c r="MB143" s="850"/>
      <c r="MC143" s="387" t="s">
        <v>725</v>
      </c>
      <c r="MD143" s="761">
        <f>$GU$12</f>
        <v>0.8</v>
      </c>
      <c r="ME143" s="761"/>
      <c r="MF143" s="823"/>
      <c r="MG143" s="824"/>
      <c r="MH143" s="824"/>
      <c r="MI143" s="824"/>
      <c r="MJ143" s="824"/>
      <c r="MK143" s="824"/>
      <c r="ML143" s="824"/>
      <c r="MM143" s="824"/>
      <c r="MN143" s="824"/>
      <c r="MO143" s="824"/>
      <c r="MP143" s="837"/>
      <c r="MQ143" s="838"/>
      <c r="MR143" s="1185"/>
      <c r="MS143" s="1186"/>
      <c r="MT143" s="1067"/>
      <c r="MU143" s="918"/>
      <c r="MV143" s="919"/>
      <c r="MW143" s="1256"/>
      <c r="MX143" s="827"/>
      <c r="MY143" s="947"/>
      <c r="MZ143" s="947"/>
      <c r="NA143" s="947"/>
      <c r="NB143" s="947"/>
      <c r="NC143" s="947"/>
      <c r="ND143" s="948"/>
      <c r="NL143" s="130"/>
      <c r="NM143" s="653"/>
      <c r="NN143" s="653"/>
      <c r="NO143" s="653"/>
      <c r="NP143" s="653"/>
      <c r="NQ143" s="653"/>
      <c r="NR143" s="653"/>
      <c r="NS143" s="653"/>
      <c r="NT143" s="653"/>
      <c r="NU143" s="653"/>
      <c r="NV143" s="653"/>
      <c r="NW143" s="653"/>
      <c r="NX143" s="653"/>
      <c r="NY143" s="653"/>
      <c r="NZ143" s="653"/>
      <c r="OW143" s="653"/>
      <c r="OX143" s="653"/>
      <c r="OY143" s="653"/>
      <c r="OZ143" s="653"/>
      <c r="PA143" s="653"/>
      <c r="PB143" s="653"/>
      <c r="PC143" s="653"/>
      <c r="PD143" s="653"/>
      <c r="PE143" s="130"/>
      <c r="PF143" s="130"/>
      <c r="PG143" s="377"/>
      <c r="PH143" s="54"/>
      <c r="PI143" s="373"/>
      <c r="PJ143" s="373"/>
      <c r="PK143" s="373"/>
      <c r="PL143" s="373"/>
      <c r="PM143" s="373"/>
      <c r="PN143" s="373"/>
      <c r="PO143" s="373"/>
      <c r="PP143" s="373"/>
      <c r="PQ143" s="373"/>
      <c r="PR143" s="373"/>
      <c r="PS143" s="373"/>
      <c r="PT143" s="373"/>
      <c r="PU143" s="373"/>
      <c r="PV143" s="373"/>
      <c r="PW143" s="373"/>
      <c r="PX143" s="373"/>
      <c r="PY143" s="373"/>
      <c r="PZ143" s="373"/>
      <c r="QA143" s="373"/>
      <c r="QB143" s="373"/>
      <c r="QC143" s="373"/>
      <c r="QD143" s="373"/>
      <c r="QE143" s="373"/>
      <c r="QF143" s="373"/>
      <c r="QG143" s="373"/>
      <c r="QH143" s="373"/>
      <c r="QI143" s="373"/>
      <c r="QJ143" s="373"/>
      <c r="QK143" s="373"/>
      <c r="QL143" s="373"/>
      <c r="QM143" s="373"/>
      <c r="QN143" s="373"/>
      <c r="QO143" s="373"/>
      <c r="QP143" s="373"/>
      <c r="QQ143" s="373"/>
      <c r="QR143" s="374"/>
      <c r="QV143" s="130"/>
      <c r="QW143" s="130"/>
      <c r="QX143" s="130"/>
      <c r="VD143" s="1026"/>
      <c r="VE143" s="1027"/>
      <c r="VF143" s="1027"/>
      <c r="VG143" s="1027"/>
      <c r="VH143" s="1027"/>
      <c r="VI143" s="1027"/>
      <c r="VJ143" s="1027"/>
      <c r="VK143" s="1027"/>
      <c r="VL143" s="1027"/>
      <c r="VM143" s="1027"/>
      <c r="VN143" s="1027"/>
      <c r="VO143" s="1027"/>
      <c r="VP143" s="1027"/>
      <c r="VQ143" s="1027"/>
      <c r="VR143" s="1027"/>
      <c r="VS143" s="1027"/>
      <c r="VT143" s="1027"/>
      <c r="VU143" s="1027"/>
      <c r="VV143" s="1027"/>
      <c r="VW143" s="1027"/>
      <c r="VX143" s="1027"/>
      <c r="VY143" s="1027"/>
      <c r="VZ143" s="1028"/>
      <c r="WE143" s="996"/>
      <c r="WF143" s="997"/>
      <c r="WG143" s="173"/>
      <c r="WH143" s="173"/>
      <c r="WI143" s="173"/>
      <c r="WJ143" s="173"/>
      <c r="WK143" s="173"/>
      <c r="WL143" s="173"/>
      <c r="WM143" s="173"/>
      <c r="WN143" s="173"/>
      <c r="WO143" s="173"/>
      <c r="WP143" s="173"/>
      <c r="WQ143" s="173"/>
      <c r="WR143" s="173"/>
      <c r="WS143" s="173"/>
      <c r="WT143" s="173"/>
      <c r="WU143" s="173"/>
      <c r="WV143" s="996"/>
      <c r="WW143" s="997"/>
      <c r="WX143" s="175"/>
      <c r="WY143" s="173"/>
      <c r="WZ143" s="173"/>
      <c r="XA143" s="173"/>
      <c r="XB143" s="173"/>
      <c r="XC143" s="173"/>
      <c r="XD143" s="173"/>
      <c r="XE143" s="173"/>
      <c r="XF143" s="174"/>
      <c r="XG143" s="1006"/>
      <c r="XH143" s="1006"/>
      <c r="XI143" s="1006"/>
      <c r="XJ143" s="1006"/>
      <c r="XK143" s="1006"/>
      <c r="XL143" s="1006"/>
      <c r="XM143" s="1006"/>
      <c r="XN143" s="1006"/>
      <c r="XO143" s="1006"/>
      <c r="XP143" s="1006"/>
      <c r="XQ143" s="1006"/>
      <c r="XR143" s="1006"/>
      <c r="XS143" s="1006"/>
      <c r="XT143" s="1006"/>
      <c r="XU143" s="1006"/>
      <c r="XV143" s="1006"/>
      <c r="XW143" s="1006"/>
      <c r="XX143" s="1006"/>
      <c r="XY143" s="1006"/>
      <c r="XZ143" s="1006"/>
      <c r="YA143" s="1006"/>
      <c r="YB143" s="1006"/>
      <c r="YC143" s="1006"/>
      <c r="YD143" s="1006"/>
      <c r="YE143" s="1006"/>
      <c r="YF143" s="1006"/>
      <c r="YG143" s="1006"/>
      <c r="YH143" s="1006"/>
      <c r="YI143" s="1006"/>
      <c r="YJ143" s="1006"/>
      <c r="YK143" s="1006"/>
      <c r="YL143" s="1006"/>
      <c r="YM143" s="1006"/>
      <c r="YN143" s="1006"/>
      <c r="YO143" s="1006"/>
      <c r="YP143" s="1006"/>
      <c r="YQ143" s="1006"/>
      <c r="YR143" s="1006"/>
      <c r="YS143" s="1006"/>
      <c r="YT143" s="1006"/>
      <c r="YU143" s="1006"/>
      <c r="YV143" s="1006"/>
      <c r="YW143" s="1006"/>
      <c r="YX143" s="1006"/>
      <c r="YY143" s="1006"/>
      <c r="YZ143" s="1006"/>
      <c r="ZA143" s="1006"/>
      <c r="ZB143" s="1006"/>
      <c r="ZC143" s="1006"/>
      <c r="ZD143" s="1006"/>
      <c r="ZE143" s="1006"/>
      <c r="ZF143" s="1006"/>
      <c r="ZG143" s="1006"/>
      <c r="ZH143" s="1006"/>
      <c r="ZI143" s="1006"/>
      <c r="ZJ143" s="1006"/>
      <c r="ZK143" s="1006"/>
      <c r="ZL143" s="1006"/>
      <c r="ZM143" s="1006"/>
      <c r="ZN143" s="1006"/>
      <c r="ZO143" s="1006"/>
      <c r="ZP143" s="1006"/>
      <c r="ZQ143" s="1006"/>
      <c r="ZR143" s="1006"/>
      <c r="ZS143" s="1006"/>
      <c r="ZT143" s="1006"/>
      <c r="ZU143" s="1006"/>
      <c r="ZV143" s="1006"/>
      <c r="ZW143" s="1006"/>
      <c r="ZX143" s="1006"/>
      <c r="ZY143" s="1006"/>
      <c r="ZZ143" s="1006"/>
      <c r="AAA143" s="1006"/>
      <c r="AAB143" s="1006"/>
      <c r="AAC143" s="1006"/>
      <c r="AAD143" s="1006"/>
      <c r="AAE143" s="1006"/>
      <c r="AAF143" s="1006"/>
      <c r="AAG143" s="1006"/>
      <c r="AAH143" s="1006"/>
      <c r="AAI143" s="1006"/>
      <c r="AAJ143" s="1006"/>
      <c r="AAK143" s="1006"/>
      <c r="AAL143" s="1006"/>
      <c r="AAM143" s="1006"/>
      <c r="AAN143" s="1006"/>
      <c r="AAO143" s="1006"/>
      <c r="AAP143" s="1006"/>
      <c r="AAQ143" s="1006"/>
      <c r="AAR143" s="1006"/>
      <c r="AAS143" s="1006"/>
      <c r="AAT143" s="1006"/>
      <c r="AAU143" s="960"/>
      <c r="AAV143" s="1101"/>
      <c r="AAW143" s="1101"/>
      <c r="AAX143" s="1101"/>
      <c r="AAY143" s="1101"/>
      <c r="AAZ143" s="1101"/>
      <c r="ABA143" s="1101"/>
      <c r="ABB143" s="1101"/>
      <c r="ABC143" s="961"/>
      <c r="ABD143" s="158"/>
      <c r="ABE143" s="158"/>
      <c r="ABF143" s="158"/>
      <c r="ABG143" s="158"/>
      <c r="ABH143" s="158"/>
      <c r="ABI143" s="158"/>
      <c r="ABJ143" s="158"/>
      <c r="ABK143" s="158"/>
      <c r="ABL143" s="158"/>
      <c r="ABM143" s="158"/>
      <c r="ABN143" s="158"/>
      <c r="ABO143" s="158"/>
      <c r="ABP143" s="163"/>
      <c r="ABQ143" s="653"/>
      <c r="ABR143" s="653"/>
      <c r="ABS143" s="653"/>
      <c r="ABT143" s="1516"/>
      <c r="ABU143" s="1517"/>
      <c r="ABV143" s="1517"/>
      <c r="ABW143" s="1517"/>
      <c r="ABX143" s="1517"/>
      <c r="ABY143" s="1517"/>
      <c r="ABZ143" s="1517"/>
      <c r="ACA143" s="1517"/>
      <c r="ACB143" s="1517"/>
      <c r="ACC143" s="1517"/>
      <c r="ACD143" s="1517"/>
      <c r="ACE143" s="1517"/>
      <c r="ACF143" s="1517"/>
      <c r="ACG143" s="1517"/>
      <c r="ACH143" s="1518"/>
      <c r="ACI143" s="704"/>
      <c r="ACJ143" s="653"/>
      <c r="ACK143" s="653"/>
      <c r="ACL143" s="653"/>
      <c r="ACM143" s="653"/>
      <c r="ACN143" s="653"/>
      <c r="ACO143" s="653"/>
      <c r="ACP143" s="653"/>
      <c r="ACQ143" s="653"/>
      <c r="ACR143" s="653"/>
      <c r="ACS143" s="653"/>
      <c r="ACT143" s="653"/>
      <c r="ACU143" s="653"/>
      <c r="ACV143" s="653"/>
      <c r="ACW143" s="653"/>
      <c r="ACX143" s="653"/>
      <c r="ACY143" s="653"/>
      <c r="AEY143" s="1069">
        <v>3.8</v>
      </c>
      <c r="AEZ143" s="1071"/>
      <c r="AFA143" s="1069">
        <v>0.4</v>
      </c>
      <c r="AFB143" s="1071"/>
      <c r="AFC143" s="856">
        <f t="shared" si="183"/>
        <v>-6.25E-2</v>
      </c>
      <c r="AFD143" s="856"/>
      <c r="AFE143" s="856">
        <f t="shared" si="184"/>
        <v>0.63749999999999996</v>
      </c>
      <c r="AFF143" s="856"/>
      <c r="AGL143" s="851"/>
      <c r="AGM143" s="802" t="s">
        <v>1455</v>
      </c>
      <c r="AGN143" s="1116"/>
      <c r="AGO143" s="803"/>
      <c r="AGP143" s="1288">
        <f>$MP$23</f>
        <v>0.14308700299628158</v>
      </c>
      <c r="AGQ143" s="1288"/>
      <c r="AGR143" s="1311"/>
      <c r="AGS143" s="1311"/>
      <c r="AGT143" s="1311"/>
      <c r="AGU143" s="1311"/>
      <c r="AGV143" s="1311"/>
      <c r="AGW143" s="1311"/>
      <c r="AGX143" s="1311"/>
      <c r="AGY143" s="1312"/>
      <c r="AGZ143" s="942"/>
      <c r="AHA143" s="943"/>
      <c r="AHB143" s="943"/>
      <c r="AHC143" s="943"/>
      <c r="AHD143" s="943"/>
      <c r="AHE143" s="943"/>
      <c r="AHF143" s="943"/>
      <c r="AHG143" s="944"/>
      <c r="AHH143" s="1499"/>
      <c r="AHI143" s="1053"/>
      <c r="AHJ143" s="1053"/>
      <c r="AHK143" s="1053"/>
      <c r="AHL143" s="1053"/>
      <c r="AHM143" s="1053"/>
      <c r="AHN143" s="1053"/>
      <c r="AHO143" s="1053"/>
      <c r="AHP143" s="1053"/>
      <c r="ARU143" s="827"/>
      <c r="ARV143" s="791" t="s">
        <v>1853</v>
      </c>
      <c r="ARW143" s="792"/>
      <c r="ARX143" s="792"/>
      <c r="ARY143" s="792"/>
      <c r="ARZ143" s="792"/>
      <c r="ASA143" s="792"/>
      <c r="ASB143" s="792"/>
      <c r="ASC143" s="792"/>
      <c r="ASD143" s="792"/>
      <c r="ASE143" s="792"/>
      <c r="ASF143" s="792"/>
      <c r="ASG143" s="1471">
        <f>XQ49+(ASO206-1)*(XQ43+XQ45)</f>
        <v>2.2240772868262342</v>
      </c>
      <c r="ASH143" s="1472"/>
      <c r="ASI143" s="839"/>
      <c r="ASJ143" s="840"/>
      <c r="ASK143" s="1066"/>
      <c r="ASL143" s="843" t="s">
        <v>937</v>
      </c>
      <c r="ASM143" s="844"/>
      <c r="ASN143" s="847"/>
    </row>
    <row r="144" spans="43:908 1133:1230" ht="48" customHeight="1" thickBot="1">
      <c r="HI144" s="130"/>
      <c r="HJ144" s="130"/>
      <c r="LZ144" s="130"/>
      <c r="MB144" s="851"/>
      <c r="MC144" s="389" t="s">
        <v>1060</v>
      </c>
      <c r="MD144" s="774">
        <f>$KL$72</f>
        <v>1.1666666666666667</v>
      </c>
      <c r="ME144" s="774"/>
      <c r="MF144" s="794"/>
      <c r="MG144" s="795"/>
      <c r="MH144" s="795"/>
      <c r="MI144" s="795"/>
      <c r="MJ144" s="795"/>
      <c r="MK144" s="795"/>
      <c r="ML144" s="795"/>
      <c r="MM144" s="795"/>
      <c r="MN144" s="795"/>
      <c r="MO144" s="795"/>
      <c r="MP144" s="942"/>
      <c r="MQ144" s="943"/>
      <c r="MR144" s="943"/>
      <c r="MS144" s="943"/>
      <c r="MT144" s="943"/>
      <c r="MU144" s="943"/>
      <c r="MV144" s="943"/>
      <c r="MW144" s="944"/>
      <c r="MX144" s="828"/>
      <c r="MY144" s="949"/>
      <c r="MZ144" s="949"/>
      <c r="NA144" s="949"/>
      <c r="NB144" s="949"/>
      <c r="NC144" s="949"/>
      <c r="ND144" s="950"/>
      <c r="NL144" s="130"/>
      <c r="NM144" s="653"/>
      <c r="NN144" s="653"/>
      <c r="NO144" s="653"/>
      <c r="NP144" s="653"/>
      <c r="NQ144" s="653"/>
      <c r="NR144" s="653"/>
      <c r="NS144" s="653"/>
      <c r="NT144" s="653"/>
      <c r="NU144" s="653"/>
      <c r="NV144" s="653"/>
      <c r="NW144" s="653"/>
      <c r="NX144" s="653"/>
      <c r="NY144" s="653"/>
      <c r="NZ144" s="653"/>
      <c r="OW144" s="653"/>
      <c r="OX144" s="653"/>
      <c r="OY144" s="653"/>
      <c r="OZ144" s="653"/>
      <c r="PA144" s="653"/>
      <c r="PB144" s="653"/>
      <c r="PC144" s="653"/>
      <c r="PD144" s="653"/>
      <c r="PE144" s="130"/>
      <c r="PF144" s="130"/>
      <c r="PG144" s="377"/>
      <c r="PH144" s="54"/>
      <c r="PI144" s="373"/>
      <c r="PJ144" s="373"/>
      <c r="PK144" s="373"/>
      <c r="PL144" s="373"/>
      <c r="PM144" s="373"/>
      <c r="PN144" s="373"/>
      <c r="PO144" s="1458" t="s">
        <v>885</v>
      </c>
      <c r="PP144" s="1280"/>
      <c r="PQ144" s="1280"/>
      <c r="PR144" s="1281"/>
      <c r="PS144" s="1706" t="str">
        <f>$M$67</f>
        <v>IP44</v>
      </c>
      <c r="PT144" s="1707"/>
      <c r="PU144" s="478" t="s">
        <v>911</v>
      </c>
      <c r="PV144" s="1615" t="str">
        <f>IF(PS144="IP44",
"Расчет по формуле данной последовательности",
"Данная переменная не используется в расчете")</f>
        <v>Расчет по формуле данной последовательности</v>
      </c>
      <c r="PW144" s="1616"/>
      <c r="PX144" s="1616"/>
      <c r="PY144" s="1616"/>
      <c r="PZ144" s="1616"/>
      <c r="QA144" s="1616"/>
      <c r="QB144" s="1616"/>
      <c r="QC144" s="1616"/>
      <c r="QD144" s="1617"/>
      <c r="QE144" s="373"/>
      <c r="QF144" s="373"/>
      <c r="QG144" s="373"/>
      <c r="QH144" s="373"/>
      <c r="QI144" s="373"/>
      <c r="QJ144" s="373"/>
      <c r="QK144" s="373"/>
      <c r="QL144" s="373"/>
      <c r="QM144" s="373"/>
      <c r="QN144" s="373"/>
      <c r="QO144" s="373"/>
      <c r="QP144" s="373"/>
      <c r="QQ144" s="373"/>
      <c r="QR144" s="374"/>
      <c r="QV144" s="130"/>
      <c r="QW144" s="130"/>
      <c r="QX144" s="130"/>
      <c r="VD144" s="1026"/>
      <c r="VE144" s="1027"/>
      <c r="VF144" s="1027"/>
      <c r="VG144" s="1027"/>
      <c r="VH144" s="1027"/>
      <c r="VI144" s="1027"/>
      <c r="VJ144" s="1027"/>
      <c r="VK144" s="1027"/>
      <c r="VL144" s="1027"/>
      <c r="VM144" s="1027"/>
      <c r="VN144" s="1027"/>
      <c r="VO144" s="1027"/>
      <c r="VP144" s="1027"/>
      <c r="VQ144" s="1027"/>
      <c r="VR144" s="1027"/>
      <c r="VS144" s="1027"/>
      <c r="VT144" s="1027"/>
      <c r="VU144" s="1027"/>
      <c r="VV144" s="1027"/>
      <c r="VW144" s="1027"/>
      <c r="VX144" s="1027"/>
      <c r="VY144" s="1027"/>
      <c r="VZ144" s="1028"/>
      <c r="WE144" s="754"/>
      <c r="WF144" s="755"/>
      <c r="WG144" s="169"/>
      <c r="WH144" s="170"/>
      <c r="WI144" s="170"/>
      <c r="WJ144" s="170"/>
      <c r="WK144" s="170"/>
      <c r="WL144" s="170"/>
      <c r="WM144" s="170"/>
      <c r="WN144" s="170"/>
      <c r="WO144" s="170"/>
      <c r="WP144" s="170"/>
      <c r="WQ144" s="170"/>
      <c r="WR144" s="170"/>
      <c r="WS144" s="170"/>
      <c r="WT144" s="170"/>
      <c r="WU144" s="170"/>
      <c r="WV144" s="754"/>
      <c r="WW144" s="755"/>
      <c r="WX144" s="169"/>
      <c r="WY144" s="170"/>
      <c r="WZ144" s="170"/>
      <c r="XA144" s="170"/>
      <c r="XB144" s="170"/>
      <c r="XC144" s="170"/>
      <c r="XD144" s="170"/>
      <c r="XE144" s="170"/>
      <c r="XF144" s="172"/>
      <c r="XG144" s="1007"/>
      <c r="XH144" s="1007"/>
      <c r="XI144" s="1007"/>
      <c r="XJ144" s="1007"/>
      <c r="XK144" s="1007"/>
      <c r="XL144" s="1007"/>
      <c r="XM144" s="1007"/>
      <c r="XN144" s="1007"/>
      <c r="XO144" s="1007"/>
      <c r="XP144" s="1007"/>
      <c r="XQ144" s="1007"/>
      <c r="XR144" s="1007"/>
      <c r="XS144" s="1007"/>
      <c r="XT144" s="1007"/>
      <c r="XU144" s="1007"/>
      <c r="XV144" s="1007"/>
      <c r="XW144" s="1007"/>
      <c r="XX144" s="1007"/>
      <c r="XY144" s="1007"/>
      <c r="XZ144" s="1007"/>
      <c r="YA144" s="1007"/>
      <c r="YB144" s="1007"/>
      <c r="YC144" s="1007"/>
      <c r="YD144" s="1007"/>
      <c r="YE144" s="1007"/>
      <c r="YF144" s="1007"/>
      <c r="YG144" s="1007"/>
      <c r="YH144" s="1007"/>
      <c r="YI144" s="1007"/>
      <c r="YJ144" s="1007"/>
      <c r="YK144" s="1007"/>
      <c r="YL144" s="1007"/>
      <c r="YM144" s="1007"/>
      <c r="YN144" s="1007"/>
      <c r="YO144" s="1007"/>
      <c r="YP144" s="1007"/>
      <c r="YQ144" s="1007"/>
      <c r="YR144" s="1007"/>
      <c r="YS144" s="1007"/>
      <c r="YT144" s="1007"/>
      <c r="YU144" s="1007"/>
      <c r="YV144" s="1007"/>
      <c r="YW144" s="1007"/>
      <c r="YX144" s="1007"/>
      <c r="YY144" s="1007"/>
      <c r="YZ144" s="1007"/>
      <c r="ZA144" s="1007"/>
      <c r="ZB144" s="1007"/>
      <c r="ZC144" s="1007"/>
      <c r="ZD144" s="1007"/>
      <c r="ZE144" s="1007"/>
      <c r="ZF144" s="1007"/>
      <c r="ZG144" s="1007"/>
      <c r="ZH144" s="1007"/>
      <c r="ZI144" s="1007"/>
      <c r="ZJ144" s="1007"/>
      <c r="ZK144" s="1007"/>
      <c r="ZL144" s="1007"/>
      <c r="ZM144" s="1007"/>
      <c r="ZN144" s="1007"/>
      <c r="ZO144" s="1007"/>
      <c r="ZP144" s="1007"/>
      <c r="ZQ144" s="1007"/>
      <c r="ZR144" s="1007"/>
      <c r="ZS144" s="1007"/>
      <c r="ZT144" s="1007"/>
      <c r="ZU144" s="1007"/>
      <c r="ZV144" s="1007"/>
      <c r="ZW144" s="1007"/>
      <c r="ZX144" s="1007"/>
      <c r="ZY144" s="1007"/>
      <c r="ZZ144" s="1007"/>
      <c r="AAA144" s="1007"/>
      <c r="AAB144" s="1007"/>
      <c r="AAC144" s="1007"/>
      <c r="AAD144" s="1007"/>
      <c r="AAE144" s="1007"/>
      <c r="AAF144" s="1007"/>
      <c r="AAG144" s="1007"/>
      <c r="AAH144" s="1007"/>
      <c r="AAI144" s="1007"/>
      <c r="AAJ144" s="1007"/>
      <c r="AAK144" s="1007"/>
      <c r="AAL144" s="1007"/>
      <c r="AAM144" s="1007"/>
      <c r="AAN144" s="1007"/>
      <c r="AAO144" s="1007"/>
      <c r="AAP144" s="1007"/>
      <c r="AAQ144" s="1007"/>
      <c r="AAR144" s="1007"/>
      <c r="AAS144" s="1007"/>
      <c r="AAT144" s="1007"/>
      <c r="AAU144" s="960"/>
      <c r="AAV144" s="1101"/>
      <c r="AAW144" s="1101"/>
      <c r="AAX144" s="1101"/>
      <c r="AAY144" s="1101"/>
      <c r="AAZ144" s="1101"/>
      <c r="ABA144" s="1101"/>
      <c r="ABB144" s="1101"/>
      <c r="ABC144" s="961"/>
      <c r="ABD144" s="158"/>
      <c r="ABE144" s="158"/>
      <c r="ABF144" s="158"/>
      <c r="ABG144" s="158"/>
      <c r="ABH144" s="158"/>
      <c r="ABI144" s="158"/>
      <c r="ABJ144" s="158"/>
      <c r="ABK144" s="158"/>
      <c r="ABL144" s="158"/>
      <c r="ABM144" s="158"/>
      <c r="ABN144" s="158"/>
      <c r="ABO144" s="158"/>
      <c r="ABP144" s="163"/>
      <c r="ABT144" s="1516"/>
      <c r="ABU144" s="1517"/>
      <c r="ABV144" s="1517"/>
      <c r="ABW144" s="1517"/>
      <c r="ABX144" s="1517"/>
      <c r="ABY144" s="1517"/>
      <c r="ABZ144" s="1517"/>
      <c r="ACA144" s="1517"/>
      <c r="ACB144" s="1517"/>
      <c r="ACC144" s="1517"/>
      <c r="ACD144" s="1517"/>
      <c r="ACE144" s="1517"/>
      <c r="ACF144" s="1517"/>
      <c r="ACG144" s="1517"/>
      <c r="ACH144" s="1518"/>
      <c r="ACI144" s="704"/>
      <c r="ACJ144" s="653"/>
      <c r="ACK144" s="653"/>
      <c r="ACL144" s="653"/>
      <c r="ACM144" s="653"/>
      <c r="ACN144" s="653"/>
      <c r="ACO144" s="653"/>
      <c r="ACP144" s="653"/>
      <c r="ACQ144" s="653"/>
      <c r="ACR144" s="653"/>
      <c r="ACS144" s="653"/>
      <c r="ACT144" s="653"/>
      <c r="ACU144" s="653"/>
      <c r="ACV144" s="653"/>
      <c r="ACW144" s="653"/>
      <c r="ACX144" s="653"/>
      <c r="ACY144" s="653"/>
      <c r="AEY144" s="1069">
        <v>4</v>
      </c>
      <c r="AEZ144" s="1071"/>
      <c r="AFA144" s="1069">
        <v>0.38750000000000001</v>
      </c>
      <c r="AFB144" s="1071"/>
      <c r="AFC144" s="1124"/>
      <c r="AFD144" s="1125"/>
      <c r="AFE144" s="1125"/>
      <c r="AFF144" s="1126"/>
      <c r="AHS144" s="130"/>
      <c r="AHT144" s="130"/>
      <c r="AHU144" s="130"/>
      <c r="AQO144" s="849"/>
      <c r="AQP144" s="852" t="s">
        <v>416</v>
      </c>
      <c r="AQQ144" s="853"/>
      <c r="AQR144" s="700"/>
      <c r="AQS144" s="78"/>
      <c r="AQT144" s="78"/>
      <c r="AQU144" s="78"/>
      <c r="AQV144" s="78"/>
      <c r="AQW144" s="78"/>
      <c r="AQX144" s="78"/>
      <c r="AQY144" s="700"/>
      <c r="AQZ144" s="76" t="s">
        <v>441</v>
      </c>
      <c r="ARA144" s="854" t="s">
        <v>435</v>
      </c>
      <c r="ARB144" s="855"/>
      <c r="ARC144" s="920" t="s">
        <v>111</v>
      </c>
      <c r="ARD144" s="921"/>
      <c r="ARE144" s="916" t="s">
        <v>704</v>
      </c>
      <c r="ARF144" s="917"/>
      <c r="ARG144" s="906" t="s">
        <v>447</v>
      </c>
      <c r="ARH144" s="907"/>
      <c r="ARI144" s="907"/>
      <c r="ARJ144" s="908"/>
      <c r="ARU144" s="827"/>
      <c r="ARV144" s="823"/>
      <c r="ARW144" s="824"/>
      <c r="ARX144" s="824"/>
      <c r="ARY144" s="824"/>
      <c r="ARZ144" s="824"/>
      <c r="ASA144" s="824"/>
      <c r="ASB144" s="824"/>
      <c r="ASC144" s="824"/>
      <c r="ASD144" s="824"/>
      <c r="ASE144" s="824"/>
      <c r="ASF144" s="824"/>
      <c r="ASG144" s="1473"/>
      <c r="ASH144" s="1474"/>
      <c r="ASI144" s="777"/>
      <c r="ASJ144" s="799"/>
      <c r="ASK144" s="1067"/>
      <c r="ASL144" s="845"/>
      <c r="ASM144" s="846"/>
      <c r="ASN144" s="848"/>
    </row>
    <row r="145" spans="338:948 1133:1217" ht="48" customHeight="1" thickBot="1">
      <c r="LZ145" s="130"/>
      <c r="NM145" s="653"/>
      <c r="NN145" s="653"/>
      <c r="NO145" s="653"/>
      <c r="NP145" s="653"/>
      <c r="NQ145" s="653"/>
      <c r="NR145" s="653"/>
      <c r="NS145" s="653"/>
      <c r="NT145" s="653"/>
      <c r="NU145" s="653"/>
      <c r="NV145" s="653"/>
      <c r="NW145" s="653"/>
      <c r="NX145" s="653"/>
      <c r="NY145" s="653"/>
      <c r="NZ145" s="653"/>
      <c r="OW145" s="653"/>
      <c r="OX145" s="653"/>
      <c r="OY145" s="653"/>
      <c r="OZ145" s="653"/>
      <c r="PA145" s="653"/>
      <c r="PB145" s="653"/>
      <c r="PC145" s="653"/>
      <c r="PD145" s="653"/>
      <c r="PE145" s="130"/>
      <c r="PF145" s="130"/>
      <c r="PG145" s="377"/>
      <c r="PH145" s="54"/>
      <c r="PI145" s="373"/>
      <c r="PJ145" s="373"/>
      <c r="PK145" s="373"/>
      <c r="PL145" s="197" t="s">
        <v>849</v>
      </c>
      <c r="PM145" s="1257" t="s">
        <v>416</v>
      </c>
      <c r="PN145" s="1257"/>
      <c r="PO145" s="484"/>
      <c r="PP145" s="861" t="s">
        <v>1683</v>
      </c>
      <c r="PQ145" s="861"/>
      <c r="PR145" s="861"/>
      <c r="PS145" s="937">
        <f>$PZ$160</f>
        <v>0.89310000000000012</v>
      </c>
      <c r="PT145" s="937"/>
      <c r="PU145" s="78"/>
      <c r="PV145" s="484"/>
      <c r="PW145" s="76" t="s">
        <v>441</v>
      </c>
      <c r="PX145" s="854" t="s">
        <v>435</v>
      </c>
      <c r="PY145" s="855"/>
      <c r="PZ145" s="920" t="s">
        <v>111</v>
      </c>
      <c r="QA145" s="921"/>
      <c r="QB145" s="916" t="s">
        <v>704</v>
      </c>
      <c r="QC145" s="917"/>
      <c r="QD145" s="906" t="s">
        <v>447</v>
      </c>
      <c r="QE145" s="907"/>
      <c r="QF145" s="907"/>
      <c r="QG145" s="908"/>
      <c r="QH145" s="906" t="s">
        <v>436</v>
      </c>
      <c r="QI145" s="907"/>
      <c r="QJ145" s="907"/>
      <c r="QK145" s="907"/>
      <c r="QL145" s="907"/>
      <c r="QM145" s="908"/>
      <c r="QN145" s="373"/>
      <c r="QO145" s="373"/>
      <c r="QP145" s="373"/>
      <c r="QQ145" s="373"/>
      <c r="QR145" s="374"/>
      <c r="QV145" s="130"/>
      <c r="QW145" s="130"/>
      <c r="QX145" s="130"/>
      <c r="VD145" s="1026"/>
      <c r="VE145" s="1027"/>
      <c r="VF145" s="1027"/>
      <c r="VG145" s="1027"/>
      <c r="VH145" s="1027"/>
      <c r="VI145" s="1027"/>
      <c r="VJ145" s="1027"/>
      <c r="VK145" s="1027"/>
      <c r="VL145" s="1027"/>
      <c r="VM145" s="1027"/>
      <c r="VN145" s="1027"/>
      <c r="VO145" s="1027"/>
      <c r="VP145" s="1027"/>
      <c r="VQ145" s="1027"/>
      <c r="VR145" s="1027"/>
      <c r="VS145" s="1027"/>
      <c r="VT145" s="1027"/>
      <c r="VU145" s="1027"/>
      <c r="VV145" s="1027"/>
      <c r="VW145" s="1027"/>
      <c r="VX145" s="1027"/>
      <c r="VY145" s="1027"/>
      <c r="VZ145" s="1028"/>
      <c r="WE145" s="159"/>
      <c r="WF145" s="160"/>
      <c r="WG145" s="161"/>
      <c r="WH145" s="849"/>
      <c r="WI145" s="1395" t="s">
        <v>676</v>
      </c>
      <c r="WJ145" s="1395"/>
      <c r="WK145" s="1795" t="s">
        <v>911</v>
      </c>
      <c r="WL145" s="1795"/>
      <c r="WM145" s="957" t="s">
        <v>1452</v>
      </c>
      <c r="WN145" s="957"/>
      <c r="WO145" s="957"/>
      <c r="WP145" s="957"/>
      <c r="WQ145" s="957"/>
      <c r="WR145" s="957"/>
      <c r="WS145" s="957"/>
      <c r="WT145" s="957"/>
      <c r="WU145" s="957"/>
      <c r="WV145" s="957"/>
      <c r="WW145" s="957"/>
      <c r="WX145" s="957"/>
      <c r="WY145" s="957"/>
      <c r="WZ145" s="957"/>
      <c r="XA145" s="849"/>
      <c r="XB145" s="159"/>
      <c r="XC145" s="160"/>
      <c r="XD145" s="160"/>
      <c r="XE145" s="160"/>
      <c r="XF145" s="160"/>
      <c r="XG145" s="160"/>
      <c r="XH145" s="160"/>
      <c r="XI145" s="160"/>
      <c r="XJ145" s="160"/>
      <c r="XK145" s="160"/>
      <c r="XL145" s="160"/>
      <c r="XM145" s="160"/>
      <c r="XN145" s="160"/>
      <c r="XO145" s="160"/>
      <c r="XP145" s="160"/>
      <c r="XQ145" s="160"/>
      <c r="XR145" s="160"/>
      <c r="XS145" s="160"/>
      <c r="XT145" s="160"/>
      <c r="XU145" s="160"/>
      <c r="XV145" s="160"/>
      <c r="XW145" s="160"/>
      <c r="XX145" s="160"/>
      <c r="XY145" s="160"/>
      <c r="XZ145" s="160"/>
      <c r="YA145" s="160"/>
      <c r="YB145" s="160"/>
      <c r="YC145" s="160"/>
      <c r="YD145" s="160"/>
      <c r="YE145" s="160"/>
      <c r="YF145" s="160"/>
      <c r="YG145" s="160"/>
      <c r="YH145" s="160"/>
      <c r="YI145" s="160"/>
      <c r="YJ145" s="160"/>
      <c r="YK145" s="160"/>
      <c r="YL145" s="160"/>
      <c r="YM145" s="160"/>
      <c r="YN145" s="160"/>
      <c r="YO145" s="160"/>
      <c r="YP145" s="160"/>
      <c r="YQ145" s="160"/>
      <c r="YR145" s="160"/>
      <c r="YS145" s="160"/>
      <c r="YT145" s="160"/>
      <c r="YU145" s="160"/>
      <c r="YV145" s="160"/>
      <c r="YW145" s="160"/>
      <c r="YX145" s="160"/>
      <c r="YY145" s="160"/>
      <c r="YZ145" s="160"/>
      <c r="ZA145" s="160"/>
      <c r="ZB145" s="160"/>
      <c r="ZC145" s="160"/>
      <c r="ZD145" s="160"/>
      <c r="ZE145" s="160"/>
      <c r="ZF145" s="160"/>
      <c r="ZG145" s="160"/>
      <c r="ZH145" s="160"/>
      <c r="ZI145" s="160"/>
      <c r="ZJ145" s="160"/>
      <c r="ZK145" s="160"/>
      <c r="ZL145" s="160"/>
      <c r="ZM145" s="160"/>
      <c r="ZN145" s="160"/>
      <c r="ZO145" s="160"/>
      <c r="ZP145" s="160"/>
      <c r="ZQ145" s="160"/>
      <c r="ZR145" s="160"/>
      <c r="ZS145" s="160"/>
      <c r="ZT145" s="160"/>
      <c r="ZU145" s="160"/>
      <c r="ZV145" s="160"/>
      <c r="ZW145" s="160"/>
      <c r="ZX145" s="160"/>
      <c r="ZY145" s="160"/>
      <c r="ZZ145" s="160"/>
      <c r="AAA145" s="160"/>
      <c r="AAB145" s="160"/>
      <c r="AAC145" s="160"/>
      <c r="AAD145" s="160"/>
      <c r="AAE145" s="160"/>
      <c r="AAF145" s="160"/>
      <c r="AAG145" s="160"/>
      <c r="AAH145" s="160"/>
      <c r="AAI145" s="160"/>
      <c r="AAJ145" s="160"/>
      <c r="AAK145" s="160"/>
      <c r="AAL145" s="160"/>
      <c r="AAM145" s="160"/>
      <c r="AAN145" s="160"/>
      <c r="AAO145" s="160"/>
      <c r="AAP145" s="160"/>
      <c r="AAQ145" s="160"/>
      <c r="AAR145" s="160"/>
      <c r="AAS145" s="160"/>
      <c r="AAT145" s="161"/>
      <c r="AAU145" s="849"/>
      <c r="AAV145" s="160"/>
      <c r="AAW145" s="160"/>
      <c r="AAX145" s="160"/>
      <c r="AAY145" s="160"/>
      <c r="AAZ145" s="160"/>
      <c r="ABA145" s="160"/>
      <c r="ABB145" s="160"/>
      <c r="ABC145" s="160"/>
      <c r="ABD145" s="158"/>
      <c r="ABE145" s="158"/>
      <c r="ABF145" s="158"/>
      <c r="ABG145" s="158"/>
      <c r="ABH145" s="158"/>
      <c r="ABI145" s="158"/>
      <c r="ABJ145" s="158"/>
      <c r="ABK145" s="158"/>
      <c r="ABL145" s="158"/>
      <c r="ABM145" s="158"/>
      <c r="ABN145" s="158"/>
      <c r="ABO145" s="158"/>
      <c r="ABP145" s="163"/>
      <c r="ABT145" s="1516"/>
      <c r="ABU145" s="1517"/>
      <c r="ABV145" s="1517"/>
      <c r="ABW145" s="1517"/>
      <c r="ABX145" s="1517"/>
      <c r="ABY145" s="1517"/>
      <c r="ABZ145" s="1517"/>
      <c r="ACA145" s="1517"/>
      <c r="ACB145" s="1517"/>
      <c r="ACC145" s="1517"/>
      <c r="ACD145" s="1517"/>
      <c r="ACE145" s="1517"/>
      <c r="ACF145" s="1517"/>
      <c r="ACG145" s="1517"/>
      <c r="ACH145" s="1518"/>
      <c r="ACI145" s="704"/>
      <c r="ACJ145" s="653"/>
      <c r="ACK145" s="653"/>
      <c r="ACL145" s="653"/>
      <c r="ACM145" s="653"/>
      <c r="ACN145" s="653"/>
      <c r="ACO145" s="653"/>
      <c r="ACP145" s="653"/>
      <c r="ACQ145" s="653"/>
      <c r="ACR145" s="653"/>
      <c r="ACS145" s="653"/>
      <c r="ACT145" s="653"/>
      <c r="ACU145" s="653"/>
      <c r="ACV145" s="653"/>
      <c r="ACW145" s="653"/>
      <c r="ACX145" s="653"/>
      <c r="ACY145" s="653"/>
      <c r="AGL145" s="849"/>
      <c r="AGM145" s="852" t="s">
        <v>416</v>
      </c>
      <c r="AGN145" s="853"/>
      <c r="AGO145" s="427"/>
      <c r="AGP145" s="78"/>
      <c r="AGQ145" s="78"/>
      <c r="AGR145" s="78"/>
      <c r="AGS145" s="78"/>
      <c r="AGT145" s="78"/>
      <c r="AGU145" s="78"/>
      <c r="AGV145" s="427"/>
      <c r="AGW145" s="76" t="s">
        <v>441</v>
      </c>
      <c r="AGX145" s="854" t="s">
        <v>435</v>
      </c>
      <c r="AGY145" s="1111"/>
      <c r="AGZ145" s="920" t="s">
        <v>111</v>
      </c>
      <c r="AHA145" s="921"/>
      <c r="AHB145" s="916" t="s">
        <v>704</v>
      </c>
      <c r="AHC145" s="917"/>
      <c r="AHD145" s="906" t="s">
        <v>447</v>
      </c>
      <c r="AHE145" s="907"/>
      <c r="AHF145" s="907"/>
      <c r="AHG145" s="908"/>
      <c r="AHH145" s="1051" t="s">
        <v>436</v>
      </c>
      <c r="AHI145" s="1051"/>
      <c r="AHJ145" s="1051"/>
      <c r="AHK145" s="1051"/>
      <c r="AHL145" s="1051"/>
      <c r="AHM145" s="1051"/>
      <c r="AHS145" s="130"/>
      <c r="AHT145" s="130"/>
      <c r="AHU145" s="130"/>
      <c r="AHV145" s="130"/>
      <c r="AHW145" s="130"/>
      <c r="AHX145" s="130"/>
      <c r="AQO145" s="850"/>
      <c r="AQP145" s="856"/>
      <c r="AQQ145" s="856"/>
      <c r="AQR145" s="856"/>
      <c r="AQS145" s="856"/>
      <c r="AQT145" s="856"/>
      <c r="AQU145" s="856"/>
      <c r="AQV145" s="856"/>
      <c r="AQW145" s="856"/>
      <c r="AQX145" s="856"/>
      <c r="AQY145" s="856"/>
      <c r="AQZ145" s="856"/>
      <c r="ARA145" s="856"/>
      <c r="ARB145" s="856"/>
      <c r="ARC145" s="835"/>
      <c r="ARD145" s="836"/>
      <c r="ARE145" s="839"/>
      <c r="ARF145" s="840"/>
      <c r="ARG145" s="841"/>
      <c r="ARH145" s="843"/>
      <c r="ARI145" s="844"/>
      <c r="ARJ145" s="847"/>
      <c r="ARU145" s="828"/>
      <c r="ARV145" s="794"/>
      <c r="ARW145" s="795"/>
      <c r="ARX145" s="795"/>
      <c r="ARY145" s="795"/>
      <c r="ARZ145" s="795"/>
      <c r="ASA145" s="795"/>
      <c r="ASB145" s="795"/>
      <c r="ASC145" s="795"/>
      <c r="ASD145" s="795"/>
      <c r="ASE145" s="795"/>
      <c r="ASF145" s="825"/>
      <c r="ASG145" s="812"/>
      <c r="ASH145" s="813"/>
      <c r="ASI145" s="813"/>
      <c r="ASJ145" s="813"/>
      <c r="ASK145" s="813"/>
      <c r="ASL145" s="813"/>
      <c r="ASM145" s="813"/>
      <c r="ASN145" s="814"/>
    </row>
    <row r="146" spans="338:948 1133:1217" ht="48" customHeight="1" thickBot="1">
      <c r="NM146" s="653"/>
      <c r="NN146" s="653"/>
      <c r="NO146" s="653"/>
      <c r="NP146" s="653"/>
      <c r="NQ146" s="653"/>
      <c r="NR146" s="653"/>
      <c r="NS146" s="653"/>
      <c r="NT146" s="653"/>
      <c r="NU146" s="653"/>
      <c r="NV146" s="653"/>
      <c r="NW146" s="653"/>
      <c r="NX146" s="653"/>
      <c r="NY146" s="653"/>
      <c r="NZ146" s="653"/>
      <c r="OW146" s="653"/>
      <c r="OX146" s="653"/>
      <c r="OY146" s="653"/>
      <c r="OZ146" s="653"/>
      <c r="PA146" s="653"/>
      <c r="PB146" s="653"/>
      <c r="PC146" s="653"/>
      <c r="PD146" s="653"/>
      <c r="PE146" s="130"/>
      <c r="PF146" s="130"/>
      <c r="PG146" s="377"/>
      <c r="PH146" s="54"/>
      <c r="PI146" s="54"/>
      <c r="PJ146" s="54"/>
      <c r="PK146" s="381" t="s">
        <v>1297</v>
      </c>
      <c r="PL146" s="849"/>
      <c r="PM146" s="654" t="s">
        <v>1570</v>
      </c>
      <c r="PN146" s="766">
        <f>$AP$6</f>
        <v>1500</v>
      </c>
      <c r="PO146" s="766"/>
      <c r="PP146" s="791" t="s">
        <v>1543</v>
      </c>
      <c r="PQ146" s="797"/>
      <c r="PR146" s="797"/>
      <c r="PS146" s="797"/>
      <c r="PT146" s="797"/>
      <c r="PU146" s="797"/>
      <c r="PV146" s="797"/>
      <c r="PW146" s="797"/>
      <c r="PX146" s="797"/>
      <c r="PY146" s="798"/>
      <c r="PZ146" s="1378">
        <f>PS145*((PN146/10)^2)*(PN147^4)</f>
        <v>41.237811440369647</v>
      </c>
      <c r="QA146" s="1379"/>
      <c r="QB146" s="1075" t="s">
        <v>3</v>
      </c>
      <c r="QC146" s="1076"/>
      <c r="QD146" s="841"/>
      <c r="QE146" s="1170" t="s">
        <v>1534</v>
      </c>
      <c r="QF146" s="1172"/>
      <c r="QG146" s="847"/>
      <c r="QH146" s="826"/>
      <c r="QI146" s="945"/>
      <c r="QJ146" s="945"/>
      <c r="QK146" s="945"/>
      <c r="QL146" s="945"/>
      <c r="QM146" s="946"/>
      <c r="QN146" s="373"/>
      <c r="QO146" s="373"/>
      <c r="QP146" s="373"/>
      <c r="QQ146" s="373"/>
      <c r="QR146" s="374"/>
      <c r="QV146" s="130"/>
      <c r="QW146" s="130"/>
      <c r="QX146" s="130"/>
      <c r="VD146" s="1026"/>
      <c r="VE146" s="1027"/>
      <c r="VF146" s="1027"/>
      <c r="VG146" s="1027"/>
      <c r="VH146" s="1027"/>
      <c r="VI146" s="1027"/>
      <c r="VJ146" s="1027"/>
      <c r="VK146" s="1027"/>
      <c r="VL146" s="1027"/>
      <c r="VM146" s="1027"/>
      <c r="VN146" s="1027"/>
      <c r="VO146" s="1027"/>
      <c r="VP146" s="1027"/>
      <c r="VQ146" s="1027"/>
      <c r="VR146" s="1027"/>
      <c r="VS146" s="1027"/>
      <c r="VT146" s="1027"/>
      <c r="VU146" s="1027"/>
      <c r="VV146" s="1027"/>
      <c r="VW146" s="1027"/>
      <c r="VX146" s="1027"/>
      <c r="VY146" s="1027"/>
      <c r="VZ146" s="1028"/>
      <c r="WE146" s="162"/>
      <c r="WF146" s="158"/>
      <c r="WG146" s="163"/>
      <c r="WH146" s="850"/>
      <c r="WI146" s="1395"/>
      <c r="WJ146" s="1395"/>
      <c r="WK146" s="1795"/>
      <c r="WL146" s="1795"/>
      <c r="WM146" s="957"/>
      <c r="WN146" s="957"/>
      <c r="WO146" s="957"/>
      <c r="WP146" s="957"/>
      <c r="WQ146" s="957"/>
      <c r="WR146" s="957"/>
      <c r="WS146" s="957"/>
      <c r="WT146" s="957"/>
      <c r="WU146" s="957"/>
      <c r="WV146" s="957"/>
      <c r="WW146" s="957"/>
      <c r="WX146" s="957"/>
      <c r="WY146" s="957"/>
      <c r="WZ146" s="957"/>
      <c r="XA146" s="850"/>
      <c r="XB146" s="162"/>
      <c r="XC146" s="158"/>
      <c r="XD146" s="158"/>
      <c r="XE146" s="158"/>
      <c r="XF146" s="158"/>
      <c r="XG146" s="158"/>
      <c r="XH146" s="158"/>
      <c r="XI146" s="158"/>
      <c r="XJ146" s="158"/>
      <c r="XK146" s="158"/>
      <c r="XL146" s="158"/>
      <c r="XM146" s="158"/>
      <c r="XN146" s="158"/>
      <c r="XO146" s="158"/>
      <c r="XP146" s="158"/>
      <c r="XQ146" s="158"/>
      <c r="XR146" s="158"/>
      <c r="XS146" s="158"/>
      <c r="XT146" s="158"/>
      <c r="XU146" s="158"/>
      <c r="XV146" s="158"/>
      <c r="XW146" s="158"/>
      <c r="XX146" s="158"/>
      <c r="XY146" s="158"/>
      <c r="XZ146" s="158"/>
      <c r="YA146" s="158"/>
      <c r="YB146" s="158"/>
      <c r="YC146" s="158"/>
      <c r="YD146" s="158"/>
      <c r="YE146" s="158"/>
      <c r="YF146" s="158"/>
      <c r="YG146" s="158"/>
      <c r="YH146" s="158"/>
      <c r="YI146" s="158"/>
      <c r="YJ146" s="158"/>
      <c r="YK146" s="158"/>
      <c r="YL146" s="158"/>
      <c r="YM146" s="158"/>
      <c r="YN146" s="158"/>
      <c r="YO146" s="158"/>
      <c r="YP146" s="158"/>
      <c r="YQ146" s="158"/>
      <c r="YR146" s="158"/>
      <c r="YS146" s="158"/>
      <c r="YT146" s="158"/>
      <c r="YU146" s="158"/>
      <c r="YV146" s="158"/>
      <c r="YW146" s="158"/>
      <c r="YX146" s="158"/>
      <c r="YY146" s="158"/>
      <c r="YZ146" s="158"/>
      <c r="ZA146" s="158"/>
      <c r="ZB146" s="158"/>
      <c r="ZC146" s="158"/>
      <c r="ZD146" s="158"/>
      <c r="ZE146" s="158"/>
      <c r="ZF146" s="158"/>
      <c r="ZG146" s="158"/>
      <c r="ZH146" s="158"/>
      <c r="ZI146" s="158"/>
      <c r="ZJ146" s="158"/>
      <c r="ZK146" s="158"/>
      <c r="ZL146" s="158"/>
      <c r="ZM146" s="158"/>
      <c r="ZN146" s="158"/>
      <c r="ZO146" s="158"/>
      <c r="ZP146" s="158"/>
      <c r="ZQ146" s="158"/>
      <c r="ZR146" s="158"/>
      <c r="ZS146" s="158"/>
      <c r="ZT146" s="158"/>
      <c r="ZU146" s="158"/>
      <c r="ZV146" s="158"/>
      <c r="ZW146" s="158"/>
      <c r="ZX146" s="158"/>
      <c r="ZY146" s="158"/>
      <c r="ZZ146" s="158"/>
      <c r="AAA146" s="158"/>
      <c r="AAB146" s="158"/>
      <c r="AAC146" s="158"/>
      <c r="AAD146" s="158"/>
      <c r="AAE146" s="158"/>
      <c r="AAF146" s="158"/>
      <c r="AAG146" s="158"/>
      <c r="AAH146" s="158"/>
      <c r="AAI146" s="158"/>
      <c r="AAJ146" s="158"/>
      <c r="AAK146" s="158"/>
      <c r="AAL146" s="158"/>
      <c r="AAM146" s="158"/>
      <c r="AAN146" s="158"/>
      <c r="AAO146" s="158"/>
      <c r="AAP146" s="158"/>
      <c r="AAQ146" s="158"/>
      <c r="AAR146" s="158"/>
      <c r="AAS146" s="158"/>
      <c r="AAT146" s="163"/>
      <c r="AAU146" s="850"/>
      <c r="AAV146" s="158"/>
      <c r="AAW146" s="158"/>
      <c r="AAX146" s="158"/>
      <c r="AAY146" s="158"/>
      <c r="AAZ146" s="158"/>
      <c r="ABA146" s="158"/>
      <c r="ABB146" s="158"/>
      <c r="ABC146" s="158"/>
      <c r="ABD146" s="158"/>
      <c r="ABE146" s="158"/>
      <c r="ABF146" s="158"/>
      <c r="ABG146" s="158"/>
      <c r="ABH146" s="158"/>
      <c r="ABI146" s="158"/>
      <c r="ABJ146" s="158"/>
      <c r="ABK146" s="158"/>
      <c r="ABL146" s="158"/>
      <c r="ABM146" s="158"/>
      <c r="ABN146" s="158"/>
      <c r="ABO146" s="158"/>
      <c r="ABP146" s="163"/>
      <c r="ABT146" s="1516"/>
      <c r="ABU146" s="1517"/>
      <c r="ABV146" s="1517"/>
      <c r="ABW146" s="1517"/>
      <c r="ABX146" s="1517"/>
      <c r="ABY146" s="1517"/>
      <c r="ABZ146" s="1517"/>
      <c r="ACA146" s="1517"/>
      <c r="ACB146" s="1517"/>
      <c r="ACC146" s="1517"/>
      <c r="ACD146" s="1517"/>
      <c r="ACE146" s="1517"/>
      <c r="ACF146" s="1517"/>
      <c r="ACG146" s="1517"/>
      <c r="ACH146" s="1518"/>
      <c r="ACI146" s="704"/>
      <c r="ACJ146" s="653"/>
      <c r="ACK146" s="653"/>
      <c r="ACL146" s="653"/>
      <c r="ACM146" s="653"/>
      <c r="ACN146" s="653"/>
      <c r="ACO146" s="653"/>
      <c r="ACP146" s="653"/>
      <c r="ACQ146" s="653"/>
      <c r="ACR146" s="653"/>
      <c r="ACS146" s="653"/>
      <c r="ACT146" s="653"/>
      <c r="ACU146" s="653"/>
      <c r="ACV146" s="653"/>
      <c r="ACW146" s="653"/>
      <c r="ACX146" s="653"/>
      <c r="ACY146" s="653"/>
      <c r="AGL146" s="850"/>
      <c r="AGM146" s="439" t="s">
        <v>1216</v>
      </c>
      <c r="AGN146" s="766">
        <f>$AP$7</f>
        <v>220</v>
      </c>
      <c r="AGO146" s="766"/>
      <c r="AGP146" s="797" t="s">
        <v>1478</v>
      </c>
      <c r="AGQ146" s="797"/>
      <c r="AGR146" s="797"/>
      <c r="AGS146" s="797"/>
      <c r="AGT146" s="797"/>
      <c r="AGU146" s="797"/>
      <c r="AGV146" s="797"/>
      <c r="AGW146" s="797"/>
      <c r="AGX146" s="797"/>
      <c r="AGY146" s="798"/>
      <c r="AGZ146" s="835">
        <f>AGN146/((AGN147^2+AGN148^2)^0.5)</f>
        <v>567.397893427589</v>
      </c>
      <c r="AHA146" s="836"/>
      <c r="AHB146" s="1345" t="s">
        <v>32</v>
      </c>
      <c r="AHC146" s="932"/>
      <c r="AHD146" s="841"/>
      <c r="AHE146" s="843" t="s">
        <v>1388</v>
      </c>
      <c r="AHF146" s="844"/>
      <c r="AHG146" s="847"/>
      <c r="AHH146" s="1052"/>
      <c r="AHI146" s="1052"/>
      <c r="AHJ146" s="1052"/>
      <c r="AHK146" s="1052"/>
      <c r="AHL146" s="1052"/>
      <c r="AHM146" s="1052"/>
      <c r="AHT146" s="130"/>
      <c r="AHU146" s="130"/>
      <c r="AQO146" s="851"/>
      <c r="AQP146" s="857"/>
      <c r="AQQ146" s="857"/>
      <c r="AQR146" s="857"/>
      <c r="AQS146" s="857"/>
      <c r="AQT146" s="857"/>
      <c r="AQU146" s="857"/>
      <c r="AQV146" s="857"/>
      <c r="AQW146" s="857"/>
      <c r="AQX146" s="857"/>
      <c r="AQY146" s="857"/>
      <c r="AQZ146" s="857"/>
      <c r="ARA146" s="857"/>
      <c r="ARB146" s="857"/>
      <c r="ARC146" s="837"/>
      <c r="ARD146" s="838"/>
      <c r="ARE146" s="777"/>
      <c r="ARF146" s="799"/>
      <c r="ARG146" s="842"/>
      <c r="ARH146" s="845"/>
      <c r="ARI146" s="846"/>
      <c r="ARJ146" s="848"/>
    </row>
    <row r="147" spans="338:948 1133:1217" ht="48" customHeight="1" thickBot="1">
      <c r="NR147" s="130"/>
      <c r="NS147" s="130"/>
      <c r="NT147" s="130"/>
      <c r="NU147" s="130"/>
      <c r="NV147" s="130"/>
      <c r="NW147" s="130"/>
      <c r="NX147" s="130"/>
      <c r="NY147" s="130"/>
      <c r="NZ147" s="130"/>
      <c r="OW147" s="653"/>
      <c r="OX147" s="653"/>
      <c r="OY147" s="653"/>
      <c r="OZ147" s="653"/>
      <c r="PA147" s="653"/>
      <c r="PB147" s="653"/>
      <c r="PC147" s="653"/>
      <c r="PD147" s="653"/>
      <c r="PG147" s="377"/>
      <c r="PH147" s="54"/>
      <c r="PI147" s="373"/>
      <c r="PJ147" s="373"/>
      <c r="PK147" s="373"/>
      <c r="PL147" s="850"/>
      <c r="PM147" s="658" t="s">
        <v>444</v>
      </c>
      <c r="PN147" s="890">
        <f>$AP$49</f>
        <v>0.21284000000000003</v>
      </c>
      <c r="PO147" s="890"/>
      <c r="PP147" s="775"/>
      <c r="PQ147" s="776"/>
      <c r="PR147" s="776"/>
      <c r="PS147" s="776"/>
      <c r="PT147" s="776"/>
      <c r="PU147" s="776"/>
      <c r="PV147" s="776"/>
      <c r="PW147" s="776"/>
      <c r="PX147" s="776"/>
      <c r="PY147" s="815"/>
      <c r="PZ147" s="1380"/>
      <c r="QA147" s="1381"/>
      <c r="QB147" s="1077"/>
      <c r="QC147" s="1078"/>
      <c r="QD147" s="842"/>
      <c r="QE147" s="1173"/>
      <c r="QF147" s="1175"/>
      <c r="QG147" s="848"/>
      <c r="QH147" s="827"/>
      <c r="QI147" s="947"/>
      <c r="QJ147" s="947"/>
      <c r="QK147" s="947"/>
      <c r="QL147" s="947"/>
      <c r="QM147" s="948"/>
      <c r="QN147" s="373"/>
      <c r="QO147" s="373"/>
      <c r="QP147" s="373"/>
      <c r="QQ147" s="373"/>
      <c r="QR147" s="374"/>
      <c r="QV147" s="130"/>
      <c r="QW147" s="130"/>
      <c r="QX147" s="130"/>
      <c r="VD147" s="1026"/>
      <c r="VE147" s="1027"/>
      <c r="VF147" s="1027"/>
      <c r="VG147" s="1027"/>
      <c r="VH147" s="1027"/>
      <c r="VI147" s="1027"/>
      <c r="VJ147" s="1027"/>
      <c r="VK147" s="1027"/>
      <c r="VL147" s="1027"/>
      <c r="VM147" s="1027"/>
      <c r="VN147" s="1027"/>
      <c r="VO147" s="1027"/>
      <c r="VP147" s="1027"/>
      <c r="VQ147" s="1027"/>
      <c r="VR147" s="1027"/>
      <c r="VS147" s="1027"/>
      <c r="VT147" s="1027"/>
      <c r="VU147" s="1027"/>
      <c r="VV147" s="1027"/>
      <c r="VW147" s="1027"/>
      <c r="VX147" s="1027"/>
      <c r="VY147" s="1027"/>
      <c r="VZ147" s="1028"/>
      <c r="WE147" s="164"/>
      <c r="WF147" s="165"/>
      <c r="WG147" s="166"/>
      <c r="WH147" s="876"/>
      <c r="WI147" s="1395"/>
      <c r="WJ147" s="1395"/>
      <c r="WK147" s="1795"/>
      <c r="WL147" s="1795"/>
      <c r="WM147" s="957"/>
      <c r="WN147" s="957"/>
      <c r="WO147" s="957"/>
      <c r="WP147" s="957"/>
      <c r="WQ147" s="957"/>
      <c r="WR147" s="957"/>
      <c r="WS147" s="957"/>
      <c r="WT147" s="957"/>
      <c r="WU147" s="957"/>
      <c r="WV147" s="957"/>
      <c r="WW147" s="957"/>
      <c r="WX147" s="957"/>
      <c r="WY147" s="957"/>
      <c r="WZ147" s="957"/>
      <c r="XA147" s="850"/>
      <c r="XB147" s="164"/>
      <c r="XC147" s="165"/>
      <c r="XD147" s="165"/>
      <c r="XE147" s="165"/>
      <c r="XF147" s="165"/>
      <c r="XG147" s="165"/>
      <c r="XH147" s="165"/>
      <c r="XI147" s="165"/>
      <c r="XJ147" s="165"/>
      <c r="XK147" s="165"/>
      <c r="XL147" s="165"/>
      <c r="XM147" s="165"/>
      <c r="XN147" s="165"/>
      <c r="XO147" s="165"/>
      <c r="XP147" s="165"/>
      <c r="XQ147" s="165"/>
      <c r="XR147" s="165"/>
      <c r="XS147" s="165"/>
      <c r="XT147" s="165"/>
      <c r="XU147" s="165"/>
      <c r="XV147" s="165"/>
      <c r="XW147" s="165"/>
      <c r="XX147" s="165"/>
      <c r="XY147" s="165"/>
      <c r="XZ147" s="165"/>
      <c r="YA147" s="165"/>
      <c r="YB147" s="165"/>
      <c r="YC147" s="165"/>
      <c r="YD147" s="165"/>
      <c r="YE147" s="165"/>
      <c r="YF147" s="165"/>
      <c r="YG147" s="165"/>
      <c r="YH147" s="165"/>
      <c r="YI147" s="165"/>
      <c r="YJ147" s="165"/>
      <c r="YK147" s="165"/>
      <c r="YL147" s="165"/>
      <c r="YM147" s="165"/>
      <c r="YN147" s="165"/>
      <c r="YO147" s="165"/>
      <c r="YP147" s="165"/>
      <c r="YQ147" s="165"/>
      <c r="YR147" s="165"/>
      <c r="YS147" s="165"/>
      <c r="YT147" s="165"/>
      <c r="YU147" s="165"/>
      <c r="YV147" s="165"/>
      <c r="YW147" s="165"/>
      <c r="YX147" s="165"/>
      <c r="YY147" s="165"/>
      <c r="YZ147" s="165"/>
      <c r="ZA147" s="165"/>
      <c r="ZB147" s="165"/>
      <c r="ZC147" s="165"/>
      <c r="ZD147" s="165"/>
      <c r="ZE147" s="165"/>
      <c r="ZF147" s="165"/>
      <c r="ZG147" s="165"/>
      <c r="ZH147" s="165"/>
      <c r="ZI147" s="165"/>
      <c r="ZJ147" s="165"/>
      <c r="ZK147" s="165"/>
      <c r="ZL147" s="165"/>
      <c r="ZM147" s="165"/>
      <c r="ZN147" s="165"/>
      <c r="ZO147" s="165"/>
      <c r="ZP147" s="165"/>
      <c r="ZQ147" s="165"/>
      <c r="ZR147" s="165"/>
      <c r="ZS147" s="165"/>
      <c r="ZT147" s="165"/>
      <c r="ZU147" s="165"/>
      <c r="ZV147" s="165"/>
      <c r="ZW147" s="165"/>
      <c r="ZX147" s="165"/>
      <c r="ZY147" s="165"/>
      <c r="ZZ147" s="165"/>
      <c r="AAA147" s="165"/>
      <c r="AAB147" s="165"/>
      <c r="AAC147" s="165"/>
      <c r="AAD147" s="165"/>
      <c r="AAE147" s="165"/>
      <c r="AAF147" s="165"/>
      <c r="AAG147" s="165"/>
      <c r="AAH147" s="165"/>
      <c r="AAI147" s="165"/>
      <c r="AAJ147" s="165"/>
      <c r="AAK147" s="165"/>
      <c r="AAL147" s="165"/>
      <c r="AAM147" s="165"/>
      <c r="AAN147" s="165"/>
      <c r="AAO147" s="165"/>
      <c r="AAP147" s="165"/>
      <c r="AAQ147" s="165"/>
      <c r="AAR147" s="165"/>
      <c r="AAS147" s="165"/>
      <c r="AAT147" s="166"/>
      <c r="AAU147" s="850"/>
      <c r="AAV147" s="158"/>
      <c r="AAW147" s="158"/>
      <c r="AAX147" s="158"/>
      <c r="AAY147" s="158"/>
      <c r="AAZ147" s="158"/>
      <c r="ABA147" s="158"/>
      <c r="ABB147" s="158"/>
      <c r="ABC147" s="158"/>
      <c r="ABD147" s="158"/>
      <c r="ABE147" s="158"/>
      <c r="ABF147" s="158"/>
      <c r="ABG147" s="158"/>
      <c r="ABH147" s="158"/>
      <c r="ABI147" s="158"/>
      <c r="ABJ147" s="158"/>
      <c r="ABK147" s="158"/>
      <c r="ABL147" s="158"/>
      <c r="ABM147" s="158"/>
      <c r="ABN147" s="158"/>
      <c r="ABO147" s="158"/>
      <c r="ABP147" s="163"/>
      <c r="ABQ147" s="653"/>
      <c r="ABR147" s="653"/>
      <c r="ABS147" s="653"/>
      <c r="ABT147" s="1516"/>
      <c r="ABU147" s="1517"/>
      <c r="ABV147" s="1517"/>
      <c r="ABW147" s="1517"/>
      <c r="ABX147" s="1517"/>
      <c r="ABY147" s="1517"/>
      <c r="ABZ147" s="1517"/>
      <c r="ACA147" s="1517"/>
      <c r="ACB147" s="1517"/>
      <c r="ACC147" s="1517"/>
      <c r="ACD147" s="1517"/>
      <c r="ACE147" s="1517"/>
      <c r="ACF147" s="1517"/>
      <c r="ACG147" s="1517"/>
      <c r="ACH147" s="1518"/>
      <c r="ACI147" s="704"/>
      <c r="ACJ147" s="653"/>
      <c r="ACK147" s="653"/>
      <c r="ACL147" s="653"/>
      <c r="ACM147" s="653"/>
      <c r="ACN147" s="653"/>
      <c r="ACO147" s="653"/>
      <c r="ACP147" s="653"/>
      <c r="ACQ147" s="653"/>
      <c r="ACR147" s="653"/>
      <c r="ACS147" s="653"/>
      <c r="ACT147" s="653"/>
      <c r="ACU147" s="653"/>
      <c r="ACV147" s="653"/>
      <c r="ACW147" s="653"/>
      <c r="ACX147" s="653"/>
      <c r="ACY147" s="653"/>
      <c r="AGL147" s="850"/>
      <c r="AGM147" s="441" t="s">
        <v>1474</v>
      </c>
      <c r="AGN147" s="890">
        <f>$AGZ$141</f>
        <v>0.25549207123810602</v>
      </c>
      <c r="AGO147" s="890"/>
      <c r="AGP147" s="776"/>
      <c r="AGQ147" s="776"/>
      <c r="AGR147" s="776"/>
      <c r="AGS147" s="776"/>
      <c r="AGT147" s="776"/>
      <c r="AGU147" s="776"/>
      <c r="AGV147" s="776"/>
      <c r="AGW147" s="776"/>
      <c r="AGX147" s="776"/>
      <c r="AGY147" s="815"/>
      <c r="AGZ147" s="837"/>
      <c r="AHA147" s="838"/>
      <c r="AHB147" s="1346"/>
      <c r="AHC147" s="934"/>
      <c r="AHD147" s="842"/>
      <c r="AHE147" s="845"/>
      <c r="AHF147" s="846"/>
      <c r="AHG147" s="848"/>
      <c r="AHH147" s="1052"/>
      <c r="AHI147" s="1052"/>
      <c r="AHJ147" s="1052"/>
      <c r="AHK147" s="1052"/>
      <c r="AHL147" s="1052"/>
      <c r="AHM147" s="1052"/>
      <c r="AHQ147" s="130"/>
      <c r="AHR147" s="130"/>
      <c r="AHS147" s="130"/>
      <c r="AHT147" s="130"/>
      <c r="AHU147" s="130"/>
    </row>
    <row r="148" spans="338:948 1133:1217" ht="48" customHeight="1" thickBot="1">
      <c r="LZ148" s="136"/>
      <c r="MA148" s="891"/>
      <c r="MB148" s="891"/>
      <c r="MC148" s="891"/>
      <c r="MD148" s="891"/>
      <c r="ME148" s="891"/>
      <c r="MF148" s="891"/>
      <c r="MG148" s="891"/>
      <c r="MH148" s="891"/>
      <c r="MI148" s="891"/>
      <c r="MJ148" s="891"/>
      <c r="MK148" s="891"/>
      <c r="ML148" s="891"/>
      <c r="MM148" s="891"/>
      <c r="MN148" s="891"/>
      <c r="MO148" s="891"/>
      <c r="MP148" s="891"/>
      <c r="MQ148" s="891"/>
      <c r="MR148" s="891"/>
      <c r="MS148" s="891"/>
      <c r="MT148" s="891"/>
      <c r="MU148" s="891"/>
      <c r="MV148" s="891"/>
      <c r="MW148" s="891"/>
      <c r="MX148" s="891"/>
      <c r="MY148" s="891"/>
      <c r="MZ148" s="891"/>
      <c r="NA148" s="891"/>
      <c r="NB148" s="891"/>
      <c r="NC148" s="891"/>
      <c r="ND148" s="891"/>
      <c r="NE148" s="891"/>
      <c r="NF148" s="891"/>
      <c r="NG148" s="891"/>
      <c r="NH148" s="891"/>
      <c r="NI148" s="891"/>
      <c r="NJ148" s="891"/>
      <c r="NK148" s="891"/>
      <c r="NL148" s="891"/>
      <c r="NM148" s="891"/>
      <c r="NN148" s="891"/>
      <c r="NO148" s="136"/>
      <c r="NR148" s="130"/>
      <c r="NS148" s="130"/>
      <c r="NT148" s="130"/>
      <c r="NU148" s="130"/>
      <c r="NV148" s="130"/>
      <c r="NW148" s="130"/>
      <c r="NX148" s="130"/>
      <c r="NY148" s="130"/>
      <c r="NZ148" s="130"/>
      <c r="OW148" s="653"/>
      <c r="OX148" s="653"/>
      <c r="OY148" s="653"/>
      <c r="OZ148" s="653"/>
      <c r="PA148" s="653"/>
      <c r="PB148" s="653"/>
      <c r="PC148" s="653"/>
      <c r="PD148" s="653"/>
      <c r="PG148" s="377"/>
      <c r="PH148" s="54"/>
      <c r="PI148" s="377"/>
      <c r="PJ148" s="373"/>
      <c r="PK148" s="373"/>
      <c r="PL148" s="851"/>
      <c r="PM148" s="1037"/>
      <c r="PN148" s="1038"/>
      <c r="PO148" s="1039"/>
      <c r="PP148" s="777"/>
      <c r="PQ148" s="778"/>
      <c r="PR148" s="778"/>
      <c r="PS148" s="778"/>
      <c r="PT148" s="778"/>
      <c r="PU148" s="778"/>
      <c r="PV148" s="778"/>
      <c r="PW148" s="778"/>
      <c r="PX148" s="778"/>
      <c r="PY148" s="799"/>
      <c r="PZ148" s="1618"/>
      <c r="QA148" s="1619"/>
      <c r="QB148" s="1619"/>
      <c r="QC148" s="1619"/>
      <c r="QD148" s="1619"/>
      <c r="QE148" s="1619"/>
      <c r="QF148" s="1619"/>
      <c r="QG148" s="1619"/>
      <c r="QH148" s="828"/>
      <c r="QI148" s="949"/>
      <c r="QJ148" s="949"/>
      <c r="QK148" s="949"/>
      <c r="QL148" s="949"/>
      <c r="QM148" s="950"/>
      <c r="QN148" s="373"/>
      <c r="QO148" s="373"/>
      <c r="QP148" s="373"/>
      <c r="QQ148" s="373"/>
      <c r="QR148" s="374"/>
      <c r="QV148" s="130"/>
      <c r="QW148" s="130"/>
      <c r="QX148" s="130"/>
      <c r="VD148" s="1026"/>
      <c r="VE148" s="1027"/>
      <c r="VF148" s="1027"/>
      <c r="VG148" s="1027"/>
      <c r="VH148" s="1027"/>
      <c r="VI148" s="1027"/>
      <c r="VJ148" s="1027"/>
      <c r="VK148" s="1027"/>
      <c r="VL148" s="1027"/>
      <c r="VM148" s="1027"/>
      <c r="VN148" s="1027"/>
      <c r="VO148" s="1027"/>
      <c r="VP148" s="1027"/>
      <c r="VQ148" s="1027"/>
      <c r="VR148" s="1027"/>
      <c r="VS148" s="1027"/>
      <c r="VT148" s="1027"/>
      <c r="VU148" s="1027"/>
      <c r="VV148" s="1027"/>
      <c r="VW148" s="1027"/>
      <c r="VX148" s="1027"/>
      <c r="VY148" s="1027"/>
      <c r="VZ148" s="1028"/>
      <c r="WE148" s="752">
        <v>16</v>
      </c>
      <c r="WF148" s="753"/>
      <c r="WG148" s="167"/>
      <c r="WH148" s="168"/>
      <c r="WI148" s="168"/>
      <c r="WJ148" s="168"/>
      <c r="WK148" s="168"/>
      <c r="WL148" s="168"/>
      <c r="WM148" s="168"/>
      <c r="WN148" s="168"/>
      <c r="WO148" s="168"/>
      <c r="WP148" s="168"/>
      <c r="WQ148" s="168"/>
      <c r="WR148" s="168"/>
      <c r="WS148" s="168"/>
      <c r="WT148" s="168"/>
      <c r="WU148" s="168"/>
      <c r="WV148" s="168"/>
      <c r="WW148" s="168"/>
      <c r="WX148" s="168"/>
      <c r="WY148" s="171"/>
      <c r="WZ148" s="1004" t="s">
        <v>729</v>
      </c>
      <c r="XA148" s="1004"/>
      <c r="XB148" s="167"/>
      <c r="XC148" s="168"/>
      <c r="XD148" s="168"/>
      <c r="XE148" s="168"/>
      <c r="XF148" s="171"/>
      <c r="XG148" s="1013">
        <v>0.7</v>
      </c>
      <c r="XH148" s="1013">
        <v>0.70499999999999996</v>
      </c>
      <c r="XI148" s="1013">
        <v>0.71</v>
      </c>
      <c r="XJ148" s="1013">
        <v>0.71499999999999997</v>
      </c>
      <c r="XK148" s="1013">
        <v>0.72</v>
      </c>
      <c r="XL148" s="1013">
        <v>0.72499999999999998</v>
      </c>
      <c r="XM148" s="1013">
        <v>0.73</v>
      </c>
      <c r="XN148" s="1013">
        <v>0.73499999999999999</v>
      </c>
      <c r="XO148" s="1013">
        <v>0.74</v>
      </c>
      <c r="XP148" s="1013">
        <v>0.745</v>
      </c>
      <c r="XQ148" s="1013">
        <v>0.75</v>
      </c>
      <c r="XR148" s="1013">
        <v>0.755</v>
      </c>
      <c r="XS148" s="1013">
        <v>0.76</v>
      </c>
      <c r="XT148" s="1013">
        <v>0.76500000000000001</v>
      </c>
      <c r="XU148" s="1013">
        <v>0.77</v>
      </c>
      <c r="XV148" s="1013">
        <v>0.77500000000000002</v>
      </c>
      <c r="XW148" s="1013">
        <v>0.78</v>
      </c>
      <c r="XX148" s="1013">
        <v>0.78500000000000003</v>
      </c>
      <c r="XY148" s="1013">
        <v>0.79</v>
      </c>
      <c r="XZ148" s="1013">
        <v>0.79500000000000004</v>
      </c>
      <c r="YA148" s="1013">
        <v>0.8</v>
      </c>
      <c r="YB148" s="1013">
        <v>0.80500000000000005</v>
      </c>
      <c r="YC148" s="1013">
        <v>0.81</v>
      </c>
      <c r="YD148" s="1013">
        <v>0.81499999999999995</v>
      </c>
      <c r="YE148" s="1013">
        <v>0.82</v>
      </c>
      <c r="YF148" s="1013">
        <v>0.82499999999999996</v>
      </c>
      <c r="YG148" s="1013">
        <v>0.83</v>
      </c>
      <c r="YH148" s="1013">
        <v>0.83499999999999996</v>
      </c>
      <c r="YI148" s="1013">
        <v>0.84</v>
      </c>
      <c r="YJ148" s="1013">
        <v>0.84499999999999997</v>
      </c>
      <c r="YK148" s="1013">
        <v>0.85</v>
      </c>
      <c r="YL148" s="1013">
        <v>0.85499999999999998</v>
      </c>
      <c r="YM148" s="1013">
        <v>0.86</v>
      </c>
      <c r="YN148" s="1013">
        <v>0.86499999999999999</v>
      </c>
      <c r="YO148" s="1013">
        <v>0.87</v>
      </c>
      <c r="YP148" s="1013">
        <v>0.875</v>
      </c>
      <c r="YQ148" s="1013">
        <v>0.88</v>
      </c>
      <c r="YR148" s="1013">
        <v>0.88500000000000001</v>
      </c>
      <c r="YS148" s="1013">
        <v>0.89</v>
      </c>
      <c r="YT148" s="1013">
        <v>0.89500000000000002</v>
      </c>
      <c r="YU148" s="1013">
        <v>0.9</v>
      </c>
      <c r="YV148" s="1013">
        <v>0.90500000000000003</v>
      </c>
      <c r="YW148" s="1013">
        <v>0.91</v>
      </c>
      <c r="YX148" s="1013">
        <v>0.91500000000000004</v>
      </c>
      <c r="YY148" s="1013">
        <v>0.92</v>
      </c>
      <c r="YZ148" s="1013">
        <v>0.92500000000000004</v>
      </c>
      <c r="ZA148" s="1013">
        <v>0.93</v>
      </c>
      <c r="ZB148" s="1013">
        <v>0.93500000000000005</v>
      </c>
      <c r="ZC148" s="1013">
        <v>0.94</v>
      </c>
      <c r="ZD148" s="1013">
        <v>0.94499999999999995</v>
      </c>
      <c r="ZE148" s="1013">
        <v>0.95</v>
      </c>
      <c r="ZF148" s="1013">
        <v>0.95499999999999996</v>
      </c>
      <c r="ZG148" s="1013">
        <v>0.96</v>
      </c>
      <c r="ZH148" s="1013">
        <v>0.96499999999999997</v>
      </c>
      <c r="ZI148" s="1013">
        <v>0.97</v>
      </c>
      <c r="ZJ148" s="1013">
        <v>0.97499999999999998</v>
      </c>
      <c r="ZK148" s="1013">
        <v>0.98</v>
      </c>
      <c r="ZL148" s="1013">
        <v>0.98499999999999999</v>
      </c>
      <c r="ZM148" s="1013">
        <v>0.99</v>
      </c>
      <c r="ZN148" s="1013">
        <v>0.995</v>
      </c>
      <c r="ZO148" s="1013">
        <v>1</v>
      </c>
      <c r="ZP148" s="1013">
        <v>1.0049999999999999</v>
      </c>
      <c r="ZQ148" s="1013">
        <v>1.01</v>
      </c>
      <c r="ZR148" s="1013">
        <v>1.0149999999999999</v>
      </c>
      <c r="ZS148" s="1013">
        <v>1.02</v>
      </c>
      <c r="ZT148" s="1013">
        <v>1.0249999999999999</v>
      </c>
      <c r="ZU148" s="1013">
        <v>1.03</v>
      </c>
      <c r="ZV148" s="1013">
        <v>1.0349999999999999</v>
      </c>
      <c r="ZW148" s="1013">
        <v>1.04</v>
      </c>
      <c r="ZX148" s="1013">
        <v>1.0449999999999999</v>
      </c>
      <c r="ZY148" s="1013">
        <v>1.05</v>
      </c>
      <c r="ZZ148" s="1013">
        <v>1.0549999999999999</v>
      </c>
      <c r="AAA148" s="1013">
        <v>1.06</v>
      </c>
      <c r="AAB148" s="1013">
        <v>1.0649999999999999</v>
      </c>
      <c r="AAC148" s="1013">
        <v>1.07</v>
      </c>
      <c r="AAD148" s="1013">
        <v>1.075</v>
      </c>
      <c r="AAE148" s="1013">
        <v>1.08</v>
      </c>
      <c r="AAF148" s="1013">
        <v>1.085</v>
      </c>
      <c r="AAG148" s="1013">
        <v>1.0900000000000001</v>
      </c>
      <c r="AAH148" s="1013">
        <v>1.095</v>
      </c>
      <c r="AAI148" s="1013">
        <v>1.1000000000000001</v>
      </c>
      <c r="AAJ148" s="1013">
        <v>1.105</v>
      </c>
      <c r="AAK148" s="1013">
        <v>1.1100000000000001</v>
      </c>
      <c r="AAL148" s="1013">
        <v>1.115</v>
      </c>
      <c r="AAM148" s="1013">
        <v>1.1200000000000001</v>
      </c>
      <c r="AAN148" s="1013">
        <v>1.125</v>
      </c>
      <c r="AAO148" s="1013">
        <v>1.1299999999999999</v>
      </c>
      <c r="AAP148" s="1013">
        <v>1.135</v>
      </c>
      <c r="AAQ148" s="1013">
        <v>1.1399999999999999</v>
      </c>
      <c r="AAR148" s="1013">
        <v>1.145</v>
      </c>
      <c r="AAS148" s="1013">
        <v>1.1499999999999999</v>
      </c>
      <c r="AAT148" s="1005">
        <v>16</v>
      </c>
      <c r="AAU148" s="1052"/>
      <c r="AAV148" s="1052"/>
      <c r="AAW148" s="1052"/>
      <c r="AAX148" s="1052"/>
      <c r="AAY148" s="1052"/>
      <c r="AAZ148" s="1052"/>
      <c r="ABA148" s="1052"/>
      <c r="ABB148" s="1052"/>
      <c r="ABC148" s="1052"/>
      <c r="ABD148" s="1052"/>
      <c r="ABE148" s="1052"/>
      <c r="ABF148" s="158"/>
      <c r="ABG148" s="158"/>
      <c r="ABH148" s="158"/>
      <c r="ABI148" s="158"/>
      <c r="ABJ148" s="158"/>
      <c r="ABK148" s="158"/>
      <c r="ABL148" s="158"/>
      <c r="ABM148" s="158"/>
      <c r="ABN148" s="158"/>
      <c r="ABO148" s="158"/>
      <c r="ABP148" s="163"/>
      <c r="ABT148" s="1516"/>
      <c r="ABU148" s="1517"/>
      <c r="ABV148" s="1517"/>
      <c r="ABW148" s="1517"/>
      <c r="ABX148" s="1517"/>
      <c r="ABY148" s="1517"/>
      <c r="ABZ148" s="1517"/>
      <c r="ACA148" s="1517"/>
      <c r="ACB148" s="1517"/>
      <c r="ACC148" s="1517"/>
      <c r="ACD148" s="1517"/>
      <c r="ACE148" s="1517"/>
      <c r="ACF148" s="1517"/>
      <c r="ACG148" s="1517"/>
      <c r="ACH148" s="1518"/>
      <c r="ACQ148" s="653"/>
      <c r="ACR148" s="653"/>
      <c r="ACS148" s="653"/>
      <c r="ACT148" s="653"/>
      <c r="ACU148" s="653"/>
      <c r="ACV148" s="653"/>
      <c r="ACW148" s="653"/>
      <c r="ACX148" s="653"/>
      <c r="ACY148" s="653"/>
      <c r="AGL148" s="851"/>
      <c r="AGM148" s="442" t="s">
        <v>1473</v>
      </c>
      <c r="AGN148" s="1187">
        <f>$AGZ$137</f>
        <v>0.29165424976726284</v>
      </c>
      <c r="AGO148" s="1187"/>
      <c r="AGP148" s="778"/>
      <c r="AGQ148" s="778"/>
      <c r="AGR148" s="778"/>
      <c r="AGS148" s="778"/>
      <c r="AGT148" s="778"/>
      <c r="AGU148" s="778"/>
      <c r="AGV148" s="778"/>
      <c r="AGW148" s="778"/>
      <c r="AGX148" s="778"/>
      <c r="AGY148" s="799"/>
      <c r="AGZ148" s="942"/>
      <c r="AHA148" s="943"/>
      <c r="AHB148" s="943"/>
      <c r="AHC148" s="943"/>
      <c r="AHD148" s="943"/>
      <c r="AHE148" s="943"/>
      <c r="AHF148" s="943"/>
      <c r="AHG148" s="944"/>
      <c r="AHH148" s="1053"/>
      <c r="AHI148" s="1053"/>
      <c r="AHJ148" s="1053"/>
      <c r="AHK148" s="1053"/>
      <c r="AHL148" s="1053"/>
      <c r="AHM148" s="1053"/>
      <c r="AHQ148" s="130"/>
      <c r="AHR148" s="130"/>
      <c r="AHS148" s="130"/>
      <c r="AHT148" s="130"/>
      <c r="AHU148" s="130"/>
      <c r="AQO148" s="849"/>
      <c r="AQP148" s="852" t="s">
        <v>416</v>
      </c>
      <c r="AQQ148" s="853"/>
      <c r="AQR148" s="700"/>
      <c r="AQS148" s="78"/>
      <c r="AQT148" s="78"/>
      <c r="AQU148" s="78"/>
      <c r="AQV148" s="78"/>
      <c r="AQW148" s="78"/>
      <c r="AQX148" s="78"/>
      <c r="AQY148" s="700"/>
      <c r="AQZ148" s="76" t="s">
        <v>441</v>
      </c>
      <c r="ARA148" s="854" t="s">
        <v>435</v>
      </c>
      <c r="ARB148" s="855"/>
      <c r="ARC148" s="920" t="s">
        <v>111</v>
      </c>
      <c r="ARD148" s="921"/>
      <c r="ARE148" s="916" t="s">
        <v>704</v>
      </c>
      <c r="ARF148" s="917"/>
      <c r="ARG148" s="906" t="s">
        <v>447</v>
      </c>
      <c r="ARH148" s="907"/>
      <c r="ARI148" s="907"/>
      <c r="ARJ148" s="908"/>
    </row>
    <row r="149" spans="338:948 1133:1217" ht="48" customHeight="1">
      <c r="LZ149" s="521"/>
      <c r="MA149" s="379"/>
      <c r="MB149" s="379"/>
      <c r="MC149" s="379"/>
      <c r="MD149" s="379"/>
      <c r="ME149" s="379"/>
      <c r="MF149" s="379"/>
      <c r="MG149" s="379"/>
      <c r="MH149" s="379"/>
      <c r="MI149" s="379"/>
      <c r="MJ149" s="379"/>
      <c r="MK149" s="379"/>
      <c r="ML149" s="379"/>
      <c r="MM149" s="379"/>
      <c r="MN149" s="379"/>
      <c r="MO149" s="379"/>
      <c r="MP149" s="379"/>
      <c r="MQ149" s="379"/>
      <c r="MR149" s="379"/>
      <c r="MS149" s="379"/>
      <c r="MT149" s="379"/>
      <c r="MU149" s="379"/>
      <c r="MV149" s="379"/>
      <c r="MW149" s="379"/>
      <c r="MX149" s="379"/>
      <c r="MY149" s="379"/>
      <c r="MZ149" s="379"/>
      <c r="NA149" s="379"/>
      <c r="NB149" s="379"/>
      <c r="NC149" s="379"/>
      <c r="ND149" s="379"/>
      <c r="NE149" s="379"/>
      <c r="NF149" s="379"/>
      <c r="NG149" s="379"/>
      <c r="NH149" s="379"/>
      <c r="NI149" s="379"/>
      <c r="NJ149" s="379"/>
      <c r="NK149" s="379"/>
      <c r="NL149" s="379"/>
      <c r="NM149" s="379"/>
      <c r="NN149" s="379"/>
      <c r="NO149" s="382" t="s">
        <v>1298</v>
      </c>
      <c r="NU149" s="130"/>
      <c r="NV149" s="130"/>
      <c r="NW149" s="130"/>
      <c r="NX149" s="130"/>
      <c r="NY149" s="130"/>
      <c r="NZ149" s="130"/>
      <c r="OW149" s="130"/>
      <c r="OX149" s="130"/>
      <c r="OY149" s="130"/>
      <c r="OZ149" s="130"/>
      <c r="PA149" s="130"/>
      <c r="PB149" s="130"/>
      <c r="PC149" s="130"/>
      <c r="PD149" s="130"/>
      <c r="PG149" s="377"/>
      <c r="PH149" s="54"/>
      <c r="PI149" s="377"/>
      <c r="PJ149" s="373"/>
      <c r="PK149" s="373"/>
      <c r="PL149" s="373"/>
      <c r="PM149" s="373"/>
      <c r="PN149" s="373"/>
      <c r="PO149" s="373"/>
      <c r="PP149" s="373"/>
      <c r="PQ149" s="373"/>
      <c r="PR149" s="373"/>
      <c r="PS149" s="373"/>
      <c r="PT149" s="373"/>
      <c r="PU149" s="373"/>
      <c r="PV149" s="373"/>
      <c r="PW149" s="373"/>
      <c r="PX149" s="373"/>
      <c r="PY149" s="373"/>
      <c r="PZ149" s="373"/>
      <c r="QA149" s="373"/>
      <c r="QB149" s="373"/>
      <c r="QC149" s="373"/>
      <c r="QD149" s="373"/>
      <c r="QE149" s="373"/>
      <c r="QF149" s="373"/>
      <c r="QG149" s="373"/>
      <c r="QH149" s="373"/>
      <c r="QI149" s="373"/>
      <c r="QJ149" s="373"/>
      <c r="QK149" s="373"/>
      <c r="QL149" s="382" t="s">
        <v>1583</v>
      </c>
      <c r="QM149" s="373"/>
      <c r="QN149" s="373"/>
      <c r="QO149" s="373"/>
      <c r="QP149" s="373"/>
      <c r="QQ149" s="373"/>
      <c r="QR149" s="374"/>
      <c r="QV149" s="130"/>
      <c r="QW149" s="130"/>
      <c r="QX149" s="130"/>
      <c r="VD149" s="1026"/>
      <c r="VE149" s="1027"/>
      <c r="VF149" s="1027"/>
      <c r="VG149" s="1027"/>
      <c r="VH149" s="1027"/>
      <c r="VI149" s="1027"/>
      <c r="VJ149" s="1027"/>
      <c r="VK149" s="1027"/>
      <c r="VL149" s="1027"/>
      <c r="VM149" s="1027"/>
      <c r="VN149" s="1027"/>
      <c r="VO149" s="1027"/>
      <c r="VP149" s="1027"/>
      <c r="VQ149" s="1027"/>
      <c r="VR149" s="1027"/>
      <c r="VS149" s="1027"/>
      <c r="VT149" s="1027"/>
      <c r="VU149" s="1027"/>
      <c r="VV149" s="1027"/>
      <c r="VW149" s="1027"/>
      <c r="VX149" s="1027"/>
      <c r="VY149" s="1027"/>
      <c r="VZ149" s="1028"/>
      <c r="WE149" s="996"/>
      <c r="WF149" s="997"/>
      <c r="WG149" s="175"/>
      <c r="WH149" s="173"/>
      <c r="WI149" s="173"/>
      <c r="WJ149" s="173"/>
      <c r="WK149" s="173"/>
      <c r="WL149" s="173"/>
      <c r="WM149" s="173"/>
      <c r="WN149" s="173"/>
      <c r="WO149" s="173"/>
      <c r="WP149" s="173"/>
      <c r="WQ149" s="173"/>
      <c r="WR149" s="173"/>
      <c r="WS149" s="173"/>
      <c r="WT149" s="173"/>
      <c r="WU149" s="173"/>
      <c r="WV149" s="173"/>
      <c r="WW149" s="173"/>
      <c r="WX149" s="173"/>
      <c r="WY149" s="174"/>
      <c r="WZ149" s="1004"/>
      <c r="XA149" s="1004"/>
      <c r="XB149" s="175"/>
      <c r="XC149" s="173"/>
      <c r="XD149" s="173"/>
      <c r="XE149" s="173"/>
      <c r="XF149" s="174"/>
      <c r="XG149" s="1014"/>
      <c r="XH149" s="1014"/>
      <c r="XI149" s="1014"/>
      <c r="XJ149" s="1014"/>
      <c r="XK149" s="1014"/>
      <c r="XL149" s="1014"/>
      <c r="XM149" s="1014"/>
      <c r="XN149" s="1014"/>
      <c r="XO149" s="1014"/>
      <c r="XP149" s="1014"/>
      <c r="XQ149" s="1014"/>
      <c r="XR149" s="1014"/>
      <c r="XS149" s="1014"/>
      <c r="XT149" s="1014"/>
      <c r="XU149" s="1014"/>
      <c r="XV149" s="1014"/>
      <c r="XW149" s="1014"/>
      <c r="XX149" s="1014"/>
      <c r="XY149" s="1014"/>
      <c r="XZ149" s="1014"/>
      <c r="YA149" s="1014"/>
      <c r="YB149" s="1014"/>
      <c r="YC149" s="1014"/>
      <c r="YD149" s="1014"/>
      <c r="YE149" s="1014"/>
      <c r="YF149" s="1014"/>
      <c r="YG149" s="1014"/>
      <c r="YH149" s="1014"/>
      <c r="YI149" s="1014"/>
      <c r="YJ149" s="1014"/>
      <c r="YK149" s="1014"/>
      <c r="YL149" s="1014"/>
      <c r="YM149" s="1014"/>
      <c r="YN149" s="1014"/>
      <c r="YO149" s="1014"/>
      <c r="YP149" s="1014"/>
      <c r="YQ149" s="1014"/>
      <c r="YR149" s="1014"/>
      <c r="YS149" s="1014"/>
      <c r="YT149" s="1014"/>
      <c r="YU149" s="1014"/>
      <c r="YV149" s="1014"/>
      <c r="YW149" s="1014"/>
      <c r="YX149" s="1014"/>
      <c r="YY149" s="1014"/>
      <c r="YZ149" s="1014"/>
      <c r="ZA149" s="1014"/>
      <c r="ZB149" s="1014"/>
      <c r="ZC149" s="1014"/>
      <c r="ZD149" s="1014"/>
      <c r="ZE149" s="1014"/>
      <c r="ZF149" s="1014"/>
      <c r="ZG149" s="1014"/>
      <c r="ZH149" s="1014"/>
      <c r="ZI149" s="1014"/>
      <c r="ZJ149" s="1014"/>
      <c r="ZK149" s="1014"/>
      <c r="ZL149" s="1014"/>
      <c r="ZM149" s="1014"/>
      <c r="ZN149" s="1014"/>
      <c r="ZO149" s="1014"/>
      <c r="ZP149" s="1014"/>
      <c r="ZQ149" s="1014"/>
      <c r="ZR149" s="1014"/>
      <c r="ZS149" s="1014"/>
      <c r="ZT149" s="1014"/>
      <c r="ZU149" s="1014"/>
      <c r="ZV149" s="1014"/>
      <c r="ZW149" s="1014"/>
      <c r="ZX149" s="1014"/>
      <c r="ZY149" s="1014"/>
      <c r="ZZ149" s="1014"/>
      <c r="AAA149" s="1014"/>
      <c r="AAB149" s="1014"/>
      <c r="AAC149" s="1014"/>
      <c r="AAD149" s="1014"/>
      <c r="AAE149" s="1014"/>
      <c r="AAF149" s="1014"/>
      <c r="AAG149" s="1014"/>
      <c r="AAH149" s="1014"/>
      <c r="AAI149" s="1014"/>
      <c r="AAJ149" s="1014"/>
      <c r="AAK149" s="1014"/>
      <c r="AAL149" s="1014"/>
      <c r="AAM149" s="1014"/>
      <c r="AAN149" s="1014"/>
      <c r="AAO149" s="1014"/>
      <c r="AAP149" s="1014"/>
      <c r="AAQ149" s="1014"/>
      <c r="AAR149" s="1014"/>
      <c r="AAS149" s="1014"/>
      <c r="AAT149" s="1006"/>
      <c r="AAU149" s="1052"/>
      <c r="AAV149" s="1052"/>
      <c r="AAW149" s="1052"/>
      <c r="AAX149" s="1052"/>
      <c r="AAY149" s="1052"/>
      <c r="AAZ149" s="1052"/>
      <c r="ABA149" s="1052"/>
      <c r="ABB149" s="1052"/>
      <c r="ABC149" s="1052"/>
      <c r="ABD149" s="1052"/>
      <c r="ABE149" s="1052"/>
      <c r="ABF149" s="158"/>
      <c r="ABG149" s="158"/>
      <c r="ABH149" s="158"/>
      <c r="ABI149" s="158"/>
      <c r="ABJ149" s="158"/>
      <c r="ABK149" s="158"/>
      <c r="ABL149" s="158"/>
      <c r="ABM149" s="158"/>
      <c r="ABN149" s="158"/>
      <c r="ABO149" s="158"/>
      <c r="ABP149" s="163"/>
      <c r="ABT149" s="1519"/>
      <c r="ABU149" s="1520"/>
      <c r="ABV149" s="1520"/>
      <c r="ABW149" s="1520"/>
      <c r="ABX149" s="1520"/>
      <c r="ABY149" s="1520"/>
      <c r="ABZ149" s="1520"/>
      <c r="ACA149" s="1520"/>
      <c r="ACB149" s="1520"/>
      <c r="ACC149" s="1520"/>
      <c r="ACD149" s="1520"/>
      <c r="ACE149" s="1520"/>
      <c r="ACF149" s="1520"/>
      <c r="ACG149" s="1520"/>
      <c r="ACH149" s="1521"/>
      <c r="AHP149" s="130"/>
      <c r="AQO149" s="850"/>
      <c r="AQP149" s="856"/>
      <c r="AQQ149" s="856"/>
      <c r="AQR149" s="856"/>
      <c r="AQS149" s="856"/>
      <c r="AQT149" s="856"/>
      <c r="AQU149" s="856"/>
      <c r="AQV149" s="856"/>
      <c r="AQW149" s="856"/>
      <c r="AQX149" s="856"/>
      <c r="AQY149" s="856"/>
      <c r="AQZ149" s="856"/>
      <c r="ARA149" s="856"/>
      <c r="ARB149" s="856"/>
      <c r="ARC149" s="835"/>
      <c r="ARD149" s="836"/>
      <c r="ARE149" s="839"/>
      <c r="ARF149" s="840"/>
      <c r="ARG149" s="841"/>
      <c r="ARH149" s="843"/>
      <c r="ARI149" s="844"/>
      <c r="ARJ149" s="847"/>
    </row>
    <row r="150" spans="338:948 1133:1217" ht="48" customHeight="1" thickBot="1">
      <c r="LZ150" s="377"/>
      <c r="MA150" s="373"/>
      <c r="MB150" s="373"/>
      <c r="MC150" s="373"/>
      <c r="MD150" s="76" t="s">
        <v>1654</v>
      </c>
      <c r="ME150" s="852" t="s">
        <v>416</v>
      </c>
      <c r="MF150" s="853"/>
      <c r="MG150" s="1083"/>
      <c r="MH150" s="1084"/>
      <c r="MI150" s="800" t="s">
        <v>1323</v>
      </c>
      <c r="MJ150" s="801"/>
      <c r="MK150" s="883">
        <f>$MQ$177</f>
        <v>0</v>
      </c>
      <c r="ML150" s="884"/>
      <c r="MM150" s="646"/>
      <c r="MN150" s="78"/>
      <c r="MO150" s="646"/>
      <c r="MP150" s="76" t="s">
        <v>441</v>
      </c>
      <c r="MQ150" s="854" t="s">
        <v>435</v>
      </c>
      <c r="MR150" s="855"/>
      <c r="MS150" s="924" t="s">
        <v>111</v>
      </c>
      <c r="MT150" s="925"/>
      <c r="MU150" s="916" t="s">
        <v>704</v>
      </c>
      <c r="MV150" s="917"/>
      <c r="MW150" s="906" t="s">
        <v>447</v>
      </c>
      <c r="MX150" s="907"/>
      <c r="MY150" s="907"/>
      <c r="MZ150" s="907"/>
      <c r="NA150" s="908"/>
      <c r="NB150" s="1051" t="s">
        <v>436</v>
      </c>
      <c r="NC150" s="1051"/>
      <c r="ND150" s="1051"/>
      <c r="NE150" s="1051"/>
      <c r="NF150" s="1051"/>
      <c r="NG150" s="1051"/>
      <c r="NH150" s="1051"/>
      <c r="NI150" s="1051"/>
      <c r="NJ150" s="1051"/>
      <c r="NK150" s="1051"/>
      <c r="NL150" s="1051"/>
      <c r="NM150" s="373"/>
      <c r="NN150" s="373"/>
      <c r="NO150" s="381" t="s">
        <v>1297</v>
      </c>
      <c r="NR150" s="130"/>
      <c r="NS150" s="130"/>
      <c r="NT150" s="130"/>
      <c r="NU150" s="130"/>
      <c r="NV150" s="130"/>
      <c r="NW150" s="130"/>
      <c r="NX150" s="130"/>
      <c r="NY150" s="130"/>
      <c r="NZ150" s="130"/>
      <c r="OW150" s="130"/>
      <c r="OX150" s="130"/>
      <c r="OY150" s="130"/>
      <c r="OZ150" s="130"/>
      <c r="PA150" s="130"/>
      <c r="PB150" s="130"/>
      <c r="PC150" s="130"/>
      <c r="PD150" s="130"/>
      <c r="PG150" s="377"/>
      <c r="PH150" s="54"/>
      <c r="PI150" s="377"/>
      <c r="PJ150" s="373"/>
      <c r="PK150" s="373"/>
      <c r="PL150" s="197" t="s">
        <v>849</v>
      </c>
      <c r="PM150" s="1257" t="s">
        <v>416</v>
      </c>
      <c r="PN150" s="1257"/>
      <c r="PO150" s="484"/>
      <c r="PP150" s="78"/>
      <c r="PQ150" s="78"/>
      <c r="PR150" s="78"/>
      <c r="PS150" s="78"/>
      <c r="PT150" s="78"/>
      <c r="PU150" s="78"/>
      <c r="PV150" s="484"/>
      <c r="PW150" s="76" t="s">
        <v>441</v>
      </c>
      <c r="PX150" s="854" t="s">
        <v>435</v>
      </c>
      <c r="PY150" s="1111"/>
      <c r="PZ150" s="920" t="s">
        <v>111</v>
      </c>
      <c r="QA150" s="921"/>
      <c r="QB150" s="916" t="s">
        <v>704</v>
      </c>
      <c r="QC150" s="917"/>
      <c r="QD150" s="1051" t="s">
        <v>447</v>
      </c>
      <c r="QE150" s="1051"/>
      <c r="QF150" s="1051"/>
      <c r="QG150" s="1051"/>
      <c r="QH150" s="1051"/>
      <c r="QI150" s="373"/>
      <c r="QJ150" s="373"/>
      <c r="QK150" s="373"/>
      <c r="QL150" s="54"/>
      <c r="QM150" s="373"/>
      <c r="QN150" s="373"/>
      <c r="QO150" s="373"/>
      <c r="QP150" s="373"/>
      <c r="QQ150" s="373"/>
      <c r="QR150" s="374"/>
      <c r="QV150" s="130"/>
      <c r="QW150" s="130"/>
      <c r="QX150" s="130"/>
      <c r="VD150" s="1026"/>
      <c r="VE150" s="1027"/>
      <c r="VF150" s="1027"/>
      <c r="VG150" s="1027"/>
      <c r="VH150" s="1027"/>
      <c r="VI150" s="1027"/>
      <c r="VJ150" s="1027"/>
      <c r="VK150" s="1027"/>
      <c r="VL150" s="1027"/>
      <c r="VM150" s="1027"/>
      <c r="VN150" s="1027"/>
      <c r="VO150" s="1027"/>
      <c r="VP150" s="1027"/>
      <c r="VQ150" s="1027"/>
      <c r="VR150" s="1027"/>
      <c r="VS150" s="1027"/>
      <c r="VT150" s="1027"/>
      <c r="VU150" s="1027"/>
      <c r="VV150" s="1027"/>
      <c r="VW150" s="1027"/>
      <c r="VX150" s="1027"/>
      <c r="VY150" s="1027"/>
      <c r="VZ150" s="1028"/>
      <c r="WE150" s="754"/>
      <c r="WF150" s="755"/>
      <c r="WG150" s="169"/>
      <c r="WH150" s="170"/>
      <c r="WI150" s="170"/>
      <c r="WJ150" s="170"/>
      <c r="WK150" s="170"/>
      <c r="WL150" s="170"/>
      <c r="WM150" s="170"/>
      <c r="WN150" s="170"/>
      <c r="WO150" s="170"/>
      <c r="WP150" s="170"/>
      <c r="WQ150" s="170"/>
      <c r="WR150" s="170"/>
      <c r="WS150" s="170"/>
      <c r="WT150" s="170"/>
      <c r="WU150" s="170"/>
      <c r="WV150" s="170"/>
      <c r="WW150" s="170"/>
      <c r="WX150" s="170"/>
      <c r="WY150" s="172"/>
      <c r="WZ150" s="1004"/>
      <c r="XA150" s="1004"/>
      <c r="XB150" s="169"/>
      <c r="XC150" s="170"/>
      <c r="XD150" s="170"/>
      <c r="XE150" s="170"/>
      <c r="XF150" s="172"/>
      <c r="XG150" s="1015"/>
      <c r="XH150" s="1015"/>
      <c r="XI150" s="1015"/>
      <c r="XJ150" s="1015"/>
      <c r="XK150" s="1015"/>
      <c r="XL150" s="1015"/>
      <c r="XM150" s="1015"/>
      <c r="XN150" s="1015"/>
      <c r="XO150" s="1015"/>
      <c r="XP150" s="1015"/>
      <c r="XQ150" s="1015"/>
      <c r="XR150" s="1015"/>
      <c r="XS150" s="1015"/>
      <c r="XT150" s="1015"/>
      <c r="XU150" s="1015"/>
      <c r="XV150" s="1015"/>
      <c r="XW150" s="1015"/>
      <c r="XX150" s="1015"/>
      <c r="XY150" s="1015"/>
      <c r="XZ150" s="1015"/>
      <c r="YA150" s="1015"/>
      <c r="YB150" s="1015"/>
      <c r="YC150" s="1015"/>
      <c r="YD150" s="1015"/>
      <c r="YE150" s="1015"/>
      <c r="YF150" s="1015"/>
      <c r="YG150" s="1015"/>
      <c r="YH150" s="1015"/>
      <c r="YI150" s="1015"/>
      <c r="YJ150" s="1015"/>
      <c r="YK150" s="1015"/>
      <c r="YL150" s="1015"/>
      <c r="YM150" s="1015"/>
      <c r="YN150" s="1015"/>
      <c r="YO150" s="1015"/>
      <c r="YP150" s="1015"/>
      <c r="YQ150" s="1015"/>
      <c r="YR150" s="1015"/>
      <c r="YS150" s="1015"/>
      <c r="YT150" s="1015"/>
      <c r="YU150" s="1015"/>
      <c r="YV150" s="1015"/>
      <c r="YW150" s="1015"/>
      <c r="YX150" s="1015"/>
      <c r="YY150" s="1015"/>
      <c r="YZ150" s="1015"/>
      <c r="ZA150" s="1015"/>
      <c r="ZB150" s="1015"/>
      <c r="ZC150" s="1015"/>
      <c r="ZD150" s="1015"/>
      <c r="ZE150" s="1015"/>
      <c r="ZF150" s="1015"/>
      <c r="ZG150" s="1015"/>
      <c r="ZH150" s="1015"/>
      <c r="ZI150" s="1015"/>
      <c r="ZJ150" s="1015"/>
      <c r="ZK150" s="1015"/>
      <c r="ZL150" s="1015"/>
      <c r="ZM150" s="1015"/>
      <c r="ZN150" s="1015"/>
      <c r="ZO150" s="1015"/>
      <c r="ZP150" s="1015"/>
      <c r="ZQ150" s="1015"/>
      <c r="ZR150" s="1015"/>
      <c r="ZS150" s="1015"/>
      <c r="ZT150" s="1015"/>
      <c r="ZU150" s="1015"/>
      <c r="ZV150" s="1015"/>
      <c r="ZW150" s="1015"/>
      <c r="ZX150" s="1015"/>
      <c r="ZY150" s="1015"/>
      <c r="ZZ150" s="1015"/>
      <c r="AAA150" s="1015"/>
      <c r="AAB150" s="1015"/>
      <c r="AAC150" s="1015"/>
      <c r="AAD150" s="1015"/>
      <c r="AAE150" s="1015"/>
      <c r="AAF150" s="1015"/>
      <c r="AAG150" s="1015"/>
      <c r="AAH150" s="1015"/>
      <c r="AAI150" s="1015"/>
      <c r="AAJ150" s="1015"/>
      <c r="AAK150" s="1015"/>
      <c r="AAL150" s="1015"/>
      <c r="AAM150" s="1015"/>
      <c r="AAN150" s="1015"/>
      <c r="AAO150" s="1015"/>
      <c r="AAP150" s="1015"/>
      <c r="AAQ150" s="1015"/>
      <c r="AAR150" s="1015"/>
      <c r="AAS150" s="1015"/>
      <c r="AAT150" s="1007"/>
      <c r="AAU150" s="1052"/>
      <c r="AAV150" s="1052"/>
      <c r="AAW150" s="1052"/>
      <c r="AAX150" s="1052"/>
      <c r="AAY150" s="1052"/>
      <c r="AAZ150" s="1052"/>
      <c r="ABA150" s="1052"/>
      <c r="ABB150" s="1052"/>
      <c r="ABC150" s="1052"/>
      <c r="ABD150" s="1052"/>
      <c r="ABE150" s="1052"/>
      <c r="ABF150" s="158"/>
      <c r="ABG150" s="158"/>
      <c r="ABH150" s="158"/>
      <c r="ABI150" s="158"/>
      <c r="ABJ150" s="158"/>
      <c r="ABK150" s="158"/>
      <c r="ABL150" s="158"/>
      <c r="ABM150" s="158"/>
      <c r="ABN150" s="158"/>
      <c r="ABO150" s="158"/>
      <c r="ABP150" s="163"/>
      <c r="AGL150" s="849"/>
      <c r="AGM150" s="852" t="s">
        <v>416</v>
      </c>
      <c r="AGN150" s="853"/>
      <c r="AGO150" s="427"/>
      <c r="AGP150" s="800" t="s">
        <v>1468</v>
      </c>
      <c r="AGQ150" s="982"/>
      <c r="AGR150" s="801"/>
      <c r="AGS150" s="951">
        <f>$AGZ$126</f>
        <v>17.205099098916754</v>
      </c>
      <c r="AGT150" s="952"/>
      <c r="AGU150" s="78"/>
      <c r="AGV150" s="427"/>
      <c r="AGW150" s="76" t="s">
        <v>441</v>
      </c>
      <c r="AGX150" s="854" t="s">
        <v>435</v>
      </c>
      <c r="AGY150" s="1111"/>
      <c r="AGZ150" s="920" t="s">
        <v>111</v>
      </c>
      <c r="AHA150" s="921"/>
      <c r="AHB150" s="916" t="s">
        <v>704</v>
      </c>
      <c r="AHC150" s="917"/>
      <c r="AHD150" s="906" t="s">
        <v>447</v>
      </c>
      <c r="AHE150" s="907"/>
      <c r="AHF150" s="907"/>
      <c r="AHG150" s="907"/>
      <c r="AHH150" s="908"/>
      <c r="AHI150" s="1051" t="s">
        <v>436</v>
      </c>
      <c r="AHJ150" s="1051"/>
      <c r="AHK150" s="1051"/>
      <c r="AHL150" s="1051"/>
      <c r="AHM150" s="1051"/>
      <c r="AHN150" s="1051"/>
      <c r="AHO150" s="1051"/>
      <c r="AHP150" s="1051"/>
      <c r="AHQ150" s="1051"/>
      <c r="AHR150" s="1051"/>
      <c r="AJI150" s="130"/>
      <c r="AJJ150" s="130"/>
      <c r="AJK150" s="130"/>
      <c r="AJL150" s="130"/>
      <c r="AQO150" s="851"/>
      <c r="AQP150" s="857"/>
      <c r="AQQ150" s="857"/>
      <c r="AQR150" s="857"/>
      <c r="AQS150" s="857"/>
      <c r="AQT150" s="857"/>
      <c r="AQU150" s="857"/>
      <c r="AQV150" s="857"/>
      <c r="AQW150" s="857"/>
      <c r="AQX150" s="857"/>
      <c r="AQY150" s="857"/>
      <c r="AQZ150" s="857"/>
      <c r="ARA150" s="857"/>
      <c r="ARB150" s="857"/>
      <c r="ARC150" s="837"/>
      <c r="ARD150" s="838"/>
      <c r="ARE150" s="777"/>
      <c r="ARF150" s="799"/>
      <c r="ARG150" s="842"/>
      <c r="ARH150" s="845"/>
      <c r="ARI150" s="846"/>
      <c r="ARJ150" s="848"/>
    </row>
    <row r="151" spans="338:948 1133:1217" ht="48" customHeight="1">
      <c r="LZ151" s="377"/>
      <c r="MA151" s="373"/>
      <c r="MB151" s="54"/>
      <c r="MC151" s="381" t="s">
        <v>1297</v>
      </c>
      <c r="MD151" s="849"/>
      <c r="ME151" s="861" t="s">
        <v>1305</v>
      </c>
      <c r="MF151" s="861"/>
      <c r="MG151" s="890">
        <f>$GM$24/$CL$40</f>
        <v>1.0356340341387285</v>
      </c>
      <c r="MH151" s="890"/>
      <c r="MI151" s="1681" t="s">
        <v>1330</v>
      </c>
      <c r="MJ151" s="1770"/>
      <c r="MK151" s="883">
        <f>$MQ$181</f>
        <v>1.25</v>
      </c>
      <c r="ML151" s="884"/>
      <c r="MM151" s="791" t="s">
        <v>1310</v>
      </c>
      <c r="MN151" s="792"/>
      <c r="MO151" s="792"/>
      <c r="MP151" s="792"/>
      <c r="MQ151" s="792"/>
      <c r="MR151" s="793"/>
      <c r="MS151" s="835">
        <f>2*MK151*MG152-(MG153^2)*(MG151^2)*(1+MK150^2)</f>
        <v>1.5156633701854219</v>
      </c>
      <c r="MT151" s="836"/>
      <c r="MU151" s="1183" t="s">
        <v>729</v>
      </c>
      <c r="MV151" s="1184"/>
      <c r="MW151" s="1410"/>
      <c r="MX151" s="895" t="s">
        <v>1308</v>
      </c>
      <c r="MY151" s="1090"/>
      <c r="MZ151" s="896"/>
      <c r="NA151" s="1166"/>
      <c r="NB151" s="1052"/>
      <c r="NC151" s="1052"/>
      <c r="ND151" s="1052"/>
      <c r="NE151" s="1052"/>
      <c r="NF151" s="1052"/>
      <c r="NG151" s="1052"/>
      <c r="NH151" s="1052"/>
      <c r="NI151" s="1052"/>
      <c r="NJ151" s="1052"/>
      <c r="NK151" s="1052"/>
      <c r="NL151" s="1052"/>
      <c r="NM151" s="373"/>
      <c r="NN151" s="373"/>
      <c r="NO151" s="382" t="s">
        <v>798</v>
      </c>
      <c r="NU151" s="801" t="s">
        <v>1247</v>
      </c>
      <c r="NV151" s="861"/>
      <c r="NW151" s="937"/>
      <c r="NX151" s="937"/>
      <c r="OW151" s="130"/>
      <c r="OX151" s="130"/>
      <c r="OY151" s="130"/>
      <c r="OZ151" s="130"/>
      <c r="PA151" s="130"/>
      <c r="PB151" s="130"/>
      <c r="PC151" s="130"/>
      <c r="PD151" s="130"/>
      <c r="PG151" s="377"/>
      <c r="PH151" s="54"/>
      <c r="PI151" s="373"/>
      <c r="PJ151" s="54"/>
      <c r="PK151" s="381" t="s">
        <v>1297</v>
      </c>
      <c r="PL151" s="849"/>
      <c r="PM151" s="809" t="s">
        <v>1542</v>
      </c>
      <c r="PN151" s="797"/>
      <c r="PO151" s="797"/>
      <c r="PP151" s="797"/>
      <c r="PQ151" s="797"/>
      <c r="PR151" s="797"/>
      <c r="PS151" s="797"/>
      <c r="PT151" s="797"/>
      <c r="PU151" s="797"/>
      <c r="PV151" s="797"/>
      <c r="PW151" s="797"/>
      <c r="PX151" s="797"/>
      <c r="PY151" s="798"/>
      <c r="PZ151" s="835">
        <v>1</v>
      </c>
      <c r="QA151" s="836"/>
      <c r="QB151" s="1183" t="s">
        <v>729</v>
      </c>
      <c r="QC151" s="1184"/>
      <c r="QD151" s="1289"/>
      <c r="QE151" s="1320" t="s">
        <v>1540</v>
      </c>
      <c r="QF151" s="1320"/>
      <c r="QG151" s="1320"/>
      <c r="QH151" s="1289"/>
      <c r="QI151" s="373"/>
      <c r="QJ151" s="373"/>
      <c r="QK151" s="373"/>
      <c r="QL151" s="54"/>
      <c r="QM151" s="54"/>
      <c r="QN151" s="54"/>
      <c r="QO151" s="373"/>
      <c r="QP151" s="373"/>
      <c r="QQ151" s="373"/>
      <c r="QR151" s="374"/>
      <c r="QV151" s="130"/>
      <c r="QW151" s="130"/>
      <c r="QX151" s="130"/>
      <c r="VD151" s="1029"/>
      <c r="VE151" s="1030"/>
      <c r="VF151" s="1030"/>
      <c r="VG151" s="1030"/>
      <c r="VH151" s="1030"/>
      <c r="VI151" s="1030"/>
      <c r="VJ151" s="1030"/>
      <c r="VK151" s="1030"/>
      <c r="VL151" s="1030"/>
      <c r="VM151" s="1030"/>
      <c r="VN151" s="1030"/>
      <c r="VO151" s="1030"/>
      <c r="VP151" s="1030"/>
      <c r="VQ151" s="1030"/>
      <c r="VR151" s="1030"/>
      <c r="VS151" s="1030"/>
      <c r="VT151" s="1030"/>
      <c r="VU151" s="1030"/>
      <c r="VV151" s="1030"/>
      <c r="VW151" s="1030"/>
      <c r="VX151" s="1030"/>
      <c r="VY151" s="1030"/>
      <c r="VZ151" s="1031"/>
      <c r="WE151" s="752">
        <v>17</v>
      </c>
      <c r="WF151" s="753"/>
      <c r="WG151" s="667" t="s">
        <v>1487</v>
      </c>
      <c r="WH151" s="766">
        <f>$CH$67</f>
        <v>17</v>
      </c>
      <c r="WI151" s="766"/>
      <c r="WJ151" s="465" t="s">
        <v>1106</v>
      </c>
      <c r="WK151" s="926">
        <f>$CO$28</f>
        <v>48</v>
      </c>
      <c r="WL151" s="926"/>
      <c r="WM151" s="667" t="s">
        <v>1070</v>
      </c>
      <c r="WN151" s="937">
        <f>$GU$16</f>
        <v>46</v>
      </c>
      <c r="WO151" s="937"/>
      <c r="WP151" s="173"/>
      <c r="WQ151" s="173"/>
      <c r="WR151" s="173"/>
      <c r="WS151" s="756" t="s">
        <v>45</v>
      </c>
      <c r="WT151" s="756"/>
      <c r="WU151" s="958"/>
      <c r="WV151" s="1058"/>
      <c r="WW151" s="1058"/>
      <c r="WX151" s="1058"/>
      <c r="WY151" s="1058"/>
      <c r="WZ151" s="1058"/>
      <c r="XA151" s="1058"/>
      <c r="XB151" s="1058"/>
      <c r="XC151" s="1058"/>
      <c r="XD151" s="1058"/>
      <c r="XE151" s="1058"/>
      <c r="XF151" s="959"/>
      <c r="XG151" s="1005">
        <f>($WL$153*XG139*XG137*$WH$151/$WH$152)*($WI$153*$WN$152*$WK$152*($WK$151/$WN$151))</f>
        <v>134.82731102527077</v>
      </c>
      <c r="XH151" s="1005">
        <f t="shared" ref="XH151:ZS151" si="189">($WL$153*XH139*XH137*$WH$151/$WH$152)*($WI$153*$WN$152*$WK$152*($WK$151/$WN$151))</f>
        <v>266.29274503717915</v>
      </c>
      <c r="XI151" s="1005">
        <f t="shared" si="189"/>
        <v>393.72079462348921</v>
      </c>
      <c r="XJ151" s="1005">
        <f t="shared" si="189"/>
        <v>516.52311841747417</v>
      </c>
      <c r="XK151" s="1005">
        <f t="shared" si="189"/>
        <v>634.25866748760029</v>
      </c>
      <c r="XL151" s="1005">
        <f t="shared" si="189"/>
        <v>746.47113682435861</v>
      </c>
      <c r="XM151" s="1005">
        <f t="shared" si="189"/>
        <v>853.04915305171653</v>
      </c>
      <c r="XN151" s="1005">
        <f t="shared" si="189"/>
        <v>953.9721805188608</v>
      </c>
      <c r="XO151" s="1005">
        <f t="shared" si="189"/>
        <v>1052.6385139443878</v>
      </c>
      <c r="XP151" s="1005">
        <f t="shared" si="189"/>
        <v>1151.2165855071187</v>
      </c>
      <c r="XQ151" s="1005">
        <f t="shared" si="189"/>
        <v>1241.0522075085169</v>
      </c>
      <c r="XR151" s="1005">
        <f t="shared" si="189"/>
        <v>1338.3933395638737</v>
      </c>
      <c r="XS151" s="1005">
        <f t="shared" si="189"/>
        <v>1430.5153653298157</v>
      </c>
      <c r="XT151" s="1005">
        <f t="shared" si="189"/>
        <v>1489.2690099072554</v>
      </c>
      <c r="XU151" s="1005">
        <f t="shared" si="189"/>
        <v>1582.1086030387644</v>
      </c>
      <c r="XV151" s="1005">
        <f t="shared" si="189"/>
        <v>1675.3261618614333</v>
      </c>
      <c r="XW151" s="1005">
        <f t="shared" si="189"/>
        <v>1755.6817909496037</v>
      </c>
      <c r="XX151" s="1005">
        <f t="shared" si="189"/>
        <v>1829.7460709686934</v>
      </c>
      <c r="XY151" s="1005">
        <f t="shared" si="189"/>
        <v>1898.1022669392187</v>
      </c>
      <c r="XZ151" s="1005">
        <f t="shared" si="189"/>
        <v>1960.9112238673163</v>
      </c>
      <c r="YA151" s="1005">
        <f t="shared" si="189"/>
        <v>1968.1861190657457</v>
      </c>
      <c r="YB151" s="1005">
        <f t="shared" si="189"/>
        <v>2035.0344882640259</v>
      </c>
      <c r="YC151" s="1005">
        <f t="shared" si="189"/>
        <v>2095.2896299589534</v>
      </c>
      <c r="YD151" s="1005">
        <f t="shared" si="189"/>
        <v>2143.5936076767657</v>
      </c>
      <c r="YE151" s="1005">
        <f t="shared" si="189"/>
        <v>2192.6294282724862</v>
      </c>
      <c r="YF151" s="1005">
        <f t="shared" si="189"/>
        <v>2232.06028547906</v>
      </c>
      <c r="YG151" s="1005">
        <f t="shared" si="189"/>
        <v>2272.2913851165677</v>
      </c>
      <c r="YH151" s="1005">
        <f t="shared" si="189"/>
        <v>2304.4203480434176</v>
      </c>
      <c r="YI151" s="1005">
        <f t="shared" si="189"/>
        <v>2333.8168844506827</v>
      </c>
      <c r="YJ151" s="1005">
        <f t="shared" si="189"/>
        <v>2363.8841085790314</v>
      </c>
      <c r="YK151" s="1005">
        <f t="shared" si="189"/>
        <v>2388.0718235088966</v>
      </c>
      <c r="YL151" s="1005">
        <f t="shared" si="189"/>
        <v>2410.1800969369106</v>
      </c>
      <c r="YM151" s="1005">
        <f t="shared" si="189"/>
        <v>2430.5274120004437</v>
      </c>
      <c r="YN151" s="1005">
        <f t="shared" si="189"/>
        <v>2449.0702289588476</v>
      </c>
      <c r="YO151" s="1005">
        <f t="shared" si="189"/>
        <v>2466.0911943210185</v>
      </c>
      <c r="YP151" s="1005">
        <f t="shared" si="189"/>
        <v>2481.738755065518</v>
      </c>
      <c r="YQ151" s="1005">
        <f t="shared" si="189"/>
        <v>2496.2420766927971</v>
      </c>
      <c r="YR151" s="1005">
        <f t="shared" si="189"/>
        <v>2509.5236072153971</v>
      </c>
      <c r="YS151" s="1005">
        <f t="shared" si="189"/>
        <v>2521.8792703541367</v>
      </c>
      <c r="YT151" s="1005">
        <f t="shared" si="189"/>
        <v>2531.7957499224531</v>
      </c>
      <c r="YU151" s="1005">
        <f t="shared" si="189"/>
        <v>2542.4894919387962</v>
      </c>
      <c r="YV151" s="1005">
        <f t="shared" si="189"/>
        <v>2552.3271459826292</v>
      </c>
      <c r="YW151" s="1005">
        <f t="shared" si="189"/>
        <v>2561.5441612134136</v>
      </c>
      <c r="YX151" s="1005">
        <f t="shared" si="189"/>
        <v>2569.1075304046644</v>
      </c>
      <c r="YY151" s="1005">
        <f t="shared" si="189"/>
        <v>2577.1662924856564</v>
      </c>
      <c r="YZ151" s="1005">
        <f t="shared" si="189"/>
        <v>2583.786304555093</v>
      </c>
      <c r="ZA151" s="1005">
        <f t="shared" si="189"/>
        <v>2590.9202078651228</v>
      </c>
      <c r="ZB151" s="1005">
        <f t="shared" si="189"/>
        <v>2597.5910605113863</v>
      </c>
      <c r="ZC151" s="1005">
        <f t="shared" si="189"/>
        <v>2603.0485651474792</v>
      </c>
      <c r="ZD151" s="1005">
        <f t="shared" si="189"/>
        <v>2608.9038953183331</v>
      </c>
      <c r="ZE151" s="1005">
        <f t="shared" si="189"/>
        <v>2613.7437056817594</v>
      </c>
      <c r="ZF151" s="1005">
        <f t="shared" si="189"/>
        <v>2618.3254236433359</v>
      </c>
      <c r="ZG151" s="1005">
        <f t="shared" si="189"/>
        <v>2623.3031589451866</v>
      </c>
      <c r="ZH151" s="1005">
        <f t="shared" si="189"/>
        <v>2627.3905491657219</v>
      </c>
      <c r="ZI151" s="1005">
        <f t="shared" si="189"/>
        <v>2631.8418588231857</v>
      </c>
      <c r="ZJ151" s="1005">
        <f t="shared" si="189"/>
        <v>2635.5025289287464</v>
      </c>
      <c r="ZK151" s="1005">
        <f t="shared" si="189"/>
        <v>2638.9838444194347</v>
      </c>
      <c r="ZL151" s="1005">
        <f t="shared" si="189"/>
        <v>2642.8303509677676</v>
      </c>
      <c r="ZM151" s="1005">
        <f t="shared" si="189"/>
        <v>2645.9642414503519</v>
      </c>
      <c r="ZN151" s="1005">
        <f t="shared" si="189"/>
        <v>2649.0121265224752</v>
      </c>
      <c r="ZO151" s="1005">
        <f t="shared" si="189"/>
        <v>2651.932469783264</v>
      </c>
      <c r="ZP151" s="1005">
        <f t="shared" si="189"/>
        <v>2655.1289155996128</v>
      </c>
      <c r="ZQ151" s="1005">
        <f t="shared" si="189"/>
        <v>2657.7773241753694</v>
      </c>
      <c r="ZR151" s="1005">
        <f t="shared" si="189"/>
        <v>2660.3253085505826</v>
      </c>
      <c r="ZS151" s="1005">
        <f t="shared" si="189"/>
        <v>2662.7492734745365</v>
      </c>
      <c r="ZT151" s="1005">
        <f t="shared" ref="ZT151:AAS151" si="190">($WL$153*ZT139*ZT137*$WH$151/$WH$152)*($WI$153*$WN$152*$WK$152*($WK$151/$WN$151))</f>
        <v>2665.0706545072867</v>
      </c>
      <c r="ZU151" s="1005">
        <f t="shared" si="190"/>
        <v>2667.6374667886125</v>
      </c>
      <c r="ZV151" s="1005">
        <f t="shared" si="190"/>
        <v>2669.7576177476144</v>
      </c>
      <c r="ZW151" s="1005">
        <f t="shared" si="190"/>
        <v>2671.7919480076753</v>
      </c>
      <c r="ZX151" s="1005">
        <f t="shared" si="190"/>
        <v>2673.7587960552601</v>
      </c>
      <c r="ZY151" s="1005">
        <f t="shared" si="190"/>
        <v>2675.634848207902</v>
      </c>
      <c r="ZZ151" s="1005">
        <f t="shared" si="190"/>
        <v>2677.4380427857864</v>
      </c>
      <c r="AAA151" s="1005">
        <f t="shared" si="190"/>
        <v>2679.1853435622966</v>
      </c>
      <c r="AAB151" s="1005">
        <f t="shared" si="190"/>
        <v>2680.8537242223756</v>
      </c>
      <c r="AAC151" s="1005">
        <f t="shared" si="190"/>
        <v>2682.4727285876461</v>
      </c>
      <c r="AAD151" s="1005">
        <f t="shared" si="190"/>
        <v>2684.0195534771856</v>
      </c>
      <c r="AAE151" s="1005">
        <f t="shared" si="190"/>
        <v>2685.5227150616165</v>
      </c>
      <c r="AAF151" s="1005">
        <f t="shared" si="190"/>
        <v>2686.9596487621266</v>
      </c>
      <c r="AAG151" s="1005">
        <f t="shared" si="190"/>
        <v>2688.3579420333458</v>
      </c>
      <c r="AAH151" s="1005">
        <f t="shared" si="190"/>
        <v>2689.6952787454966</v>
      </c>
      <c r="AAI151" s="1005">
        <f t="shared" si="190"/>
        <v>2690.9984039044652</v>
      </c>
      <c r="AAJ151" s="1005">
        <f t="shared" si="190"/>
        <v>2692.2452553223984</v>
      </c>
      <c r="AAK151" s="1005">
        <f t="shared" si="190"/>
        <v>2693.4618111124296</v>
      </c>
      <c r="AAL151" s="1005">
        <f t="shared" si="190"/>
        <v>2694.6029002110963</v>
      </c>
      <c r="AAM151" s="1005">
        <f t="shared" si="190"/>
        <v>2695.6770858171521</v>
      </c>
      <c r="AAN151" s="1005">
        <f t="shared" si="190"/>
        <v>2696.7441971688909</v>
      </c>
      <c r="AAO151" s="1005">
        <f t="shared" si="190"/>
        <v>2697.7481524909354</v>
      </c>
      <c r="AAP151" s="1005">
        <f t="shared" si="190"/>
        <v>2698.7475858363023</v>
      </c>
      <c r="AAQ151" s="1005">
        <f t="shared" si="190"/>
        <v>2699.5627448187533</v>
      </c>
      <c r="AAR151" s="1005">
        <f t="shared" si="190"/>
        <v>2700.4766649597327</v>
      </c>
      <c r="AAS151" s="1005">
        <f t="shared" si="190"/>
        <v>2701.3892174580305</v>
      </c>
      <c r="AAT151" s="1005">
        <v>17</v>
      </c>
      <c r="AAU151" s="68"/>
      <c r="AAV151" s="64"/>
      <c r="AAW151" s="64"/>
      <c r="AAX151" s="64"/>
      <c r="AAY151" s="64"/>
      <c r="AAZ151" s="64"/>
      <c r="ABA151" s="64"/>
      <c r="ABB151" s="64"/>
      <c r="ABC151" s="64"/>
      <c r="ABD151" s="64"/>
      <c r="ABE151" s="64"/>
      <c r="ABF151" s="64"/>
      <c r="ABG151" s="64"/>
      <c r="ABH151" s="65"/>
      <c r="ABI151" s="158"/>
      <c r="ABJ151" s="158"/>
      <c r="ABK151" s="158"/>
      <c r="ABL151" s="158"/>
      <c r="ABM151" s="158"/>
      <c r="ABN151" s="158"/>
      <c r="ABO151" s="158"/>
      <c r="ABP151" s="163"/>
      <c r="ABS151" s="1069" t="s">
        <v>1712</v>
      </c>
      <c r="ABT151" s="1070"/>
      <c r="ABU151" s="1070"/>
      <c r="ABV151" s="1070"/>
      <c r="ABW151" s="1070"/>
      <c r="ABX151" s="1070"/>
      <c r="ABY151" s="1070"/>
      <c r="ABZ151" s="1070"/>
      <c r="ACA151" s="1070"/>
      <c r="ACB151" s="1070"/>
      <c r="ACC151" s="1070"/>
      <c r="ACD151" s="1070"/>
      <c r="ACE151" s="1070"/>
      <c r="ACF151" s="1071"/>
      <c r="ACG151" s="1124"/>
      <c r="ACH151" s="1126"/>
      <c r="AGL151" s="850"/>
      <c r="AGM151" s="861" t="s">
        <v>1702</v>
      </c>
      <c r="AGN151" s="861"/>
      <c r="AGO151" s="890">
        <f>$AGZ$141</f>
        <v>0.25549207123810602</v>
      </c>
      <c r="AGP151" s="890"/>
      <c r="AGQ151" s="797" t="s">
        <v>1386</v>
      </c>
      <c r="AGR151" s="797"/>
      <c r="AGS151" s="797"/>
      <c r="AGT151" s="797"/>
      <c r="AGU151" s="797"/>
      <c r="AGV151" s="797"/>
      <c r="AGW151" s="797"/>
      <c r="AGX151" s="797"/>
      <c r="AGY151" s="798"/>
      <c r="AGZ151" s="835">
        <f>AGZ146*((AGO151^2+(AGO152+AGS150)^2)^0.5)/(AGO153*AGS150)</f>
        <v>564.29987192194301</v>
      </c>
      <c r="AHA151" s="836"/>
      <c r="AHB151" s="1345" t="s">
        <v>32</v>
      </c>
      <c r="AHC151" s="932"/>
      <c r="AHD151" s="1066"/>
      <c r="AHE151" s="843" t="s">
        <v>1754</v>
      </c>
      <c r="AHF151" s="1327"/>
      <c r="AHG151" s="844"/>
      <c r="AHH151" s="847"/>
      <c r="AHI151" s="1052"/>
      <c r="AHJ151" s="1052"/>
      <c r="AHK151" s="1052"/>
      <c r="AHL151" s="1052"/>
      <c r="AHM151" s="1052"/>
      <c r="AHN151" s="1052"/>
      <c r="AHO151" s="1052"/>
      <c r="AHP151" s="1052"/>
      <c r="AHQ151" s="1052"/>
      <c r="AHR151" s="1052"/>
    </row>
    <row r="152" spans="338:948 1133:1217" ht="48" customHeight="1" thickBot="1">
      <c r="LZ152" s="377"/>
      <c r="MA152" s="373"/>
      <c r="MB152" s="54"/>
      <c r="MC152" s="373"/>
      <c r="MD152" s="850"/>
      <c r="ME152" s="1407" t="s">
        <v>1322</v>
      </c>
      <c r="MF152" s="1407"/>
      <c r="MG152" s="761">
        <f>$ND$129</f>
        <v>1</v>
      </c>
      <c r="MH152" s="761"/>
      <c r="MI152" s="663"/>
      <c r="MJ152" s="664"/>
      <c r="MK152" s="664"/>
      <c r="ML152" s="665"/>
      <c r="MM152" s="823"/>
      <c r="MN152" s="824"/>
      <c r="MO152" s="824"/>
      <c r="MP152" s="824"/>
      <c r="MQ152" s="824"/>
      <c r="MR152" s="1049"/>
      <c r="MS152" s="837"/>
      <c r="MT152" s="838"/>
      <c r="MU152" s="1185"/>
      <c r="MV152" s="1186"/>
      <c r="MW152" s="1067"/>
      <c r="MX152" s="918"/>
      <c r="MY152" s="1082"/>
      <c r="MZ152" s="919"/>
      <c r="NA152" s="848"/>
      <c r="NB152" s="1052"/>
      <c r="NC152" s="1052"/>
      <c r="ND152" s="1052"/>
      <c r="NE152" s="1052"/>
      <c r="NF152" s="1052"/>
      <c r="NG152" s="1052"/>
      <c r="NH152" s="1052"/>
      <c r="NI152" s="1052"/>
      <c r="NJ152" s="1052"/>
      <c r="NK152" s="1052"/>
      <c r="NL152" s="1052"/>
      <c r="NM152" s="373"/>
      <c r="NN152" s="373"/>
      <c r="NO152" s="382" t="s">
        <v>1583</v>
      </c>
      <c r="NU152" s="801" t="s">
        <v>1248</v>
      </c>
      <c r="NV152" s="861"/>
      <c r="NW152" s="937"/>
      <c r="NX152" s="937"/>
      <c r="OW152" s="130"/>
      <c r="OX152" s="130"/>
      <c r="OY152" s="130"/>
      <c r="OZ152" s="130"/>
      <c r="PA152" s="130"/>
      <c r="PB152" s="130"/>
      <c r="PC152" s="130"/>
      <c r="PD152" s="130"/>
      <c r="PG152" s="377"/>
      <c r="PH152" s="54"/>
      <c r="PI152" s="373"/>
      <c r="PJ152" s="54"/>
      <c r="PK152" s="373"/>
      <c r="PL152" s="851"/>
      <c r="PM152" s="777"/>
      <c r="PN152" s="778"/>
      <c r="PO152" s="778"/>
      <c r="PP152" s="778"/>
      <c r="PQ152" s="778"/>
      <c r="PR152" s="778"/>
      <c r="PS152" s="778"/>
      <c r="PT152" s="778"/>
      <c r="PU152" s="778"/>
      <c r="PV152" s="778"/>
      <c r="PW152" s="778"/>
      <c r="PX152" s="778"/>
      <c r="PY152" s="799"/>
      <c r="PZ152" s="837"/>
      <c r="QA152" s="838"/>
      <c r="QB152" s="1185"/>
      <c r="QC152" s="1186"/>
      <c r="QD152" s="1290"/>
      <c r="QE152" s="1321"/>
      <c r="QF152" s="1321"/>
      <c r="QG152" s="1321"/>
      <c r="QH152" s="1290"/>
      <c r="QI152" s="373"/>
      <c r="QJ152" s="373"/>
      <c r="QK152" s="373"/>
      <c r="QL152" s="373"/>
      <c r="QM152" s="373"/>
      <c r="QN152" s="54"/>
      <c r="QO152" s="373"/>
      <c r="QP152" s="373"/>
      <c r="QQ152" s="373"/>
      <c r="QR152" s="374"/>
      <c r="QV152" s="130"/>
      <c r="QW152" s="130"/>
      <c r="QX152" s="130"/>
      <c r="WE152" s="996"/>
      <c r="WF152" s="997"/>
      <c r="WG152" s="667" t="s">
        <v>739</v>
      </c>
      <c r="WH152" s="766">
        <f>$CM$59</f>
        <v>2</v>
      </c>
      <c r="WI152" s="766"/>
      <c r="WJ152" s="669" t="s">
        <v>1069</v>
      </c>
      <c r="WK152" s="937">
        <f>$CI$79</f>
        <v>0.95799999999999996</v>
      </c>
      <c r="WL152" s="937"/>
      <c r="WM152" s="692" t="s">
        <v>1493</v>
      </c>
      <c r="WN152" s="937">
        <f>$CL$87</f>
        <v>1</v>
      </c>
      <c r="WO152" s="937"/>
      <c r="WP152" s="173"/>
      <c r="WQ152" s="173"/>
      <c r="WR152" s="173"/>
      <c r="WS152" s="756"/>
      <c r="WT152" s="756"/>
      <c r="WU152" s="960"/>
      <c r="WV152" s="1101"/>
      <c r="WW152" s="1101"/>
      <c r="WX152" s="1101"/>
      <c r="WY152" s="1101"/>
      <c r="WZ152" s="1101"/>
      <c r="XA152" s="1101"/>
      <c r="XB152" s="1101"/>
      <c r="XC152" s="1101"/>
      <c r="XD152" s="1101"/>
      <c r="XE152" s="1101"/>
      <c r="XF152" s="961"/>
      <c r="XG152" s="1006"/>
      <c r="XH152" s="1006"/>
      <c r="XI152" s="1006"/>
      <c r="XJ152" s="1006"/>
      <c r="XK152" s="1006"/>
      <c r="XL152" s="1006"/>
      <c r="XM152" s="1006"/>
      <c r="XN152" s="1006"/>
      <c r="XO152" s="1006"/>
      <c r="XP152" s="1006"/>
      <c r="XQ152" s="1006"/>
      <c r="XR152" s="1006"/>
      <c r="XS152" s="1006"/>
      <c r="XT152" s="1006"/>
      <c r="XU152" s="1006"/>
      <c r="XV152" s="1006"/>
      <c r="XW152" s="1006"/>
      <c r="XX152" s="1006"/>
      <c r="XY152" s="1006"/>
      <c r="XZ152" s="1006"/>
      <c r="YA152" s="1006"/>
      <c r="YB152" s="1006"/>
      <c r="YC152" s="1006"/>
      <c r="YD152" s="1006"/>
      <c r="YE152" s="1006"/>
      <c r="YF152" s="1006"/>
      <c r="YG152" s="1006"/>
      <c r="YH152" s="1006"/>
      <c r="YI152" s="1006"/>
      <c r="YJ152" s="1006"/>
      <c r="YK152" s="1006"/>
      <c r="YL152" s="1006"/>
      <c r="YM152" s="1006"/>
      <c r="YN152" s="1006"/>
      <c r="YO152" s="1006"/>
      <c r="YP152" s="1006"/>
      <c r="YQ152" s="1006"/>
      <c r="YR152" s="1006"/>
      <c r="YS152" s="1006"/>
      <c r="YT152" s="1006"/>
      <c r="YU152" s="1006"/>
      <c r="YV152" s="1006"/>
      <c r="YW152" s="1006"/>
      <c r="YX152" s="1006"/>
      <c r="YY152" s="1006"/>
      <c r="YZ152" s="1006"/>
      <c r="ZA152" s="1006"/>
      <c r="ZB152" s="1006"/>
      <c r="ZC152" s="1006"/>
      <c r="ZD152" s="1006"/>
      <c r="ZE152" s="1006"/>
      <c r="ZF152" s="1006"/>
      <c r="ZG152" s="1006"/>
      <c r="ZH152" s="1006"/>
      <c r="ZI152" s="1006"/>
      <c r="ZJ152" s="1006"/>
      <c r="ZK152" s="1006"/>
      <c r="ZL152" s="1006"/>
      <c r="ZM152" s="1006"/>
      <c r="ZN152" s="1006"/>
      <c r="ZO152" s="1006"/>
      <c r="ZP152" s="1006"/>
      <c r="ZQ152" s="1006"/>
      <c r="ZR152" s="1006"/>
      <c r="ZS152" s="1006"/>
      <c r="ZT152" s="1006"/>
      <c r="ZU152" s="1006"/>
      <c r="ZV152" s="1006"/>
      <c r="ZW152" s="1006"/>
      <c r="ZX152" s="1006"/>
      <c r="ZY152" s="1006"/>
      <c r="ZZ152" s="1006"/>
      <c r="AAA152" s="1006"/>
      <c r="AAB152" s="1006"/>
      <c r="AAC152" s="1006"/>
      <c r="AAD152" s="1006"/>
      <c r="AAE152" s="1006"/>
      <c r="AAF152" s="1006"/>
      <c r="AAG152" s="1006"/>
      <c r="AAH152" s="1006"/>
      <c r="AAI152" s="1006"/>
      <c r="AAJ152" s="1006"/>
      <c r="AAK152" s="1006"/>
      <c r="AAL152" s="1006"/>
      <c r="AAM152" s="1006"/>
      <c r="AAN152" s="1006"/>
      <c r="AAO152" s="1006"/>
      <c r="AAP152" s="1006"/>
      <c r="AAQ152" s="1006"/>
      <c r="AAR152" s="1006"/>
      <c r="AAS152" s="1006"/>
      <c r="AAT152" s="1006"/>
      <c r="AAU152" s="459"/>
      <c r="AAV152" s="460"/>
      <c r="AAW152" s="460"/>
      <c r="AAX152" s="460"/>
      <c r="AAY152" s="460"/>
      <c r="AAZ152" s="460"/>
      <c r="ABA152" s="460"/>
      <c r="ABB152" s="460"/>
      <c r="ABC152" s="460"/>
      <c r="ABD152" s="460"/>
      <c r="ABE152" s="460"/>
      <c r="ABF152" s="460"/>
      <c r="ABG152" s="460"/>
      <c r="ABH152" s="461"/>
      <c r="ABI152" s="158"/>
      <c r="ABJ152" s="158"/>
      <c r="ABK152" s="158"/>
      <c r="ABL152" s="158"/>
      <c r="ABM152" s="158"/>
      <c r="ABN152" s="158"/>
      <c r="ABO152" s="158"/>
      <c r="ABP152" s="163"/>
      <c r="ABS152" s="159"/>
      <c r="ABT152" s="160"/>
      <c r="ABU152" s="160"/>
      <c r="ABV152" s="160"/>
      <c r="ABW152" s="160"/>
      <c r="ABX152" s="160"/>
      <c r="ABY152" s="160"/>
      <c r="ABZ152" s="160"/>
      <c r="ACA152" s="160"/>
      <c r="ACB152" s="160"/>
      <c r="ACC152" s="160"/>
      <c r="ACD152" s="160"/>
      <c r="ACE152" s="160"/>
      <c r="ACF152" s="160"/>
      <c r="ACG152" s="160"/>
      <c r="ACH152" s="161"/>
      <c r="ACJ152" s="800" t="s">
        <v>1442</v>
      </c>
      <c r="ACK152" s="982"/>
      <c r="ACL152" s="801"/>
      <c r="ACM152" s="951">
        <f>$AHB$33</f>
        <v>1.8595658001541595</v>
      </c>
      <c r="ACN152" s="952"/>
      <c r="ACO152" s="983" t="s">
        <v>1689</v>
      </c>
      <c r="ACP152" s="984"/>
      <c r="ACQ152" s="985" t="str">
        <f>IF(ACQ154&lt;0,"Ошибка",
IF(OR(AND(ACQ154&gt;ACM152,ACM152&gt;1    ),ACM152 = ACQ154),ACO154,
IF(OR(AND(ACQ155&gt;ACM152,ACM152&gt;ACQ154),ACM152 = ACQ155),ACO155,
IF(OR(AND(ACQ156&gt;ACM152,ACM152&gt;ACQ155),ACM152 = ACQ156),ACO156,
IF(OR(AND(ACQ157&gt;ACM152,ACM152&gt;ACQ156),ACM152 = ACQ157),ACO157,
IF(OR(AND(ACQ158&gt;ACM152,ACM152&gt;ACQ157),ACM152 = ACQ158),ACO158,
IF(OR(AND(ACQ159&gt;ACM152,ACM152&gt;ACQ158),ACM152 = ACQ159),ACO159,
IF(OR(AND(ACQ160&gt;ACM152,ACM152&gt;ACQ159),ACM152 = ACQ160),ACO160,
IF(OR(AND(ACQ161&gt;ACM152,ACM152&gt;ACQ160),ACM152 = ACQ161),ACO161,
IF(OR(AND(ACQ162&gt;ACM152,ACM152&gt;ACQ161),ACM152 = ACQ162),ACO162,
IF(OR(AND(ACQ163&gt;ACM152,ACM152&gt;ACQ162),ACM152 = ACQ163),ACO163,
IF(OR(AND(ACQ164&gt;ACM152,ACM152&gt;ACQ163),ACM152 = ACQ164),ACO164,
IF(OR(AND(ACQ165&gt;ACM152,ACM152&gt;ACQ164),ACM152 = ACQ165),ACO165,
IF(OR(AND(ACQ166&gt;ACM152,ACM152&gt;ACQ165),ACM152 = ACQ166),ACO166,
IF(OR(AND(ACQ167&gt;ACM152,ACM152&gt;ACQ166),ACM152 = ACQ167),ACO167,
IF(OR(AND(ACQ168&gt;ACM152,ACM152&gt;ACQ167),ACM152 = ACQ168),ACO168,
IF(OR(AND(ACQ169&gt;ACM152,ACM152&gt;ACQ168),ACM152 = ACQ169),ACO169,
IF(OR(AND(ACQ170&gt;ACM152,ACM152&gt;ACQ169),ACM152 = ACQ170),ACO170,
IF(OR(AND(ACQ171&gt;ACM152,ACM152&gt;ACQ170),ACM152 = ACQ171),ACO171,
IF(OR(AND(ACQ172&gt;ACM152,ACM152&gt;ACQ171),ACM152 = ACQ172),ACO172,
IF(OR(AND(ACQ173&gt;ACM152,ACM152&gt;ACQ172),ACM152 = ACQ173),ACO173,
IF(OR(AND(ACQ174&gt;ACM152,ACM152&gt;ACQ173),ACM152 = ACQ174),ACO174,
IF(OR(AND(ACQ175&gt;ACM152,ACM152&gt;ACQ174),ACM152 = ACQ175),ACO175,
IF(OR(AND(ACQ176&gt;ACM152,ACM152&gt;ACQ175),ACM152 = ACQ176),ACO176,
IF(OR(AND(ACQ177&gt;ACM152,ACM152&gt;ACQ176),ACM152 = ACQ177),ACO177,
IF(OR(AND(ACQ178&gt;ACM152,ACM152&gt;ACQ177),ACM152 = ACQ178),ACO178,
IF(OR(AND(ACQ179&gt;ACM152,ACM152&gt;ACQ178),ACM152 = ACQ179),ACO179,
IF(OR(AND(ACQ180&gt;ACM152,ACM152&gt;ACQ179),ACM152 = ACQ180),ACO180,
IF(OR(AND(ACQ181&gt;ACM152,ACM152&gt;ACQ180),ACM152 = ACQ181),ACO181,
IF(OR(AND(ACQ182&gt;ACM152,ACM152&gt;ACQ181),ACM152 = ACQ182),ACO182,
IF(OR(AND(ACQ183&gt;ACM152,ACM152&gt;ACQ182),ACM152 = ACQ183),ACO183,
IF(OR(AND(ACQ184&gt;ACM152,ACM152&gt;ACQ183),ACM152 = ACQ184),ACO184,
IF(OR(AND(ACQ185&gt;ACM152,ACM152&gt;ACQ184),ACM152 = ACQ185),ACO185,
IF(OR(AND(ACQ186&gt;ACM152,ACM152&gt;ACQ185),ACM152 = ACQ186),ACO186,
IF(OR(AND(ACQ187&gt;ACM152,ACM152&gt;ACQ186),ACM152 = ACQ187),ACO187,
IF(OR(AND(ACQ188&gt;ACM152,ACM152&gt;ACQ187),ACM152 = ACQ188),ACO188,
IF(OR(AND(ACQ189&gt;ACM152,ACM152&gt;ACQ188),ACM152 = ACQ189),ACO189,
IF(OR(AND(ACQ190&gt;ACM152,ACM152&gt;ACQ189),ACM152 = ACQ190),ACO190,
IF(OR(AND(ACQ191&gt;ACM152,ACM152&gt;ACQ190),ACM152 = ACQ191),ACO191,
IF(OR(AND(ACQ192&gt;ACM152,ACM152&gt;ACQ191),ACM152 = ACQ192),ACO192,
IF(OR(AND(ACQ193&gt;ACM152,ACM152&gt;ACQ192),ACM152 = ACQ193),ACO193,
IF(OR(AND(ACQ194&gt;ACM152,ACM152&gt;ACQ193),ACM152 = ACQ194),ACO194,
IF(OR(AND(ACQ195&gt;ACM152,ACM152&gt;ACQ194),ACM152 = ACQ195),ACO195,
IF(OR(AND(ACQ196&gt;ACM152,ACM152&gt;ACQ195),ACM152 = ACQ196),ACO196,
IF(OR(AND(ACQ197&gt;ACM152,ACM152&gt;ACQ196),ACM152 = ACQ197),ACO197,
IF(OR(AND(ACQ198&gt;ACM152,ACM152&gt;ACQ197),ACM152 = ACQ198),ACO198,
IF(OR(AND(ACQ199&gt;ACM152,ACM152&gt;ACQ198),ACM152 = ACQ199),ACO199,
IF(OR(AND(ACQ200&gt;ACM152,ACM152&gt;ACQ199),ACM152 = ACQ200),ACO200,
IF(OR(AND(ACQ201&gt;ACM152,ACM152&gt;ACQ200),ACM152 = ACQ201),ACO201,
IF(OR(AND(ACQ202&gt;ACM152,ACM152&gt;ACQ201),ACM152 = ACQ202),ACO202,
IF(OR(AND(ACQ203&gt;ACM152,ACM152&gt;ACQ202),ACM152 = ACQ203),ACO203,
"Y")))))))))))))))))))))))))))))))))))))))))))))))))))</f>
        <v>Y</v>
      </c>
      <c r="ACR152" s="986"/>
      <c r="ACT152" s="800" t="s">
        <v>1442</v>
      </c>
      <c r="ACU152" s="982"/>
      <c r="ACV152" s="801"/>
      <c r="ACW152" s="951">
        <f>$AHB$33</f>
        <v>1.8595658001541595</v>
      </c>
      <c r="ACX152" s="952"/>
      <c r="ACY152" s="983" t="s">
        <v>1689</v>
      </c>
      <c r="ACZ152" s="984"/>
      <c r="ADA152" s="985" t="str">
        <f>IF(ADA154&lt;0,"Ошибка",
IF(OR(AND(ADA154&gt;ACW152,ACW152&gt;ACQ203),ACW152 = ADA154),ACY154,
IF(OR(AND(ADA155&gt;ACW152,ACW152&gt;ADA154),ACW152 = ADA155),ACY155,
IF(OR(AND(ADA156&gt;ACW152,ACW152&gt;ADA155),ACW152 = ADA156),ACY156,
IF(OR(AND(ADA157&gt;ACW152,ACW152&gt;ADA156),ACW152 = ADA157),ACY157,
IF(OR(AND(ADA158&gt;ACW152,ACW152&gt;ADA157),ACW152 = ADA158),ACY158,
IF(OR(AND(ADA159&gt;ACW152,ACW152&gt;ADA158),ACW152 = ADA159),ACY159,
IF(OR(AND(ADA160&gt;ACW152,ACW152&gt;ADA159),ACW152 = ADA160),ACY160,
IF(OR(AND(ADA161&gt;ACW152,ACW152&gt;ADA160),ACW152 = ADA161),ACY161,
IF(OR(AND(ADA162&gt;ACW152,ACW152&gt;ADA161),ACW152 = ADA162),ACY162,
IF(OR(AND(ADA163&gt;ACW152,ACW152&gt;ADA162),ACW152 = ADA163),ACY163,
IF(OR(AND(ADA164&gt;ACW152,ACW152&gt;ADA163),ACW152 = ADA164),ACY164,
IF(OR(AND(ADA165&gt;ACW152,ACW152&gt;ADA164),ACW152 = ADA165),ACY165,
IF(OR(AND(ADA166&gt;ACW152,ACW152&gt;ADA165),ACW152 = ADA166),ACY166,
IF(OR(AND(ADA167&gt;ACW152,ACW152&gt;ADA166),ACW152 = ADA167),ACY167,
IF(OR(AND(ADA168&gt;ACW152,ACW152&gt;ADA167),ACW152 = ADA168),ACY168,
IF(OR(AND(ADA169&gt;ACW152,ACW152&gt;ADA168),ACW152 = ADA169),ACY169,
IF(OR(AND(ADA170&gt;ACW152,ACW152&gt;ADA169),ACW152 = ADA170),ACY170,
IF(OR(AND(ADA171&gt;ACW152,ACW152&gt;ADA170),ACW152 = ADA171),ACY171,
IF(OR(AND(ADA172&gt;ACW152,ACW152&gt;ADA171),ACW152 = ADA172),ACY172,
IF(OR(AND(ADA173&gt;ACW152,ACW152&gt;ADA172),ACW152 = ADA173),ACY173,
IF(OR(AND(ADA174&gt;ACW152,ACW152&gt;ADA173),ACW152 = ADA174),ACY174,
IF(OR(AND(ADA175&gt;ACW152,ACW152&gt;ADA174),ACW152 = ADA175),ACY175,
IF(OR(AND(ADA176&gt;ACW152,ACW152&gt;ADA175),ACW152 = ADA176),ACY176,
IF(OR(AND(ADA177&gt;ACW152,ACW152&gt;ADA176),ACW152 = ADA177),ACY177,
IF(OR(AND(ADA178&gt;ACW152,ACW152&gt;ADA177),ACW152 = ADA178),ACY178,
IF(OR(AND(ADA179&gt;ACW152,ACW152&gt;ADA178),ACW152 = ADA179),ACY179,
IF(OR(AND(ADA180&gt;ACW152,ACW152&gt;ADA179),ACW152 = ADA180),ACY180,
IF(OR(AND(ADA181&gt;ACW152,ACW152&gt;ADA180),ACW152 = ADA181),ACY181,
IF(OR(AND(ADA182&gt;ACW152,ACW152&gt;ADA181),ACW152 = ADA182),ACY182,
IF(OR(AND(ADA183&gt;ACW152,ACW152&gt;ADA182),ACW152 = ADA183),ACY183,
IF(OR(AND(ADA184&gt;ACW152,ACW152&gt;ADA183),ACW152 = ADA184),ACY184,
IF(OR(AND(ADA185&gt;ACW152,ACW152&gt;ADA184),ACW152 = ADA185),ACY185,
IF(OR(AND(ADA186&gt;ACW152,ACW152&gt;ADA185),ACW152 = ADA186),ACY186,
IF(OR(AND(ADA187&gt;ACW152,ACW152&gt;ADA186),ACW152 = ADA187),ACY187,
IF(OR(AND(ADA188&gt;ACW152,ACW152&gt;ADA187),ACW152 = ADA188),ACY188,
IF(OR(AND(ADA189&gt;ACW152,ACW152&gt;ADA188),ACW152 = ADA189),ACY189,
IF(OR(AND(ADA190&gt;ACW152,ACW152&gt;ADA189),ACW152 = ADA190),ACY190,
IF(OR(AND(ADA191&gt;ACW152,ACW152&gt;ADA190),ACW152 = ADA191),ACY191,
IF(OR(AND(ADA192&gt;ACW152,ACW152&gt;ADA191),ACW152 = ADA192),ACY192,
IF(OR(AND(ADA193&gt;ACW152,ACW152&gt;ADA192),ACW152 = ADA193),ACY193,
IF(OR(AND(ADA194&gt;ACW152,ACW152&gt;ADA193),ACW152 = ADA194),ACY194,
IF(OR(AND(ADA195&gt;ACW152,ACW152&gt;ADA194),ACW152 = ADA195),ACY195,
IF(OR(AND(ADA196&gt;ACW152,ACW152&gt;ADA195),ACW152 = ADA196),ACY196,
IF(OR(AND(ADA197&gt;ACW152,ACW152&gt;ADA196),ACW152 = ADA197),ACY197,
IF(OR(AND(ADA198&gt;ACW152,ACW152&gt;ADA197),ACW152 = ADA198),ACY198,
IF(OR(AND(ADA199&gt;ACW152,ACW152&gt;ADA198),ACW152 = ADA199),ACY199,
IF(OR(AND(ADA200&gt;ACW152,ACW152&gt;ADA199),ACW152 = ADA200),ACY200,
IF(OR(AND(ADA201&gt;ACW152,ACW152&gt;ADA200),ACW152 = ADA201),ACY201,
IF(OR(AND(ADA202&gt;ACW152,ACW152&gt;ADA201),ACW152 = ADA202),ACY202,
IF(OR(AND(ADA203&gt;ACW152,ACW152&gt;ADA202),ACW152 = ADA203),ACY203,
"Y")))))))))))))))))))))))))))))))))))))))))))))))))))</f>
        <v>Y</v>
      </c>
      <c r="ADB152" s="986"/>
      <c r="ADD152" s="800" t="s">
        <v>1442</v>
      </c>
      <c r="ADE152" s="982"/>
      <c r="ADF152" s="801"/>
      <c r="ADG152" s="951">
        <f>$AHB$33</f>
        <v>1.8595658001541595</v>
      </c>
      <c r="ADH152" s="952"/>
      <c r="ADI152" s="983" t="s">
        <v>1689</v>
      </c>
      <c r="ADJ152" s="984"/>
      <c r="ADK152" s="985" t="str">
        <f>IF(ADK154&lt;0,"Ошибка",
IF(OR(AND(ADK154&gt;ADG152,ADG152&gt;ADA203),ADG152 = ADK154),ADI154,
IF(OR(AND(ADK155&gt;ADG152,ADG152&gt;ADK154),ADG152 = ADK155),ADI155,
IF(OR(AND(ADK156&gt;ADG152,ADG152&gt;ADK155),ADG152 = ADK156),ADI156,
IF(OR(AND(ADK157&gt;ADG152,ADG152&gt;ADK156),ADG152 = ADK157),ADI157,
IF(OR(AND(ADK158&gt;ADG152,ADG152&gt;ADK157),ADG152 = ADK158),ADI158,
IF(OR(AND(ADK159&gt;ADG152,ADG152&gt;ADK158),ADG152 = ADK159),ADI159,
IF(OR(AND(ADK160&gt;ADG152,ADG152&gt;ADK159),ADG152 = ADK160),ADI160,
IF(OR(AND(ADK161&gt;ADG152,ADG152&gt;ADK160),ADG152 = ADK161),ADI161,
IF(OR(AND(ADK162&gt;ADG152,ADG152&gt;ADK161),ADG152 = ADK162),ADI162,
IF(OR(AND(ADK163&gt;ADG152,ADG152&gt;ADK162),ADG152 = ADK163),ADI163,
IF(OR(AND(ADK164&gt;ADG152,ADG152&gt;ADK163),ADG152 = ADK164),ADI164,
IF(OR(AND(ADK165&gt;ADG152,ADG152&gt;ADK164),ADG152 = ADK165),ADI165,
IF(OR(AND(ADK166&gt;ADG152,ADG152&gt;ADK165),ADG152 = ADK166),ADI166,
IF(OR(AND(ADK167&gt;ADG152,ADG152&gt;ADK166),ADG152 = ADK167),ADI167,
IF(OR(AND(ADK168&gt;ADG152,ADG152&gt;ADK167),ADG152 = ADK168),ADI168,
IF(OR(AND(ADK169&gt;ADG152,ADG152&gt;ADK168),ADG152 = ADK169),ADI169,
IF(OR(AND(ADK170&gt;ADG152,ADG152&gt;ADK169),ADG152 = ADK170),ADI170,
IF(OR(AND(ADK171&gt;ADG152,ADG152&gt;ADK170),ADG152 = ADK171),ADI171,
IF(OR(AND(ADK172&gt;ADG152,ADG152&gt;ADK171),ADG152 = ADK172),ADI172,
IF(OR(AND(ADK173&gt;ADG152,ADG152&gt;ADK172),ADG152 = ADK173),ADI173,
IF(OR(AND(ADK174&gt;ADG152,ADG152&gt;ADK173),ADG152 = ADK174),ADI174,
IF(OR(AND(ADK175&gt;ADG152,ADG152&gt;ADK174),ADG152 = ADK175),ADI175,
IF(OR(AND(ADK176&gt;ADG152,ADG152&gt;ADK175),ADG152 = ADK176),ADI176,
IF(OR(AND(ADK177&gt;ADG152,ADG152&gt;ADK176),ADG152 = ADK177),ADI177,
IF(OR(AND(ADK178&gt;ADG152,ADG152&gt;ADK177),ADG152 = ADK178),ADI178,
IF(OR(AND(ADK179&gt;ADG152,ADG152&gt;ADK178),ADG152 = ADK179),ADI179,
IF(OR(AND(ADK180&gt;ADG152,ADG152&gt;ADK179),ADG152 = ADK180),ADI180,
IF(OR(AND(ADK181&gt;ADG152,ADG152&gt;ADK180),ADG152 = ADK181),ADI181,
IF(OR(AND(ADK182&gt;ADG152,ADG152&gt;ADK181),ADG152 = ADK182),ADI182,
IF(OR(AND(ADK183&gt;ADG152,ADG152&gt;ADK182),ADG152 = ADK183),ADI183,
IF(OR(AND(ADK184&gt;ADG152,ADG152&gt;ADK183),ADG152 = ADK184),ADI184,
IF(OR(AND(ADK185&gt;ADG152,ADG152&gt;ADK184),ADG152 = ADK185),ADI185,
IF(OR(AND(ADK186&gt;ADG152,ADG152&gt;ADK185),ADG152 = ADK186),ADI186,
IF(OR(AND(ADK187&gt;ADG152,ADG152&gt;ADK186),ADG152 = ADK187),ADI187,
IF(OR(AND(ADK188&gt;ADG152,ADG152&gt;ADK187),ADG152 = ADK188),ADI188,
IF(OR(AND(ADK189&gt;ADG152,ADG152&gt;ADK188),ADG152 = ADK189),ADI189,
IF(OR(AND(ADK190&gt;ADG152,ADG152&gt;ADK189),ADG152 = ADK190),ADI190,
IF(OR(AND(ADK191&gt;ADG152,ADG152&gt;ADK190),ADG152 = ADK191),ADI191,
IF(OR(AND(ADK192&gt;ADG152,ADG152&gt;ADK191),ADG152 = ADK192),ADI192,
IF(OR(AND(ADK193&gt;ADG152,ADG152&gt;ADK192),ADG152 = ADK193),ADI193,
IF(OR(AND(ADK194&gt;ADG152,ADG152&gt;ADK193),ADG152 = ADK194),ADI194,
IF(OR(AND(ADK195&gt;ADG152,ADG152&gt;ADK194),ADG152 = ADK195),ADI195,
IF(OR(AND(ADK196&gt;ADG152,ADG152&gt;ADK195),ADG152 = ADK196),ADI196,
IF(OR(AND(ADK197&gt;ADG152,ADG152&gt;ADK196),ADG152 = ADK197),ADI197,
IF(OR(AND(ADK198&gt;ADG152,ADG152&gt;ADK197),ADG152 = ADK198),ADI198,
IF(OR(AND(ADK199&gt;ADG152,ADG152&gt;ADK198),ADG152 = ADK199),ADI199,
IF(OR(AND(ADK200&gt;ADG152,ADG152&gt;ADK199),ADG152 = ADK200),ADI200,
IF(OR(AND(ADK201&gt;ADG152,ADG152&gt;ADK200),ADG152 = ADK201),ADI201,
IF(OR(AND(ADK202&gt;ADG152,ADG152&gt;ADK201),ADG152 = ADK202),ADI202,
IF(OR(AND(ADK203&gt;ADG152,ADG152&gt;ADK202),ADG152 = ADK203),ADI203,
"Y")))))))))))))))))))))))))))))))))))))))))))))))))))</f>
        <v>Y</v>
      </c>
      <c r="ADL152" s="986"/>
      <c r="ADN152" s="800" t="s">
        <v>1442</v>
      </c>
      <c r="ADO152" s="982"/>
      <c r="ADP152" s="801"/>
      <c r="ADQ152" s="951">
        <f>$AHB$33</f>
        <v>1.8595658001541595</v>
      </c>
      <c r="ADR152" s="952"/>
      <c r="ADS152" s="983" t="s">
        <v>1689</v>
      </c>
      <c r="ADT152" s="984"/>
      <c r="ADU152" s="985" t="str">
        <f>IF(ADU154&lt;0,"Ошибка",
IF(OR(AND(ADU154&gt;ADQ152,ADQ152&gt;ADK203),ADQ152 = ADU154),ADS154,
IF(OR(AND(ADU155&gt;ADQ152,ADQ152&gt;ADU154),ADQ152 = ADU155),ADS155,
IF(OR(AND(ADU156&gt;ADQ152,ADQ152&gt;ADU155),ADQ152 = ADU156),ADS156,
IF(OR(AND(ADU157&gt;ADQ152,ADQ152&gt;ADU156),ADQ152 = ADU157),ADS157,
IF(OR(AND(ADU158&gt;ADQ152,ADQ152&gt;ADU157),ADQ152 = ADU158),ADS158,
IF(OR(AND(ADU159&gt;ADQ152,ADQ152&gt;ADU158),ADQ152 = ADU159),ADS159,
IF(OR(AND(ADU160&gt;ADQ152,ADQ152&gt;ADU159),ADQ152 = ADU160),ADS160,
IF(OR(AND(ADU161&gt;ADQ152,ADQ152&gt;ADU160),ADQ152 = ADU161),ADS161,
IF(OR(AND(ADU162&gt;ADQ152,ADQ152&gt;ADU161),ADQ152 = ADU162),ADS162,
IF(OR(AND(ADU163&gt;ADQ152,ADQ152&gt;ADU162),ADQ152 = ADU163),ADS163,
IF(OR(AND(ADU164&gt;ADQ152,ADQ152&gt;ADU163),ADQ152 = ADU164),ADS164,
IF(OR(AND(ADU165&gt;ADQ152,ADQ152&gt;ADU164),ADQ152 = ADU165),ADS165,
IF(OR(AND(ADU166&gt;ADQ152,ADQ152&gt;ADU165),ADQ152 = ADU166),ADS166,
IF(OR(AND(ADU167&gt;ADQ152,ADQ152&gt;ADU166),ADQ152 = ADU167),ADS167,
IF(OR(AND(ADU168&gt;ADQ152,ADQ152&gt;ADU167),ADQ152 = ADU168),ADS168,
IF(OR(AND(ADU169&gt;ADQ152,ADQ152&gt;ADU168),ADQ152 = ADU169),ADS169,
IF(OR(AND(ADU170&gt;ADQ152,ADQ152&gt;ADU169),ADQ152 = ADU170),ADS170,
IF(OR(AND(ADU171&gt;ADQ152,ADQ152&gt;ADU170),ADQ152 = ADU171),ADS171,
IF(OR(AND(ADU172&gt;ADQ152,ADQ152&gt;ADU171),ADQ152 = ADU172),ADS172,
IF(OR(AND(ADU173&gt;ADQ152,ADQ152&gt;ADU172),ADQ152 = ADU173),ADS173,
IF(OR(AND(ADU174&gt;ADQ152,ADQ152&gt;ADU173),ADQ152 = ADU174),ADS174,
IF(OR(AND(ADU175&gt;ADQ152,ADQ152&gt;ADU174),ADQ152 = ADU175),ADS175,
IF(OR(AND(ADU176&gt;ADQ152,ADQ152&gt;ADU175),ADQ152 = ADU176),ADS176,
IF(OR(AND(ADU177&gt;ADQ152,ADQ152&gt;ADU176),ADQ152 = ADU177),ADS177,
IF(OR(AND(ADU178&gt;ADQ152,ADQ152&gt;ADU177),ADQ152 = ADU178),ADS178,
IF(OR(AND(ADU179&gt;ADQ152,ADQ152&gt;ADU178),ADQ152 = ADU179),ADS179,
IF(OR(AND(ADU180&gt;ADQ152,ADQ152&gt;ADU179),ADQ152 = ADU180),ADS180,
IF(OR(AND(ADU181&gt;ADQ152,ADQ152&gt;ADU180),ADQ152 = ADU181),ADS181,
IF(OR(AND(ADU182&gt;ADQ152,ADQ152&gt;ADU181),ADQ152 = ADU182),ADS182,
IF(OR(AND(ADU183&gt;ADQ152,ADQ152&gt;ADU182),ADQ152 = ADU183),ADS183,
IF(OR(AND(ADU184&gt;ADQ152,ADQ152&gt;ADU183),ADQ152 = ADU184),ADS184,
IF(OR(AND(ADU185&gt;ADQ152,ADQ152&gt;ADU184),ADQ152 = ADU185),ADS185,
IF(OR(AND(ADU186&gt;ADQ152,ADQ152&gt;ADU185),ADQ152 = ADU186),ADS186,
IF(OR(AND(ADU187&gt;ADQ152,ADQ152&gt;ADU186),ADQ152 = ADU187),ADS187,
IF(OR(AND(ADU188&gt;ADQ152,ADQ152&gt;ADU187),ADQ152 = ADU188),ADS188,
IF(OR(AND(ADU189&gt;ADQ152,ADQ152&gt;ADU188),ADQ152 = ADU189),ADS189,
IF(OR(AND(ADU190&gt;ADQ152,ADQ152&gt;ADU189),ADQ152 = ADU190),ADS190,
IF(OR(AND(ADU191&gt;ADQ152,ADQ152&gt;ADU190),ADQ152 = ADU191),ADS191,
IF(OR(AND(ADU192&gt;ADQ152,ADQ152&gt;ADU191),ADQ152 = ADU192),ADS192,
IF(OR(AND(ADU193&gt;ADQ152,ADQ152&gt;ADU192),ADQ152 = ADU193),ADS193,
IF(OR(AND(ADU194&gt;ADQ152,ADQ152&gt;ADU193),ADQ152 = ADU194),ADS194,
IF(OR(AND(ADU195&gt;ADQ152,ADQ152&gt;ADU194),ADQ152 = ADU195),ADS195,
IF(OR(AND(ADU196&gt;ADQ152,ADQ152&gt;ADU195),ADQ152 = ADU196),ADS196,
IF(OR(AND(ADU197&gt;ADQ152,ADQ152&gt;ADU196),ADQ152 = ADU197),ADS197,
IF(OR(AND(ADU198&gt;ADQ152,ADQ152&gt;ADU197),ADQ152 = ADU198),ADS198,
IF(OR(AND(ADU199&gt;ADQ152,ADQ152&gt;ADU198),ADQ152 = ADU199),ADS199,
IF(OR(AND(ADU200&gt;ADQ152,ADQ152&gt;ADU199),ADQ152 = ADU200),ADS200,
IF(OR(AND(ADU201&gt;ADQ152,ADQ152&gt;ADU200),ADQ152 = ADU201),ADS201,
IF(OR(AND(ADU202&gt;ADQ152,ADQ152&gt;ADU201),ADQ152 = ADU202),ADS202,
IF(OR(AND(ADU203&gt;ADQ152,ADQ152&gt;ADU202),ADQ152 = ADU203),ADS203,
"Y")))))))))))))))))))))))))))))))))))))))))))))))))))</f>
        <v>Y</v>
      </c>
      <c r="ADV152" s="986"/>
      <c r="ADX152" s="800" t="s">
        <v>1442</v>
      </c>
      <c r="ADY152" s="982"/>
      <c r="ADZ152" s="801"/>
      <c r="AEA152" s="951">
        <f>$AHB$33</f>
        <v>1.8595658001541595</v>
      </c>
      <c r="AEB152" s="952"/>
      <c r="AEC152" s="983" t="s">
        <v>1689</v>
      </c>
      <c r="AED152" s="984"/>
      <c r="AEE152" s="985">
        <f>IF(AEE154&lt;0,"Ошибка",
IF(OR(AND(AEE154&gt;AEA152,AEA152&gt;ADU203),AEA152 = AEE154),AEC154,
IF(OR(AND(AEE155&gt;AEA152,AEA152&gt;AEE154),AEA152 = AEE155),AEC155,
IF(OR(AND(AEE156&gt;AEA152,AEA152&gt;AEE155),AEA152 = AEE156),AEC156,
IF(OR(AND(AEE157&gt;AEA152,AEA152&gt;AEE156),AEA152 = AEE157),AEC157,
IF(OR(AND(AEE158&gt;AEA152,AEA152&gt;AEE157),AEA152 = AEE158),AEC158,
IF(OR(AND(AEE159&gt;AEA152,AEA152&gt;AEE158),AEA152 = AEE159),AEC159,
IF(OR(AND(AEE160&gt;AEA152,AEA152&gt;AEE159),AEA152 = AEE160),AEC160,
IF(OR(AND(AEE161&gt;AEA152,AEA152&gt;AEE160),AEA152 = AEE161),AEC161,
IF(OR(AND(AEE162&gt;AEA152,AEA152&gt;AEE161),AEA152 = AEE162),AEC162,
IF(OR(AND(AEE163&gt;AEA152,AEA152&gt;AEE162),AEA152 = AEE163),AEC163,
IF(OR(AND(AEE164&gt;AEA152,AEA152&gt;AEE163),AEA152 = AEE164),AEC164,
IF(OR(AND(AEE165&gt;AEA152,AEA152&gt;AEE164),AEA152 = AEE165),AEC165,
IF(OR(AND(AEE166&gt;AEA152,AEA152&gt;AEE165),AEA152 = AEE166),AEC166,
IF(OR(AND(AEE167&gt;AEA152,AEA152&gt;AEE166),AEA152 = AEE167),AEC167,
IF(OR(AND(AEE168&gt;AEA152,AEA152&gt;AEE167),AEA152 = AEE168),AEC168,
IF(OR(AND(AEE169&gt;AEA152,AEA152&gt;AEE168),AEA152 = AEE169),AEC169,
IF(OR(AND(AEE170&gt;AEA152,AEA152&gt;AEE169),AEA152 = AEE170),AEC170,
IF(OR(AND(AEE171&gt;AEA152,AEA152&gt;AEE170),AEA152 = AEE171),AEC171,
IF(OR(AND(AEE172&gt;AEA152,AEA152&gt;AEE171),AEA152 = AEE172),AEC172,
IF(OR(AND(AEE173&gt;AEA152,AEA152&gt;AEE172),AEA152 = AEE173),AEC173,
IF(OR(AND(AEE174&gt;AEA152,AEA152&gt;AEE173),AEA152 = AEE174),AEC174,
IF(OR(AND(AEE175&gt;AEA152,AEA152&gt;AEE174),AEA152 = AEE175),AEC175,
IF(OR(AND(AEE176&gt;AEA152,AEA152&gt;AEE175),AEA152 = AEE176),AEC176,
IF(OR(AND(AEE177&gt;AEA152,AEA152&gt;AEE176),AEA152 = AEE177),AEC177,
IF(OR(AND(AEE178&gt;AEA152,AEA152&gt;AEE177),AEA152 = AEE178),AEC178,
IF(OR(AND(AEE179&gt;AEA152,AEA152&gt;AEE178),AEA152 = AEE179),AEC179,
IF(OR(AND(AEE180&gt;AEA152,AEA152&gt;AEE179),AEA152 = AEE180),AEC180,
IF(OR(AND(AEE181&gt;AEA152,AEA152&gt;AEE180),AEA152 = AEE181),AEC181,
IF(OR(AND(AEE182&gt;AEA152,AEA152&gt;AEE181),AEA152 = AEE182),AEC182,
IF(OR(AND(AEE183&gt;AEA152,AEA152&gt;AEE182),AEA152 = AEE183),AEC183,
IF(OR(AND(AEE184&gt;AEA152,AEA152&gt;AEE183),AEA152 = AEE184),AEC184,
IF(OR(AND(AEE185&gt;AEA152,AEA152&gt;AEE184),AEA152 = AEE185),AEC185,
IF(OR(AND(AEE186&gt;AEA152,AEA152&gt;AEE185),AEA152 = AEE186),AEC186,
IF(OR(AND(AEE187&gt;AEA152,AEA152&gt;AEE186),AEA152 = AEE187),AEC187,
IF(OR(AND(AEE188&gt;AEA152,AEA152&gt;AEE187),AEA152 = AEE188),AEC188,
IF(OR(AND(AEE189&gt;AEA152,AEA152&gt;AEE188),AEA152 = AEE189),AEC189,
IF(OR(AND(AEE190&gt;AEA152,AEA152&gt;AEE189),AEA152 = AEE190),AEC190,
IF(OR(AND(AEE191&gt;AEA152,AEA152&gt;AEE190),AEA152 = AEE191),AEC191,
IF(OR(AND(AEE192&gt;AEA152,AEA152&gt;AEE191),AEA152 = AEE192),AEC192,
IF(OR(AND(AEE193&gt;AEA152,AEA152&gt;AEE192),AEA152 = AEE193),AEC193,
IF(OR(AND(AEE194&gt;AEA152,AEA152&gt;AEE193),AEA152 = AEE194),AEC194,
IF(OR(AND(AEE195&gt;AEA152,AEA152&gt;AEE194),AEA152 = AEE195),AEC195,
IF(OR(AND(AEE196&gt;AEA152,AEA152&gt;AEE195),AEA152 = AEE196),AEC196,
IF(OR(AND(AEE197&gt;AEA152,AEA152&gt;AEE196),AEA152 = AEE197),AEC197,
IF(OR(AND(AEE198&gt;AEA152,AEA152&gt;AEE197),AEA152 = AEE198),AEC198,
IF(OR(AND(AEE199&gt;AEA152,AEA152&gt;AEE198),AEA152 = AEE199),AEC199,
IF(OR(AND(AEE200&gt;AEA152,AEA152&gt;AEE199),AEA152 = AEE200),AEC200,
IF(OR(AND(AEE201&gt;AEA152,AEA152&gt;AEE200),AEA152 = AEE201),AEC201,
IF(OR(AND(AEE202&gt;AEA152,AEA152&gt;AEE201),AEA152 = AEE202),AEC202,
IF(OR(AND(AEE203&gt;AEA152,AEA152&gt;AEE202),AEA152 = AEE203),AEC203,
"Y")))))))))))))))))))))))))))))))))))))))))))))))))))</f>
        <v>0.79533333333333345</v>
      </c>
      <c r="AEF152" s="986"/>
      <c r="AEH152" s="800" t="s">
        <v>1442</v>
      </c>
      <c r="AEI152" s="982"/>
      <c r="AEJ152" s="801"/>
      <c r="AEK152" s="951">
        <f>$AHB$33</f>
        <v>1.8595658001541595</v>
      </c>
      <c r="AEL152" s="952"/>
      <c r="AEM152" s="983" t="s">
        <v>1689</v>
      </c>
      <c r="AEN152" s="984"/>
      <c r="AEO152" s="985" t="str">
        <f>IF(AEO154&lt;0,"Ошибка",
IF(OR(AND(AEO154&gt;AEK152,AEK152&gt;AEE203),AEK152 = AEO154),AEM154,
IF(OR(AND(AEO155&gt;AEK152,AEK152&gt;AEO154),AEK152 = AEO155),AEM155,
IF(OR(AND(AEO156&gt;AEK152,AEK152&gt;AEO155),AEK152 = AEO156),AEM156,
IF(OR(AND(AEO157&gt;AEK152,AEK152&gt;AEO156),AEK152 = AEO157),AEM157,
IF(OR(AND(AEO158&gt;AEK152,AEK152&gt;AEO157),AEK152 = AEO158),AEM158,
IF(OR(AND(AEO159&gt;AEK152,AEK152&gt;AEO158),AEK152 = AEO159),AEM159,
IF(OR(AND(AEO160&gt;AEK152,AEK152&gt;AEO159),AEK152 = AEO160),AEM160,
IF(OR(AND(AEO161&gt;AEK152,AEK152&gt;AEO160),AEK152 = AEO161),AEM161,
IF(OR(AND(AEO162&gt;AEK152,AEK152&gt;AEO161),AEK152 = AEO162),AEM162,
IF(OR(AND(AEO163&gt;AEK152,AEK152&gt;AEO162),AEK152 = AEO163),AEM163,
IF(OR(AND(AEO164&gt;AEK152,AEK152&gt;AEO163),AEK152 = AEO164),AEM164,
IF(OR(AND(AEO165&gt;AEK152,AEK152&gt;AEO164),AEK152 = AEO165),AEM165,
IF(OR(AND(AEO166&gt;AEK152,AEK152&gt;AEO165),AEK152 = AEO166),AEM166,
IF(OR(AND(AEO167&gt;AEK152,AEK152&gt;AEO166),AEK152 = AEO167),AEM167,
IF(OR(AND(AEO168&gt;AEK152,AEK152&gt;AEO167),AEK152 = AEO168),AEM168,
IF(OR(AND(AEO169&gt;AEK152,AEK152&gt;AEO168),AEK152 = AEO169),AEM169,
IF(OR(AND(AEO170&gt;AEK152,AEK152&gt;AEO169),AEK152 = AEO170),AEM170,
IF(OR(AND(AEO171&gt;AEK152,AEK152&gt;AEO170),AEK152 = AEO171),AEM171,
IF(OR(AND(AEO172&gt;AEK152,AEK152&gt;AEO171),AEK152 = AEO172),AEM172,
IF(OR(AND(AEO173&gt;AEK152,AEK152&gt;AEO172),AEK152 = AEO173),AEM173,
IF(OR(AND(AEO174&gt;AEK152,AEK152&gt;AEO173),AEK152 = AEO174),AEM174,
IF(OR(AND(AEO175&gt;AEK152,AEK152&gt;AEO174),AEK152 = AEO175),AEM175,
IF(OR(AND(AEO176&gt;AEK152,AEK152&gt;AEO175),AEK152 = AEO176),AEM176,
IF(OR(AND(AEO177&gt;AEK152,AEK152&gt;AEO176),AEK152 = AEO177),AEM177,
IF(OR(AND(AEO178&gt;AEK152,AEK152&gt;AEO177),AEK152 = AEO178),AEM178,
IF(OR(AND(AEO179&gt;AEK152,AEK152&gt;AEO178),AEK152 = AEO179),AEM179,
IF(OR(AND(AEO180&gt;AEK152,AEK152&gt;AEO179),AEK152 = AEO180),AEM180,
IF(OR(AND(AEO181&gt;AEK152,AEK152&gt;AEO180),AEK152 = AEO181),AEM181,
IF(OR(AND(AEO182&gt;AEK152,AEK152&gt;AEO181),AEK152 = AEO182),AEM182,
IF(OR(AND(AEO183&gt;AEK152,AEK152&gt;AEO182),AEK152 = AEO183),AEM183,
IF(OR(AND(AEO184&gt;AEK152,AEK152&gt;AEO183),AEK152 = AEO184),AEM184,
IF(OR(AND(AEO185&gt;AEK152,AEK152&gt;AEO184),AEK152 = AEO185),AEM185,
IF(OR(AND(AEO186&gt;AEK152,AEK152&gt;AEO185),AEK152 = AEO186),AEM186,
IF(OR(AND(AEO187&gt;AEK152,AEK152&gt;AEO186),AEK152 = AEO187),AEM187,
IF(OR(AND(AEO188&gt;AEK152,AEK152&gt;AEO187),AEK152 = AEO188),AEM188,
IF(OR(AND(AEO189&gt;AEK152,AEK152&gt;AEO188),AEK152 = AEO189),AEM189,
IF(OR(AND(AEO190&gt;AEK152,AEK152&gt;AEO189),AEK152 = AEO190),AEM190,
IF(OR(AND(AEO191&gt;AEK152,AEK152&gt;AEO190),AEK152 = AEO191),AEM191,
IF(OR(AND(AEO192&gt;AEK152,AEK152&gt;AEO191),AEK152 = AEO192),AEM192,
IF(OR(AND(AEO193&gt;AEK152,AEK152&gt;AEO192),AEK152 = AEO193),AEM193,
IF(OR(AND(AEO194&gt;AEK152,AEK152&gt;AEO193),AEK152 = AEO194),AEM194,
IF(OR(AND(AEO195&gt;AEK152,AEK152&gt;AEO194),AEK152 = AEO195),AEM195,
IF(OR(AND(AEO196&gt;AEK152,AEK152&gt;AEO195),AEK152 = AEO196),AEM196,
IF(OR(AND(AEO197&gt;AEK152,AEK152&gt;AEO196),AEK152 = AEO197),AEM197,
IF(OR(AND(AEO198&gt;AEK152,AEK152&gt;AEO197),AEK152 = AEO198),AEM198,
IF(OR(AND(AEO199&gt;AEK152,AEK152&gt;AEO198),AEK152 = AEO199),AEM199,
IF(OR(AND(AEO200&gt;AEK152,AEK152&gt;AEO199),AEK152 = AEO200),AEM200,
IF(OR(AND(AEO201&gt;AEK152,AEK152&gt;AEO200),AEK152 = AEO201),AEM201,
IF(OR(AND(AEO202&gt;AEK152,AEK152&gt;AEO201),AEK152 = AEO202),AEM202,
IF(OR(AND(AEO203&gt;AEK152,AEK152&gt;AEO202),AEK152 = AEO203),AEM203,
"Y")))))))))))))))))))))))))))))))))))))))))))))))))))</f>
        <v>Y</v>
      </c>
      <c r="AEP152" s="986"/>
      <c r="AER152" s="800" t="s">
        <v>1442</v>
      </c>
      <c r="AES152" s="982"/>
      <c r="AET152" s="801"/>
      <c r="AEU152" s="951">
        <f>$AHB$33</f>
        <v>1.8595658001541595</v>
      </c>
      <c r="AEV152" s="952"/>
      <c r="AEW152" s="983" t="s">
        <v>1689</v>
      </c>
      <c r="AEX152" s="984"/>
      <c r="AEY152" s="985" t="str">
        <f>IF(AEY154&lt;0,"Ошибка",
IF(OR(AND(AEY154&gt;AEU152,AEU152&gt;AEO203),AEU152 = AEY154),AEW154,
IF(OR(AND(AEY155&gt;AEU152,AEU152&gt;AEY154),AEU152 = AEY155),AEW155,
IF(OR(AND(AEY156&gt;AEU152,AEU152&gt;AEY155),AEU152 = AEY156),AEW156,
IF(OR(AND(AEY157&gt;AEU152,AEU152&gt;AEY156),AEU152 = AEY157),AEW157,
IF(OR(AND(AEY158&gt;AEU152,AEU152&gt;AEY157),AEU152 = AEY158),AEW158,
IF(OR(AND(AEY159&gt;AEU152,AEU152&gt;AEY158),AEU152 = AEY159),AEW159,
IF(OR(AND(AEY160&gt;AEU152,AEU152&gt;AEY159),AEU152 = AEY160),AEW160,
IF(OR(AND(AEY161&gt;AEU152,AEU152&gt;AEY160),AEU152 = AEY161),AEW161,
IF(OR(AND(AEY162&gt;AEU152,AEU152&gt;AEY161),AEU152 = AEY162),AEW162,
IF(OR(AND(AEY163&gt;AEU152,AEU152&gt;AEY162),AEU152 = AEY163),AEW163,
IF(OR(AND(AEY164&gt;AEU152,AEU152&gt;AEY163),AEU152 = AEY164),AEW164,
IF(OR(AND(AEY165&gt;AEU152,AEU152&gt;AEY164),AEU152 = AEY165),AEW165,
IF(OR(AND(AEY166&gt;AEU152,AEU152&gt;AEY165),AEU152 = AEY166),AEW166,
IF(OR(AND(AEY167&gt;AEU152,AEU152&gt;AEY166),AEU152 = AEY167),AEW167,
IF(OR(AND(AEY168&gt;AEU152,AEU152&gt;AEY167),AEU152 = AEY168),AEW168,
IF(OR(AND(AEY169&gt;AEU152,AEU152&gt;AEY168),AEU152 = AEY169),AEW169,
IF(OR(AND(AEY170&gt;AEU152,AEU152&gt;AEY169),AEU152 = AEY170),AEW170,
IF(OR(AND(AEY171&gt;AEU152,AEU152&gt;AEY170),AEU152 = AEY171),AEW171,
IF(OR(AND(AEY172&gt;AEU152,AEU152&gt;AEY171),AEU152 = AEY172),AEW172,
IF(OR(AND(AEY173&gt;AEU152,AEU152&gt;AEY172),AEU152 = AEY173),AEW173,
IF(OR(AND(AEY174&gt;AEU152,AEU152&gt;AEY173),AEU152 = AEY174),AEW174,
IF(OR(AND(AEY175&gt;AEU152,AEU152&gt;AEY174),AEU152 = AEY175),AEW175,
IF(OR(AND(AEY176&gt;AEU152,AEU152&gt;AEY175),AEU152 = AEY176),AEW176,
IF(OR(AND(AEY177&gt;AEU152,AEU152&gt;AEY176),AEU152 = AEY177),AEW177,
IF(OR(AND(AEY178&gt;AEU152,AEU152&gt;AEY177),AEU152 = AEY178),AEW178,
IF(OR(AND(AEY179&gt;AEU152,AEU152&gt;AEY178),AEU152 = AEY179),AEW179,
IF(OR(AND(AEY180&gt;AEU152,AEU152&gt;AEY179),AEU152 = AEY180),AEW180,
IF(OR(AND(AEY181&gt;AEU152,AEU152&gt;AEY180),AEU152 = AEY181),AEW181,
IF(OR(AND(AEY182&gt;AEU152,AEU152&gt;AEY181),AEU152 = AEY182),AEW182,
IF(OR(AND(AEY183&gt;AEU152,AEU152&gt;AEY182),AEU152 = AEY183),AEW183,
IF(OR(AND(AEY184&gt;AEU152,AEU152&gt;AEY183),AEU152 = AEY184),AEW184,
IF(OR(AND(AEY185&gt;AEU152,AEU152&gt;AEY184),AEU152 = AEY185),AEW185,
IF(OR(AND(AEY186&gt;AEU152,AEU152&gt;AEY185),AEU152 = AEY186),AEW186,
IF(OR(AND(AEY187&gt;AEU152,AEU152&gt;AEY186),AEU152 = AEY187),AEW187,
IF(OR(AND(AEY188&gt;AEU152,AEU152&gt;AEY187),AEU152 = AEY188),AEW188,
IF(OR(AND(AEY189&gt;AEU152,AEU152&gt;AEY188),AEU152 = AEY189),AEW189,
IF(OR(AND(AEY190&gt;AEU152,AEU152&gt;AEY189),AEU152 = AEY190),AEW190,
IF(OR(AND(AEY191&gt;AEU152,AEU152&gt;AEY190),AEU152 = AEY191),AEW191,
IF(OR(AND(AEY192&gt;AEU152,AEU152&gt;AEY191),AEU152 = AEY192),AEW192,
IF(OR(AND(AEY193&gt;AEU152,AEU152&gt;AEY192),AEU152 = AEY193),AEW193,
IF(OR(AND(AEY194&gt;AEU152,AEU152&gt;AEY193),AEU152 = AEY194),AEW194,
IF(OR(AND(AEY195&gt;AEU152,AEU152&gt;AEY194),AEU152 = AEY195),AEW195,
IF(OR(AND(AEY196&gt;AEU152,AEU152&gt;AEY195),AEU152 = AEY196),AEW196,
IF(OR(AND(AEY197&gt;AEU152,AEU152&gt;AEY196),AEU152 = AEY197),AEW197,
IF(OR(AND(AEY198&gt;AEU152,AEU152&gt;AEY197),AEU152 = AEY198),AEW198,
IF(OR(AND(AEY199&gt;AEU152,AEU152&gt;AEY198),AEU152 = AEY199),AEW199,
IF(OR(AND(AEY200&gt;AEU152,AEU152&gt;AEY199),AEU152 = AEY200),AEW200,
IF(OR(AND(AEY201&gt;AEU152,AEU152&gt;AEY200),AEU152 = AEY201),AEW201,
IF(OR(AND(AEY202&gt;AEU152,AEU152&gt;AEY201),AEU152 = AEY202),AEW202,
IF(OR(AND(AEY203&gt;AEU152,AEU152&gt;AEY202),AEU152 = AEY203),AEW203,
"Y")))))))))))))))))))))))))))))))))))))))))))))))))))</f>
        <v>Y</v>
      </c>
      <c r="AEZ152" s="986"/>
      <c r="AFB152" s="800" t="s">
        <v>1442</v>
      </c>
      <c r="AFC152" s="982"/>
      <c r="AFD152" s="801"/>
      <c r="AFE152" s="951">
        <f>$AHB$33</f>
        <v>1.8595658001541595</v>
      </c>
      <c r="AFF152" s="952"/>
      <c r="AFG152" s="983" t="s">
        <v>1689</v>
      </c>
      <c r="AFH152" s="984"/>
      <c r="AFI152" s="985" t="str">
        <f>IF(AFI154&lt;0,"Ошибка",
IF(OR(AND(AFI154&gt;AFE152,AFE152&gt;AEY203),AFE152 = AFI154),AFG154,
IF(OR(AND(AFI155&gt;AFE152,AFE152&gt;AFI154),AFE152 = AFI155),AFG155,
IF(OR(AND(AFI156&gt;AFE152,AFE152&gt;AFI155),AFE152 = AFI156),AFG156,
IF(OR(AND(AFI157&gt;AFE152,AFE152&gt;AFI156),AFE152 = AFI157),AFG157,
IF(OR(AND(AFI158&gt;AFE152,AFE152&gt;AFI157),AFE152 = AFI158),AFG158,
IF(OR(AND(AFI159&gt;AFE152,AFE152&gt;AFI158),AFE152 = AFI159),AFG159,
IF(OR(AND(AFI160&gt;AFE152,AFE152&gt;AFI159),AFE152 = AFI160),AFG160,
IF(OR(AND(AFI161&gt;AFE152,AFE152&gt;AFI160),AFE152 = AFI161),AFG161,
IF(OR(AND(AFI162&gt;AFE152,AFE152&gt;AFI161),AFE152 = AFI162),AFG162,
IF(OR(AND(AFI163&gt;AFE152,AFE152&gt;AFI162),AFE152 = AFI163),AFG163,
IF(OR(AND(AFI164&gt;AFE152,AFE152&gt;AFI163),AFE152 = AFI164),AFG164,
IF(OR(AND(AFI165&gt;AFE152,AFE152&gt;AFI164),AFE152 = AFI165),AFG165,
IF(OR(AND(AFI166&gt;AFE152,AFE152&gt;AFI165),AFE152 = AFI166),AFG166,
IF(OR(AND(AFI167&gt;AFE152,AFE152&gt;AFI166),AFE152 = AFI167),AFG167,
IF(OR(AND(AFI168&gt;AFE152,AFE152&gt;AFI167),AFE152 = AFI168),AFG168,
IF(OR(AND(AFI169&gt;AFE152,AFE152&gt;AFI168),AFE152 = AFI169),AFG169,
IF(OR(AND(AFI170&gt;AFE152,AFE152&gt;AFI169),AFE152 = AFI170),AFG170,
IF(OR(AND(AFI171&gt;AFE152,AFE152&gt;AFI170),AFE152 = AFI171),AFG171,
IF(OR(AND(AFI172&gt;AFE152,AFE152&gt;AFI171),AFE152 = AFI172),AFG172,
IF(OR(AND(AFI173&gt;AFE152,AFE152&gt;AFI172),AFE152 = AFI173),AFG173,
IF(OR(AND(AFI174&gt;AFE152,AFE152&gt;AFI173),AFE152 = AFI174),AFG174,
IF(OR(AND(AFI175&gt;AFE152,AFE152&gt;AFI174),AFE152 = AFI175),AFG175,
IF(OR(AND(AFI176&gt;AFE152,AFE152&gt;AFI175),AFE152 = AFI176),AFG176,
IF(OR(AND(AFI177&gt;AFE152,AFE152&gt;AFI176),AFE152 = AFI177),AFG177,
IF(OR(AND(AFI178&gt;AFE152,AFE152&gt;AFI177),AFE152 = AFI178),AFG178,
IF(OR(AND(AFI179&gt;AFE152,AFE152&gt;AFI178),AFE152 = AFI179),AFG179,
IF(OR(AND(AFI180&gt;AFE152,AFE152&gt;AFI179),AFE152 = AFI180),AFG180,
IF(OR(AND(AFI181&gt;AFE152,AFE152&gt;AFI180),AFE152 = AFI181),AFG181,
IF(OR(AND(AFI182&gt;AFE152,AFE152&gt;AFI181),AFE152 = AFI182),AFG182,
IF(OR(AND(AFI183&gt;AFE152,AFE152&gt;AFI182),AFE152 = AFI183),AFG183,
IF(OR(AND(AFI184&gt;AFE152,AFE152&gt;AFI183),AFE152 = AFI184),AFG184,
IF(OR(AND(AFI185&gt;AFE152,AFE152&gt;AFI184),AFE152 = AFI185),AFG185,
IF(OR(AND(AFI186&gt;AFE152,AFE152&gt;AFI185),AFE152 = AFI186),AFG186,
IF(OR(AND(AFI187&gt;AFE152,AFE152&gt;AFI186),AFE152 = AFI187),AFG187,
IF(OR(AND(AFI188&gt;AFE152,AFE152&gt;AFI187),AFE152 = AFI188),AFG188,
IF(OR(AND(AFI189&gt;AFE152,AFE152&gt;AFI188),AFE152 = AFI189),AFG189,
IF(OR(AND(AFI190&gt;AFE152,AFE152&gt;AFI189),AFE152 = AFI190),AFG190,
IF(OR(AND(AFI191&gt;AFE152,AFE152&gt;AFI190),AFE152 = AFI191),AFG191,
IF(OR(AND(AFI192&gt;AFE152,AFE152&gt;AFI191),AFE152 = AFI192),AFG192,
IF(OR(AND(AFI193&gt;AFE152,AFE152&gt;AFI192),AFE152 = AFI193),AFG193,
IF(OR(AND(AFI194&gt;AFE152,AFE152&gt;AFI193),AFE152 = AFI194),AFG194,
IF(OR(AND(AFI195&gt;AFE152,AFE152&gt;AFI194),AFE152 = AFI195),AFG195,
IF(OR(AND(AFI196&gt;AFE152,AFE152&gt;AFI195),AFE152 = AFI196),AFG196,
IF(OR(AND(AFI197&gt;AFE152,AFE152&gt;AFI196),AFE152 = AFI197),AFG197,
IF(OR(AND(AFI198&gt;AFE152,AFE152&gt;AFI197),AFE152 = AFI198),AFG198,
IF(OR(AND(AFI199&gt;AFE152,AFE152&gt;AFI198),AFE152 = AFI199),AFG199,
IF(OR(AND(AFI200&gt;AFE152,AFE152&gt;AFI199),AFE152 = AFI200),AFG200,
IF(OR(AND(AFI201&gt;AFE152,AFE152&gt;AFI200),AFE152 = AFI201),AFG201,
IF(OR(AND(AFI202&gt;AFE152,AFE152&gt;AFI201),AFE152 = AFI202),AFG202,
IF(OR(AND(AFI203&gt;AFE152,AFE152&gt;AFI202),AFE152 = AFI203),AFG203,
"Y")))))))))))))))))))))))))))))))))))))))))))))))))))</f>
        <v>Y</v>
      </c>
      <c r="AFJ152" s="986"/>
      <c r="AFL152" s="800" t="s">
        <v>1442</v>
      </c>
      <c r="AFM152" s="982"/>
      <c r="AFN152" s="801"/>
      <c r="AFO152" s="951">
        <f>$AHB$33</f>
        <v>1.8595658001541595</v>
      </c>
      <c r="AFP152" s="952"/>
      <c r="AFQ152" s="983" t="s">
        <v>1689</v>
      </c>
      <c r="AFR152" s="984"/>
      <c r="AFS152" s="985" t="str">
        <f>IF(AFS154&lt;0,"Ошибка",
IF(OR(AND(AFS154&gt;AFO152,AFO152&gt;AFI203),AFO152 = AFS154),AFQ154,
IF(OR(AND(AFS155&gt;AFO152,AFO152&gt;AFS154),AFO152 = AFS155),AFQ155,
IF(OR(AND(AFS156&gt;AFO152,AFO152&gt;AFS155),AFO152 = AFS156),AFQ156,
IF(OR(AND(AFS157&gt;AFO152,AFO152&gt;AFS156),AFO152 = AFS157),AFQ157,
IF(OR(AND(AFS158&gt;AFO152,AFO152&gt;AFS157),AFO152 = AFS158),AFQ158,
IF(OR(AND(AFS159&gt;AFO152,AFO152&gt;AFS158),AFO152 = AFS159),AFQ159,
IF(OR(AND(AFS160&gt;AFO152,AFO152&gt;AFS159),AFO152 = AFS160),AFQ160,
IF(OR(AND(AFS161&gt;AFO152,AFO152&gt;AFS160),AFO152 = AFS161),AFQ161,
IF(OR(AND(AFS162&gt;AFO152,AFO152&gt;AFS161),AFO152 = AFS162),AFQ162,
IF(OR(AND(AFS163&gt;AFO152,AFO152&gt;AFS162),AFO152 = AFS163),AFQ163,
IF(OR(AND(AFS164&gt;AFO152,AFO152&gt;AFS163),AFO152 = AFS164),AFQ164,
IF(OR(AND(AFS165&gt;AFO152,AFO152&gt;AFS164),AFO152 = AFS165),AFQ165,
IF(OR(AND(AFS166&gt;AFO152,AFO152&gt;AFS165),AFO152 = AFS166),AFQ166,
IF(OR(AND(AFS167&gt;AFO152,AFO152&gt;AFS166),AFO152 = AFS167),AFQ167,
IF(OR(AND(AFS168&gt;AFO152,AFO152&gt;AFS167),AFO152 = AFS168),AFQ168,
IF(OR(AND(AFS169&gt;AFO152,AFO152&gt;AFS168),AFO152 = AFS169),AFQ169,
IF(OR(AND(AFS170&gt;AFO152,AFO152&gt;AFS169),AFO152 = AFS170),AFQ170,
IF(OR(AND(AFS171&gt;AFO152,AFO152&gt;AFS170),AFO152 = AFS171),AFQ171,
IF(OR(AND(AFS172&gt;AFO152,AFO152&gt;AFS171),AFO152 = AFS172),AFQ172,
IF(OR(AND(AFS173&gt;AFO152,AFO152&gt;AFS172),AFO152 = AFS173),AFQ173,
IF(OR(AND(AFS174&gt;AFO152,AFO152&gt;AFS173),AFO152 = AFS174),AFQ174,
IF(OR(AND(AFS175&gt;AFO152,AFO152&gt;AFS174),AFO152 = AFS175),AFQ175,
IF(OR(AND(AFS176&gt;AFO152,AFO152&gt;AFS175),AFO152 = AFS176),AFQ176,
IF(OR(AND(AFS177&gt;AFO152,AFO152&gt;AFS176),AFO152 = AFS177),AFQ177,
IF(OR(AND(AFS178&gt;AFO152,AFO152&gt;AFS177),AFO152 = AFS178),AFQ178,
IF(OR(AND(AFS179&gt;AFO152,AFO152&gt;AFS178),AFO152 = AFS179),AFQ179,
IF(OR(AND(AFS180&gt;AFO152,AFO152&gt;AFS179),AFO152 = AFS180),AFQ180,
IF(OR(AND(AFS181&gt;AFO152,AFO152&gt;AFS180),AFO152 = AFS181),AFQ181,
IF(OR(AND(AFS182&gt;AFO152,AFO152&gt;AFS181),AFO152 = AFS182),AFQ182,
IF(OR(AND(AFS183&gt;AFO152,AFO152&gt;AFS182),AFO152 = AFS183),AFQ183,
IF(OR(AND(AFS184&gt;AFO152,AFO152&gt;AFS183),AFO152 = AFS184),AFQ184,
IF(OR(AND(AFS185&gt;AFO152,AFO152&gt;AFS184),AFO152 = AFS185),AFQ185,
IF(OR(AND(AFS186&gt;AFO152,AFO152&gt;AFS185),AFO152 = AFS186),AFQ186,
IF(OR(AND(AFS187&gt;AFO152,AFO152&gt;AFS186),AFO152 = AFS187),AFQ187,
IF(OR(AND(AFS188&gt;AFO152,AFO152&gt;AFS187),AFO152 = AFS188),AFQ188,
IF(OR(AND(AFS189&gt;AFO152,AFO152&gt;AFS188),AFO152 = AFS189),AFQ189,
IF(OR(AND(AFS190&gt;AFO152,AFO152&gt;AFS189),AFO152 = AFS190),AFQ190,
IF(OR(AND(AFS191&gt;AFO152,AFO152&gt;AFS190),AFO152 = AFS191),AFQ191,
IF(OR(AND(AFS192&gt;AFO152,AFO152&gt;AFS191),AFO152 = AFS192),AFQ192,
IF(OR(AND(AFS193&gt;AFO152,AFO152&gt;AFS192),AFO152 = AFS193),AFQ193,
IF(OR(AND(AFS194&gt;AFO152,AFO152&gt;AFS193),AFO152 = AFS194),AFQ194,
IF(OR(AND(AFS195&gt;AFO152,AFO152&gt;AFS194),AFO152 = AFS195),AFQ195,
IF(OR(AND(AFS196&gt;AFO152,AFO152&gt;AFS195),AFO152 = AFS196),AFQ196,
IF(OR(AND(AFS197&gt;AFO152,AFO152&gt;AFS196),AFO152 = AFS197),AFQ197,
IF(OR(AND(AFS198&gt;AFO152,AFO152&gt;AFS197),AFO152 = AFS198),AFQ198,
IF(OR(AND(AFS199&gt;AFO152,AFO152&gt;AFS198),AFO152 = AFS199),AFQ199,
IF(OR(AND(AFS200&gt;AFO152,AFO152&gt;AFS199),AFO152 = AFS200),AFQ200,
IF(OR(AND(AFS201&gt;AFO152,AFO152&gt;AFS200),AFO152 = AFS201),AFQ201,
IF(OR(AND(AFS202&gt;AFO152,AFO152&gt;AFS201),AFO152 = AFS202),AFQ202,
IF(OR(AND(AFS203&gt;AFO152,AFO152&gt;AFS202),AFO152 = AFS203),AFQ203,
"Y")))))))))))))))))))))))))))))))))))))))))))))))))))</f>
        <v>Y</v>
      </c>
      <c r="AFT152" s="986"/>
      <c r="AFV152" s="800" t="s">
        <v>1442</v>
      </c>
      <c r="AFW152" s="982"/>
      <c r="AFX152" s="801"/>
      <c r="AFY152" s="951">
        <f>$AHB$33</f>
        <v>1.8595658001541595</v>
      </c>
      <c r="AFZ152" s="952"/>
      <c r="AGA152" s="983" t="s">
        <v>1689</v>
      </c>
      <c r="AGB152" s="984"/>
      <c r="AGC152" s="985" t="str">
        <f>IF(AGC154&lt;0,"Ошибка",
IF(OR(AND(AGC154&gt;AFY152,AFY152&gt;AFS203),AFY152 = AGC154),AGA154,
IF(OR(AND(AGC155&gt;AFY152,AFY152&gt;AGC154),AFY152 = AGC155),AGA155,
IF(OR(AND(AGC156&gt;AFY152,AFY152&gt;AGC155),AFY152 = AGC156),AGA156,
IF(OR(AND(AGC157&gt;AFY152,AFY152&gt;AGC156),AFY152 = AGC157),AGA157,
IF(OR(AND(AGC158&gt;AFY152,AFY152&gt;AGC157),AFY152 = AGC158),AGA158,
IF(OR(AND(AGC159&gt;AFY152,AFY152&gt;AGC158),AFY152 = AGC159),AGA159,
IF(OR(AND(AGC160&gt;AFY152,AFY152&gt;AGC159),AFY152 = AGC160),AGA160,
IF(OR(AND(AGC161&gt;AFY152,AFY152&gt;AGC160),AFY152 = AGC161),AGA161,
IF(OR(AND(AGC162&gt;AFY152,AFY152&gt;AGC161),AFY152 = AGC162),AGA162,
IF(OR(AND(AGC163&gt;AFY152,AFY152&gt;AGC162),AFY152 = AGC163),AGA163,
IF(OR(AND(AGC164&gt;AFY152,AFY152&gt;AGC163),AFY152 = AGC164),AGA164,
IF(OR(AND(AGC165&gt;AFY152,AFY152&gt;AGC164),AFY152 = AGC165),AGA165,
IF(OR(AND(AGC166&gt;AFY152,AFY152&gt;AGC165),AFY152 = AGC166),AGA166,
IF(OR(AND(AGC167&gt;AFY152,AFY152&gt;AGC166),AFY152 = AGC167),AGA167,
IF(OR(AND(AGC168&gt;AFY152,AFY152&gt;AGC167),AFY152 = AGC168),AGA168,
IF(OR(AND(AGC169&gt;AFY152,AFY152&gt;AGC168),AFY152 = AGC169),AGA169,
IF(OR(AND(AGC170&gt;AFY152,AFY152&gt;AGC169),AFY152 = AGC170),AGA170,
IF(OR(AND(AGC171&gt;AFY152,AFY152&gt;AGC170),AFY152 = AGC171),AGA171,
IF(OR(AND(AGC172&gt;AFY152,AFY152&gt;AGC171),AFY152 = AGC172),AGA172,
IF(OR(AND(AGC173&gt;AFY152,AFY152&gt;AGC172),AFY152 = AGC173),AGA173,
IF(OR(AND(AGC174&gt;AFY152,AFY152&gt;AGC173),AFY152 = AGC174),AGA174,
IF(OR(AND(AGC175&gt;AFY152,AFY152&gt;AGC174),AFY152 = AGC175),AGA175,
IF(OR(AND(AGC176&gt;AFY152,AFY152&gt;AGC175),AFY152 = AGC176),AGA176,
IF(OR(AND(AGC177&gt;AFY152,AFY152&gt;AGC176),AFY152 = AGC177),AGA177,
IF(OR(AND(AGC178&gt;AFY152,AFY152&gt;AGC177),AFY152 = AGC178),AGA178,
IF(OR(AND(AGC179&gt;AFY152,AFY152&gt;AGC178),AFY152 = AGC179),AGA179,
IF(OR(AND(AGC180&gt;AFY152,AFY152&gt;AGC179),AFY152 = AGC180),AGA180,
IF(OR(AND(AGC181&gt;AFY152,AFY152&gt;AGC180),AFY152 = AGC181),AGA181,
IF(OR(AND(AGC182&gt;AFY152,AFY152&gt;AGC181),AFY152 = AGC182),AGA182,
IF(OR(AND(AGC183&gt;AFY152,AFY152&gt;AGC182),AFY152 = AGC183),AGA183,
IF(OR(AND(AGC184&gt;AFY152,AFY152&gt;AGC183),AFY152 = AGC184),AGA184,
IF(OR(AND(AGC185&gt;AFY152,AFY152&gt;AGC184),AFY152 = AGC185),AGA185,
IF(OR(AND(AGC186&gt;AFY152,AFY152&gt;AGC185),AFY152 = AGC186),AGA186,
IF(OR(AND(AGC187&gt;AFY152,AFY152&gt;AGC186),AFY152 = AGC187),AGA187,
IF(OR(AND(AGC188&gt;AFY152,AFY152&gt;AGC187),AFY152 = AGC188),AGA188,
IF(OR(AND(AGC189&gt;AFY152,AFY152&gt;AGC188),AFY152 = AGC189),AGA189,
IF(OR(AND(AGC190&gt;AFY152,AFY152&gt;AGC189),AFY152 = AGC190),AGA190,
IF(OR(AND(AGC191&gt;AFY152,AFY152&gt;AGC190),AFY152 = AGC191),AGA191,
IF(OR(AND(AGC192&gt;AFY152,AFY152&gt;AGC191),AFY152 = AGC192),AGA192,
IF(OR(AND(AGC193&gt;AFY152,AFY152&gt;AGC192),AFY152 = AGC193),AGA193,
IF(OR(AND(AGC194&gt;AFY152,AFY152&gt;AGC193),AFY152 = AGC194),AGA194,
IF(OR(AND(AGC195&gt;AFY152,AFY152&gt;AGC194),AFY152 = AGC195),AGA195,
IF(OR(AND(AGC196&gt;AFY152,AFY152&gt;AGC195),AFY152 = AGC196),AGA196,
IF(OR(AND(AGC197&gt;AFY152,AFY152&gt;AGC196),AFY152 = AGC197),AGA197,
IF(OR(AND(AGC198&gt;AFY152,AFY152&gt;AGC197),AFY152 = AGC198),AGA198,
IF(OR(AND(AGC199&gt;AFY152,AFY152&gt;AGC198),AFY152 = AGC199),AGA199,
IF(OR(AND(AGC200&gt;AFY152,AFY152&gt;AGC199),AFY152 = AGC200),AGA200,
IF(OR(AND(AGC201&gt;AFY152,AFY152&gt;AGC200),AFY152 = AGC201),AGA201,
IF(OR(AND(AGC202&gt;AFY152,AFY152&gt;AGC201),AFY152 = AGC202),AGA202,
IF(OR(AND(AGC203&gt;AFY152,AFY152&gt;AGC202),AFY152 = AGC203),AGA203,
"Y")))))))))))))))))))))))))))))))))))))))))))))))))))</f>
        <v>Y</v>
      </c>
      <c r="AGD152" s="986"/>
      <c r="AGL152" s="850"/>
      <c r="AGM152" s="861" t="s">
        <v>1703</v>
      </c>
      <c r="AGN152" s="861"/>
      <c r="AGO152" s="890">
        <f>$AGZ$137</f>
        <v>0.29165424976726284</v>
      </c>
      <c r="AGP152" s="890"/>
      <c r="AGQ152" s="776"/>
      <c r="AGR152" s="776"/>
      <c r="AGS152" s="776"/>
      <c r="AGT152" s="776"/>
      <c r="AGU152" s="776"/>
      <c r="AGV152" s="776"/>
      <c r="AGW152" s="776"/>
      <c r="AGX152" s="776"/>
      <c r="AGY152" s="815"/>
      <c r="AGZ152" s="837"/>
      <c r="AHA152" s="838"/>
      <c r="AHB152" s="1346"/>
      <c r="AHC152" s="934"/>
      <c r="AHD152" s="1067"/>
      <c r="AHE152" s="845"/>
      <c r="AHF152" s="1328"/>
      <c r="AHG152" s="846"/>
      <c r="AHH152" s="848"/>
      <c r="AHI152" s="1052"/>
      <c r="AHJ152" s="1052"/>
      <c r="AHK152" s="1052"/>
      <c r="AHL152" s="1052"/>
      <c r="AHM152" s="1052"/>
      <c r="AHN152" s="1052"/>
      <c r="AHO152" s="1052"/>
      <c r="AHP152" s="1052"/>
      <c r="AHQ152" s="1052"/>
      <c r="AHR152" s="1052"/>
      <c r="AQO152" s="849"/>
      <c r="AQP152" s="852" t="s">
        <v>416</v>
      </c>
      <c r="AQQ152" s="853"/>
      <c r="AQR152" s="700"/>
      <c r="AQS152" s="78"/>
      <c r="AQT152" s="78"/>
      <c r="AQU152" s="78"/>
      <c r="AQV152" s="78"/>
      <c r="AQW152" s="78"/>
      <c r="AQX152" s="78"/>
      <c r="AQY152" s="700"/>
      <c r="AQZ152" s="76" t="s">
        <v>441</v>
      </c>
      <c r="ARA152" s="854" t="s">
        <v>435</v>
      </c>
      <c r="ARB152" s="855"/>
      <c r="ARC152" s="920" t="s">
        <v>111</v>
      </c>
      <c r="ARD152" s="921"/>
      <c r="ARE152" s="916" t="s">
        <v>704</v>
      </c>
      <c r="ARF152" s="917"/>
      <c r="ARG152" s="906" t="s">
        <v>447</v>
      </c>
      <c r="ARH152" s="907"/>
      <c r="ARI152" s="907"/>
      <c r="ARJ152" s="908"/>
    </row>
    <row r="153" spans="338:948 1133:1217" ht="48" customHeight="1" thickBot="1">
      <c r="LZ153" s="377"/>
      <c r="MA153" s="373"/>
      <c r="MB153" s="54"/>
      <c r="MC153" s="373"/>
      <c r="MD153" s="851"/>
      <c r="ME153" s="1423" t="s">
        <v>1069</v>
      </c>
      <c r="MF153" s="1423"/>
      <c r="MG153" s="774">
        <f>$CI$79</f>
        <v>0.95799999999999996</v>
      </c>
      <c r="MH153" s="774"/>
      <c r="MI153" s="666"/>
      <c r="MJ153" s="659"/>
      <c r="MK153" s="659"/>
      <c r="ML153" s="660"/>
      <c r="MM153" s="794"/>
      <c r="MN153" s="795"/>
      <c r="MO153" s="795"/>
      <c r="MP153" s="795"/>
      <c r="MQ153" s="795"/>
      <c r="MR153" s="796"/>
      <c r="MS153" s="942"/>
      <c r="MT153" s="943"/>
      <c r="MU153" s="943"/>
      <c r="MV153" s="943"/>
      <c r="MW153" s="943"/>
      <c r="MX153" s="943"/>
      <c r="MY153" s="943"/>
      <c r="MZ153" s="943"/>
      <c r="NA153" s="944"/>
      <c r="NB153" s="1053"/>
      <c r="NC153" s="1053"/>
      <c r="ND153" s="1053"/>
      <c r="NE153" s="1053"/>
      <c r="NF153" s="1053"/>
      <c r="NG153" s="1053"/>
      <c r="NH153" s="1053"/>
      <c r="NI153" s="1053"/>
      <c r="NJ153" s="1053"/>
      <c r="NK153" s="1053"/>
      <c r="NL153" s="1053"/>
      <c r="NM153" s="373"/>
      <c r="NN153" s="373"/>
      <c r="NO153" s="374"/>
      <c r="NU153" s="801" t="s">
        <v>1249</v>
      </c>
      <c r="NV153" s="861"/>
      <c r="NW153" s="937"/>
      <c r="NX153" s="937"/>
      <c r="OW153" s="130"/>
      <c r="OX153" s="130"/>
      <c r="OY153" s="130"/>
      <c r="OZ153" s="130"/>
      <c r="PA153" s="130"/>
      <c r="PB153" s="130"/>
      <c r="PD153" s="130"/>
      <c r="PG153" s="377"/>
      <c r="PH153" s="54"/>
      <c r="PI153" s="373"/>
      <c r="PJ153" s="54"/>
      <c r="PK153" s="373"/>
      <c r="PL153" s="373"/>
      <c r="PM153" s="373"/>
      <c r="PN153" s="373"/>
      <c r="PO153" s="373"/>
      <c r="PP153" s="373"/>
      <c r="PQ153" s="373"/>
      <c r="PR153" s="373"/>
      <c r="PS153" s="373"/>
      <c r="PT153" s="373"/>
      <c r="PU153" s="373"/>
      <c r="PV153" s="373"/>
      <c r="PW153" s="373"/>
      <c r="PX153" s="373"/>
      <c r="PY153" s="373"/>
      <c r="PZ153" s="373"/>
      <c r="QA153" s="373"/>
      <c r="QB153" s="373"/>
      <c r="QC153" s="373"/>
      <c r="QD153" s="373"/>
      <c r="QE153" s="373"/>
      <c r="QF153" s="373"/>
      <c r="QG153" s="373"/>
      <c r="QH153" s="373"/>
      <c r="QI153" s="373"/>
      <c r="QJ153" s="373"/>
      <c r="QK153" s="373"/>
      <c r="QL153" s="373"/>
      <c r="QM153" s="373"/>
      <c r="QN153" s="54"/>
      <c r="QO153" s="373"/>
      <c r="QP153" s="373"/>
      <c r="QQ153" s="373"/>
      <c r="QR153" s="374"/>
      <c r="QV153" s="130"/>
      <c r="QW153" s="130"/>
      <c r="QX153" s="130"/>
      <c r="WE153" s="996"/>
      <c r="WF153" s="997"/>
      <c r="WG153" s="1314" t="s">
        <v>1322</v>
      </c>
      <c r="WH153" s="1389"/>
      <c r="WI153" s="761">
        <f>$ND$129</f>
        <v>1</v>
      </c>
      <c r="WJ153" s="761"/>
      <c r="WK153" s="695" t="s">
        <v>1718</v>
      </c>
      <c r="WL153" s="937">
        <f>1.5</f>
        <v>1.5</v>
      </c>
      <c r="WM153" s="937"/>
      <c r="WN153" s="173"/>
      <c r="WO153" s="173"/>
      <c r="WP153" s="173"/>
      <c r="WQ153" s="173"/>
      <c r="WR153" s="173"/>
      <c r="WS153" s="756"/>
      <c r="WT153" s="756"/>
      <c r="WU153" s="960"/>
      <c r="WV153" s="1101"/>
      <c r="WW153" s="1101"/>
      <c r="WX153" s="1101"/>
      <c r="WY153" s="1101"/>
      <c r="WZ153" s="1101"/>
      <c r="XA153" s="1101"/>
      <c r="XB153" s="1101"/>
      <c r="XC153" s="1101"/>
      <c r="XD153" s="1101"/>
      <c r="XE153" s="1101"/>
      <c r="XF153" s="961"/>
      <c r="XG153" s="1006"/>
      <c r="XH153" s="1006"/>
      <c r="XI153" s="1006"/>
      <c r="XJ153" s="1006"/>
      <c r="XK153" s="1006"/>
      <c r="XL153" s="1006"/>
      <c r="XM153" s="1006"/>
      <c r="XN153" s="1006"/>
      <c r="XO153" s="1006"/>
      <c r="XP153" s="1006"/>
      <c r="XQ153" s="1006"/>
      <c r="XR153" s="1006"/>
      <c r="XS153" s="1006"/>
      <c r="XT153" s="1006"/>
      <c r="XU153" s="1006"/>
      <c r="XV153" s="1006"/>
      <c r="XW153" s="1006"/>
      <c r="XX153" s="1006"/>
      <c r="XY153" s="1006"/>
      <c r="XZ153" s="1006"/>
      <c r="YA153" s="1006"/>
      <c r="YB153" s="1006"/>
      <c r="YC153" s="1006"/>
      <c r="YD153" s="1006"/>
      <c r="YE153" s="1006"/>
      <c r="YF153" s="1006"/>
      <c r="YG153" s="1006"/>
      <c r="YH153" s="1006"/>
      <c r="YI153" s="1006"/>
      <c r="YJ153" s="1006"/>
      <c r="YK153" s="1006"/>
      <c r="YL153" s="1006"/>
      <c r="YM153" s="1006"/>
      <c r="YN153" s="1006"/>
      <c r="YO153" s="1006"/>
      <c r="YP153" s="1006"/>
      <c r="YQ153" s="1006"/>
      <c r="YR153" s="1006"/>
      <c r="YS153" s="1006"/>
      <c r="YT153" s="1006"/>
      <c r="YU153" s="1006"/>
      <c r="YV153" s="1006"/>
      <c r="YW153" s="1006"/>
      <c r="YX153" s="1006"/>
      <c r="YY153" s="1006"/>
      <c r="YZ153" s="1006"/>
      <c r="ZA153" s="1006"/>
      <c r="ZB153" s="1006"/>
      <c r="ZC153" s="1006"/>
      <c r="ZD153" s="1006"/>
      <c r="ZE153" s="1006"/>
      <c r="ZF153" s="1006"/>
      <c r="ZG153" s="1006"/>
      <c r="ZH153" s="1006"/>
      <c r="ZI153" s="1006"/>
      <c r="ZJ153" s="1006"/>
      <c r="ZK153" s="1006"/>
      <c r="ZL153" s="1006"/>
      <c r="ZM153" s="1006"/>
      <c r="ZN153" s="1006"/>
      <c r="ZO153" s="1006"/>
      <c r="ZP153" s="1006"/>
      <c r="ZQ153" s="1006"/>
      <c r="ZR153" s="1006"/>
      <c r="ZS153" s="1006"/>
      <c r="ZT153" s="1006"/>
      <c r="ZU153" s="1006"/>
      <c r="ZV153" s="1006"/>
      <c r="ZW153" s="1006"/>
      <c r="ZX153" s="1006"/>
      <c r="ZY153" s="1006"/>
      <c r="ZZ153" s="1006"/>
      <c r="AAA153" s="1006"/>
      <c r="AAB153" s="1006"/>
      <c r="AAC153" s="1006"/>
      <c r="AAD153" s="1006"/>
      <c r="AAE153" s="1006"/>
      <c r="AAF153" s="1006"/>
      <c r="AAG153" s="1006"/>
      <c r="AAH153" s="1006"/>
      <c r="AAI153" s="1006"/>
      <c r="AAJ153" s="1006"/>
      <c r="AAK153" s="1006"/>
      <c r="AAL153" s="1006"/>
      <c r="AAM153" s="1006"/>
      <c r="AAN153" s="1006"/>
      <c r="AAO153" s="1006"/>
      <c r="AAP153" s="1006"/>
      <c r="AAQ153" s="1006"/>
      <c r="AAR153" s="1006"/>
      <c r="AAS153" s="1006"/>
      <c r="AAT153" s="1006"/>
      <c r="AAU153" s="459"/>
      <c r="AAV153" s="460"/>
      <c r="AAW153" s="460"/>
      <c r="AAX153" s="460"/>
      <c r="AAY153" s="460"/>
      <c r="AAZ153" s="460"/>
      <c r="ABA153" s="460"/>
      <c r="ABB153" s="460"/>
      <c r="ABC153" s="460"/>
      <c r="ABD153" s="460"/>
      <c r="ABE153" s="460"/>
      <c r="ABF153" s="460"/>
      <c r="ABG153" s="460"/>
      <c r="ABH153" s="461"/>
      <c r="ABI153" s="158"/>
      <c r="ABJ153" s="158"/>
      <c r="ABK153" s="158"/>
      <c r="ABL153" s="158"/>
      <c r="ABM153" s="158"/>
      <c r="ABN153" s="158"/>
      <c r="ABO153" s="158"/>
      <c r="ABP153" s="163"/>
      <c r="ABS153" s="162"/>
      <c r="ABT153" s="158"/>
      <c r="ABU153" s="158"/>
      <c r="ABV153" s="158"/>
      <c r="ABW153" s="158"/>
      <c r="ABX153" s="158"/>
      <c r="ABY153" s="158"/>
      <c r="ABZ153" s="158"/>
      <c r="ACA153" s="158"/>
      <c r="ACB153" s="158"/>
      <c r="ACC153" s="158"/>
      <c r="ACD153" s="158"/>
      <c r="ACE153" s="158"/>
      <c r="ACF153" s="158"/>
      <c r="ACG153" s="158"/>
      <c r="ACH153" s="163"/>
      <c r="ACJ153" s="856" t="s">
        <v>1585</v>
      </c>
      <c r="ACK153" s="856"/>
      <c r="ACL153" s="856" t="s">
        <v>829</v>
      </c>
      <c r="ACM153" s="856"/>
      <c r="ACN153" s="676" t="s">
        <v>410</v>
      </c>
      <c r="ACO153" s="759" t="s">
        <v>1695</v>
      </c>
      <c r="ACP153" s="760"/>
      <c r="ACQ153" s="1102" t="s">
        <v>1439</v>
      </c>
      <c r="ACR153" s="1103"/>
      <c r="ACT153" s="856" t="s">
        <v>1585</v>
      </c>
      <c r="ACU153" s="856"/>
      <c r="ACV153" s="856" t="s">
        <v>829</v>
      </c>
      <c r="ACW153" s="856"/>
      <c r="ACX153" s="679" t="s">
        <v>410</v>
      </c>
      <c r="ACY153" s="759" t="s">
        <v>1695</v>
      </c>
      <c r="ACZ153" s="760"/>
      <c r="ADA153" s="1102" t="s">
        <v>1439</v>
      </c>
      <c r="ADB153" s="1103"/>
      <c r="ADD153" s="856" t="s">
        <v>1585</v>
      </c>
      <c r="ADE153" s="856"/>
      <c r="ADF153" s="856" t="s">
        <v>829</v>
      </c>
      <c r="ADG153" s="856"/>
      <c r="ADH153" s="679" t="s">
        <v>410</v>
      </c>
      <c r="ADI153" s="759" t="s">
        <v>1695</v>
      </c>
      <c r="ADJ153" s="760"/>
      <c r="ADK153" s="1102" t="s">
        <v>1439</v>
      </c>
      <c r="ADL153" s="1103"/>
      <c r="ADN153" s="856" t="s">
        <v>1585</v>
      </c>
      <c r="ADO153" s="856"/>
      <c r="ADP153" s="856" t="s">
        <v>829</v>
      </c>
      <c r="ADQ153" s="856"/>
      <c r="ADR153" s="679" t="s">
        <v>410</v>
      </c>
      <c r="ADS153" s="759" t="s">
        <v>1695</v>
      </c>
      <c r="ADT153" s="760"/>
      <c r="ADU153" s="1102" t="s">
        <v>1439</v>
      </c>
      <c r="ADV153" s="1103"/>
      <c r="ADX153" s="856" t="s">
        <v>1585</v>
      </c>
      <c r="ADY153" s="856"/>
      <c r="ADZ153" s="856" t="s">
        <v>829</v>
      </c>
      <c r="AEA153" s="856"/>
      <c r="AEB153" s="679" t="s">
        <v>410</v>
      </c>
      <c r="AEC153" s="759" t="s">
        <v>1695</v>
      </c>
      <c r="AED153" s="760"/>
      <c r="AEE153" s="1102" t="s">
        <v>1439</v>
      </c>
      <c r="AEF153" s="1103"/>
      <c r="AEH153" s="856" t="s">
        <v>1585</v>
      </c>
      <c r="AEI153" s="856"/>
      <c r="AEJ153" s="856" t="s">
        <v>829</v>
      </c>
      <c r="AEK153" s="856"/>
      <c r="AEL153" s="679" t="s">
        <v>410</v>
      </c>
      <c r="AEM153" s="759" t="s">
        <v>1695</v>
      </c>
      <c r="AEN153" s="760"/>
      <c r="AEO153" s="1102" t="s">
        <v>1439</v>
      </c>
      <c r="AEP153" s="1103"/>
      <c r="AER153" s="856" t="s">
        <v>1585</v>
      </c>
      <c r="AES153" s="856"/>
      <c r="AET153" s="856" t="s">
        <v>829</v>
      </c>
      <c r="AEU153" s="856"/>
      <c r="AEV153" s="679" t="s">
        <v>410</v>
      </c>
      <c r="AEW153" s="759" t="s">
        <v>1695</v>
      </c>
      <c r="AEX153" s="760"/>
      <c r="AEY153" s="1102" t="s">
        <v>1439</v>
      </c>
      <c r="AEZ153" s="1103"/>
      <c r="AFB153" s="856" t="s">
        <v>1585</v>
      </c>
      <c r="AFC153" s="856"/>
      <c r="AFD153" s="856" t="s">
        <v>829</v>
      </c>
      <c r="AFE153" s="856"/>
      <c r="AFF153" s="679" t="s">
        <v>410</v>
      </c>
      <c r="AFG153" s="759" t="s">
        <v>1695</v>
      </c>
      <c r="AFH153" s="760"/>
      <c r="AFI153" s="1102" t="s">
        <v>1439</v>
      </c>
      <c r="AFJ153" s="1103"/>
      <c r="AFL153" s="856" t="s">
        <v>1585</v>
      </c>
      <c r="AFM153" s="856"/>
      <c r="AFN153" s="856" t="s">
        <v>829</v>
      </c>
      <c r="AFO153" s="856"/>
      <c r="AFP153" s="679" t="s">
        <v>410</v>
      </c>
      <c r="AFQ153" s="759" t="s">
        <v>1695</v>
      </c>
      <c r="AFR153" s="760"/>
      <c r="AFS153" s="1102" t="s">
        <v>1439</v>
      </c>
      <c r="AFT153" s="1103"/>
      <c r="AFV153" s="856" t="s">
        <v>1585</v>
      </c>
      <c r="AFW153" s="856"/>
      <c r="AFX153" s="856" t="s">
        <v>829</v>
      </c>
      <c r="AFY153" s="856"/>
      <c r="AFZ153" s="679" t="s">
        <v>410</v>
      </c>
      <c r="AGA153" s="759" t="s">
        <v>1695</v>
      </c>
      <c r="AGB153" s="760"/>
      <c r="AGC153" s="1102" t="s">
        <v>1439</v>
      </c>
      <c r="AGD153" s="1103"/>
      <c r="AGL153" s="851"/>
      <c r="AGM153" s="1163" t="s">
        <v>1467</v>
      </c>
      <c r="AGN153" s="1163"/>
      <c r="AGO153" s="1068">
        <f>$AGZ$132</f>
        <v>1.0226437183712982</v>
      </c>
      <c r="AGP153" s="1068"/>
      <c r="AGQ153" s="778"/>
      <c r="AGR153" s="778"/>
      <c r="AGS153" s="778"/>
      <c r="AGT153" s="778"/>
      <c r="AGU153" s="778"/>
      <c r="AGV153" s="778"/>
      <c r="AGW153" s="778"/>
      <c r="AGX153" s="778"/>
      <c r="AGY153" s="799"/>
      <c r="AGZ153" s="812"/>
      <c r="AHA153" s="813"/>
      <c r="AHB153" s="813"/>
      <c r="AHC153" s="813"/>
      <c r="AHD153" s="813"/>
      <c r="AHE153" s="813"/>
      <c r="AHF153" s="813"/>
      <c r="AHG153" s="813"/>
      <c r="AHH153" s="814"/>
      <c r="AHI153" s="1053"/>
      <c r="AHJ153" s="1053"/>
      <c r="AHK153" s="1053"/>
      <c r="AHL153" s="1053"/>
      <c r="AHM153" s="1053"/>
      <c r="AHN153" s="1053"/>
      <c r="AHO153" s="1053"/>
      <c r="AHP153" s="1053"/>
      <c r="AHQ153" s="1053"/>
      <c r="AHR153" s="1053"/>
      <c r="AQO153" s="850"/>
      <c r="AQP153" s="856"/>
      <c r="AQQ153" s="856"/>
      <c r="AQR153" s="856"/>
      <c r="AQS153" s="856"/>
      <c r="AQT153" s="856"/>
      <c r="AQU153" s="856"/>
      <c r="AQV153" s="856"/>
      <c r="AQW153" s="856"/>
      <c r="AQX153" s="856"/>
      <c r="AQY153" s="856"/>
      <c r="AQZ153" s="856"/>
      <c r="ARA153" s="856"/>
      <c r="ARB153" s="856"/>
      <c r="ARC153" s="835"/>
      <c r="ARD153" s="836"/>
      <c r="ARE153" s="839"/>
      <c r="ARF153" s="840"/>
      <c r="ARG153" s="841"/>
      <c r="ARH153" s="843"/>
      <c r="ARI153" s="844"/>
      <c r="ARJ153" s="847"/>
    </row>
    <row r="154" spans="338:948 1133:1217" ht="48" customHeight="1" thickBot="1">
      <c r="LZ154" s="377"/>
      <c r="MA154" s="373"/>
      <c r="MB154" s="54"/>
      <c r="MC154" s="373"/>
      <c r="MD154" s="373"/>
      <c r="ME154" s="373"/>
      <c r="MF154" s="373"/>
      <c r="MG154" s="373"/>
      <c r="MH154" s="373"/>
      <c r="MI154" s="373"/>
      <c r="MJ154" s="373"/>
      <c r="MK154" s="373"/>
      <c r="ML154" s="373"/>
      <c r="MM154" s="373"/>
      <c r="MN154" s="373"/>
      <c r="MO154" s="373"/>
      <c r="MP154" s="373"/>
      <c r="MQ154" s="373"/>
      <c r="MR154" s="373"/>
      <c r="MS154" s="373"/>
      <c r="MT154" s="373"/>
      <c r="MU154" s="373"/>
      <c r="MV154" s="373"/>
      <c r="MW154" s="373"/>
      <c r="MX154" s="373"/>
      <c r="MY154" s="373"/>
      <c r="MZ154" s="373"/>
      <c r="NA154" s="373"/>
      <c r="NB154" s="373"/>
      <c r="NC154" s="373"/>
      <c r="ND154" s="373"/>
      <c r="NE154" s="373"/>
      <c r="NF154" s="373"/>
      <c r="NG154" s="373"/>
      <c r="NH154" s="373"/>
      <c r="NI154" s="373"/>
      <c r="NJ154" s="373"/>
      <c r="NK154" s="373"/>
      <c r="NL154" s="373"/>
      <c r="NM154" s="373"/>
      <c r="NN154" s="373"/>
      <c r="NO154" s="374"/>
      <c r="OY154" s="130"/>
      <c r="OZ154" s="130"/>
      <c r="PA154" s="130"/>
      <c r="PB154" s="130"/>
      <c r="PG154" s="377"/>
      <c r="PH154" s="54"/>
      <c r="PI154" s="373"/>
      <c r="PJ154" s="54"/>
      <c r="PK154" s="373"/>
      <c r="PL154" s="197" t="s">
        <v>849</v>
      </c>
      <c r="PM154" s="1257" t="s">
        <v>416</v>
      </c>
      <c r="PN154" s="1257"/>
      <c r="PO154" s="484"/>
      <c r="PP154" s="485" t="s">
        <v>1034</v>
      </c>
      <c r="PQ154" s="937">
        <f>$AX$25</f>
        <v>0.313</v>
      </c>
      <c r="PR154" s="937"/>
      <c r="PS154" s="484"/>
      <c r="PT154" s="76" t="s">
        <v>441</v>
      </c>
      <c r="PU154" s="854" t="s">
        <v>435</v>
      </c>
      <c r="PV154" s="855"/>
      <c r="PW154" s="920" t="s">
        <v>111</v>
      </c>
      <c r="PX154" s="921"/>
      <c r="PY154" s="916" t="s">
        <v>704</v>
      </c>
      <c r="PZ154" s="917"/>
      <c r="QA154" s="1051" t="s">
        <v>447</v>
      </c>
      <c r="QB154" s="1051"/>
      <c r="QC154" s="1051"/>
      <c r="QD154" s="1051"/>
      <c r="QE154" s="1051"/>
      <c r="QF154" s="1051" t="s">
        <v>436</v>
      </c>
      <c r="QG154" s="1051"/>
      <c r="QH154" s="1051"/>
      <c r="QI154" s="1051"/>
      <c r="QJ154" s="1051"/>
      <c r="QK154" s="1051"/>
      <c r="QL154" s="1051"/>
      <c r="QM154" s="373"/>
      <c r="QN154" s="54"/>
      <c r="QO154" s="373"/>
      <c r="QP154" s="373"/>
      <c r="QQ154" s="373"/>
      <c r="QR154" s="374"/>
      <c r="QV154" s="130"/>
      <c r="QW154" s="130"/>
      <c r="QX154" s="130"/>
      <c r="WE154" s="754"/>
      <c r="WF154" s="755"/>
      <c r="WG154" s="694" t="s">
        <v>1078</v>
      </c>
      <c r="WH154" s="761">
        <f>$AGZ$151</f>
        <v>564.29987192194301</v>
      </c>
      <c r="WI154" s="761"/>
      <c r="WJ154" s="170"/>
      <c r="WK154" s="170"/>
      <c r="WL154" s="170"/>
      <c r="WM154" s="170"/>
      <c r="WN154" s="170"/>
      <c r="WO154" s="170"/>
      <c r="WP154" s="170"/>
      <c r="WQ154" s="170"/>
      <c r="WR154" s="170"/>
      <c r="WS154" s="756"/>
      <c r="WT154" s="756"/>
      <c r="WU154" s="962"/>
      <c r="WV154" s="1059"/>
      <c r="WW154" s="1059"/>
      <c r="WX154" s="1059"/>
      <c r="WY154" s="1059"/>
      <c r="WZ154" s="1059"/>
      <c r="XA154" s="1059"/>
      <c r="XB154" s="1059"/>
      <c r="XC154" s="1059"/>
      <c r="XD154" s="1059"/>
      <c r="XE154" s="1059"/>
      <c r="XF154" s="963"/>
      <c r="XG154" s="1007"/>
      <c r="XH154" s="1007"/>
      <c r="XI154" s="1007"/>
      <c r="XJ154" s="1007"/>
      <c r="XK154" s="1007"/>
      <c r="XL154" s="1007"/>
      <c r="XM154" s="1007"/>
      <c r="XN154" s="1007"/>
      <c r="XO154" s="1007"/>
      <c r="XP154" s="1007"/>
      <c r="XQ154" s="1007"/>
      <c r="XR154" s="1007"/>
      <c r="XS154" s="1007"/>
      <c r="XT154" s="1007"/>
      <c r="XU154" s="1007"/>
      <c r="XV154" s="1007"/>
      <c r="XW154" s="1007"/>
      <c r="XX154" s="1007"/>
      <c r="XY154" s="1007"/>
      <c r="XZ154" s="1007"/>
      <c r="YA154" s="1007"/>
      <c r="YB154" s="1007"/>
      <c r="YC154" s="1007"/>
      <c r="YD154" s="1007"/>
      <c r="YE154" s="1007"/>
      <c r="YF154" s="1007"/>
      <c r="YG154" s="1007"/>
      <c r="YH154" s="1007"/>
      <c r="YI154" s="1007"/>
      <c r="YJ154" s="1007"/>
      <c r="YK154" s="1007"/>
      <c r="YL154" s="1007"/>
      <c r="YM154" s="1007"/>
      <c r="YN154" s="1007"/>
      <c r="YO154" s="1007"/>
      <c r="YP154" s="1007"/>
      <c r="YQ154" s="1007"/>
      <c r="YR154" s="1007"/>
      <c r="YS154" s="1007"/>
      <c r="YT154" s="1007"/>
      <c r="YU154" s="1007"/>
      <c r="YV154" s="1007"/>
      <c r="YW154" s="1007"/>
      <c r="YX154" s="1007"/>
      <c r="YY154" s="1007"/>
      <c r="YZ154" s="1007"/>
      <c r="ZA154" s="1007"/>
      <c r="ZB154" s="1007"/>
      <c r="ZC154" s="1007"/>
      <c r="ZD154" s="1007"/>
      <c r="ZE154" s="1007"/>
      <c r="ZF154" s="1007"/>
      <c r="ZG154" s="1007"/>
      <c r="ZH154" s="1007"/>
      <c r="ZI154" s="1007"/>
      <c r="ZJ154" s="1007"/>
      <c r="ZK154" s="1007"/>
      <c r="ZL154" s="1007"/>
      <c r="ZM154" s="1007"/>
      <c r="ZN154" s="1007"/>
      <c r="ZO154" s="1007"/>
      <c r="ZP154" s="1007"/>
      <c r="ZQ154" s="1007"/>
      <c r="ZR154" s="1007"/>
      <c r="ZS154" s="1007"/>
      <c r="ZT154" s="1007"/>
      <c r="ZU154" s="1007"/>
      <c r="ZV154" s="1007"/>
      <c r="ZW154" s="1007"/>
      <c r="ZX154" s="1007"/>
      <c r="ZY154" s="1007"/>
      <c r="ZZ154" s="1007"/>
      <c r="AAA154" s="1007"/>
      <c r="AAB154" s="1007"/>
      <c r="AAC154" s="1007"/>
      <c r="AAD154" s="1007"/>
      <c r="AAE154" s="1007"/>
      <c r="AAF154" s="1007"/>
      <c r="AAG154" s="1007"/>
      <c r="AAH154" s="1007"/>
      <c r="AAI154" s="1007"/>
      <c r="AAJ154" s="1007"/>
      <c r="AAK154" s="1007"/>
      <c r="AAL154" s="1007"/>
      <c r="AAM154" s="1007"/>
      <c r="AAN154" s="1007"/>
      <c r="AAO154" s="1007"/>
      <c r="AAP154" s="1007"/>
      <c r="AAQ154" s="1007"/>
      <c r="AAR154" s="1007"/>
      <c r="AAS154" s="1007"/>
      <c r="AAT154" s="1007"/>
      <c r="AAU154" s="462"/>
      <c r="AAV154" s="463"/>
      <c r="AAW154" s="463"/>
      <c r="AAX154" s="463"/>
      <c r="AAY154" s="463"/>
      <c r="AAZ154" s="463"/>
      <c r="ABA154" s="463"/>
      <c r="ABB154" s="463"/>
      <c r="ABC154" s="463"/>
      <c r="ABD154" s="463"/>
      <c r="ABE154" s="463"/>
      <c r="ABF154" s="463"/>
      <c r="ABG154" s="463"/>
      <c r="ABH154" s="464"/>
      <c r="ABI154" s="158"/>
      <c r="ABJ154" s="158"/>
      <c r="ABK154" s="158"/>
      <c r="ABL154" s="158"/>
      <c r="ABM154" s="158"/>
      <c r="ABN154" s="158"/>
      <c r="ABO154" s="158"/>
      <c r="ABP154" s="163"/>
      <c r="ABS154" s="162"/>
      <c r="ABT154" s="158"/>
      <c r="ABU154" s="158"/>
      <c r="ABV154" s="158"/>
      <c r="ABW154" s="158"/>
      <c r="ABX154" s="158"/>
      <c r="ABY154" s="158"/>
      <c r="ABZ154" s="158"/>
      <c r="ACA154" s="158"/>
      <c r="ACB154" s="158"/>
      <c r="ACC154" s="158"/>
      <c r="ACD154" s="158"/>
      <c r="ACE154" s="158"/>
      <c r="ACF154" s="158"/>
      <c r="ACG154" s="158"/>
      <c r="ACH154" s="163"/>
      <c r="ACJ154" s="759">
        <v>-3.1250000000000028E-2</v>
      </c>
      <c r="ACK154" s="760"/>
      <c r="ACL154" s="759">
        <v>1</v>
      </c>
      <c r="ACM154" s="760"/>
      <c r="ACN154" s="591">
        <v>1</v>
      </c>
      <c r="ACO154" s="759">
        <f>ACJ154*ACQ154+ACL154</f>
        <v>0.99975000000000003</v>
      </c>
      <c r="ACP154" s="760"/>
      <c r="ACQ154" s="757">
        <f>(4/500*ACN154)</f>
        <v>8.0000000000000002E-3</v>
      </c>
      <c r="ACR154" s="758"/>
      <c r="ACT154" s="759">
        <v>-3.125E-2</v>
      </c>
      <c r="ACU154" s="760"/>
      <c r="ACV154" s="759">
        <v>1</v>
      </c>
      <c r="ACW154" s="760"/>
      <c r="ACX154" s="591">
        <v>51</v>
      </c>
      <c r="ACY154" s="759">
        <f>ACT154*ADA154+ACV154</f>
        <v>0.98724999999999996</v>
      </c>
      <c r="ACZ154" s="760"/>
      <c r="ADA154" s="757">
        <f>(4/500*ACX154)</f>
        <v>0.40800000000000003</v>
      </c>
      <c r="ADB154" s="758"/>
      <c r="ADD154" s="759">
        <v>-8.3333333333333398E-2</v>
      </c>
      <c r="ADE154" s="760"/>
      <c r="ADF154" s="759">
        <v>1.0416666666666667</v>
      </c>
      <c r="ADG154" s="760"/>
      <c r="ADH154" s="592">
        <v>101</v>
      </c>
      <c r="ADI154" s="759">
        <f>ADD154*ADK154+ADF154</f>
        <v>0.97433333333333338</v>
      </c>
      <c r="ADJ154" s="760"/>
      <c r="ADK154" s="757">
        <f>(4/500*ADH154)</f>
        <v>0.80800000000000005</v>
      </c>
      <c r="ADL154" s="758"/>
      <c r="ADN154" s="759">
        <v>-0.14285714285714299</v>
      </c>
      <c r="ADO154" s="760"/>
      <c r="ADP154" s="759">
        <v>1.1071428571428601</v>
      </c>
      <c r="ADQ154" s="760"/>
      <c r="ADR154" s="592">
        <v>151</v>
      </c>
      <c r="ADS154" s="759">
        <f>ADN154*ADU154+ADP154</f>
        <v>0.93457142857143138</v>
      </c>
      <c r="ADT154" s="760"/>
      <c r="ADU154" s="757">
        <f>(4/500*ADR154)</f>
        <v>1.208</v>
      </c>
      <c r="ADV154" s="758"/>
      <c r="ADX154" s="759">
        <v>-0.2</v>
      </c>
      <c r="ADY154" s="760"/>
      <c r="ADZ154" s="759">
        <v>1.19</v>
      </c>
      <c r="AEA154" s="760"/>
      <c r="AEB154" s="591">
        <v>201</v>
      </c>
      <c r="AEC154" s="759">
        <f>ADX154*AEE154+ADZ154</f>
        <v>0.86839999999999984</v>
      </c>
      <c r="AED154" s="760"/>
      <c r="AEE154" s="757">
        <f>(4/500*AEB154)</f>
        <v>1.6080000000000001</v>
      </c>
      <c r="AEF154" s="758"/>
      <c r="AEH154" s="759">
        <v>-0.33333333333333259</v>
      </c>
      <c r="AEI154" s="760"/>
      <c r="AEJ154" s="759">
        <v>1.4166666666666654</v>
      </c>
      <c r="AEK154" s="760"/>
      <c r="AEL154" s="592">
        <v>251</v>
      </c>
      <c r="AEM154" s="759">
        <f>AEH154*AEO154+AEJ154</f>
        <v>0.74733333333333352</v>
      </c>
      <c r="AEN154" s="760"/>
      <c r="AEO154" s="757">
        <f>(4/500*AEL154)</f>
        <v>2.008</v>
      </c>
      <c r="AEP154" s="758"/>
      <c r="AER154" s="759">
        <v>-0.25</v>
      </c>
      <c r="AES154" s="760"/>
      <c r="AET154" s="759">
        <v>1.2250000000000001</v>
      </c>
      <c r="AEU154" s="760"/>
      <c r="AEV154" s="591">
        <v>301</v>
      </c>
      <c r="AEW154" s="759">
        <f>AER154*AEY154+AET154</f>
        <v>0.62300000000000011</v>
      </c>
      <c r="AEX154" s="760"/>
      <c r="AEY154" s="757">
        <f>(4/500*AEV154)</f>
        <v>2.4079999999999999</v>
      </c>
      <c r="AEZ154" s="758"/>
      <c r="AFB154" s="759">
        <v>-0.10000000000000009</v>
      </c>
      <c r="AFC154" s="760"/>
      <c r="AFD154" s="759">
        <v>0.82000000000000028</v>
      </c>
      <c r="AFE154" s="760"/>
      <c r="AFF154" s="591">
        <v>351</v>
      </c>
      <c r="AFG154" s="759">
        <f>AFB154*AFI154+AFD154</f>
        <v>0.53920000000000001</v>
      </c>
      <c r="AFH154" s="760"/>
      <c r="AFI154" s="757">
        <f>(4/500*AFF154)</f>
        <v>2.8080000000000003</v>
      </c>
      <c r="AFJ154" s="758"/>
      <c r="AFL154" s="759">
        <v>-0.25000000000000028</v>
      </c>
      <c r="AFM154" s="760"/>
      <c r="AFN154" s="759">
        <v>1.3000000000000009</v>
      </c>
      <c r="AFO154" s="760"/>
      <c r="AFP154" s="592">
        <v>401</v>
      </c>
      <c r="AFQ154" s="759">
        <f>AFL154*AFS154+AFN154</f>
        <v>0.498</v>
      </c>
      <c r="AFR154" s="760"/>
      <c r="AFS154" s="757">
        <f>(4/500*AFP154)</f>
        <v>3.2080000000000002</v>
      </c>
      <c r="AFT154" s="758"/>
      <c r="AFV154" s="759">
        <v>-0.125</v>
      </c>
      <c r="AFW154" s="760"/>
      <c r="AFX154" s="759">
        <v>0.875</v>
      </c>
      <c r="AFY154" s="760"/>
      <c r="AFZ154" s="591">
        <v>451</v>
      </c>
      <c r="AGA154" s="759">
        <f>AFV154*AGC154+AFX154</f>
        <v>0.42399999999999999</v>
      </c>
      <c r="AGB154" s="760"/>
      <c r="AGC154" s="757">
        <f>(4/500*AFZ154)</f>
        <v>3.6080000000000001</v>
      </c>
      <c r="AGD154" s="758"/>
      <c r="AQO154" s="851"/>
      <c r="AQP154" s="857"/>
      <c r="AQQ154" s="857"/>
      <c r="AQR154" s="857"/>
      <c r="AQS154" s="857"/>
      <c r="AQT154" s="857"/>
      <c r="AQU154" s="857"/>
      <c r="AQV154" s="857"/>
      <c r="AQW154" s="857"/>
      <c r="AQX154" s="857"/>
      <c r="AQY154" s="857"/>
      <c r="AQZ154" s="857"/>
      <c r="ARA154" s="857"/>
      <c r="ARB154" s="857"/>
      <c r="ARC154" s="837"/>
      <c r="ARD154" s="838"/>
      <c r="ARE154" s="777"/>
      <c r="ARF154" s="799"/>
      <c r="ARG154" s="842"/>
      <c r="ARH154" s="845"/>
      <c r="ARI154" s="846"/>
      <c r="ARJ154" s="848"/>
    </row>
    <row r="155" spans="338:948 1133:1217" ht="48" customHeight="1">
      <c r="LZ155" s="377"/>
      <c r="MA155" s="373"/>
      <c r="MB155" s="54"/>
      <c r="MC155" s="373"/>
      <c r="MD155" s="373"/>
      <c r="ME155" s="373"/>
      <c r="MF155" s="373"/>
      <c r="MG155" s="373"/>
      <c r="MH155" s="373"/>
      <c r="MI155" s="373"/>
      <c r="MJ155" s="373"/>
      <c r="MK155" s="373"/>
      <c r="ML155" s="373"/>
      <c r="MM155" s="373"/>
      <c r="MN155" s="373"/>
      <c r="MO155" s="373"/>
      <c r="MP155" s="373"/>
      <c r="MQ155" s="373"/>
      <c r="MR155" s="373"/>
      <c r="MS155" s="373"/>
      <c r="MT155" s="373"/>
      <c r="MU155" s="373"/>
      <c r="MV155" s="373"/>
      <c r="MW155" s="373"/>
      <c r="MX155" s="373"/>
      <c r="MY155" s="373"/>
      <c r="MZ155" s="373"/>
      <c r="NA155" s="373"/>
      <c r="NB155" s="373"/>
      <c r="NC155" s="373"/>
      <c r="ND155" s="373"/>
      <c r="NE155" s="373"/>
      <c r="NF155" s="373"/>
      <c r="NG155" s="373"/>
      <c r="NH155" s="373"/>
      <c r="NI155" s="373"/>
      <c r="NJ155" s="373"/>
      <c r="NK155" s="373"/>
      <c r="NL155" s="373"/>
      <c r="NM155" s="373"/>
      <c r="NN155" s="373"/>
      <c r="NO155" s="374"/>
      <c r="PG155" s="377"/>
      <c r="PH155" s="54"/>
      <c r="PI155" s="373"/>
      <c r="PJ155" s="54"/>
      <c r="PK155" s="381" t="s">
        <v>1297</v>
      </c>
      <c r="PL155" s="849"/>
      <c r="PM155" s="809" t="s">
        <v>1541</v>
      </c>
      <c r="PN155" s="797"/>
      <c r="PO155" s="797"/>
      <c r="PP155" s="797"/>
      <c r="PQ155" s="797"/>
      <c r="PR155" s="797"/>
      <c r="PS155" s="797"/>
      <c r="PT155" s="797"/>
      <c r="PU155" s="797"/>
      <c r="PV155" s="797"/>
      <c r="PW155" s="1382">
        <f>1.3*(1-PQ154)</f>
        <v>0.89310000000000012</v>
      </c>
      <c r="PX155" s="1383"/>
      <c r="PY155" s="1183" t="s">
        <v>729</v>
      </c>
      <c r="PZ155" s="1184"/>
      <c r="QA155" s="1289"/>
      <c r="QB155" s="1320" t="s">
        <v>1540</v>
      </c>
      <c r="QC155" s="1320"/>
      <c r="QD155" s="1320"/>
      <c r="QE155" s="1289"/>
      <c r="QF155" s="1052"/>
      <c r="QG155" s="1052"/>
      <c r="QH155" s="1052"/>
      <c r="QI155" s="1052"/>
      <c r="QJ155" s="1052"/>
      <c r="QK155" s="1052"/>
      <c r="QL155" s="1052"/>
      <c r="QM155" s="373"/>
      <c r="QN155" s="54"/>
      <c r="QO155" s="373"/>
      <c r="QP155" s="373"/>
      <c r="QQ155" s="373"/>
      <c r="QR155" s="374"/>
      <c r="QS155" s="130"/>
      <c r="QT155" s="130"/>
      <c r="QU155" s="130"/>
      <c r="QV155" s="130"/>
      <c r="QW155" s="130"/>
      <c r="QX155" s="130"/>
      <c r="WE155" s="752">
        <v>18</v>
      </c>
      <c r="WF155" s="753"/>
      <c r="WG155" s="861" t="s">
        <v>725</v>
      </c>
      <c r="WH155" s="861"/>
      <c r="WI155" s="861"/>
      <c r="WJ155" s="861"/>
      <c r="WK155" s="883">
        <f>$GU$12</f>
        <v>0.8</v>
      </c>
      <c r="WL155" s="884"/>
      <c r="WM155" s="861" t="s">
        <v>1710</v>
      </c>
      <c r="WN155" s="861"/>
      <c r="WO155" s="761">
        <f>$AGZ$180</f>
        <v>1.0600145352014647</v>
      </c>
      <c r="WP155" s="761"/>
      <c r="WQ155" s="168"/>
      <c r="WR155" s="168"/>
      <c r="WS155" s="168"/>
      <c r="WT155" s="168"/>
      <c r="WU155" s="168"/>
      <c r="WV155" s="168"/>
      <c r="WW155" s="168"/>
      <c r="WX155" s="168"/>
      <c r="WY155" s="171"/>
      <c r="WZ155" s="752" t="s">
        <v>17</v>
      </c>
      <c r="XA155" s="753"/>
      <c r="XB155" s="167"/>
      <c r="XC155" s="168"/>
      <c r="XD155" s="168"/>
      <c r="XE155" s="168"/>
      <c r="XF155" s="171"/>
      <c r="XG155" s="1005">
        <f t="shared" ref="XG155:YL155" si="191">XG151/(1.6 * $WK$155 *$WO$155)*10^-3</f>
        <v>9.9370181483854084E-2</v>
      </c>
      <c r="XH155" s="1005">
        <f t="shared" si="191"/>
        <v>0.19626259843763008</v>
      </c>
      <c r="XI155" s="1005">
        <f t="shared" si="191"/>
        <v>0.29017938960727552</v>
      </c>
      <c r="XJ155" s="1005">
        <f t="shared" si="191"/>
        <v>0.38068693670031295</v>
      </c>
      <c r="XK155" s="1005">
        <f t="shared" si="191"/>
        <v>0.46746017862907036</v>
      </c>
      <c r="XL155" s="1005">
        <f t="shared" si="191"/>
        <v>0.55016281029881509</v>
      </c>
      <c r="XM155" s="1005">
        <f t="shared" si="191"/>
        <v>0.62871274750491046</v>
      </c>
      <c r="XN155" s="1005">
        <f t="shared" si="191"/>
        <v>0.70309485509904923</v>
      </c>
      <c r="XO155" s="1005">
        <f t="shared" si="191"/>
        <v>0.77581373812270771</v>
      </c>
      <c r="XP155" s="1005">
        <f t="shared" si="191"/>
        <v>0.84846757054751154</v>
      </c>
      <c r="XQ155" s="1005">
        <f t="shared" si="191"/>
        <v>0.91467805857186035</v>
      </c>
      <c r="XR155" s="1005">
        <f t="shared" si="191"/>
        <v>0.98642024407292439</v>
      </c>
      <c r="XS155" s="1005">
        <f t="shared" si="191"/>
        <v>1.0543158532741355</v>
      </c>
      <c r="XT155" s="1005">
        <f t="shared" si="191"/>
        <v>1.0976183583830876</v>
      </c>
      <c r="XU155" s="1005">
        <f t="shared" si="191"/>
        <v>1.1660428277892605</v>
      </c>
      <c r="XV155" s="1005">
        <f t="shared" si="191"/>
        <v>1.2347458647871155</v>
      </c>
      <c r="XW155" s="1005">
        <f t="shared" si="191"/>
        <v>1.2939694255406493</v>
      </c>
      <c r="XX155" s="1005">
        <f t="shared" si="191"/>
        <v>1.3485561475556609</v>
      </c>
      <c r="XY155" s="1005">
        <f t="shared" si="191"/>
        <v>1.3989359077651027</v>
      </c>
      <c r="XZ155" s="1005">
        <f t="shared" si="191"/>
        <v>1.4452272518651628</v>
      </c>
      <c r="YA155" s="1005">
        <f t="shared" si="191"/>
        <v>1.4505889819971867</v>
      </c>
      <c r="YB155" s="1005">
        <f t="shared" si="191"/>
        <v>1.4998574464397336</v>
      </c>
      <c r="YC155" s="1005">
        <f t="shared" si="191"/>
        <v>1.5442665822448527</v>
      </c>
      <c r="YD155" s="1005">
        <f t="shared" si="191"/>
        <v>1.5798674927407343</v>
      </c>
      <c r="YE155" s="1005">
        <f t="shared" si="191"/>
        <v>1.6160077847539243</v>
      </c>
      <c r="YF155" s="1005">
        <f t="shared" si="191"/>
        <v>1.6450690439816396</v>
      </c>
      <c r="YG155" s="1005">
        <f t="shared" si="191"/>
        <v>1.674720096441811</v>
      </c>
      <c r="YH155" s="1005">
        <f t="shared" si="191"/>
        <v>1.6983997267233246</v>
      </c>
      <c r="YI155" s="1005">
        <f t="shared" si="191"/>
        <v>1.7200655089418779</v>
      </c>
      <c r="YJ155" s="1005">
        <f t="shared" si="191"/>
        <v>1.7422256002144074</v>
      </c>
      <c r="YK155" s="1005">
        <f t="shared" si="191"/>
        <v>1.760052386226701</v>
      </c>
      <c r="YL155" s="1005">
        <f t="shared" si="191"/>
        <v>1.7763465860155305</v>
      </c>
      <c r="YM155" s="1005">
        <f t="shared" ref="YM155:ZR155" si="192">YM151/(1.6 * $WK$155 *$WO$155)*10^-3</f>
        <v>1.7913429274481167</v>
      </c>
      <c r="YN155" s="1005">
        <f t="shared" si="192"/>
        <v>1.8050093209433715</v>
      </c>
      <c r="YO155" s="1005">
        <f t="shared" si="192"/>
        <v>1.817554082121263</v>
      </c>
      <c r="YP155" s="1005">
        <f t="shared" si="192"/>
        <v>1.8290866191060666</v>
      </c>
      <c r="YQ155" s="1005">
        <f t="shared" si="192"/>
        <v>1.839775831041409</v>
      </c>
      <c r="YR155" s="1005">
        <f t="shared" si="192"/>
        <v>1.849564560701431</v>
      </c>
      <c r="YS155" s="1005">
        <f t="shared" si="192"/>
        <v>1.8586709092528741</v>
      </c>
      <c r="YT155" s="1005">
        <f t="shared" si="192"/>
        <v>1.8659795351306077</v>
      </c>
      <c r="YU155" s="1005">
        <f t="shared" si="192"/>
        <v>1.8738610175752612</v>
      </c>
      <c r="YV155" s="1005">
        <f t="shared" si="192"/>
        <v>1.8811115476071762</v>
      </c>
      <c r="YW155" s="1005">
        <f t="shared" si="192"/>
        <v>1.8879046555410046</v>
      </c>
      <c r="YX155" s="1005">
        <f t="shared" si="192"/>
        <v>1.8934789962546832</v>
      </c>
      <c r="YY155" s="1005">
        <f t="shared" si="192"/>
        <v>1.8994184505420513</v>
      </c>
      <c r="YZ155" s="1005">
        <f t="shared" si="192"/>
        <v>1.9042975198920433</v>
      </c>
      <c r="ZA155" s="1005">
        <f t="shared" si="192"/>
        <v>1.9095553364368905</v>
      </c>
      <c r="ZB155" s="1005">
        <f t="shared" si="192"/>
        <v>1.9144718762170765</v>
      </c>
      <c r="ZC155" s="1005">
        <f t="shared" si="192"/>
        <v>1.9184941564362219</v>
      </c>
      <c r="ZD155" s="1005">
        <f t="shared" si="192"/>
        <v>1.9228096413131441</v>
      </c>
      <c r="ZE155" s="1005">
        <f t="shared" si="192"/>
        <v>1.9263766696140421</v>
      </c>
      <c r="ZF155" s="1005">
        <f t="shared" si="192"/>
        <v>1.9297534791186413</v>
      </c>
      <c r="ZG155" s="1005">
        <f t="shared" si="192"/>
        <v>1.9334221606087794</v>
      </c>
      <c r="ZH155" s="1005">
        <f t="shared" si="192"/>
        <v>1.9364346415736617</v>
      </c>
      <c r="ZI155" s="1005">
        <f t="shared" si="192"/>
        <v>1.939715337785278</v>
      </c>
      <c r="ZJ155" s="1005">
        <f t="shared" si="192"/>
        <v>1.9424133182610135</v>
      </c>
      <c r="ZK155" s="1005">
        <f t="shared" si="192"/>
        <v>1.9449791111221304</v>
      </c>
      <c r="ZL155" s="1005">
        <f t="shared" si="192"/>
        <v>1.947814056437587</v>
      </c>
      <c r="ZM155" s="1005">
        <f t="shared" si="192"/>
        <v>1.9501237907461391</v>
      </c>
      <c r="ZN155" s="1005">
        <f t="shared" si="192"/>
        <v>1.9523701375022655</v>
      </c>
      <c r="ZO155" s="1005">
        <f t="shared" si="192"/>
        <v>1.9545224836227433</v>
      </c>
      <c r="ZP155" s="1005">
        <f t="shared" si="192"/>
        <v>1.9568783223505095</v>
      </c>
      <c r="ZQ155" s="1005">
        <f t="shared" si="192"/>
        <v>1.9588302476601152</v>
      </c>
      <c r="ZR155" s="1005">
        <f t="shared" si="192"/>
        <v>1.9607081585066461</v>
      </c>
      <c r="ZS155" s="1005">
        <f t="shared" ref="ZS155:AAS155" si="193">ZS151/(1.6 * $WK$155 *$WO$155)*10^-3</f>
        <v>1.962494664760996</v>
      </c>
      <c r="ZT155" s="1005">
        <f t="shared" si="193"/>
        <v>1.9642055648209573</v>
      </c>
      <c r="ZU155" s="1005">
        <f t="shared" si="193"/>
        <v>1.9660973521768776</v>
      </c>
      <c r="ZV155" s="1005">
        <f t="shared" si="193"/>
        <v>1.9676599420109928</v>
      </c>
      <c r="ZW155" s="1005">
        <f t="shared" si="193"/>
        <v>1.969159280428433</v>
      </c>
      <c r="ZX155" s="1005">
        <f t="shared" si="193"/>
        <v>1.9706088832274018</v>
      </c>
      <c r="ZY155" s="1005">
        <f t="shared" si="193"/>
        <v>1.9719915677997155</v>
      </c>
      <c r="ZZ155" s="1005">
        <f t="shared" si="193"/>
        <v>1.9733205550137489</v>
      </c>
      <c r="AAA155" s="1005">
        <f t="shared" si="193"/>
        <v>1.9746083474791503</v>
      </c>
      <c r="AAB155" s="1005">
        <f t="shared" si="193"/>
        <v>1.9758379743827466</v>
      </c>
      <c r="AAC155" s="1005">
        <f t="shared" si="193"/>
        <v>1.9770312100586396</v>
      </c>
      <c r="AAD155" s="1005">
        <f t="shared" si="193"/>
        <v>1.9781712481475731</v>
      </c>
      <c r="AAE155" s="1005">
        <f t="shared" si="193"/>
        <v>1.9792791055861634</v>
      </c>
      <c r="AAF155" s="1005">
        <f t="shared" si="193"/>
        <v>1.9803381518692504</v>
      </c>
      <c r="AAG155" s="1005">
        <f t="shared" si="193"/>
        <v>1.9813687194528662</v>
      </c>
      <c r="AAH155" s="1005">
        <f t="shared" si="193"/>
        <v>1.9823543609433096</v>
      </c>
      <c r="AAI155" s="1005">
        <f t="shared" si="193"/>
        <v>1.9833147878965598</v>
      </c>
      <c r="AAJ155" s="1005">
        <f t="shared" si="193"/>
        <v>1.9842337400787344</v>
      </c>
      <c r="AAK155" s="1005">
        <f t="shared" si="193"/>
        <v>1.9851303638318993</v>
      </c>
      <c r="AAL155" s="1005">
        <f t="shared" si="193"/>
        <v>1.9859713672603703</v>
      </c>
      <c r="AAM155" s="1005">
        <f t="shared" si="193"/>
        <v>1.9867630615974403</v>
      </c>
      <c r="AAN155" s="1005">
        <f t="shared" si="193"/>
        <v>1.9875495420803591</v>
      </c>
      <c r="AAO155" s="1005">
        <f t="shared" si="193"/>
        <v>1.9882894754202336</v>
      </c>
      <c r="AAP155" s="1005">
        <f t="shared" si="193"/>
        <v>1.989026075981017</v>
      </c>
      <c r="AAQ155" s="1005">
        <f t="shared" si="193"/>
        <v>1.9896268629833564</v>
      </c>
      <c r="AAR155" s="1005">
        <f t="shared" si="193"/>
        <v>1.9903004387565457</v>
      </c>
      <c r="AAS155" s="1005">
        <f t="shared" si="193"/>
        <v>1.9909730065521936</v>
      </c>
      <c r="AAT155" s="1005">
        <v>18</v>
      </c>
      <c r="AAU155" s="972"/>
      <c r="AAV155" s="972"/>
      <c r="AAW155" s="972"/>
      <c r="AAX155" s="972"/>
      <c r="AAY155" s="972"/>
      <c r="AAZ155" s="972"/>
      <c r="ABA155" s="972"/>
      <c r="ABB155" s="972"/>
      <c r="ABC155" s="972"/>
      <c r="ABD155" s="158"/>
      <c r="ABE155" s="158"/>
      <c r="ABF155" s="158"/>
      <c r="ABG155" s="158"/>
      <c r="ABH155" s="158"/>
      <c r="ABI155" s="158"/>
      <c r="ABJ155" s="158"/>
      <c r="ABK155" s="158"/>
      <c r="ABL155" s="158"/>
      <c r="ABM155" s="158"/>
      <c r="ABN155" s="158"/>
      <c r="ABO155" s="158"/>
      <c r="ABP155" s="163"/>
      <c r="ABS155" s="162"/>
      <c r="ABT155" s="158"/>
      <c r="ABU155" s="158"/>
      <c r="ABV155" s="158"/>
      <c r="ABW155" s="158"/>
      <c r="ABX155" s="158"/>
      <c r="ABY155" s="158"/>
      <c r="ABZ155" s="158"/>
      <c r="ACA155" s="158"/>
      <c r="ACB155" s="158"/>
      <c r="ACC155" s="158"/>
      <c r="ACD155" s="158"/>
      <c r="ACE155" s="158"/>
      <c r="ACF155" s="158"/>
      <c r="ACG155" s="158"/>
      <c r="ACH155" s="163"/>
      <c r="ACJ155" s="759">
        <v>-3.1250000000000028E-2</v>
      </c>
      <c r="ACK155" s="760"/>
      <c r="ACL155" s="759">
        <v>1</v>
      </c>
      <c r="ACM155" s="760"/>
      <c r="ACN155" s="591">
        <v>2</v>
      </c>
      <c r="ACO155" s="759">
        <f t="shared" ref="ACO155:ACO171" si="194">ACJ155*ACQ155+ACL155</f>
        <v>0.99950000000000006</v>
      </c>
      <c r="ACP155" s="760"/>
      <c r="ACQ155" s="757">
        <f t="shared" ref="ACQ155:ACQ203" si="195">(4/500*ACN155)</f>
        <v>1.6E-2</v>
      </c>
      <c r="ACR155" s="758"/>
      <c r="ACT155" s="759">
        <v>-3.125E-2</v>
      </c>
      <c r="ACU155" s="760"/>
      <c r="ACV155" s="759">
        <v>1</v>
      </c>
      <c r="ACW155" s="760"/>
      <c r="ACX155" s="591">
        <v>52</v>
      </c>
      <c r="ACY155" s="759">
        <f t="shared" ref="ACY155:ACY203" si="196">ACT155*ADA155+ACV155</f>
        <v>0.98699999999999999</v>
      </c>
      <c r="ACZ155" s="760"/>
      <c r="ADA155" s="757">
        <f t="shared" ref="ADA155:ADA203" si="197">(4/500*ACX155)</f>
        <v>0.41600000000000004</v>
      </c>
      <c r="ADB155" s="758"/>
      <c r="ADD155" s="759">
        <v>-8.3333333333333398E-2</v>
      </c>
      <c r="ADE155" s="760"/>
      <c r="ADF155" s="759">
        <v>1.0416666666666667</v>
      </c>
      <c r="ADG155" s="760"/>
      <c r="ADH155" s="592">
        <v>102</v>
      </c>
      <c r="ADI155" s="759">
        <f t="shared" ref="ADI155:ADI203" si="198">ADD155*ADK155+ADF155</f>
        <v>0.97366666666666668</v>
      </c>
      <c r="ADJ155" s="760"/>
      <c r="ADK155" s="757">
        <f t="shared" ref="ADK155:ADK203" si="199">(4/500*ADH155)</f>
        <v>0.81600000000000006</v>
      </c>
      <c r="ADL155" s="758"/>
      <c r="ADN155" s="759">
        <v>-0.14285714285714299</v>
      </c>
      <c r="ADO155" s="760"/>
      <c r="ADP155" s="759">
        <v>1.1071428571428601</v>
      </c>
      <c r="ADQ155" s="760"/>
      <c r="ADR155" s="592">
        <v>152</v>
      </c>
      <c r="ADS155" s="759">
        <f t="shared" ref="ADS155:ADS203" si="200">ADN155*ADU155+ADP155</f>
        <v>0.93342857142857416</v>
      </c>
      <c r="ADT155" s="760"/>
      <c r="ADU155" s="757">
        <f t="shared" ref="ADU155:ADU203" si="201">(4/500*ADR155)</f>
        <v>1.216</v>
      </c>
      <c r="ADV155" s="758"/>
      <c r="ADX155" s="759">
        <v>-0.2</v>
      </c>
      <c r="ADY155" s="760"/>
      <c r="ADZ155" s="759">
        <v>1.19</v>
      </c>
      <c r="AEA155" s="760"/>
      <c r="AEB155" s="591">
        <v>202</v>
      </c>
      <c r="AEC155" s="759">
        <f t="shared" ref="AEC155:AEC203" si="202">ADX155*AEE155+ADZ155</f>
        <v>0.8667999999999999</v>
      </c>
      <c r="AED155" s="760"/>
      <c r="AEE155" s="757">
        <f t="shared" ref="AEE155:AEE203" si="203">(4/500*AEB155)</f>
        <v>1.6160000000000001</v>
      </c>
      <c r="AEF155" s="758"/>
      <c r="AEH155" s="759">
        <v>-0.33333333333333259</v>
      </c>
      <c r="AEI155" s="760"/>
      <c r="AEJ155" s="759">
        <v>1.4166666666666654</v>
      </c>
      <c r="AEK155" s="760"/>
      <c r="AEL155" s="592">
        <v>252</v>
      </c>
      <c r="AEM155" s="759">
        <f t="shared" ref="AEM155:AEM203" si="204">AEH155*AEO155+AEJ155</f>
        <v>0.74466666666666692</v>
      </c>
      <c r="AEN155" s="760"/>
      <c r="AEO155" s="757">
        <f t="shared" ref="AEO155:AEO203" si="205">(4/500*AEL155)</f>
        <v>2.016</v>
      </c>
      <c r="AEP155" s="758"/>
      <c r="AER155" s="759">
        <v>-0.25</v>
      </c>
      <c r="AES155" s="760"/>
      <c r="AET155" s="759">
        <v>1.2250000000000001</v>
      </c>
      <c r="AEU155" s="760"/>
      <c r="AEV155" s="591">
        <v>302</v>
      </c>
      <c r="AEW155" s="759">
        <f t="shared" ref="AEW155:AEW203" si="206">AER155*AEY155+AET155</f>
        <v>0.62100000000000011</v>
      </c>
      <c r="AEX155" s="760"/>
      <c r="AEY155" s="757">
        <f t="shared" ref="AEY155:AEY203" si="207">(4/500*AEV155)</f>
        <v>2.4159999999999999</v>
      </c>
      <c r="AEZ155" s="758"/>
      <c r="AFB155" s="759">
        <v>-0.10000000000000009</v>
      </c>
      <c r="AFC155" s="760"/>
      <c r="AFD155" s="759">
        <v>0.82000000000000028</v>
      </c>
      <c r="AFE155" s="760"/>
      <c r="AFF155" s="591">
        <v>352</v>
      </c>
      <c r="AFG155" s="759">
        <f t="shared" ref="AFG155:AFG203" si="208">AFB155*AFI155+AFD155</f>
        <v>0.53839999999999999</v>
      </c>
      <c r="AFH155" s="760"/>
      <c r="AFI155" s="757">
        <f t="shared" ref="AFI155:AFI203" si="209">(4/500*AFF155)</f>
        <v>2.8159999999999998</v>
      </c>
      <c r="AFJ155" s="758"/>
      <c r="AFL155" s="759">
        <v>-0.25000000000000028</v>
      </c>
      <c r="AFM155" s="760"/>
      <c r="AFN155" s="759">
        <v>1.3000000000000009</v>
      </c>
      <c r="AFO155" s="760"/>
      <c r="AFP155" s="592">
        <v>402</v>
      </c>
      <c r="AFQ155" s="759">
        <f t="shared" ref="AFQ155:AFQ203" si="210">AFL155*AFS155+AFN155</f>
        <v>0.496</v>
      </c>
      <c r="AFR155" s="760"/>
      <c r="AFS155" s="757">
        <f t="shared" ref="AFS155:AFS203" si="211">(4/500*AFP155)</f>
        <v>3.2160000000000002</v>
      </c>
      <c r="AFT155" s="758"/>
      <c r="AFV155" s="759">
        <v>-0.125</v>
      </c>
      <c r="AFW155" s="760"/>
      <c r="AFX155" s="759">
        <v>0.875</v>
      </c>
      <c r="AFY155" s="760"/>
      <c r="AFZ155" s="591">
        <v>452</v>
      </c>
      <c r="AGA155" s="759">
        <f t="shared" ref="AGA155:AGA203" si="212">AFV155*AGC155+AFX155</f>
        <v>0.42299999999999999</v>
      </c>
      <c r="AGB155" s="760"/>
      <c r="AGC155" s="757">
        <f t="shared" ref="AGC155:AGC203" si="213">(4/500*AFZ155)</f>
        <v>3.6160000000000001</v>
      </c>
      <c r="AGD155" s="758"/>
      <c r="AGP155" s="130"/>
      <c r="AGQ155" s="130"/>
      <c r="AGR155" s="130"/>
      <c r="AGS155" s="130"/>
      <c r="AGT155" s="130"/>
      <c r="AGU155" s="130"/>
      <c r="AGV155" s="130"/>
    </row>
    <row r="156" spans="338:948 1133:1217" ht="48" customHeight="1" thickBot="1">
      <c r="LZ156" s="377"/>
      <c r="MA156" s="373"/>
      <c r="MB156" s="54"/>
      <c r="MC156" s="373"/>
      <c r="MD156" s="76" t="s">
        <v>1654</v>
      </c>
      <c r="ME156" s="852" t="s">
        <v>416</v>
      </c>
      <c r="MF156" s="853"/>
      <c r="MG156" s="646"/>
      <c r="MH156" s="654" t="s">
        <v>1307</v>
      </c>
      <c r="MI156" s="890">
        <f>$MQ$185</f>
        <v>0</v>
      </c>
      <c r="MJ156" s="890"/>
      <c r="MK156" s="861" t="s">
        <v>1322</v>
      </c>
      <c r="ML156" s="861"/>
      <c r="MM156" s="890">
        <f>$ND$129</f>
        <v>1</v>
      </c>
      <c r="MN156" s="890"/>
      <c r="MO156" s="76" t="s">
        <v>441</v>
      </c>
      <c r="MP156" s="854" t="s">
        <v>435</v>
      </c>
      <c r="MQ156" s="855"/>
      <c r="MR156" s="920" t="s">
        <v>111</v>
      </c>
      <c r="MS156" s="921"/>
      <c r="MT156" s="916" t="s">
        <v>704</v>
      </c>
      <c r="MU156" s="917"/>
      <c r="MV156" s="906" t="s">
        <v>447</v>
      </c>
      <c r="MW156" s="907"/>
      <c r="MX156" s="907"/>
      <c r="MY156" s="907"/>
      <c r="MZ156" s="908"/>
      <c r="NA156" s="1051" t="s">
        <v>436</v>
      </c>
      <c r="NB156" s="1051"/>
      <c r="NC156" s="1051"/>
      <c r="ND156" s="1051"/>
      <c r="NE156" s="1051"/>
      <c r="NF156" s="1051"/>
      <c r="NG156" s="1051"/>
      <c r="NH156" s="1051"/>
      <c r="NI156" s="1051"/>
      <c r="NJ156" s="1051"/>
      <c r="NK156" s="1051"/>
      <c r="NL156" s="1051"/>
      <c r="NM156" s="373"/>
      <c r="NN156" s="373"/>
      <c r="NO156" s="374"/>
      <c r="PG156" s="377"/>
      <c r="PH156" s="54"/>
      <c r="PI156" s="373"/>
      <c r="PJ156" s="54"/>
      <c r="PK156" s="373"/>
      <c r="PL156" s="851"/>
      <c r="PM156" s="777"/>
      <c r="PN156" s="778"/>
      <c r="PO156" s="778"/>
      <c r="PP156" s="778"/>
      <c r="PQ156" s="778"/>
      <c r="PR156" s="778"/>
      <c r="PS156" s="778"/>
      <c r="PT156" s="778"/>
      <c r="PU156" s="778"/>
      <c r="PV156" s="778"/>
      <c r="PW156" s="1384"/>
      <c r="PX156" s="1385"/>
      <c r="PY156" s="1185"/>
      <c r="PZ156" s="1186"/>
      <c r="QA156" s="1290"/>
      <c r="QB156" s="1321"/>
      <c r="QC156" s="1321"/>
      <c r="QD156" s="1321"/>
      <c r="QE156" s="1290"/>
      <c r="QF156" s="1053"/>
      <c r="QG156" s="1053"/>
      <c r="QH156" s="1053"/>
      <c r="QI156" s="1053"/>
      <c r="QJ156" s="1053"/>
      <c r="QK156" s="1053"/>
      <c r="QL156" s="1053"/>
      <c r="QM156" s="373"/>
      <c r="QN156" s="54"/>
      <c r="QO156" s="373"/>
      <c r="QP156" s="373"/>
      <c r="QQ156" s="373"/>
      <c r="QR156" s="374"/>
      <c r="QS156" s="130"/>
      <c r="QT156" s="130"/>
      <c r="QU156" s="130"/>
      <c r="QV156" s="130"/>
      <c r="QW156" s="130"/>
      <c r="QX156" s="130"/>
      <c r="WE156" s="996"/>
      <c r="WF156" s="997"/>
      <c r="WG156" s="175"/>
      <c r="WH156" s="173"/>
      <c r="WI156" s="173"/>
      <c r="WJ156" s="173"/>
      <c r="WK156" s="173"/>
      <c r="WL156" s="173"/>
      <c r="WM156" s="173"/>
      <c r="WN156" s="173"/>
      <c r="WO156" s="173"/>
      <c r="WP156" s="173"/>
      <c r="WQ156" s="173"/>
      <c r="WR156" s="173"/>
      <c r="WS156" s="173"/>
      <c r="WT156" s="173"/>
      <c r="WU156" s="173"/>
      <c r="WV156" s="173"/>
      <c r="WW156" s="173"/>
      <c r="WX156" s="173"/>
      <c r="WY156" s="174"/>
      <c r="WZ156" s="996"/>
      <c r="XA156" s="997"/>
      <c r="XB156" s="175"/>
      <c r="XC156" s="173"/>
      <c r="XD156" s="173"/>
      <c r="XE156" s="173"/>
      <c r="XF156" s="174"/>
      <c r="XG156" s="1006"/>
      <c r="XH156" s="1006"/>
      <c r="XI156" s="1006"/>
      <c r="XJ156" s="1006"/>
      <c r="XK156" s="1006"/>
      <c r="XL156" s="1006"/>
      <c r="XM156" s="1006"/>
      <c r="XN156" s="1006"/>
      <c r="XO156" s="1006"/>
      <c r="XP156" s="1006"/>
      <c r="XQ156" s="1006"/>
      <c r="XR156" s="1006"/>
      <c r="XS156" s="1006"/>
      <c r="XT156" s="1006"/>
      <c r="XU156" s="1006"/>
      <c r="XV156" s="1006"/>
      <c r="XW156" s="1006"/>
      <c r="XX156" s="1006"/>
      <c r="XY156" s="1006"/>
      <c r="XZ156" s="1006"/>
      <c r="YA156" s="1006"/>
      <c r="YB156" s="1006"/>
      <c r="YC156" s="1006"/>
      <c r="YD156" s="1006"/>
      <c r="YE156" s="1006"/>
      <c r="YF156" s="1006"/>
      <c r="YG156" s="1006"/>
      <c r="YH156" s="1006"/>
      <c r="YI156" s="1006"/>
      <c r="YJ156" s="1006"/>
      <c r="YK156" s="1006"/>
      <c r="YL156" s="1006"/>
      <c r="YM156" s="1006"/>
      <c r="YN156" s="1006"/>
      <c r="YO156" s="1006"/>
      <c r="YP156" s="1006"/>
      <c r="YQ156" s="1006"/>
      <c r="YR156" s="1006"/>
      <c r="YS156" s="1006"/>
      <c r="YT156" s="1006"/>
      <c r="YU156" s="1006"/>
      <c r="YV156" s="1006"/>
      <c r="YW156" s="1006"/>
      <c r="YX156" s="1006"/>
      <c r="YY156" s="1006"/>
      <c r="YZ156" s="1006"/>
      <c r="ZA156" s="1006"/>
      <c r="ZB156" s="1006"/>
      <c r="ZC156" s="1006"/>
      <c r="ZD156" s="1006"/>
      <c r="ZE156" s="1006"/>
      <c r="ZF156" s="1006"/>
      <c r="ZG156" s="1006"/>
      <c r="ZH156" s="1006"/>
      <c r="ZI156" s="1006"/>
      <c r="ZJ156" s="1006"/>
      <c r="ZK156" s="1006"/>
      <c r="ZL156" s="1006"/>
      <c r="ZM156" s="1006"/>
      <c r="ZN156" s="1006"/>
      <c r="ZO156" s="1006"/>
      <c r="ZP156" s="1006"/>
      <c r="ZQ156" s="1006"/>
      <c r="ZR156" s="1006"/>
      <c r="ZS156" s="1006"/>
      <c r="ZT156" s="1006"/>
      <c r="ZU156" s="1006"/>
      <c r="ZV156" s="1006"/>
      <c r="ZW156" s="1006"/>
      <c r="ZX156" s="1006"/>
      <c r="ZY156" s="1006"/>
      <c r="ZZ156" s="1006"/>
      <c r="AAA156" s="1006"/>
      <c r="AAB156" s="1006"/>
      <c r="AAC156" s="1006"/>
      <c r="AAD156" s="1006"/>
      <c r="AAE156" s="1006"/>
      <c r="AAF156" s="1006"/>
      <c r="AAG156" s="1006"/>
      <c r="AAH156" s="1006"/>
      <c r="AAI156" s="1006"/>
      <c r="AAJ156" s="1006"/>
      <c r="AAK156" s="1006"/>
      <c r="AAL156" s="1006"/>
      <c r="AAM156" s="1006"/>
      <c r="AAN156" s="1006"/>
      <c r="AAO156" s="1006"/>
      <c r="AAP156" s="1006"/>
      <c r="AAQ156" s="1006"/>
      <c r="AAR156" s="1006"/>
      <c r="AAS156" s="1006"/>
      <c r="AAT156" s="1006"/>
      <c r="AAU156" s="981"/>
      <c r="AAV156" s="981"/>
      <c r="AAW156" s="981"/>
      <c r="AAX156" s="981"/>
      <c r="AAY156" s="981"/>
      <c r="AAZ156" s="981"/>
      <c r="ABA156" s="981"/>
      <c r="ABB156" s="981"/>
      <c r="ABC156" s="981"/>
      <c r="ABD156" s="158"/>
      <c r="ABE156" s="158"/>
      <c r="ABF156" s="158"/>
      <c r="ABG156" s="158"/>
      <c r="ABH156" s="158"/>
      <c r="ABI156" s="158"/>
      <c r="ABJ156" s="158"/>
      <c r="ABK156" s="158"/>
      <c r="ABL156" s="158"/>
      <c r="ABM156" s="158"/>
      <c r="ABN156" s="158"/>
      <c r="ABO156" s="158"/>
      <c r="ABP156" s="163"/>
      <c r="ABS156" s="162"/>
      <c r="ABT156" s="158"/>
      <c r="ABU156" s="158"/>
      <c r="ABV156" s="158"/>
      <c r="ABW156" s="158"/>
      <c r="ABX156" s="158"/>
      <c r="ABY156" s="158"/>
      <c r="ABZ156" s="158"/>
      <c r="ACA156" s="158"/>
      <c r="ACB156" s="158"/>
      <c r="ACC156" s="158"/>
      <c r="ACD156" s="158"/>
      <c r="ACE156" s="158"/>
      <c r="ACF156" s="158"/>
      <c r="ACG156" s="158"/>
      <c r="ACH156" s="163"/>
      <c r="ACJ156" s="759">
        <v>-3.125E-2</v>
      </c>
      <c r="ACK156" s="760"/>
      <c r="ACL156" s="759">
        <v>1</v>
      </c>
      <c r="ACM156" s="760"/>
      <c r="ACN156" s="591">
        <v>3</v>
      </c>
      <c r="ACO156" s="759">
        <f t="shared" si="194"/>
        <v>0.99924999999999997</v>
      </c>
      <c r="ACP156" s="760"/>
      <c r="ACQ156" s="757">
        <f t="shared" si="195"/>
        <v>2.4E-2</v>
      </c>
      <c r="ACR156" s="758"/>
      <c r="ACT156" s="759">
        <v>-3.125E-2</v>
      </c>
      <c r="ACU156" s="760"/>
      <c r="ACV156" s="759">
        <v>1</v>
      </c>
      <c r="ACW156" s="760"/>
      <c r="ACX156" s="591">
        <v>53</v>
      </c>
      <c r="ACY156" s="759">
        <f t="shared" si="196"/>
        <v>0.98675000000000002</v>
      </c>
      <c r="ACZ156" s="760"/>
      <c r="ADA156" s="757">
        <f t="shared" si="197"/>
        <v>0.42399999999999999</v>
      </c>
      <c r="ADB156" s="758"/>
      <c r="ADD156" s="759">
        <v>-8.3333333333333398E-2</v>
      </c>
      <c r="ADE156" s="760"/>
      <c r="ADF156" s="759">
        <v>1.0416666666666701</v>
      </c>
      <c r="ADG156" s="760"/>
      <c r="ADH156" s="592">
        <v>103</v>
      </c>
      <c r="ADI156" s="759">
        <f t="shared" si="198"/>
        <v>0.97300000000000331</v>
      </c>
      <c r="ADJ156" s="760"/>
      <c r="ADK156" s="757">
        <f t="shared" si="199"/>
        <v>0.82400000000000007</v>
      </c>
      <c r="ADL156" s="758"/>
      <c r="ADN156" s="759">
        <v>-0.14285714285714299</v>
      </c>
      <c r="ADO156" s="760"/>
      <c r="ADP156" s="759">
        <v>1.1071428571428601</v>
      </c>
      <c r="ADQ156" s="760"/>
      <c r="ADR156" s="592">
        <v>153</v>
      </c>
      <c r="ADS156" s="759">
        <f t="shared" si="200"/>
        <v>0.93228571428571705</v>
      </c>
      <c r="ADT156" s="760"/>
      <c r="ADU156" s="757">
        <f t="shared" si="201"/>
        <v>1.224</v>
      </c>
      <c r="ADV156" s="758"/>
      <c r="ADX156" s="759">
        <v>-0.2</v>
      </c>
      <c r="ADY156" s="760"/>
      <c r="ADZ156" s="759">
        <v>1.19</v>
      </c>
      <c r="AEA156" s="760"/>
      <c r="AEB156" s="591">
        <v>203</v>
      </c>
      <c r="AEC156" s="759">
        <f t="shared" si="202"/>
        <v>0.86519999999999997</v>
      </c>
      <c r="AED156" s="760"/>
      <c r="AEE156" s="757">
        <f t="shared" si="203"/>
        <v>1.6240000000000001</v>
      </c>
      <c r="AEF156" s="758"/>
      <c r="AEH156" s="759">
        <v>-0.33333333333333298</v>
      </c>
      <c r="AEI156" s="760"/>
      <c r="AEJ156" s="759">
        <v>1.4166666666666701</v>
      </c>
      <c r="AEK156" s="760"/>
      <c r="AEL156" s="592">
        <v>253</v>
      </c>
      <c r="AEM156" s="759">
        <f t="shared" si="204"/>
        <v>0.7420000000000041</v>
      </c>
      <c r="AEN156" s="760"/>
      <c r="AEO156" s="757">
        <f t="shared" si="205"/>
        <v>2.024</v>
      </c>
      <c r="AEP156" s="758"/>
      <c r="AER156" s="759">
        <v>-0.25</v>
      </c>
      <c r="AES156" s="760"/>
      <c r="AET156" s="759">
        <v>1.2250000000000001</v>
      </c>
      <c r="AEU156" s="760"/>
      <c r="AEV156" s="591">
        <v>303</v>
      </c>
      <c r="AEW156" s="759">
        <f t="shared" si="206"/>
        <v>0.61900000000000011</v>
      </c>
      <c r="AEX156" s="760"/>
      <c r="AEY156" s="757">
        <f t="shared" si="207"/>
        <v>2.4239999999999999</v>
      </c>
      <c r="AEZ156" s="758"/>
      <c r="AFB156" s="759">
        <v>-0.1</v>
      </c>
      <c r="AFC156" s="760"/>
      <c r="AFD156" s="759">
        <v>0.82</v>
      </c>
      <c r="AFE156" s="760"/>
      <c r="AFF156" s="591">
        <v>353</v>
      </c>
      <c r="AFG156" s="759">
        <f t="shared" si="208"/>
        <v>0.53759999999999997</v>
      </c>
      <c r="AFH156" s="760"/>
      <c r="AFI156" s="757">
        <f t="shared" si="209"/>
        <v>2.8239999999999998</v>
      </c>
      <c r="AFJ156" s="758"/>
      <c r="AFL156" s="759">
        <v>-0.25</v>
      </c>
      <c r="AFM156" s="760"/>
      <c r="AFN156" s="759">
        <v>1.3</v>
      </c>
      <c r="AFO156" s="760"/>
      <c r="AFP156" s="592">
        <v>403</v>
      </c>
      <c r="AFQ156" s="759">
        <f t="shared" si="210"/>
        <v>0.49399999999999999</v>
      </c>
      <c r="AFR156" s="760"/>
      <c r="AFS156" s="757">
        <f t="shared" si="211"/>
        <v>3.2240000000000002</v>
      </c>
      <c r="AFT156" s="758"/>
      <c r="AFV156" s="759">
        <v>-0.125</v>
      </c>
      <c r="AFW156" s="760"/>
      <c r="AFX156" s="759">
        <v>0.875</v>
      </c>
      <c r="AFY156" s="760"/>
      <c r="AFZ156" s="591">
        <v>453</v>
      </c>
      <c r="AGA156" s="759">
        <f t="shared" si="212"/>
        <v>0.42199999999999999</v>
      </c>
      <c r="AGB156" s="760"/>
      <c r="AGC156" s="757">
        <f t="shared" si="213"/>
        <v>3.6240000000000001</v>
      </c>
      <c r="AGD156" s="758"/>
      <c r="AGP156" s="130"/>
      <c r="AGQ156" s="130"/>
      <c r="AGR156" s="130"/>
      <c r="AGS156" s="130"/>
      <c r="AGT156" s="130"/>
      <c r="AGU156" s="130"/>
      <c r="AGV156" s="130"/>
      <c r="AQO156" s="849"/>
      <c r="AQP156" s="852" t="s">
        <v>416</v>
      </c>
      <c r="AQQ156" s="853"/>
      <c r="AQR156" s="700"/>
      <c r="AQS156" s="78"/>
      <c r="AQT156" s="78"/>
      <c r="AQU156" s="78"/>
      <c r="AQV156" s="78"/>
      <c r="AQW156" s="78"/>
      <c r="AQX156" s="78"/>
      <c r="AQY156" s="700"/>
      <c r="AQZ156" s="76" t="s">
        <v>441</v>
      </c>
      <c r="ARA156" s="854" t="s">
        <v>435</v>
      </c>
      <c r="ARB156" s="855"/>
      <c r="ARC156" s="920" t="s">
        <v>111</v>
      </c>
      <c r="ARD156" s="921"/>
      <c r="ARE156" s="916" t="s">
        <v>704</v>
      </c>
      <c r="ARF156" s="917"/>
      <c r="ARG156" s="906" t="s">
        <v>447</v>
      </c>
      <c r="ARH156" s="907"/>
      <c r="ARI156" s="907"/>
      <c r="ARJ156" s="908"/>
    </row>
    <row r="157" spans="338:948 1133:1217" ht="48" customHeight="1">
      <c r="LZ157" s="377"/>
      <c r="MA157" s="373"/>
      <c r="MB157" s="54"/>
      <c r="MC157" s="373"/>
      <c r="MD157" s="849"/>
      <c r="ME157" s="800" t="s">
        <v>1305</v>
      </c>
      <c r="MF157" s="801"/>
      <c r="MG157" s="951">
        <f>$GM$24/$CL$40</f>
        <v>1.0356340341387285</v>
      </c>
      <c r="MH157" s="952"/>
      <c r="MI157" s="792" t="s">
        <v>1263</v>
      </c>
      <c r="MJ157" s="792"/>
      <c r="MK157" s="792"/>
      <c r="ML157" s="792"/>
      <c r="MM157" s="792"/>
      <c r="MN157" s="792"/>
      <c r="MO157" s="792"/>
      <c r="MP157" s="792"/>
      <c r="MQ157" s="793"/>
      <c r="MR157" s="835">
        <f>(2*MG157-MG158*MI156)*MM156-MG159^2*(MG157)^2</f>
        <v>1.0869314384628788</v>
      </c>
      <c r="MS157" s="836"/>
      <c r="MT157" s="1183" t="s">
        <v>729</v>
      </c>
      <c r="MU157" s="1184"/>
      <c r="MV157" s="1410"/>
      <c r="MW157" s="895" t="s">
        <v>1308</v>
      </c>
      <c r="MX157" s="1090"/>
      <c r="MY157" s="896"/>
      <c r="MZ157" s="1166"/>
      <c r="NA157" s="1052"/>
      <c r="NB157" s="1052"/>
      <c r="NC157" s="1052"/>
      <c r="ND157" s="1052"/>
      <c r="NE157" s="1052"/>
      <c r="NF157" s="1052"/>
      <c r="NG157" s="1052"/>
      <c r="NH157" s="1052"/>
      <c r="NI157" s="1052"/>
      <c r="NJ157" s="1052"/>
      <c r="NK157" s="1052"/>
      <c r="NL157" s="1052"/>
      <c r="NM157" s="373"/>
      <c r="NN157" s="373"/>
      <c r="NO157" s="374"/>
      <c r="PG157" s="377"/>
      <c r="PH157" s="54"/>
      <c r="PI157" s="373"/>
      <c r="PJ157" s="54"/>
      <c r="PK157" s="373"/>
      <c r="PL157" s="373"/>
      <c r="PM157" s="373"/>
      <c r="PN157" s="373"/>
      <c r="PO157" s="373"/>
      <c r="PP157" s="373"/>
      <c r="PQ157" s="373"/>
      <c r="PR157" s="373"/>
      <c r="PS157" s="373"/>
      <c r="PT157" s="373"/>
      <c r="PU157" s="373"/>
      <c r="PV157" s="373"/>
      <c r="PW157" s="373"/>
      <c r="PX157" s="373"/>
      <c r="PY157" s="373"/>
      <c r="PZ157" s="373"/>
      <c r="QA157" s="373"/>
      <c r="QB157" s="373"/>
      <c r="QC157" s="373"/>
      <c r="QD157" s="373"/>
      <c r="QE157" s="373"/>
      <c r="QF157" s="373"/>
      <c r="QG157" s="373"/>
      <c r="QH157" s="373"/>
      <c r="QI157" s="373"/>
      <c r="QJ157" s="373"/>
      <c r="QK157" s="373"/>
      <c r="QL157" s="373"/>
      <c r="QM157" s="373"/>
      <c r="QN157" s="54"/>
      <c r="QO157" s="373"/>
      <c r="QP157" s="373"/>
      <c r="QQ157" s="373"/>
      <c r="QR157" s="374"/>
      <c r="QV157" s="130"/>
      <c r="QW157" s="130"/>
      <c r="QX157" s="130"/>
      <c r="WE157" s="754"/>
      <c r="WF157" s="755"/>
      <c r="WG157" s="169"/>
      <c r="WH157" s="170"/>
      <c r="WI157" s="170"/>
      <c r="WJ157" s="170"/>
      <c r="WK157" s="170"/>
      <c r="WL157" s="170"/>
      <c r="WM157" s="170"/>
      <c r="WN157" s="170"/>
      <c r="WO157" s="170"/>
      <c r="WP157" s="170"/>
      <c r="WQ157" s="170"/>
      <c r="WR157" s="170"/>
      <c r="WS157" s="170"/>
      <c r="WT157" s="170"/>
      <c r="WU157" s="170"/>
      <c r="WV157" s="170"/>
      <c r="WW157" s="170"/>
      <c r="WX157" s="170"/>
      <c r="WY157" s="172"/>
      <c r="WZ157" s="754"/>
      <c r="XA157" s="755"/>
      <c r="XB157" s="169"/>
      <c r="XC157" s="170"/>
      <c r="XD157" s="170"/>
      <c r="XE157" s="170"/>
      <c r="XF157" s="172"/>
      <c r="XG157" s="1007"/>
      <c r="XH157" s="1007"/>
      <c r="XI157" s="1007"/>
      <c r="XJ157" s="1007"/>
      <c r="XK157" s="1007"/>
      <c r="XL157" s="1007"/>
      <c r="XM157" s="1007"/>
      <c r="XN157" s="1007"/>
      <c r="XO157" s="1007"/>
      <c r="XP157" s="1007"/>
      <c r="XQ157" s="1007"/>
      <c r="XR157" s="1007"/>
      <c r="XS157" s="1007"/>
      <c r="XT157" s="1007"/>
      <c r="XU157" s="1007"/>
      <c r="XV157" s="1007"/>
      <c r="XW157" s="1007"/>
      <c r="XX157" s="1007"/>
      <c r="XY157" s="1007"/>
      <c r="XZ157" s="1007"/>
      <c r="YA157" s="1007"/>
      <c r="YB157" s="1007"/>
      <c r="YC157" s="1007"/>
      <c r="YD157" s="1007"/>
      <c r="YE157" s="1007"/>
      <c r="YF157" s="1007"/>
      <c r="YG157" s="1007"/>
      <c r="YH157" s="1007"/>
      <c r="YI157" s="1007"/>
      <c r="YJ157" s="1007"/>
      <c r="YK157" s="1007"/>
      <c r="YL157" s="1007"/>
      <c r="YM157" s="1007"/>
      <c r="YN157" s="1007"/>
      <c r="YO157" s="1007"/>
      <c r="YP157" s="1007"/>
      <c r="YQ157" s="1007"/>
      <c r="YR157" s="1007"/>
      <c r="YS157" s="1007"/>
      <c r="YT157" s="1007"/>
      <c r="YU157" s="1007"/>
      <c r="YV157" s="1007"/>
      <c r="YW157" s="1007"/>
      <c r="YX157" s="1007"/>
      <c r="YY157" s="1007"/>
      <c r="YZ157" s="1007"/>
      <c r="ZA157" s="1007"/>
      <c r="ZB157" s="1007"/>
      <c r="ZC157" s="1007"/>
      <c r="ZD157" s="1007"/>
      <c r="ZE157" s="1007"/>
      <c r="ZF157" s="1007"/>
      <c r="ZG157" s="1007"/>
      <c r="ZH157" s="1007"/>
      <c r="ZI157" s="1007"/>
      <c r="ZJ157" s="1007"/>
      <c r="ZK157" s="1007"/>
      <c r="ZL157" s="1007"/>
      <c r="ZM157" s="1007"/>
      <c r="ZN157" s="1007"/>
      <c r="ZO157" s="1007"/>
      <c r="ZP157" s="1007"/>
      <c r="ZQ157" s="1007"/>
      <c r="ZR157" s="1007"/>
      <c r="ZS157" s="1007"/>
      <c r="ZT157" s="1007"/>
      <c r="ZU157" s="1007"/>
      <c r="ZV157" s="1007"/>
      <c r="ZW157" s="1007"/>
      <c r="ZX157" s="1007"/>
      <c r="ZY157" s="1007"/>
      <c r="ZZ157" s="1007"/>
      <c r="AAA157" s="1007"/>
      <c r="AAB157" s="1007"/>
      <c r="AAC157" s="1007"/>
      <c r="AAD157" s="1007"/>
      <c r="AAE157" s="1007"/>
      <c r="AAF157" s="1007"/>
      <c r="AAG157" s="1007"/>
      <c r="AAH157" s="1007"/>
      <c r="AAI157" s="1007"/>
      <c r="AAJ157" s="1007"/>
      <c r="AAK157" s="1007"/>
      <c r="AAL157" s="1007"/>
      <c r="AAM157" s="1007"/>
      <c r="AAN157" s="1007"/>
      <c r="AAO157" s="1007"/>
      <c r="AAP157" s="1007"/>
      <c r="AAQ157" s="1007"/>
      <c r="AAR157" s="1007"/>
      <c r="AAS157" s="1007"/>
      <c r="AAT157" s="1007"/>
      <c r="AAU157" s="970"/>
      <c r="AAV157" s="970"/>
      <c r="AAW157" s="970"/>
      <c r="AAX157" s="970"/>
      <c r="AAY157" s="970"/>
      <c r="AAZ157" s="970"/>
      <c r="ABA157" s="970"/>
      <c r="ABB157" s="970"/>
      <c r="ABC157" s="970"/>
      <c r="ABD157" s="158"/>
      <c r="ABE157" s="158"/>
      <c r="ABF157" s="158"/>
      <c r="ABG157" s="158"/>
      <c r="ABH157" s="158"/>
      <c r="ABI157" s="158"/>
      <c r="ABJ157" s="158"/>
      <c r="ABK157" s="158"/>
      <c r="ABL157" s="158"/>
      <c r="ABM157" s="158"/>
      <c r="ABN157" s="158"/>
      <c r="ABO157" s="158"/>
      <c r="ABP157" s="163"/>
      <c r="ABS157" s="162"/>
      <c r="ABT157" s="158"/>
      <c r="ABU157" s="158"/>
      <c r="ABV157" s="158"/>
      <c r="ABW157" s="158"/>
      <c r="ABX157" s="158"/>
      <c r="ABY157" s="158"/>
      <c r="ABZ157" s="158"/>
      <c r="ACA157" s="158"/>
      <c r="ACB157" s="158"/>
      <c r="ACC157" s="158"/>
      <c r="ACD157" s="158"/>
      <c r="ACE157" s="158"/>
      <c r="ACF157" s="158"/>
      <c r="ACG157" s="158"/>
      <c r="ACH157" s="163"/>
      <c r="ACJ157" s="759">
        <v>-3.125E-2</v>
      </c>
      <c r="ACK157" s="760"/>
      <c r="ACL157" s="759">
        <v>1</v>
      </c>
      <c r="ACM157" s="760"/>
      <c r="ACN157" s="591">
        <v>4</v>
      </c>
      <c r="ACO157" s="759">
        <f t="shared" si="194"/>
        <v>0.999</v>
      </c>
      <c r="ACP157" s="760"/>
      <c r="ACQ157" s="757">
        <f t="shared" si="195"/>
        <v>3.2000000000000001E-2</v>
      </c>
      <c r="ACR157" s="758"/>
      <c r="ACT157" s="759">
        <v>-3.125E-2</v>
      </c>
      <c r="ACU157" s="760"/>
      <c r="ACV157" s="759">
        <v>1</v>
      </c>
      <c r="ACW157" s="760"/>
      <c r="ACX157" s="591">
        <v>54</v>
      </c>
      <c r="ACY157" s="759">
        <f t="shared" si="196"/>
        <v>0.98650000000000004</v>
      </c>
      <c r="ACZ157" s="760"/>
      <c r="ADA157" s="757">
        <f t="shared" si="197"/>
        <v>0.432</v>
      </c>
      <c r="ADB157" s="758"/>
      <c r="ADD157" s="759">
        <v>-8.3333333333333398E-2</v>
      </c>
      <c r="ADE157" s="760"/>
      <c r="ADF157" s="759">
        <v>1.0416666666666701</v>
      </c>
      <c r="ADG157" s="760"/>
      <c r="ADH157" s="592">
        <v>104</v>
      </c>
      <c r="ADI157" s="759">
        <f t="shared" si="198"/>
        <v>0.97233333333333671</v>
      </c>
      <c r="ADJ157" s="760"/>
      <c r="ADK157" s="757">
        <f t="shared" si="199"/>
        <v>0.83200000000000007</v>
      </c>
      <c r="ADL157" s="758"/>
      <c r="ADN157" s="759">
        <v>-0.14285714285714299</v>
      </c>
      <c r="ADO157" s="760"/>
      <c r="ADP157" s="759">
        <v>1.1071428571428601</v>
      </c>
      <c r="ADQ157" s="760"/>
      <c r="ADR157" s="592">
        <v>154</v>
      </c>
      <c r="ADS157" s="759">
        <f t="shared" si="200"/>
        <v>0.93114285714285994</v>
      </c>
      <c r="ADT157" s="760"/>
      <c r="ADU157" s="757">
        <f t="shared" si="201"/>
        <v>1.232</v>
      </c>
      <c r="ADV157" s="758"/>
      <c r="ADX157" s="759">
        <v>-0.2</v>
      </c>
      <c r="ADY157" s="760"/>
      <c r="ADZ157" s="759">
        <v>1.19</v>
      </c>
      <c r="AEA157" s="760"/>
      <c r="AEB157" s="591">
        <v>204</v>
      </c>
      <c r="AEC157" s="759">
        <f t="shared" si="202"/>
        <v>0.86359999999999992</v>
      </c>
      <c r="AED157" s="760"/>
      <c r="AEE157" s="757">
        <f t="shared" si="203"/>
        <v>1.6320000000000001</v>
      </c>
      <c r="AEF157" s="758"/>
      <c r="AEH157" s="759">
        <v>-0.33333333333333298</v>
      </c>
      <c r="AEI157" s="760"/>
      <c r="AEJ157" s="759">
        <v>1.4166666666666701</v>
      </c>
      <c r="AEK157" s="760"/>
      <c r="AEL157" s="592">
        <v>254</v>
      </c>
      <c r="AEM157" s="759">
        <f t="shared" si="204"/>
        <v>0.73933333333333739</v>
      </c>
      <c r="AEN157" s="760"/>
      <c r="AEO157" s="757">
        <f t="shared" si="205"/>
        <v>2.032</v>
      </c>
      <c r="AEP157" s="758"/>
      <c r="AER157" s="759">
        <v>-0.25</v>
      </c>
      <c r="AES157" s="760"/>
      <c r="AET157" s="759">
        <v>1.2250000000000001</v>
      </c>
      <c r="AEU157" s="760"/>
      <c r="AEV157" s="591">
        <v>304</v>
      </c>
      <c r="AEW157" s="759">
        <f t="shared" si="206"/>
        <v>0.6170000000000001</v>
      </c>
      <c r="AEX157" s="760"/>
      <c r="AEY157" s="757">
        <f t="shared" si="207"/>
        <v>2.4319999999999999</v>
      </c>
      <c r="AEZ157" s="758"/>
      <c r="AFB157" s="759">
        <v>-0.1</v>
      </c>
      <c r="AFC157" s="760"/>
      <c r="AFD157" s="759">
        <v>0.82</v>
      </c>
      <c r="AFE157" s="760"/>
      <c r="AFF157" s="591">
        <v>354</v>
      </c>
      <c r="AFG157" s="759">
        <f t="shared" si="208"/>
        <v>0.53679999999999994</v>
      </c>
      <c r="AFH157" s="760"/>
      <c r="AFI157" s="757">
        <f t="shared" si="209"/>
        <v>2.8319999999999999</v>
      </c>
      <c r="AFJ157" s="758"/>
      <c r="AFL157" s="759">
        <v>-0.25</v>
      </c>
      <c r="AFM157" s="760"/>
      <c r="AFN157" s="759">
        <v>1.3</v>
      </c>
      <c r="AFO157" s="760"/>
      <c r="AFP157" s="592">
        <v>404</v>
      </c>
      <c r="AFQ157" s="759">
        <f t="shared" si="210"/>
        <v>0.49199999999999999</v>
      </c>
      <c r="AFR157" s="760"/>
      <c r="AFS157" s="757">
        <f t="shared" si="211"/>
        <v>3.2320000000000002</v>
      </c>
      <c r="AFT157" s="758"/>
      <c r="AFV157" s="759">
        <v>-0.125</v>
      </c>
      <c r="AFW157" s="760"/>
      <c r="AFX157" s="759">
        <v>0.875</v>
      </c>
      <c r="AFY157" s="760"/>
      <c r="AFZ157" s="591">
        <v>454</v>
      </c>
      <c r="AGA157" s="759">
        <f t="shared" si="212"/>
        <v>0.42099999999999999</v>
      </c>
      <c r="AGB157" s="760"/>
      <c r="AGC157" s="757">
        <f t="shared" si="213"/>
        <v>3.6320000000000001</v>
      </c>
      <c r="AGD157" s="758"/>
      <c r="AGQ157" s="849"/>
      <c r="AGR157" s="1395" t="s">
        <v>676</v>
      </c>
      <c r="AGS157" s="1395"/>
      <c r="AGT157" s="1795" t="s">
        <v>911</v>
      </c>
      <c r="AGU157" s="1795"/>
      <c r="AGV157" s="957" t="s">
        <v>1452</v>
      </c>
      <c r="AGW157" s="957"/>
      <c r="AGX157" s="957"/>
      <c r="AGY157" s="957"/>
      <c r="AGZ157" s="957"/>
      <c r="AHA157" s="957"/>
      <c r="AHB157" s="957"/>
      <c r="AHC157" s="957"/>
      <c r="AHD157" s="957"/>
      <c r="AHE157" s="957"/>
      <c r="AHF157" s="957"/>
      <c r="AHG157" s="957"/>
      <c r="AHH157" s="957"/>
      <c r="AHI157" s="957"/>
      <c r="AHJ157" s="849"/>
      <c r="AHR157" s="130"/>
      <c r="AHS157" s="130"/>
      <c r="AHT157" s="130"/>
      <c r="AHU157" s="130"/>
      <c r="AHV157" s="130"/>
      <c r="AHW157" s="130"/>
      <c r="AHX157" s="130"/>
      <c r="AHY157" s="130"/>
      <c r="AHZ157" s="130"/>
      <c r="AIA157" s="130"/>
      <c r="AIB157" s="130"/>
      <c r="AQO157" s="850"/>
      <c r="AQP157" s="856"/>
      <c r="AQQ157" s="856"/>
      <c r="AQR157" s="856"/>
      <c r="AQS157" s="856"/>
      <c r="AQT157" s="856"/>
      <c r="AQU157" s="856"/>
      <c r="AQV157" s="856"/>
      <c r="AQW157" s="856"/>
      <c r="AQX157" s="856"/>
      <c r="AQY157" s="856"/>
      <c r="AQZ157" s="856"/>
      <c r="ARA157" s="856"/>
      <c r="ARB157" s="856"/>
      <c r="ARC157" s="835"/>
      <c r="ARD157" s="836"/>
      <c r="ARE157" s="839"/>
      <c r="ARF157" s="840"/>
      <c r="ARG157" s="841"/>
      <c r="ARH157" s="843"/>
      <c r="ARI157" s="844"/>
      <c r="ARJ157" s="847"/>
    </row>
    <row r="158" spans="338:948 1133:1217" ht="48" customHeight="1" thickBot="1">
      <c r="LZ158" s="377"/>
      <c r="MA158" s="373"/>
      <c r="MB158" s="54"/>
      <c r="MC158" s="381" t="s">
        <v>1297</v>
      </c>
      <c r="MD158" s="850"/>
      <c r="ME158" s="800" t="s">
        <v>1306</v>
      </c>
      <c r="MF158" s="801"/>
      <c r="MG158" s="951">
        <f>$CL$40/$GM$24</f>
        <v>0.96559205958467453</v>
      </c>
      <c r="MH158" s="952"/>
      <c r="MI158" s="824"/>
      <c r="MJ158" s="824"/>
      <c r="MK158" s="824"/>
      <c r="ML158" s="824"/>
      <c r="MM158" s="824"/>
      <c r="MN158" s="824"/>
      <c r="MO158" s="824"/>
      <c r="MP158" s="824"/>
      <c r="MQ158" s="1049"/>
      <c r="MR158" s="837"/>
      <c r="MS158" s="838"/>
      <c r="MT158" s="1185"/>
      <c r="MU158" s="1186"/>
      <c r="MV158" s="1067"/>
      <c r="MW158" s="918"/>
      <c r="MX158" s="1082"/>
      <c r="MY158" s="919"/>
      <c r="MZ158" s="848"/>
      <c r="NA158" s="1052"/>
      <c r="NB158" s="1052"/>
      <c r="NC158" s="1052"/>
      <c r="ND158" s="1052"/>
      <c r="NE158" s="1052"/>
      <c r="NF158" s="1052"/>
      <c r="NG158" s="1052"/>
      <c r="NH158" s="1052"/>
      <c r="NI158" s="1052"/>
      <c r="NJ158" s="1052"/>
      <c r="NK158" s="1052"/>
      <c r="NL158" s="1052"/>
      <c r="NM158" s="373"/>
      <c r="NN158" s="373"/>
      <c r="NO158" s="374"/>
      <c r="PG158" s="377"/>
      <c r="PH158" s="54"/>
      <c r="PI158" s="373"/>
      <c r="PJ158" s="54"/>
      <c r="PK158" s="373"/>
      <c r="PL158" s="373"/>
      <c r="PM158" s="373"/>
      <c r="PN158" s="1458" t="s">
        <v>417</v>
      </c>
      <c r="PO158" s="1280"/>
      <c r="PP158" s="1280"/>
      <c r="PQ158" s="1280"/>
      <c r="PR158" s="1281"/>
      <c r="PS158" s="485" t="s">
        <v>402</v>
      </c>
      <c r="PT158" s="766">
        <f>$AP$20</f>
        <v>4</v>
      </c>
      <c r="PU158" s="766"/>
      <c r="PV158" s="373"/>
      <c r="PW158" s="373"/>
      <c r="PX158" s="373"/>
      <c r="PY158" s="373"/>
      <c r="PZ158" s="373"/>
      <c r="QA158" s="373"/>
      <c r="QB158" s="373"/>
      <c r="QC158" s="373"/>
      <c r="QD158" s="373"/>
      <c r="QE158" s="373"/>
      <c r="QF158" s="373"/>
      <c r="QG158" s="373"/>
      <c r="QH158" s="373"/>
      <c r="QI158" s="373"/>
      <c r="QJ158" s="373"/>
      <c r="QK158" s="373"/>
      <c r="QL158" s="373"/>
      <c r="QM158" s="373"/>
      <c r="QN158" s="54"/>
      <c r="QO158" s="373"/>
      <c r="QP158" s="373"/>
      <c r="QQ158" s="373"/>
      <c r="QR158" s="374"/>
      <c r="QV158" s="130"/>
      <c r="QW158" s="130"/>
      <c r="QX158" s="130"/>
      <c r="WE158" s="752">
        <v>19</v>
      </c>
      <c r="WF158" s="753"/>
      <c r="WG158" s="167"/>
      <c r="WH158" s="168"/>
      <c r="WI158" s="168"/>
      <c r="WJ158" s="168"/>
      <c r="WK158" s="168"/>
      <c r="WL158" s="168"/>
      <c r="WM158" s="168"/>
      <c r="WN158" s="168"/>
      <c r="WO158" s="168"/>
      <c r="WP158" s="168"/>
      <c r="WQ158" s="168"/>
      <c r="WR158" s="168"/>
      <c r="WS158" s="168"/>
      <c r="WT158" s="168"/>
      <c r="WU158" s="168"/>
      <c r="WV158" s="168"/>
      <c r="WW158" s="168"/>
      <c r="WX158" s="168"/>
      <c r="WY158" s="171"/>
      <c r="WZ158" s="1085"/>
      <c r="XA158" s="1085"/>
      <c r="XB158" s="167"/>
      <c r="XC158" s="168"/>
      <c r="XD158" s="168"/>
      <c r="XE158" s="168"/>
      <c r="XF158" s="168"/>
      <c r="XG158" s="693">
        <f t="shared" ref="XG158:YL158" si="214">IF($ACQ$228&lt;0,"Ошибка",
IF(OR(AND($ACQ$228&gt;XG155,XG155&gt;1),XG155=$ACQ$228),$ACO$228,
IF(OR(AND($ACQ$229&gt;XG155,XG155&gt;$ACQ$228),XG155=$ACQ$229),$ACO$229,
IF(OR(AND($ACQ$230&gt;XG155,XG155&gt;$ACQ$229),XG155=$ACQ$230),$ACO$230,
IF(OR(AND($ACQ$231&gt;XG155,XG155&gt;$ACQ$230),XG155=$ACQ$231),$ACO$231,
IF(OR(AND($ACQ$232&gt;XG155,XG155&gt;$ACQ$231),XG155=$ACQ$232),$ACO$232,
IF(OR(AND($ACQ$233&gt;XG155,XG155&gt;$ACQ$232),XG155=$ACQ$233),$ACO$233,
IF(OR(AND($ACQ$234&gt;XG155,XG155&gt;$ACQ$233),XG155=$ACQ$234),$ACO$234,
IF(OR(AND($ACQ$235&gt;XG155,XG155&gt;$ACQ$234),XG155=$ACQ$235),$ACO$235,
IF(OR(AND($ACQ$236&gt;XG155,XG155&gt;$ACQ$235),XG155=$ACQ$236),$ACO$236,
IF(OR(AND($ACQ$237&gt;XG155,XG155&gt;$ACQ$236),XG155=$ACQ$237),$ACO$237,
IF(OR(AND($ACQ$238&gt;XG155,XG155&gt;$ACQ$237),XG155=$ACQ$238),$ACO$238,
IF(OR(AND($ACQ$239&gt;XG155,XG155&gt;$ACQ$238),XG155=$ACQ$239),$ACO$239,
IF(OR(AND($ACQ$240&gt;XG155,XG155&gt;$ACQ$239),XG155=$ACQ$240),$ACO$240,
IF(OR(AND($ACQ$241&gt;XG155,XG155&gt;$ACQ$240),XG155=$ACQ$241),$ACO$241,
IF(OR(AND($ACQ$242&gt;XG155,XG155&gt;$ACQ$241),XG155=$ACQ$242),$ACO$242,
IF(OR(AND($ACQ$243&gt;XG155,XG155&gt;$ACQ$242),XG155=$ACQ$243),$ACO$243,
IF(OR(AND($ACQ$244&gt;XG155,XG155&gt;$ACQ$243),XG155=$ACQ$244),$ACO$244,
IF(OR(AND($ACQ$245&gt;XG155,XG155&gt;$ACQ$244),XG155=$ACQ$245),$ACO$245,
IF(OR(AND($ACQ$246&gt;XG155,XG155&gt;$ACQ$245),XG155=$ACQ$246),$ACO$246,
IF(OR(AND($ACQ$247&gt;XG155,XG155&gt;$ACQ$246),XG155=$ACQ$247),$ACO$247,
IF(OR(AND($ACQ$248&gt;XG155,XG155&gt;$ACQ$247),XG155=$ACQ$248),$ACO$248,
IF(OR(AND($ACQ$249&gt;XG155,XG155&gt;$ACQ$248),XG155=$ACQ$249),$ACO$249,
IF(OR(AND($ACQ$250&gt;XG155,XG155&gt;$ACQ$249),XG155=$ACQ$250),$ACO$250,
IF(OR(AND($ACQ$251&gt;XG155,XG155&gt;$ACQ$250),XG155=$ACQ$251),$ACO$251,
IF(OR(AND($ACQ$252&gt;XG155,XG155&gt;$ACQ$251),XG155=$ACQ$252),$ACO$252,
IF(OR(AND($ACQ$253&gt;XG155,XG155&gt;$ACQ$252),XG155=$ACQ$253),$ACO$253,
IF(OR(AND($ACQ$254&gt;XG155,XG155&gt;$ACQ$253),XG155=$ACQ$254),$ACO$254,
IF(OR(AND($ACQ$255&gt;XG155,XG155&gt;$ACQ$254),XG155=$ACQ$255),$ACO$255,
IF(OR(AND($ACQ$256&gt;XG155,XG155&gt;$ACQ$255),XG155=$ACQ$256),$ACO$256,
IF(OR(AND($ACQ$257&gt;XG155,XG155&gt;$ACQ$256),XG155=$ACQ$257),$ACO$257,
IF(OR(AND($ACQ$258&gt;XG155,XG155&gt;$ACQ$257),XG155=$ACQ$258),$ACO$258,
IF(OR(AND($ACQ$259&gt;XG155,XG155&gt;$ACQ$258),XG155=$ACQ$259),$ACO$259,
IF(OR(AND($ACQ$260&gt;XG155,XG155&gt;$ACQ$259),XG155=$ACQ$260),$ACO$260,
IF(OR(AND($ACQ$261&gt;XG155,XG155&gt;$ACQ$260),XG155=$ACQ$261),$ACO$261,
IF(OR(AND($ACQ$262&gt;XG155,XG155&gt;$ACQ$261),XG155=$ACQ$262),$ACO$262,
IF(OR(AND($ACQ$263&gt;XG155,XG155&gt;$ACQ$262),XG155=$ACQ$263),$ACO$263,
IF(OR(AND($ACQ$264&gt;XG155,XG155&gt;$ACQ$263),XG155=$ACQ$264),$ACO$264,
IF(OR(AND($ACQ$265&gt;XG155,XG155&gt;$ACQ$264),XG155=$ACQ$265),$ACO$265,
IF(OR(AND($ACQ$266&gt;XG155,XG155&gt;$ACQ$265),XG155=$ACQ$266),$ACO$266,
IF(OR(AND($ACQ$267&gt;XG155,XG155&gt;$ACQ$266),XG155=$ACQ$267),$ACO$267,
IF(OR(AND($ACQ$268&gt;XG155,XG155&gt;$ACQ$267),XG155=$ACQ$268),$ACO$268,
IF(OR(AND($ACQ$269&gt;XG155,XG155&gt;$ACQ$268),XG155=$ACQ$269),$ACO$269,
IF(OR(AND($ACQ$270&gt;XG155,XG155&gt;$ACQ$269),XG155=$ACQ$270),$ACO$270,
IF(OR(AND($ACQ$271&gt;XG155,XG155&gt;$ACQ$270),XG155=$ACQ$271),$ACO$271,
IF(OR(AND($ACQ$272&gt;XG155,XG155&gt;$ACQ$271),XG155=$ACQ$272),$ACO$272,
IF(OR(AND($ACQ$273&gt;XG155,XG155&gt;$ACQ$272),XG155=$ACQ$273),$ACO$273,
IF(OR(AND($ACQ$274&gt;XG155,XG155&gt;$ACQ$273),XG155=$ACQ$274),$ACO$274,
IF(OR(AND($ACQ$275&gt;XG155,XG155&gt;$ACQ$274),XG155=$ACQ$275),$ACO$275,
IF(OR(AND($ACQ$276&gt;XG155,XG155&gt;$ACQ$275),XG155=$ACQ$276),$ACO$276,
IF(OR(AND($ACQ$277&gt;XG155,XG155&gt;$ACQ$276),XG155=$ACQ$277),$ACO$277,
"Y")))))))))))))))))))))))))))))))))))))))))))))))))))</f>
        <v>0.96017578124999992</v>
      </c>
      <c r="XH158" s="693">
        <f t="shared" si="214"/>
        <v>0.95631640624999992</v>
      </c>
      <c r="XI158" s="693">
        <f t="shared" si="214"/>
        <v>0.95245703124999992</v>
      </c>
      <c r="XJ158" s="693">
        <f t="shared" si="214"/>
        <v>0.94859765624999992</v>
      </c>
      <c r="XK158" s="693">
        <f t="shared" si="214"/>
        <v>0.94570312499999998</v>
      </c>
      <c r="XL158" s="693">
        <f t="shared" si="214"/>
        <v>0.94184374999999998</v>
      </c>
      <c r="XM158" s="693">
        <f t="shared" si="214"/>
        <v>0.93894921874999993</v>
      </c>
      <c r="XN158" s="693">
        <f t="shared" si="214"/>
        <v>0.93605468749999998</v>
      </c>
      <c r="XO158" s="693">
        <f t="shared" si="214"/>
        <v>0.93316015624999993</v>
      </c>
      <c r="XP158" s="693">
        <f t="shared" si="214"/>
        <v>0.93026562499999998</v>
      </c>
      <c r="XQ158" s="693">
        <f t="shared" si="214"/>
        <v>0.92737109374999993</v>
      </c>
      <c r="XR158" s="693">
        <f t="shared" si="214"/>
        <v>0.92447656249999999</v>
      </c>
      <c r="XS158" s="693">
        <f t="shared" si="214"/>
        <v>0.92158203124999993</v>
      </c>
      <c r="XT158" s="693">
        <f t="shared" si="214"/>
        <v>0.91965234374999993</v>
      </c>
      <c r="XU158" s="693">
        <f t="shared" si="214"/>
        <v>0.91675781249999999</v>
      </c>
      <c r="XV158" s="693" t="str">
        <f t="shared" si="214"/>
        <v>Y</v>
      </c>
      <c r="XW158" s="693" t="str">
        <f t="shared" si="214"/>
        <v>Y</v>
      </c>
      <c r="XX158" s="693" t="str">
        <f t="shared" si="214"/>
        <v>Y</v>
      </c>
      <c r="XY158" s="693" t="str">
        <f t="shared" si="214"/>
        <v>Y</v>
      </c>
      <c r="XZ158" s="693" t="str">
        <f t="shared" si="214"/>
        <v>Y</v>
      </c>
      <c r="YA158" s="693" t="str">
        <f t="shared" si="214"/>
        <v>Y</v>
      </c>
      <c r="YB158" s="693" t="str">
        <f t="shared" si="214"/>
        <v>Y</v>
      </c>
      <c r="YC158" s="693" t="str">
        <f t="shared" si="214"/>
        <v>Y</v>
      </c>
      <c r="YD158" s="693" t="str">
        <f t="shared" si="214"/>
        <v>Y</v>
      </c>
      <c r="YE158" s="693" t="str">
        <f t="shared" si="214"/>
        <v>Y</v>
      </c>
      <c r="YF158" s="693" t="str">
        <f t="shared" si="214"/>
        <v>Y</v>
      </c>
      <c r="YG158" s="693" t="str">
        <f t="shared" si="214"/>
        <v>Y</v>
      </c>
      <c r="YH158" s="693" t="str">
        <f t="shared" si="214"/>
        <v>Y</v>
      </c>
      <c r="YI158" s="693" t="str">
        <f t="shared" si="214"/>
        <v>Y</v>
      </c>
      <c r="YJ158" s="693" t="str">
        <f t="shared" si="214"/>
        <v>Y</v>
      </c>
      <c r="YK158" s="693" t="str">
        <f t="shared" si="214"/>
        <v>Y</v>
      </c>
      <c r="YL158" s="693" t="str">
        <f t="shared" si="214"/>
        <v>Y</v>
      </c>
      <c r="YM158" s="693" t="str">
        <f t="shared" ref="YM158:ZR158" si="215">IF($ACQ$228&lt;0,"Ошибка",
IF(OR(AND($ACQ$228&gt;YM155,YM155&gt;1),YM155=$ACQ$228),$ACO$228,
IF(OR(AND($ACQ$229&gt;YM155,YM155&gt;$ACQ$228),YM155=$ACQ$229),$ACO$229,
IF(OR(AND($ACQ$230&gt;YM155,YM155&gt;$ACQ$229),YM155=$ACQ$230),$ACO$230,
IF(OR(AND($ACQ$231&gt;YM155,YM155&gt;$ACQ$230),YM155=$ACQ$231),$ACO$231,
IF(OR(AND($ACQ$232&gt;YM155,YM155&gt;$ACQ$231),YM155=$ACQ$232),$ACO$232,
IF(OR(AND($ACQ$233&gt;YM155,YM155&gt;$ACQ$232),YM155=$ACQ$233),$ACO$233,
IF(OR(AND($ACQ$234&gt;YM155,YM155&gt;$ACQ$233),YM155=$ACQ$234),$ACO$234,
IF(OR(AND($ACQ$235&gt;YM155,YM155&gt;$ACQ$234),YM155=$ACQ$235),$ACO$235,
IF(OR(AND($ACQ$236&gt;YM155,YM155&gt;$ACQ$235),YM155=$ACQ$236),$ACO$236,
IF(OR(AND($ACQ$237&gt;YM155,YM155&gt;$ACQ$236),YM155=$ACQ$237),$ACO$237,
IF(OR(AND($ACQ$238&gt;YM155,YM155&gt;$ACQ$237),YM155=$ACQ$238),$ACO$238,
IF(OR(AND($ACQ$239&gt;YM155,YM155&gt;$ACQ$238),YM155=$ACQ$239),$ACO$239,
IF(OR(AND($ACQ$240&gt;YM155,YM155&gt;$ACQ$239),YM155=$ACQ$240),$ACO$240,
IF(OR(AND($ACQ$241&gt;YM155,YM155&gt;$ACQ$240),YM155=$ACQ$241),$ACO$241,
IF(OR(AND($ACQ$242&gt;YM155,YM155&gt;$ACQ$241),YM155=$ACQ$242),$ACO$242,
IF(OR(AND($ACQ$243&gt;YM155,YM155&gt;$ACQ$242),YM155=$ACQ$243),$ACO$243,
IF(OR(AND($ACQ$244&gt;YM155,YM155&gt;$ACQ$243),YM155=$ACQ$244),$ACO$244,
IF(OR(AND($ACQ$245&gt;YM155,YM155&gt;$ACQ$244),YM155=$ACQ$245),$ACO$245,
IF(OR(AND($ACQ$246&gt;YM155,YM155&gt;$ACQ$245),YM155=$ACQ$246),$ACO$246,
IF(OR(AND($ACQ$247&gt;YM155,YM155&gt;$ACQ$246),YM155=$ACQ$247),$ACO$247,
IF(OR(AND($ACQ$248&gt;YM155,YM155&gt;$ACQ$247),YM155=$ACQ$248),$ACO$248,
IF(OR(AND($ACQ$249&gt;YM155,YM155&gt;$ACQ$248),YM155=$ACQ$249),$ACO$249,
IF(OR(AND($ACQ$250&gt;YM155,YM155&gt;$ACQ$249),YM155=$ACQ$250),$ACO$250,
IF(OR(AND($ACQ$251&gt;YM155,YM155&gt;$ACQ$250),YM155=$ACQ$251),$ACO$251,
IF(OR(AND($ACQ$252&gt;YM155,YM155&gt;$ACQ$251),YM155=$ACQ$252),$ACO$252,
IF(OR(AND($ACQ$253&gt;YM155,YM155&gt;$ACQ$252),YM155=$ACQ$253),$ACO$253,
IF(OR(AND($ACQ$254&gt;YM155,YM155&gt;$ACQ$253),YM155=$ACQ$254),$ACO$254,
IF(OR(AND($ACQ$255&gt;YM155,YM155&gt;$ACQ$254),YM155=$ACQ$255),$ACO$255,
IF(OR(AND($ACQ$256&gt;YM155,YM155&gt;$ACQ$255),YM155=$ACQ$256),$ACO$256,
IF(OR(AND($ACQ$257&gt;YM155,YM155&gt;$ACQ$256),YM155=$ACQ$257),$ACO$257,
IF(OR(AND($ACQ$258&gt;YM155,YM155&gt;$ACQ$257),YM155=$ACQ$258),$ACO$258,
IF(OR(AND($ACQ$259&gt;YM155,YM155&gt;$ACQ$258),YM155=$ACQ$259),$ACO$259,
IF(OR(AND($ACQ$260&gt;YM155,YM155&gt;$ACQ$259),YM155=$ACQ$260),$ACO$260,
IF(OR(AND($ACQ$261&gt;YM155,YM155&gt;$ACQ$260),YM155=$ACQ$261),$ACO$261,
IF(OR(AND($ACQ$262&gt;YM155,YM155&gt;$ACQ$261),YM155=$ACQ$262),$ACO$262,
IF(OR(AND($ACQ$263&gt;YM155,YM155&gt;$ACQ$262),YM155=$ACQ$263),$ACO$263,
IF(OR(AND($ACQ$264&gt;YM155,YM155&gt;$ACQ$263),YM155=$ACQ$264),$ACO$264,
IF(OR(AND($ACQ$265&gt;YM155,YM155&gt;$ACQ$264),YM155=$ACQ$265),$ACO$265,
IF(OR(AND($ACQ$266&gt;YM155,YM155&gt;$ACQ$265),YM155=$ACQ$266),$ACO$266,
IF(OR(AND($ACQ$267&gt;YM155,YM155&gt;$ACQ$266),YM155=$ACQ$267),$ACO$267,
IF(OR(AND($ACQ$268&gt;YM155,YM155&gt;$ACQ$267),YM155=$ACQ$268),$ACO$268,
IF(OR(AND($ACQ$269&gt;YM155,YM155&gt;$ACQ$268),YM155=$ACQ$269),$ACO$269,
IF(OR(AND($ACQ$270&gt;YM155,YM155&gt;$ACQ$269),YM155=$ACQ$270),$ACO$270,
IF(OR(AND($ACQ$271&gt;YM155,YM155&gt;$ACQ$270),YM155=$ACQ$271),$ACO$271,
IF(OR(AND($ACQ$272&gt;YM155,YM155&gt;$ACQ$271),YM155=$ACQ$272),$ACO$272,
IF(OR(AND($ACQ$273&gt;YM155,YM155&gt;$ACQ$272),YM155=$ACQ$273),$ACO$273,
IF(OR(AND($ACQ$274&gt;YM155,YM155&gt;$ACQ$273),YM155=$ACQ$274),$ACO$274,
IF(OR(AND($ACQ$275&gt;YM155,YM155&gt;$ACQ$274),YM155=$ACQ$275),$ACO$275,
IF(OR(AND($ACQ$276&gt;YM155,YM155&gt;$ACQ$275),YM155=$ACQ$276),$ACO$276,
IF(OR(AND($ACQ$277&gt;YM155,YM155&gt;$ACQ$276),YM155=$ACQ$277),$ACO$277,
"Y")))))))))))))))))))))))))))))))))))))))))))))))))))</f>
        <v>Y</v>
      </c>
      <c r="YN158" s="693" t="str">
        <f t="shared" si="215"/>
        <v>Y</v>
      </c>
      <c r="YO158" s="693" t="str">
        <f t="shared" si="215"/>
        <v>Y</v>
      </c>
      <c r="YP158" s="693" t="str">
        <f t="shared" si="215"/>
        <v>Y</v>
      </c>
      <c r="YQ158" s="693" t="str">
        <f t="shared" si="215"/>
        <v>Y</v>
      </c>
      <c r="YR158" s="693" t="str">
        <f t="shared" si="215"/>
        <v>Y</v>
      </c>
      <c r="YS158" s="693" t="str">
        <f t="shared" si="215"/>
        <v>Y</v>
      </c>
      <c r="YT158" s="693" t="str">
        <f t="shared" si="215"/>
        <v>Y</v>
      </c>
      <c r="YU158" s="693" t="str">
        <f t="shared" si="215"/>
        <v>Y</v>
      </c>
      <c r="YV158" s="693" t="str">
        <f t="shared" si="215"/>
        <v>Y</v>
      </c>
      <c r="YW158" s="693" t="str">
        <f t="shared" si="215"/>
        <v>Y</v>
      </c>
      <c r="YX158" s="693" t="str">
        <f t="shared" si="215"/>
        <v>Y</v>
      </c>
      <c r="YY158" s="693" t="str">
        <f t="shared" si="215"/>
        <v>Y</v>
      </c>
      <c r="YZ158" s="693" t="str">
        <f t="shared" si="215"/>
        <v>Y</v>
      </c>
      <c r="ZA158" s="693" t="str">
        <f t="shared" si="215"/>
        <v>Y</v>
      </c>
      <c r="ZB158" s="693" t="str">
        <f t="shared" si="215"/>
        <v>Y</v>
      </c>
      <c r="ZC158" s="693" t="str">
        <f t="shared" si="215"/>
        <v>Y</v>
      </c>
      <c r="ZD158" s="693" t="str">
        <f t="shared" si="215"/>
        <v>Y</v>
      </c>
      <c r="ZE158" s="693" t="str">
        <f t="shared" si="215"/>
        <v>Y</v>
      </c>
      <c r="ZF158" s="693" t="str">
        <f t="shared" si="215"/>
        <v>Y</v>
      </c>
      <c r="ZG158" s="693" t="str">
        <f t="shared" si="215"/>
        <v>Y</v>
      </c>
      <c r="ZH158" s="693" t="str">
        <f t="shared" si="215"/>
        <v>Y</v>
      </c>
      <c r="ZI158" s="693" t="str">
        <f t="shared" si="215"/>
        <v>Y</v>
      </c>
      <c r="ZJ158" s="693" t="str">
        <f t="shared" si="215"/>
        <v>Y</v>
      </c>
      <c r="ZK158" s="693" t="str">
        <f t="shared" si="215"/>
        <v>Y</v>
      </c>
      <c r="ZL158" s="693" t="str">
        <f t="shared" si="215"/>
        <v>Y</v>
      </c>
      <c r="ZM158" s="693" t="str">
        <f t="shared" si="215"/>
        <v>Y</v>
      </c>
      <c r="ZN158" s="693" t="str">
        <f t="shared" si="215"/>
        <v>Y</v>
      </c>
      <c r="ZO158" s="693" t="str">
        <f t="shared" si="215"/>
        <v>Y</v>
      </c>
      <c r="ZP158" s="693" t="str">
        <f t="shared" si="215"/>
        <v>Y</v>
      </c>
      <c r="ZQ158" s="693" t="str">
        <f t="shared" si="215"/>
        <v>Y</v>
      </c>
      <c r="ZR158" s="693" t="str">
        <f t="shared" si="215"/>
        <v>Y</v>
      </c>
      <c r="ZS158" s="693" t="str">
        <f t="shared" ref="ZS158:AAS158" si="216">IF($ACQ$228&lt;0,"Ошибка",
IF(OR(AND($ACQ$228&gt;ZS155,ZS155&gt;1),ZS155=$ACQ$228),$ACO$228,
IF(OR(AND($ACQ$229&gt;ZS155,ZS155&gt;$ACQ$228),ZS155=$ACQ$229),$ACO$229,
IF(OR(AND($ACQ$230&gt;ZS155,ZS155&gt;$ACQ$229),ZS155=$ACQ$230),$ACO$230,
IF(OR(AND($ACQ$231&gt;ZS155,ZS155&gt;$ACQ$230),ZS155=$ACQ$231),$ACO$231,
IF(OR(AND($ACQ$232&gt;ZS155,ZS155&gt;$ACQ$231),ZS155=$ACQ$232),$ACO$232,
IF(OR(AND($ACQ$233&gt;ZS155,ZS155&gt;$ACQ$232),ZS155=$ACQ$233),$ACO$233,
IF(OR(AND($ACQ$234&gt;ZS155,ZS155&gt;$ACQ$233),ZS155=$ACQ$234),$ACO$234,
IF(OR(AND($ACQ$235&gt;ZS155,ZS155&gt;$ACQ$234),ZS155=$ACQ$235),$ACO$235,
IF(OR(AND($ACQ$236&gt;ZS155,ZS155&gt;$ACQ$235),ZS155=$ACQ$236),$ACO$236,
IF(OR(AND($ACQ$237&gt;ZS155,ZS155&gt;$ACQ$236),ZS155=$ACQ$237),$ACO$237,
IF(OR(AND($ACQ$238&gt;ZS155,ZS155&gt;$ACQ$237),ZS155=$ACQ$238),$ACO$238,
IF(OR(AND($ACQ$239&gt;ZS155,ZS155&gt;$ACQ$238),ZS155=$ACQ$239),$ACO$239,
IF(OR(AND($ACQ$240&gt;ZS155,ZS155&gt;$ACQ$239),ZS155=$ACQ$240),$ACO$240,
IF(OR(AND($ACQ$241&gt;ZS155,ZS155&gt;$ACQ$240),ZS155=$ACQ$241),$ACO$241,
IF(OR(AND($ACQ$242&gt;ZS155,ZS155&gt;$ACQ$241),ZS155=$ACQ$242),$ACO$242,
IF(OR(AND($ACQ$243&gt;ZS155,ZS155&gt;$ACQ$242),ZS155=$ACQ$243),$ACO$243,
IF(OR(AND($ACQ$244&gt;ZS155,ZS155&gt;$ACQ$243),ZS155=$ACQ$244),$ACO$244,
IF(OR(AND($ACQ$245&gt;ZS155,ZS155&gt;$ACQ$244),ZS155=$ACQ$245),$ACO$245,
IF(OR(AND($ACQ$246&gt;ZS155,ZS155&gt;$ACQ$245),ZS155=$ACQ$246),$ACO$246,
IF(OR(AND($ACQ$247&gt;ZS155,ZS155&gt;$ACQ$246),ZS155=$ACQ$247),$ACO$247,
IF(OR(AND($ACQ$248&gt;ZS155,ZS155&gt;$ACQ$247),ZS155=$ACQ$248),$ACO$248,
IF(OR(AND($ACQ$249&gt;ZS155,ZS155&gt;$ACQ$248),ZS155=$ACQ$249),$ACO$249,
IF(OR(AND($ACQ$250&gt;ZS155,ZS155&gt;$ACQ$249),ZS155=$ACQ$250),$ACO$250,
IF(OR(AND($ACQ$251&gt;ZS155,ZS155&gt;$ACQ$250),ZS155=$ACQ$251),$ACO$251,
IF(OR(AND($ACQ$252&gt;ZS155,ZS155&gt;$ACQ$251),ZS155=$ACQ$252),$ACO$252,
IF(OR(AND($ACQ$253&gt;ZS155,ZS155&gt;$ACQ$252),ZS155=$ACQ$253),$ACO$253,
IF(OR(AND($ACQ$254&gt;ZS155,ZS155&gt;$ACQ$253),ZS155=$ACQ$254),$ACO$254,
IF(OR(AND($ACQ$255&gt;ZS155,ZS155&gt;$ACQ$254),ZS155=$ACQ$255),$ACO$255,
IF(OR(AND($ACQ$256&gt;ZS155,ZS155&gt;$ACQ$255),ZS155=$ACQ$256),$ACO$256,
IF(OR(AND($ACQ$257&gt;ZS155,ZS155&gt;$ACQ$256),ZS155=$ACQ$257),$ACO$257,
IF(OR(AND($ACQ$258&gt;ZS155,ZS155&gt;$ACQ$257),ZS155=$ACQ$258),$ACO$258,
IF(OR(AND($ACQ$259&gt;ZS155,ZS155&gt;$ACQ$258),ZS155=$ACQ$259),$ACO$259,
IF(OR(AND($ACQ$260&gt;ZS155,ZS155&gt;$ACQ$259),ZS155=$ACQ$260),$ACO$260,
IF(OR(AND($ACQ$261&gt;ZS155,ZS155&gt;$ACQ$260),ZS155=$ACQ$261),$ACO$261,
IF(OR(AND($ACQ$262&gt;ZS155,ZS155&gt;$ACQ$261),ZS155=$ACQ$262),$ACO$262,
IF(OR(AND($ACQ$263&gt;ZS155,ZS155&gt;$ACQ$262),ZS155=$ACQ$263),$ACO$263,
IF(OR(AND($ACQ$264&gt;ZS155,ZS155&gt;$ACQ$263),ZS155=$ACQ$264),$ACO$264,
IF(OR(AND($ACQ$265&gt;ZS155,ZS155&gt;$ACQ$264),ZS155=$ACQ$265),$ACO$265,
IF(OR(AND($ACQ$266&gt;ZS155,ZS155&gt;$ACQ$265),ZS155=$ACQ$266),$ACO$266,
IF(OR(AND($ACQ$267&gt;ZS155,ZS155&gt;$ACQ$266),ZS155=$ACQ$267),$ACO$267,
IF(OR(AND($ACQ$268&gt;ZS155,ZS155&gt;$ACQ$267),ZS155=$ACQ$268),$ACO$268,
IF(OR(AND($ACQ$269&gt;ZS155,ZS155&gt;$ACQ$268),ZS155=$ACQ$269),$ACO$269,
IF(OR(AND($ACQ$270&gt;ZS155,ZS155&gt;$ACQ$269),ZS155=$ACQ$270),$ACO$270,
IF(OR(AND($ACQ$271&gt;ZS155,ZS155&gt;$ACQ$270),ZS155=$ACQ$271),$ACO$271,
IF(OR(AND($ACQ$272&gt;ZS155,ZS155&gt;$ACQ$271),ZS155=$ACQ$272),$ACO$272,
IF(OR(AND($ACQ$273&gt;ZS155,ZS155&gt;$ACQ$272),ZS155=$ACQ$273),$ACO$273,
IF(OR(AND($ACQ$274&gt;ZS155,ZS155&gt;$ACQ$273),ZS155=$ACQ$274),$ACO$274,
IF(OR(AND($ACQ$275&gt;ZS155,ZS155&gt;$ACQ$274),ZS155=$ACQ$275),$ACO$275,
IF(OR(AND($ACQ$276&gt;ZS155,ZS155&gt;$ACQ$275),ZS155=$ACQ$276),$ACO$276,
IF(OR(AND($ACQ$277&gt;ZS155,ZS155&gt;$ACQ$276),ZS155=$ACQ$277),$ACO$277,
"Y")))))))))))))))))))))))))))))))))))))))))))))))))))</f>
        <v>Y</v>
      </c>
      <c r="ZT158" s="693" t="str">
        <f t="shared" si="216"/>
        <v>Y</v>
      </c>
      <c r="ZU158" s="693" t="str">
        <f t="shared" si="216"/>
        <v>Y</v>
      </c>
      <c r="ZV158" s="693" t="str">
        <f t="shared" si="216"/>
        <v>Y</v>
      </c>
      <c r="ZW158" s="693" t="str">
        <f t="shared" si="216"/>
        <v>Y</v>
      </c>
      <c r="ZX158" s="693" t="str">
        <f t="shared" si="216"/>
        <v>Y</v>
      </c>
      <c r="ZY158" s="693" t="str">
        <f t="shared" si="216"/>
        <v>Y</v>
      </c>
      <c r="ZZ158" s="693" t="str">
        <f t="shared" si="216"/>
        <v>Y</v>
      </c>
      <c r="AAA158" s="693" t="str">
        <f t="shared" si="216"/>
        <v>Y</v>
      </c>
      <c r="AAB158" s="693" t="str">
        <f t="shared" si="216"/>
        <v>Y</v>
      </c>
      <c r="AAC158" s="693" t="str">
        <f t="shared" si="216"/>
        <v>Y</v>
      </c>
      <c r="AAD158" s="693" t="str">
        <f t="shared" si="216"/>
        <v>Y</v>
      </c>
      <c r="AAE158" s="693" t="str">
        <f t="shared" si="216"/>
        <v>Y</v>
      </c>
      <c r="AAF158" s="693" t="str">
        <f t="shared" si="216"/>
        <v>Y</v>
      </c>
      <c r="AAG158" s="693" t="str">
        <f t="shared" si="216"/>
        <v>Y</v>
      </c>
      <c r="AAH158" s="693" t="str">
        <f t="shared" si="216"/>
        <v>Y</v>
      </c>
      <c r="AAI158" s="693" t="str">
        <f t="shared" si="216"/>
        <v>Y</v>
      </c>
      <c r="AAJ158" s="693" t="str">
        <f t="shared" si="216"/>
        <v>Y</v>
      </c>
      <c r="AAK158" s="693" t="str">
        <f t="shared" si="216"/>
        <v>Y</v>
      </c>
      <c r="AAL158" s="693" t="str">
        <f t="shared" si="216"/>
        <v>Y</v>
      </c>
      <c r="AAM158" s="693" t="str">
        <f t="shared" si="216"/>
        <v>Y</v>
      </c>
      <c r="AAN158" s="693" t="str">
        <f t="shared" si="216"/>
        <v>Y</v>
      </c>
      <c r="AAO158" s="693" t="str">
        <f t="shared" si="216"/>
        <v>Y</v>
      </c>
      <c r="AAP158" s="693" t="str">
        <f t="shared" si="216"/>
        <v>Y</v>
      </c>
      <c r="AAQ158" s="693" t="str">
        <f t="shared" si="216"/>
        <v>Y</v>
      </c>
      <c r="AAR158" s="693" t="str">
        <f t="shared" si="216"/>
        <v>Y</v>
      </c>
      <c r="AAS158" s="693" t="str">
        <f t="shared" si="216"/>
        <v>Y</v>
      </c>
      <c r="AAT158" s="1005">
        <v>19</v>
      </c>
      <c r="AAU158" s="167"/>
      <c r="AAV158" s="168"/>
      <c r="AAW158" s="168"/>
      <c r="AAX158" s="168"/>
      <c r="AAY158" s="168"/>
      <c r="AAZ158" s="168"/>
      <c r="ABA158" s="168"/>
      <c r="ABB158" s="168"/>
      <c r="ABC158" s="168"/>
      <c r="ABD158" s="168"/>
      <c r="ABE158" s="168"/>
      <c r="ABF158" s="168"/>
      <c r="ABG158" s="168"/>
      <c r="ABH158" s="171"/>
      <c r="ABI158" s="158"/>
      <c r="ABJ158" s="158"/>
      <c r="ABK158" s="158"/>
      <c r="ABL158" s="158"/>
      <c r="ABM158" s="158"/>
      <c r="ABN158" s="158"/>
      <c r="ABO158" s="158"/>
      <c r="ABP158" s="163"/>
      <c r="ABS158" s="162"/>
      <c r="ABT158" s="158"/>
      <c r="ABU158" s="158"/>
      <c r="ABV158" s="158"/>
      <c r="ABW158" s="158"/>
      <c r="ABX158" s="158"/>
      <c r="ABY158" s="158"/>
      <c r="ABZ158" s="158"/>
      <c r="ACA158" s="158"/>
      <c r="ACB158" s="158"/>
      <c r="ACC158" s="158"/>
      <c r="ACD158" s="158"/>
      <c r="ACE158" s="158"/>
      <c r="ACF158" s="158"/>
      <c r="ACG158" s="158"/>
      <c r="ACH158" s="163"/>
      <c r="ACJ158" s="759">
        <v>-3.125E-2</v>
      </c>
      <c r="ACK158" s="760"/>
      <c r="ACL158" s="759">
        <v>1</v>
      </c>
      <c r="ACM158" s="760"/>
      <c r="ACN158" s="591">
        <v>5</v>
      </c>
      <c r="ACO158" s="759">
        <f t="shared" si="194"/>
        <v>0.99875000000000003</v>
      </c>
      <c r="ACP158" s="760"/>
      <c r="ACQ158" s="757">
        <f t="shared" si="195"/>
        <v>0.04</v>
      </c>
      <c r="ACR158" s="758"/>
      <c r="ACT158" s="759">
        <v>-3.125E-2</v>
      </c>
      <c r="ACU158" s="760"/>
      <c r="ACV158" s="759">
        <v>1</v>
      </c>
      <c r="ACW158" s="760"/>
      <c r="ACX158" s="591">
        <v>55</v>
      </c>
      <c r="ACY158" s="759">
        <f t="shared" si="196"/>
        <v>0.98624999999999996</v>
      </c>
      <c r="ACZ158" s="760"/>
      <c r="ADA158" s="757">
        <f t="shared" si="197"/>
        <v>0.44</v>
      </c>
      <c r="ADB158" s="758"/>
      <c r="ADD158" s="759">
        <v>-8.3333333333333398E-2</v>
      </c>
      <c r="ADE158" s="760"/>
      <c r="ADF158" s="759">
        <v>1.0416666666666701</v>
      </c>
      <c r="ADG158" s="760"/>
      <c r="ADH158" s="592">
        <v>105</v>
      </c>
      <c r="ADI158" s="759">
        <f t="shared" si="198"/>
        <v>0.97166666666667001</v>
      </c>
      <c r="ADJ158" s="760"/>
      <c r="ADK158" s="757">
        <f t="shared" si="199"/>
        <v>0.84</v>
      </c>
      <c r="ADL158" s="758"/>
      <c r="ADN158" s="759">
        <v>-0.14285714285714299</v>
      </c>
      <c r="ADO158" s="760"/>
      <c r="ADP158" s="759">
        <v>1.1071428571428601</v>
      </c>
      <c r="ADQ158" s="760"/>
      <c r="ADR158" s="592">
        <v>155</v>
      </c>
      <c r="ADS158" s="759">
        <f t="shared" si="200"/>
        <v>0.93000000000000282</v>
      </c>
      <c r="ADT158" s="760"/>
      <c r="ADU158" s="757">
        <f t="shared" si="201"/>
        <v>1.24</v>
      </c>
      <c r="ADV158" s="758"/>
      <c r="ADX158" s="759">
        <v>-0.2</v>
      </c>
      <c r="ADY158" s="760"/>
      <c r="ADZ158" s="759">
        <v>1.19</v>
      </c>
      <c r="AEA158" s="760"/>
      <c r="AEB158" s="591">
        <v>205</v>
      </c>
      <c r="AEC158" s="759">
        <f t="shared" si="202"/>
        <v>0.86199999999999988</v>
      </c>
      <c r="AED158" s="760"/>
      <c r="AEE158" s="757">
        <f t="shared" si="203"/>
        <v>1.6400000000000001</v>
      </c>
      <c r="AEF158" s="758"/>
      <c r="AEH158" s="759">
        <v>-0.33333333333333298</v>
      </c>
      <c r="AEI158" s="760"/>
      <c r="AEJ158" s="759">
        <v>1.4166666666666701</v>
      </c>
      <c r="AEK158" s="760"/>
      <c r="AEL158" s="592">
        <v>255</v>
      </c>
      <c r="AEM158" s="759">
        <f t="shared" si="204"/>
        <v>0.7366666666666708</v>
      </c>
      <c r="AEN158" s="760"/>
      <c r="AEO158" s="757">
        <f t="shared" si="205"/>
        <v>2.04</v>
      </c>
      <c r="AEP158" s="758"/>
      <c r="AER158" s="759">
        <v>-0.25</v>
      </c>
      <c r="AES158" s="760"/>
      <c r="AET158" s="759">
        <v>1.2250000000000001</v>
      </c>
      <c r="AEU158" s="760"/>
      <c r="AEV158" s="591">
        <v>305</v>
      </c>
      <c r="AEW158" s="759">
        <f t="shared" si="206"/>
        <v>0.6150000000000001</v>
      </c>
      <c r="AEX158" s="760"/>
      <c r="AEY158" s="757">
        <f t="shared" si="207"/>
        <v>2.44</v>
      </c>
      <c r="AEZ158" s="758"/>
      <c r="AFB158" s="759">
        <v>-0.1</v>
      </c>
      <c r="AFC158" s="760"/>
      <c r="AFD158" s="759">
        <v>0.82</v>
      </c>
      <c r="AFE158" s="760"/>
      <c r="AFF158" s="591">
        <v>355</v>
      </c>
      <c r="AFG158" s="759">
        <f t="shared" si="208"/>
        <v>0.53600000000000003</v>
      </c>
      <c r="AFH158" s="760"/>
      <c r="AFI158" s="757">
        <f t="shared" si="209"/>
        <v>2.84</v>
      </c>
      <c r="AFJ158" s="758"/>
      <c r="AFL158" s="759">
        <v>-0.25</v>
      </c>
      <c r="AFM158" s="760"/>
      <c r="AFN158" s="759">
        <v>1.3</v>
      </c>
      <c r="AFO158" s="760"/>
      <c r="AFP158" s="592">
        <v>405</v>
      </c>
      <c r="AFQ158" s="759">
        <f t="shared" si="210"/>
        <v>0.49</v>
      </c>
      <c r="AFR158" s="760"/>
      <c r="AFS158" s="757">
        <f t="shared" si="211"/>
        <v>3.24</v>
      </c>
      <c r="AFT158" s="758"/>
      <c r="AFV158" s="759">
        <v>-0.125</v>
      </c>
      <c r="AFW158" s="760"/>
      <c r="AFX158" s="759">
        <v>0.875</v>
      </c>
      <c r="AFY158" s="760"/>
      <c r="AFZ158" s="591">
        <v>455</v>
      </c>
      <c r="AGA158" s="759">
        <f t="shared" si="212"/>
        <v>0.42</v>
      </c>
      <c r="AGB158" s="760"/>
      <c r="AGC158" s="757">
        <f t="shared" si="213"/>
        <v>3.64</v>
      </c>
      <c r="AGD158" s="758"/>
      <c r="AGQ158" s="850"/>
      <c r="AGR158" s="1395"/>
      <c r="AGS158" s="1395"/>
      <c r="AGT158" s="1795"/>
      <c r="AGU158" s="1795"/>
      <c r="AGV158" s="957"/>
      <c r="AGW158" s="957"/>
      <c r="AGX158" s="957"/>
      <c r="AGY158" s="957"/>
      <c r="AGZ158" s="957"/>
      <c r="AHA158" s="957"/>
      <c r="AHB158" s="957"/>
      <c r="AHC158" s="957"/>
      <c r="AHD158" s="957"/>
      <c r="AHE158" s="957"/>
      <c r="AHF158" s="957"/>
      <c r="AHG158" s="957"/>
      <c r="AHH158" s="957"/>
      <c r="AHI158" s="957"/>
      <c r="AHJ158" s="850"/>
      <c r="AIA158" s="130"/>
      <c r="AIB158" s="130"/>
      <c r="AIJ158" s="130"/>
      <c r="AIK158" s="130"/>
      <c r="AIL158" s="130"/>
      <c r="AIM158" s="130"/>
      <c r="AIN158" s="130"/>
      <c r="AIO158" s="130"/>
      <c r="AIP158" s="130"/>
      <c r="AIQ158" s="130"/>
      <c r="AIR158" s="130"/>
      <c r="AIS158" s="130"/>
      <c r="AIT158" s="130"/>
      <c r="AIU158" s="130"/>
      <c r="AIV158" s="130"/>
      <c r="AIW158" s="130"/>
      <c r="AIX158" s="130"/>
      <c r="AIY158" s="130"/>
      <c r="AIZ158" s="130"/>
      <c r="AQO158" s="851"/>
      <c r="AQP158" s="857"/>
      <c r="AQQ158" s="857"/>
      <c r="AQR158" s="857"/>
      <c r="AQS158" s="857"/>
      <c r="AQT158" s="857"/>
      <c r="AQU158" s="857"/>
      <c r="AQV158" s="857"/>
      <c r="AQW158" s="857"/>
      <c r="AQX158" s="857"/>
      <c r="AQY158" s="857"/>
      <c r="AQZ158" s="857"/>
      <c r="ARA158" s="857"/>
      <c r="ARB158" s="857"/>
      <c r="ARC158" s="837"/>
      <c r="ARD158" s="838"/>
      <c r="ARE158" s="777"/>
      <c r="ARF158" s="799"/>
      <c r="ARG158" s="842"/>
      <c r="ARH158" s="845"/>
      <c r="ARI158" s="846"/>
      <c r="ARJ158" s="848"/>
    </row>
    <row r="159" spans="338:948 1133:1217" ht="48" customHeight="1" thickBot="1">
      <c r="LZ159" s="377"/>
      <c r="MA159" s="373"/>
      <c r="MB159" s="54" t="s">
        <v>502</v>
      </c>
      <c r="MC159" s="373"/>
      <c r="MD159" s="851"/>
      <c r="ME159" s="1408" t="s">
        <v>1069</v>
      </c>
      <c r="MF159" s="1409"/>
      <c r="MG159" s="774">
        <f>$CI$79</f>
        <v>0.95799999999999996</v>
      </c>
      <c r="MH159" s="774"/>
      <c r="MI159" s="795"/>
      <c r="MJ159" s="795"/>
      <c r="MK159" s="795"/>
      <c r="ML159" s="795"/>
      <c r="MM159" s="795"/>
      <c r="MN159" s="795"/>
      <c r="MO159" s="795"/>
      <c r="MP159" s="795"/>
      <c r="MQ159" s="796"/>
      <c r="MR159" s="942"/>
      <c r="MS159" s="943"/>
      <c r="MT159" s="943"/>
      <c r="MU159" s="943"/>
      <c r="MV159" s="943"/>
      <c r="MW159" s="943"/>
      <c r="MX159" s="943"/>
      <c r="MY159" s="943"/>
      <c r="MZ159" s="944"/>
      <c r="NA159" s="1053"/>
      <c r="NB159" s="1053"/>
      <c r="NC159" s="1053"/>
      <c r="ND159" s="1053"/>
      <c r="NE159" s="1053"/>
      <c r="NF159" s="1053"/>
      <c r="NG159" s="1053"/>
      <c r="NH159" s="1053"/>
      <c r="NI159" s="1053"/>
      <c r="NJ159" s="1053"/>
      <c r="NK159" s="1053"/>
      <c r="NL159" s="1053"/>
      <c r="NM159" s="373"/>
      <c r="NN159" s="373"/>
      <c r="NO159" s="374"/>
      <c r="PG159" s="377"/>
      <c r="PH159" s="54"/>
      <c r="PI159" s="373"/>
      <c r="PJ159" s="54"/>
      <c r="PK159" s="373"/>
      <c r="PL159" s="849"/>
      <c r="PM159" s="1257" t="s">
        <v>416</v>
      </c>
      <c r="PN159" s="1257"/>
      <c r="PO159" s="484"/>
      <c r="PP159" s="78"/>
      <c r="PQ159" s="78"/>
      <c r="PR159" s="78"/>
      <c r="PS159" s="78"/>
      <c r="PT159" s="78"/>
      <c r="PU159" s="78"/>
      <c r="PV159" s="484"/>
      <c r="PW159" s="76" t="s">
        <v>441</v>
      </c>
      <c r="PX159" s="854" t="s">
        <v>435</v>
      </c>
      <c r="PY159" s="855"/>
      <c r="PZ159" s="920" t="s">
        <v>111</v>
      </c>
      <c r="QA159" s="921"/>
      <c r="QB159" s="916" t="s">
        <v>704</v>
      </c>
      <c r="QC159" s="917"/>
      <c r="QD159" s="1051" t="s">
        <v>447</v>
      </c>
      <c r="QE159" s="1051"/>
      <c r="QF159" s="1051"/>
      <c r="QG159" s="1051"/>
      <c r="QH159" s="1051"/>
      <c r="QI159" s="906" t="s">
        <v>863</v>
      </c>
      <c r="QJ159" s="907"/>
      <c r="QK159" s="908"/>
      <c r="QL159" s="373"/>
      <c r="QM159" s="373"/>
      <c r="QN159" s="54"/>
      <c r="QO159" s="373"/>
      <c r="QP159" s="373"/>
      <c r="QQ159" s="373"/>
      <c r="QR159" s="374"/>
      <c r="QV159" s="130"/>
      <c r="QW159" s="130"/>
      <c r="QX159" s="130"/>
      <c r="WE159" s="996"/>
      <c r="WF159" s="997"/>
      <c r="WG159" s="175"/>
      <c r="WH159" s="173"/>
      <c r="WI159" s="173"/>
      <c r="WJ159" s="173"/>
      <c r="WK159" s="173"/>
      <c r="WL159" s="173"/>
      <c r="WM159" s="173"/>
      <c r="WN159" s="173"/>
      <c r="WO159" s="173"/>
      <c r="WP159" s="173"/>
      <c r="WQ159" s="173"/>
      <c r="WR159" s="173"/>
      <c r="WS159" s="173"/>
      <c r="WT159" s="173"/>
      <c r="WU159" s="173"/>
      <c r="WV159" s="173"/>
      <c r="WW159" s="173"/>
      <c r="WX159" s="173"/>
      <c r="WY159" s="174"/>
      <c r="WZ159" s="1085"/>
      <c r="XA159" s="1085"/>
      <c r="XB159" s="175"/>
      <c r="XC159" s="173"/>
      <c r="XD159" s="173"/>
      <c r="XE159" s="173"/>
      <c r="XF159" s="173"/>
      <c r="XG159" s="693" t="str">
        <f t="shared" ref="XG159:YL159" si="217">IF($ADA$228&lt;0,"Ошибка",
IF(OR(AND($ADA$228&gt;XG155,XG155&gt;$ACQ$277),XG155 = $ADA$228),$ACY$228,
IF(OR(AND($ADA$229&gt;XG155,XG155&gt;$ADA$228),XG155 = $ADA$229),$ACY$229,
IF(OR(AND($ADA$230&gt;XG155,XG155&gt;$ADA$229),XG155 = $ADA$230),$ACY$230,
IF(OR(AND($ADA$231&gt;XG155,XG155&gt;$ADA$230),XG155 = $ADA$231),$ACY$231,
IF(OR(AND($ADA$232&gt;XG155,XG155&gt;$ADA$231),XG155 = $ADA$232),$ACY$232,
IF(OR(AND($ADA$233&gt;XG155,XG155&gt;$ADA$232),XG155 = $ADA$233),$ACY$233,
IF(OR(AND($ADA$234&gt;XG155,XG155&gt;$ADA$233),XG155 = $ADA$234),$ACY$234,
IF(OR(AND($ADA$235&gt;XG155,XG155&gt;$ADA$234),XG155 = $ADA$235),$ACY$235,
IF(OR(AND($ADA$236&gt;XG155,XG155&gt;$ADA$235),XG155 = $ADA$236),$ACY$236,
IF(OR(AND($ADA$237&gt;XG155,XG155&gt;$ADA$236),XG155 = $ADA$237),$ACY$237,
IF(OR(AND($ADA$238&gt;XG155,XG155&gt;$ADA$237),XG155 = $ADA$238),$ACY$238,
IF(OR(AND($ADA$239&gt;XG155,XG155&gt;$ADA$238),XG155 = $ADA$239),$ACY$239,
IF(OR(AND($ADA$240&gt;XG155,XG155&gt;$ADA$239),XG155 = $ADA$240),$ACY$240,
IF(OR(AND($ADA$241&gt;XG155,XG155&gt;$ADA$240),XG155 = $ADA$241),$ACY$241,
IF(OR(AND($ADA$242&gt;XG155,XG155&gt;$ADA$241),XG155 = $ADA$242),$ACY$242,
IF(OR(AND($ADA$243&gt;XG155,XG155&gt;$ADA$242),XG155 = $ADA$243),$ACY$243,
IF(OR(AND($ADA$244&gt;XG155,XG155&gt;$ADA$243),XG155 = $ADA$244),$ACY$244,
IF(OR(AND($ADA$245&gt;XG155,XG155&gt;$ADA$244),XG155 = $ADA$245),$ACY$245,
IF(OR(AND($ADA$246&gt;XG155,XG155&gt;$ADA$245),XG155 = $ADA$246),$ACY$246,
IF(OR(AND($ADA$247&gt;XG155,XG155&gt;$ADA$246),XG155 = $ADA$247),$ACY$247,
IF(OR(AND($ADA$248&gt;XG155,XG155&gt;$ADA$247),XG155 = $ADA$248),$ACY$248,
IF(OR(AND($ADA$249&gt;XG155,XG155&gt;$ADA$248),XG155 = $ADA$249),$ACY$249,
IF(OR(AND($ADA$250&gt;XG155,XG155&gt;$ADA$249),XG155 = $ADA$250),$ACY$250,
IF(OR(AND($ADA$251&gt;XG155,XG155&gt;$ADA$250),XG155 = $ADA$251),$ACY$251,
IF(OR(AND($ADA$252&gt;XG155,XG155&gt;$ADA$251),XG155 = $ADA$252),$ACY$252,
IF(OR(AND($ADA$253&gt;XG155,XG155&gt;$ADA$252),XG155 = $ADA$253),$ACY$253,
IF(OR(AND($ADA$254&gt;XG155,XG155&gt;$ADA$253),XG155 = $ADA$254),$ACY$254,
IF(OR(AND($ADA$255&gt;XG155,XG155&gt;$ADA$254),XG155 = $ADA$255),$ACY$255,
IF(OR(AND($ADA$256&gt;XG155,XG155&gt;$ADA$255),XG155 = $ADA$256),$ACY$256,
IF(OR(AND($ADA$257&gt;XG155,XG155&gt;$ADA$256),XG155 = $ADA$257),$ACY$257,
IF(OR(AND($ADA$258&gt;XG155,XG155&gt;$ADA$257),XG155 = $ADA$258),$ACY$258,
IF(OR(AND($ADA$259&gt;XG155,XG155&gt;$ADA$258),XG155 = $ADA$259),$ACY$259,
IF(OR(AND($ADA$260&gt;XG155,XG155&gt;$ADA$259),XG155 = $ADA$260),$ACY$260,
IF(OR(AND($ADA$261&gt;XG155,XG155&gt;$ADA$260),XG155 = $ADA$261),$ACY$261,
IF(OR(AND($ADA$262&gt;XG155,XG155&gt;$ADA$261),XG155 = $ADA$262),$ACY$262,
IF(OR(AND($ADA$263&gt;XG155,XG155&gt;$ADA$262),XG155 = $ADA$263),$ACY$263,
IF(OR(AND($ADA$264&gt;XG155,XG155&gt;$ADA$263),XG155 = $ADA$264),$ACY$264,
IF(OR(AND($ADA$265&gt;XG155,XG155&gt;$ADA$264),XG155 = $ADA$265),$ACY$265,
IF(OR(AND($ADA$266&gt;XG155,XG155&gt;$ADA$265),XG155 = $ADA$266),$ACY$266,
IF(OR(AND($ADA$267&gt;XG155,XG155&gt;$ADA$266),XG155 = $ADA$267),$ACY$267,
IF(OR(AND($ADA$268&gt;XG155,XG155&gt;$ADA$267),XG155 = $ADA$268),$ACY$268,
IF(OR(AND($ADA$269&gt;XG155,XG155&gt;$ADA$268),XG155 = $ADA$269),$ACY$269,
IF(OR(AND($ADA$270&gt;XG155,XG155&gt;$ADA$269),XG155 = $ADA$270),$ACY$270,
IF(OR(AND($ADA$271&gt;XG155,XG155&gt;$ADA$270),XG155 = $ADA$271),$ACY$271,
IF(OR(AND($ADA$272&gt;XG155,XG155&gt;$ADA$271),XG155 = $ADA$272),$ACY$272,
IF(OR(AND($ADA$273&gt;XG155,XG155&gt;$ADA$272),XG155 = $ADA$273),$ACY$273,
IF(OR(AND($ADA$274&gt;XG155,XG155&gt;$ADA$273),XG155 = $ADA$274),$ACY$274,
IF(OR(AND($ADA$275&gt;XG155,XG155&gt;$ADA$274),XG155 = $ADA$275),$ACY$275,
IF(OR(AND($ADA$276&gt;XG155,XG155&gt;$ADA$275),XG155 = $ADA$276),$ACY$276,
IF(OR(AND($ADA$277&gt;XG155,XG155&gt;$ADA$276),XG155 = $ADA$277),$ACY$277,
"Y")))))))))))))))))))))))))))))))))))))))))))))))))))</f>
        <v>Y</v>
      </c>
      <c r="XH159" s="693" t="str">
        <f t="shared" si="217"/>
        <v>Y</v>
      </c>
      <c r="XI159" s="693" t="str">
        <f t="shared" si="217"/>
        <v>Y</v>
      </c>
      <c r="XJ159" s="693" t="str">
        <f t="shared" si="217"/>
        <v>Y</v>
      </c>
      <c r="XK159" s="693" t="str">
        <f t="shared" si="217"/>
        <v>Y</v>
      </c>
      <c r="XL159" s="693" t="str">
        <f t="shared" si="217"/>
        <v>Y</v>
      </c>
      <c r="XM159" s="693" t="str">
        <f t="shared" si="217"/>
        <v>Y</v>
      </c>
      <c r="XN159" s="693" t="str">
        <f t="shared" si="217"/>
        <v>Y</v>
      </c>
      <c r="XO159" s="693" t="str">
        <f t="shared" si="217"/>
        <v>Y</v>
      </c>
      <c r="XP159" s="693" t="str">
        <f t="shared" si="217"/>
        <v>Y</v>
      </c>
      <c r="XQ159" s="693" t="str">
        <f t="shared" si="217"/>
        <v>Y</v>
      </c>
      <c r="XR159" s="693" t="str">
        <f t="shared" si="217"/>
        <v>Y</v>
      </c>
      <c r="XS159" s="693" t="str">
        <f t="shared" si="217"/>
        <v>Y</v>
      </c>
      <c r="XT159" s="693" t="str">
        <f t="shared" si="217"/>
        <v>Y</v>
      </c>
      <c r="XU159" s="693" t="str">
        <f t="shared" si="217"/>
        <v>Y</v>
      </c>
      <c r="XV159" s="693">
        <f t="shared" si="217"/>
        <v>0.91482812499999999</v>
      </c>
      <c r="XW159" s="693">
        <f t="shared" si="217"/>
        <v>0.91193359374999994</v>
      </c>
      <c r="XX159" s="693">
        <f t="shared" si="217"/>
        <v>0.91000390624999994</v>
      </c>
      <c r="XY159" s="693">
        <f t="shared" si="217"/>
        <v>0.90807421874999994</v>
      </c>
      <c r="XZ159" s="693">
        <f t="shared" si="217"/>
        <v>0.90614453124999994</v>
      </c>
      <c r="YA159" s="693">
        <f t="shared" si="217"/>
        <v>0.9051796875</v>
      </c>
      <c r="YB159" s="693">
        <f t="shared" si="217"/>
        <v>0.90325</v>
      </c>
      <c r="YC159" s="693">
        <f t="shared" si="217"/>
        <v>0.9013203125</v>
      </c>
      <c r="YD159" s="693">
        <f t="shared" si="217"/>
        <v>0.90035546874999994</v>
      </c>
      <c r="YE159" s="693">
        <f t="shared" si="217"/>
        <v>0.89612500000000006</v>
      </c>
      <c r="YF159" s="693">
        <f t="shared" si="217"/>
        <v>0.89375000000000004</v>
      </c>
      <c r="YG159" s="693">
        <f t="shared" si="217"/>
        <v>0.89137500000000003</v>
      </c>
      <c r="YH159" s="693">
        <f t="shared" si="217"/>
        <v>0.88900000000000001</v>
      </c>
      <c r="YI159" s="693">
        <f t="shared" si="217"/>
        <v>0.886625</v>
      </c>
      <c r="YJ159" s="693">
        <f t="shared" si="217"/>
        <v>0.88424999999999998</v>
      </c>
      <c r="YK159" s="693">
        <f t="shared" si="217"/>
        <v>0.88187500000000008</v>
      </c>
      <c r="YL159" s="693">
        <f t="shared" si="217"/>
        <v>0.88187500000000008</v>
      </c>
      <c r="YM159" s="693">
        <f t="shared" ref="YM159:ZR159" si="218">IF($ADA$228&lt;0,"Ошибка",
IF(OR(AND($ADA$228&gt;YM155,YM155&gt;$ACQ$277),YM155 = $ADA$228),$ACY$228,
IF(OR(AND($ADA$229&gt;YM155,YM155&gt;$ADA$228),YM155 = $ADA$229),$ACY$229,
IF(OR(AND($ADA$230&gt;YM155,YM155&gt;$ADA$229),YM155 = $ADA$230),$ACY$230,
IF(OR(AND($ADA$231&gt;YM155,YM155&gt;$ADA$230),YM155 = $ADA$231),$ACY$231,
IF(OR(AND($ADA$232&gt;YM155,YM155&gt;$ADA$231),YM155 = $ADA$232),$ACY$232,
IF(OR(AND($ADA$233&gt;YM155,YM155&gt;$ADA$232),YM155 = $ADA$233),$ACY$233,
IF(OR(AND($ADA$234&gt;YM155,YM155&gt;$ADA$233),YM155 = $ADA$234),$ACY$234,
IF(OR(AND($ADA$235&gt;YM155,YM155&gt;$ADA$234),YM155 = $ADA$235),$ACY$235,
IF(OR(AND($ADA$236&gt;YM155,YM155&gt;$ADA$235),YM155 = $ADA$236),$ACY$236,
IF(OR(AND($ADA$237&gt;YM155,YM155&gt;$ADA$236),YM155 = $ADA$237),$ACY$237,
IF(OR(AND($ADA$238&gt;YM155,YM155&gt;$ADA$237),YM155 = $ADA$238),$ACY$238,
IF(OR(AND($ADA$239&gt;YM155,YM155&gt;$ADA$238),YM155 = $ADA$239),$ACY$239,
IF(OR(AND($ADA$240&gt;YM155,YM155&gt;$ADA$239),YM155 = $ADA$240),$ACY$240,
IF(OR(AND($ADA$241&gt;YM155,YM155&gt;$ADA$240),YM155 = $ADA$241),$ACY$241,
IF(OR(AND($ADA$242&gt;YM155,YM155&gt;$ADA$241),YM155 = $ADA$242),$ACY$242,
IF(OR(AND($ADA$243&gt;YM155,YM155&gt;$ADA$242),YM155 = $ADA$243),$ACY$243,
IF(OR(AND($ADA$244&gt;YM155,YM155&gt;$ADA$243),YM155 = $ADA$244),$ACY$244,
IF(OR(AND($ADA$245&gt;YM155,YM155&gt;$ADA$244),YM155 = $ADA$245),$ACY$245,
IF(OR(AND($ADA$246&gt;YM155,YM155&gt;$ADA$245),YM155 = $ADA$246),$ACY$246,
IF(OR(AND($ADA$247&gt;YM155,YM155&gt;$ADA$246),YM155 = $ADA$247),$ACY$247,
IF(OR(AND($ADA$248&gt;YM155,YM155&gt;$ADA$247),YM155 = $ADA$248),$ACY$248,
IF(OR(AND($ADA$249&gt;YM155,YM155&gt;$ADA$248),YM155 = $ADA$249),$ACY$249,
IF(OR(AND($ADA$250&gt;YM155,YM155&gt;$ADA$249),YM155 = $ADA$250),$ACY$250,
IF(OR(AND($ADA$251&gt;YM155,YM155&gt;$ADA$250),YM155 = $ADA$251),$ACY$251,
IF(OR(AND($ADA$252&gt;YM155,YM155&gt;$ADA$251),YM155 = $ADA$252),$ACY$252,
IF(OR(AND($ADA$253&gt;YM155,YM155&gt;$ADA$252),YM155 = $ADA$253),$ACY$253,
IF(OR(AND($ADA$254&gt;YM155,YM155&gt;$ADA$253),YM155 = $ADA$254),$ACY$254,
IF(OR(AND($ADA$255&gt;YM155,YM155&gt;$ADA$254),YM155 = $ADA$255),$ACY$255,
IF(OR(AND($ADA$256&gt;YM155,YM155&gt;$ADA$255),YM155 = $ADA$256),$ACY$256,
IF(OR(AND($ADA$257&gt;YM155,YM155&gt;$ADA$256),YM155 = $ADA$257),$ACY$257,
IF(OR(AND($ADA$258&gt;YM155,YM155&gt;$ADA$257),YM155 = $ADA$258),$ACY$258,
IF(OR(AND($ADA$259&gt;YM155,YM155&gt;$ADA$258),YM155 = $ADA$259),$ACY$259,
IF(OR(AND($ADA$260&gt;YM155,YM155&gt;$ADA$259),YM155 = $ADA$260),$ACY$260,
IF(OR(AND($ADA$261&gt;YM155,YM155&gt;$ADA$260),YM155 = $ADA$261),$ACY$261,
IF(OR(AND($ADA$262&gt;YM155,YM155&gt;$ADA$261),YM155 = $ADA$262),$ACY$262,
IF(OR(AND($ADA$263&gt;YM155,YM155&gt;$ADA$262),YM155 = $ADA$263),$ACY$263,
IF(OR(AND($ADA$264&gt;YM155,YM155&gt;$ADA$263),YM155 = $ADA$264),$ACY$264,
IF(OR(AND($ADA$265&gt;YM155,YM155&gt;$ADA$264),YM155 = $ADA$265),$ACY$265,
IF(OR(AND($ADA$266&gt;YM155,YM155&gt;$ADA$265),YM155 = $ADA$266),$ACY$266,
IF(OR(AND($ADA$267&gt;YM155,YM155&gt;$ADA$266),YM155 = $ADA$267),$ACY$267,
IF(OR(AND($ADA$268&gt;YM155,YM155&gt;$ADA$267),YM155 = $ADA$268),$ACY$268,
IF(OR(AND($ADA$269&gt;YM155,YM155&gt;$ADA$268),YM155 = $ADA$269),$ACY$269,
IF(OR(AND($ADA$270&gt;YM155,YM155&gt;$ADA$269),YM155 = $ADA$270),$ACY$270,
IF(OR(AND($ADA$271&gt;YM155,YM155&gt;$ADA$270),YM155 = $ADA$271),$ACY$271,
IF(OR(AND($ADA$272&gt;YM155,YM155&gt;$ADA$271),YM155 = $ADA$272),$ACY$272,
IF(OR(AND($ADA$273&gt;YM155,YM155&gt;$ADA$272),YM155 = $ADA$273),$ACY$273,
IF(OR(AND($ADA$274&gt;YM155,YM155&gt;$ADA$273),YM155 = $ADA$274),$ACY$274,
IF(OR(AND($ADA$275&gt;YM155,YM155&gt;$ADA$274),YM155 = $ADA$275),$ACY$275,
IF(OR(AND($ADA$276&gt;YM155,YM155&gt;$ADA$275),YM155 = $ADA$276),$ACY$276,
IF(OR(AND($ADA$277&gt;YM155,YM155&gt;$ADA$276),YM155 = $ADA$277),$ACY$277,
"Y")))))))))))))))))))))))))))))))))))))))))))))))))))</f>
        <v>0.87950000000000006</v>
      </c>
      <c r="YN159" s="693">
        <f t="shared" si="218"/>
        <v>0.87712500000000004</v>
      </c>
      <c r="YO159" s="693">
        <f t="shared" si="218"/>
        <v>0.87712500000000004</v>
      </c>
      <c r="YP159" s="693">
        <f t="shared" si="218"/>
        <v>0.87475000000000003</v>
      </c>
      <c r="YQ159" s="693">
        <f t="shared" si="218"/>
        <v>0.87475000000000003</v>
      </c>
      <c r="YR159" s="693">
        <f t="shared" si="218"/>
        <v>0.87475000000000003</v>
      </c>
      <c r="YS159" s="693">
        <f t="shared" si="218"/>
        <v>0.87237500000000001</v>
      </c>
      <c r="YT159" s="693">
        <f t="shared" si="218"/>
        <v>0.87237500000000001</v>
      </c>
      <c r="YU159" s="693">
        <f t="shared" si="218"/>
        <v>0.87237500000000001</v>
      </c>
      <c r="YV159" s="693">
        <f t="shared" si="218"/>
        <v>0.87000000000000011</v>
      </c>
      <c r="YW159" s="693">
        <f t="shared" si="218"/>
        <v>0.87000000000000011</v>
      </c>
      <c r="YX159" s="693">
        <f t="shared" si="218"/>
        <v>0.87000000000000011</v>
      </c>
      <c r="YY159" s="693">
        <f t="shared" si="218"/>
        <v>0.87000000000000011</v>
      </c>
      <c r="YZ159" s="693">
        <f t="shared" si="218"/>
        <v>0.86762500000000009</v>
      </c>
      <c r="ZA159" s="693">
        <f t="shared" si="218"/>
        <v>0.86762500000000009</v>
      </c>
      <c r="ZB159" s="693">
        <f t="shared" si="218"/>
        <v>0.86762500000000009</v>
      </c>
      <c r="ZC159" s="693">
        <f t="shared" si="218"/>
        <v>0.86762500000000009</v>
      </c>
      <c r="ZD159" s="693">
        <f t="shared" si="218"/>
        <v>0.86762500000000009</v>
      </c>
      <c r="ZE159" s="693">
        <f t="shared" si="218"/>
        <v>0.86525000000000007</v>
      </c>
      <c r="ZF159" s="693">
        <f t="shared" si="218"/>
        <v>0.86525000000000007</v>
      </c>
      <c r="ZG159" s="693">
        <f t="shared" si="218"/>
        <v>0.86525000000000007</v>
      </c>
      <c r="ZH159" s="693">
        <f t="shared" si="218"/>
        <v>0.86525000000000007</v>
      </c>
      <c r="ZI159" s="693">
        <f t="shared" si="218"/>
        <v>0.86525000000000007</v>
      </c>
      <c r="ZJ159" s="693">
        <f t="shared" si="218"/>
        <v>0.86525000000000007</v>
      </c>
      <c r="ZK159" s="693">
        <f t="shared" si="218"/>
        <v>0.86525000000000007</v>
      </c>
      <c r="ZL159" s="693">
        <f t="shared" si="218"/>
        <v>0.86287500000000006</v>
      </c>
      <c r="ZM159" s="693">
        <f t="shared" si="218"/>
        <v>0.86287500000000006</v>
      </c>
      <c r="ZN159" s="693">
        <f t="shared" si="218"/>
        <v>0.86287500000000006</v>
      </c>
      <c r="ZO159" s="693">
        <f t="shared" si="218"/>
        <v>0.86287500000000006</v>
      </c>
      <c r="ZP159" s="693">
        <f t="shared" si="218"/>
        <v>0.86287500000000006</v>
      </c>
      <c r="ZQ159" s="693">
        <f t="shared" si="218"/>
        <v>0.86287500000000006</v>
      </c>
      <c r="ZR159" s="693">
        <f t="shared" si="218"/>
        <v>0.86287500000000006</v>
      </c>
      <c r="ZS159" s="693">
        <f t="shared" ref="ZS159:AAS159" si="219">IF($ADA$228&lt;0,"Ошибка",
IF(OR(AND($ADA$228&gt;ZS155,ZS155&gt;$ACQ$277),ZS155 = $ADA$228),$ACY$228,
IF(OR(AND($ADA$229&gt;ZS155,ZS155&gt;$ADA$228),ZS155 = $ADA$229),$ACY$229,
IF(OR(AND($ADA$230&gt;ZS155,ZS155&gt;$ADA$229),ZS155 = $ADA$230),$ACY$230,
IF(OR(AND($ADA$231&gt;ZS155,ZS155&gt;$ADA$230),ZS155 = $ADA$231),$ACY$231,
IF(OR(AND($ADA$232&gt;ZS155,ZS155&gt;$ADA$231),ZS155 = $ADA$232),$ACY$232,
IF(OR(AND($ADA$233&gt;ZS155,ZS155&gt;$ADA$232),ZS155 = $ADA$233),$ACY$233,
IF(OR(AND($ADA$234&gt;ZS155,ZS155&gt;$ADA$233),ZS155 = $ADA$234),$ACY$234,
IF(OR(AND($ADA$235&gt;ZS155,ZS155&gt;$ADA$234),ZS155 = $ADA$235),$ACY$235,
IF(OR(AND($ADA$236&gt;ZS155,ZS155&gt;$ADA$235),ZS155 = $ADA$236),$ACY$236,
IF(OR(AND($ADA$237&gt;ZS155,ZS155&gt;$ADA$236),ZS155 = $ADA$237),$ACY$237,
IF(OR(AND($ADA$238&gt;ZS155,ZS155&gt;$ADA$237),ZS155 = $ADA$238),$ACY$238,
IF(OR(AND($ADA$239&gt;ZS155,ZS155&gt;$ADA$238),ZS155 = $ADA$239),$ACY$239,
IF(OR(AND($ADA$240&gt;ZS155,ZS155&gt;$ADA$239),ZS155 = $ADA$240),$ACY$240,
IF(OR(AND($ADA$241&gt;ZS155,ZS155&gt;$ADA$240),ZS155 = $ADA$241),$ACY$241,
IF(OR(AND($ADA$242&gt;ZS155,ZS155&gt;$ADA$241),ZS155 = $ADA$242),$ACY$242,
IF(OR(AND($ADA$243&gt;ZS155,ZS155&gt;$ADA$242),ZS155 = $ADA$243),$ACY$243,
IF(OR(AND($ADA$244&gt;ZS155,ZS155&gt;$ADA$243),ZS155 = $ADA$244),$ACY$244,
IF(OR(AND($ADA$245&gt;ZS155,ZS155&gt;$ADA$244),ZS155 = $ADA$245),$ACY$245,
IF(OR(AND($ADA$246&gt;ZS155,ZS155&gt;$ADA$245),ZS155 = $ADA$246),$ACY$246,
IF(OR(AND($ADA$247&gt;ZS155,ZS155&gt;$ADA$246),ZS155 = $ADA$247),$ACY$247,
IF(OR(AND($ADA$248&gt;ZS155,ZS155&gt;$ADA$247),ZS155 = $ADA$248),$ACY$248,
IF(OR(AND($ADA$249&gt;ZS155,ZS155&gt;$ADA$248),ZS155 = $ADA$249),$ACY$249,
IF(OR(AND($ADA$250&gt;ZS155,ZS155&gt;$ADA$249),ZS155 = $ADA$250),$ACY$250,
IF(OR(AND($ADA$251&gt;ZS155,ZS155&gt;$ADA$250),ZS155 = $ADA$251),$ACY$251,
IF(OR(AND($ADA$252&gt;ZS155,ZS155&gt;$ADA$251),ZS155 = $ADA$252),$ACY$252,
IF(OR(AND($ADA$253&gt;ZS155,ZS155&gt;$ADA$252),ZS155 = $ADA$253),$ACY$253,
IF(OR(AND($ADA$254&gt;ZS155,ZS155&gt;$ADA$253),ZS155 = $ADA$254),$ACY$254,
IF(OR(AND($ADA$255&gt;ZS155,ZS155&gt;$ADA$254),ZS155 = $ADA$255),$ACY$255,
IF(OR(AND($ADA$256&gt;ZS155,ZS155&gt;$ADA$255),ZS155 = $ADA$256),$ACY$256,
IF(OR(AND($ADA$257&gt;ZS155,ZS155&gt;$ADA$256),ZS155 = $ADA$257),$ACY$257,
IF(OR(AND($ADA$258&gt;ZS155,ZS155&gt;$ADA$257),ZS155 = $ADA$258),$ACY$258,
IF(OR(AND($ADA$259&gt;ZS155,ZS155&gt;$ADA$258),ZS155 = $ADA$259),$ACY$259,
IF(OR(AND($ADA$260&gt;ZS155,ZS155&gt;$ADA$259),ZS155 = $ADA$260),$ACY$260,
IF(OR(AND($ADA$261&gt;ZS155,ZS155&gt;$ADA$260),ZS155 = $ADA$261),$ACY$261,
IF(OR(AND($ADA$262&gt;ZS155,ZS155&gt;$ADA$261),ZS155 = $ADA$262),$ACY$262,
IF(OR(AND($ADA$263&gt;ZS155,ZS155&gt;$ADA$262),ZS155 = $ADA$263),$ACY$263,
IF(OR(AND($ADA$264&gt;ZS155,ZS155&gt;$ADA$263),ZS155 = $ADA$264),$ACY$264,
IF(OR(AND($ADA$265&gt;ZS155,ZS155&gt;$ADA$264),ZS155 = $ADA$265),$ACY$265,
IF(OR(AND($ADA$266&gt;ZS155,ZS155&gt;$ADA$265),ZS155 = $ADA$266),$ACY$266,
IF(OR(AND($ADA$267&gt;ZS155,ZS155&gt;$ADA$266),ZS155 = $ADA$267),$ACY$267,
IF(OR(AND($ADA$268&gt;ZS155,ZS155&gt;$ADA$267),ZS155 = $ADA$268),$ACY$268,
IF(OR(AND($ADA$269&gt;ZS155,ZS155&gt;$ADA$268),ZS155 = $ADA$269),$ACY$269,
IF(OR(AND($ADA$270&gt;ZS155,ZS155&gt;$ADA$269),ZS155 = $ADA$270),$ACY$270,
IF(OR(AND($ADA$271&gt;ZS155,ZS155&gt;$ADA$270),ZS155 = $ADA$271),$ACY$271,
IF(OR(AND($ADA$272&gt;ZS155,ZS155&gt;$ADA$271),ZS155 = $ADA$272),$ACY$272,
IF(OR(AND($ADA$273&gt;ZS155,ZS155&gt;$ADA$272),ZS155 = $ADA$273),$ACY$273,
IF(OR(AND($ADA$274&gt;ZS155,ZS155&gt;$ADA$273),ZS155 = $ADA$274),$ACY$274,
IF(OR(AND($ADA$275&gt;ZS155,ZS155&gt;$ADA$274),ZS155 = $ADA$275),$ACY$275,
IF(OR(AND($ADA$276&gt;ZS155,ZS155&gt;$ADA$275),ZS155 = $ADA$276),$ACY$276,
IF(OR(AND($ADA$277&gt;ZS155,ZS155&gt;$ADA$276),ZS155 = $ADA$277),$ACY$277,
"Y")))))))))))))))))))))))))))))))))))))))))))))))))))</f>
        <v>0.86287500000000006</v>
      </c>
      <c r="ZT159" s="693">
        <f t="shared" si="219"/>
        <v>0.86287500000000006</v>
      </c>
      <c r="ZU159" s="693">
        <f t="shared" si="219"/>
        <v>0.86287500000000006</v>
      </c>
      <c r="ZV159" s="693">
        <f t="shared" si="219"/>
        <v>0.86287500000000006</v>
      </c>
      <c r="ZW159" s="693">
        <f t="shared" si="219"/>
        <v>0.86287500000000006</v>
      </c>
      <c r="ZX159" s="693">
        <f t="shared" si="219"/>
        <v>0.86287500000000006</v>
      </c>
      <c r="ZY159" s="693">
        <f t="shared" si="219"/>
        <v>0.86050000000000004</v>
      </c>
      <c r="ZZ159" s="693">
        <f t="shared" si="219"/>
        <v>0.86050000000000004</v>
      </c>
      <c r="AAA159" s="693">
        <f t="shared" si="219"/>
        <v>0.86050000000000004</v>
      </c>
      <c r="AAB159" s="693">
        <f t="shared" si="219"/>
        <v>0.86050000000000004</v>
      </c>
      <c r="AAC159" s="693">
        <f t="shared" si="219"/>
        <v>0.86050000000000004</v>
      </c>
      <c r="AAD159" s="693">
        <f t="shared" si="219"/>
        <v>0.86050000000000004</v>
      </c>
      <c r="AAE159" s="693">
        <f t="shared" si="219"/>
        <v>0.86050000000000004</v>
      </c>
      <c r="AAF159" s="693">
        <f t="shared" si="219"/>
        <v>0.86050000000000004</v>
      </c>
      <c r="AAG159" s="693">
        <f t="shared" si="219"/>
        <v>0.86050000000000004</v>
      </c>
      <c r="AAH159" s="693">
        <f t="shared" si="219"/>
        <v>0.86050000000000004</v>
      </c>
      <c r="AAI159" s="693">
        <f t="shared" si="219"/>
        <v>0.86050000000000004</v>
      </c>
      <c r="AAJ159" s="693">
        <f t="shared" si="219"/>
        <v>0.86050000000000004</v>
      </c>
      <c r="AAK159" s="693">
        <f t="shared" si="219"/>
        <v>0.86050000000000004</v>
      </c>
      <c r="AAL159" s="693">
        <f t="shared" si="219"/>
        <v>0.86050000000000004</v>
      </c>
      <c r="AAM159" s="693">
        <f t="shared" si="219"/>
        <v>0.86050000000000004</v>
      </c>
      <c r="AAN159" s="693">
        <f t="shared" si="219"/>
        <v>0.86050000000000004</v>
      </c>
      <c r="AAO159" s="693">
        <f t="shared" si="219"/>
        <v>0.86050000000000004</v>
      </c>
      <c r="AAP159" s="693">
        <f t="shared" si="219"/>
        <v>0.86050000000000004</v>
      </c>
      <c r="AAQ159" s="693">
        <f t="shared" si="219"/>
        <v>0.86050000000000004</v>
      </c>
      <c r="AAR159" s="693">
        <f t="shared" si="219"/>
        <v>0.86050000000000004</v>
      </c>
      <c r="AAS159" s="693">
        <f t="shared" si="219"/>
        <v>0.86050000000000004</v>
      </c>
      <c r="AAT159" s="1006"/>
      <c r="AAU159" s="175"/>
      <c r="AAV159" s="173"/>
      <c r="AAW159" s="173"/>
      <c r="AAX159" s="173"/>
      <c r="AAY159" s="173"/>
      <c r="AAZ159" s="173"/>
      <c r="ABA159" s="173"/>
      <c r="ABB159" s="173"/>
      <c r="ABC159" s="173"/>
      <c r="ABD159" s="173"/>
      <c r="ABE159" s="173"/>
      <c r="ABF159" s="173"/>
      <c r="ABG159" s="173"/>
      <c r="ABH159" s="174"/>
      <c r="ABI159" s="158"/>
      <c r="ABJ159" s="158"/>
      <c r="ABK159" s="158"/>
      <c r="ABL159" s="158"/>
      <c r="ABM159" s="158"/>
      <c r="ABN159" s="158"/>
      <c r="ABO159" s="158"/>
      <c r="ABP159" s="163"/>
      <c r="ABS159" s="162"/>
      <c r="ABT159" s="158"/>
      <c r="ABU159" s="158"/>
      <c r="ABV159" s="158"/>
      <c r="ABW159" s="158"/>
      <c r="ABX159" s="158"/>
      <c r="ABY159" s="158"/>
      <c r="ABZ159" s="158"/>
      <c r="ACA159" s="158"/>
      <c r="ACB159" s="158"/>
      <c r="ACC159" s="158"/>
      <c r="ACD159" s="158"/>
      <c r="ACE159" s="158"/>
      <c r="ACF159" s="158"/>
      <c r="ACG159" s="158"/>
      <c r="ACH159" s="163"/>
      <c r="ACJ159" s="759">
        <v>-3.125E-2</v>
      </c>
      <c r="ACK159" s="760"/>
      <c r="ACL159" s="759">
        <v>1</v>
      </c>
      <c r="ACM159" s="760"/>
      <c r="ACN159" s="591">
        <v>6</v>
      </c>
      <c r="ACO159" s="759">
        <f t="shared" si="194"/>
        <v>0.99850000000000005</v>
      </c>
      <c r="ACP159" s="760"/>
      <c r="ACQ159" s="757">
        <f t="shared" si="195"/>
        <v>4.8000000000000001E-2</v>
      </c>
      <c r="ACR159" s="758"/>
      <c r="ACT159" s="759">
        <v>-3.125E-2</v>
      </c>
      <c r="ACU159" s="760"/>
      <c r="ACV159" s="759">
        <v>1</v>
      </c>
      <c r="ACW159" s="760"/>
      <c r="ACX159" s="591">
        <v>56</v>
      </c>
      <c r="ACY159" s="759">
        <f t="shared" si="196"/>
        <v>0.98599999999999999</v>
      </c>
      <c r="ACZ159" s="760"/>
      <c r="ADA159" s="757">
        <f t="shared" si="197"/>
        <v>0.44800000000000001</v>
      </c>
      <c r="ADB159" s="758"/>
      <c r="ADD159" s="759">
        <v>-8.3333333333333398E-2</v>
      </c>
      <c r="ADE159" s="760"/>
      <c r="ADF159" s="759">
        <v>1.0416666666666701</v>
      </c>
      <c r="ADG159" s="760"/>
      <c r="ADH159" s="592">
        <v>106</v>
      </c>
      <c r="ADI159" s="759">
        <f t="shared" si="198"/>
        <v>0.9710000000000033</v>
      </c>
      <c r="ADJ159" s="760"/>
      <c r="ADK159" s="757">
        <f t="shared" si="199"/>
        <v>0.84799999999999998</v>
      </c>
      <c r="ADL159" s="758"/>
      <c r="ADN159" s="759">
        <v>-0.14285714285714299</v>
      </c>
      <c r="ADO159" s="760"/>
      <c r="ADP159" s="759">
        <v>1.1071428571428601</v>
      </c>
      <c r="ADQ159" s="760"/>
      <c r="ADR159" s="592">
        <v>156</v>
      </c>
      <c r="ADS159" s="759">
        <f t="shared" si="200"/>
        <v>0.92885714285714571</v>
      </c>
      <c r="ADT159" s="760"/>
      <c r="ADU159" s="757">
        <f t="shared" si="201"/>
        <v>1.248</v>
      </c>
      <c r="ADV159" s="758"/>
      <c r="ADX159" s="759">
        <v>-0.2</v>
      </c>
      <c r="ADY159" s="760"/>
      <c r="ADZ159" s="759">
        <v>1.19</v>
      </c>
      <c r="AEA159" s="760"/>
      <c r="AEB159" s="591">
        <v>206</v>
      </c>
      <c r="AEC159" s="759">
        <f t="shared" si="202"/>
        <v>0.86039999999999983</v>
      </c>
      <c r="AED159" s="760"/>
      <c r="AEE159" s="757">
        <f t="shared" si="203"/>
        <v>1.6480000000000001</v>
      </c>
      <c r="AEF159" s="758"/>
      <c r="AEH159" s="759">
        <v>-0.33333333333333298</v>
      </c>
      <c r="AEI159" s="760"/>
      <c r="AEJ159" s="759">
        <v>1.4166666666666701</v>
      </c>
      <c r="AEK159" s="760"/>
      <c r="AEL159" s="592">
        <v>256</v>
      </c>
      <c r="AEM159" s="759">
        <f t="shared" si="204"/>
        <v>0.73400000000000409</v>
      </c>
      <c r="AEN159" s="760"/>
      <c r="AEO159" s="757">
        <f t="shared" si="205"/>
        <v>2.048</v>
      </c>
      <c r="AEP159" s="758"/>
      <c r="AER159" s="759">
        <v>-0.25</v>
      </c>
      <c r="AES159" s="760"/>
      <c r="AET159" s="759">
        <v>1.2250000000000001</v>
      </c>
      <c r="AEU159" s="760"/>
      <c r="AEV159" s="591">
        <v>306</v>
      </c>
      <c r="AEW159" s="759">
        <f t="shared" si="206"/>
        <v>0.6130000000000001</v>
      </c>
      <c r="AEX159" s="760"/>
      <c r="AEY159" s="757">
        <f t="shared" si="207"/>
        <v>2.448</v>
      </c>
      <c r="AEZ159" s="758"/>
      <c r="AFB159" s="759">
        <v>-0.1</v>
      </c>
      <c r="AFC159" s="760"/>
      <c r="AFD159" s="759">
        <v>0.82</v>
      </c>
      <c r="AFE159" s="760"/>
      <c r="AFF159" s="591">
        <v>356</v>
      </c>
      <c r="AFG159" s="759">
        <f t="shared" si="208"/>
        <v>0.5351999999999999</v>
      </c>
      <c r="AFH159" s="760"/>
      <c r="AFI159" s="757">
        <f t="shared" si="209"/>
        <v>2.8479999999999999</v>
      </c>
      <c r="AFJ159" s="758"/>
      <c r="AFL159" s="759">
        <v>-0.25</v>
      </c>
      <c r="AFM159" s="760"/>
      <c r="AFN159" s="759">
        <v>1.3</v>
      </c>
      <c r="AFO159" s="760"/>
      <c r="AFP159" s="592">
        <v>406</v>
      </c>
      <c r="AFQ159" s="759">
        <f t="shared" si="210"/>
        <v>0.48799999999999999</v>
      </c>
      <c r="AFR159" s="760"/>
      <c r="AFS159" s="757">
        <f t="shared" si="211"/>
        <v>3.2480000000000002</v>
      </c>
      <c r="AFT159" s="758"/>
      <c r="AFV159" s="759">
        <v>-0.125</v>
      </c>
      <c r="AFW159" s="760"/>
      <c r="AFX159" s="759">
        <v>0.875</v>
      </c>
      <c r="AFY159" s="760"/>
      <c r="AFZ159" s="591">
        <v>456</v>
      </c>
      <c r="AGA159" s="759">
        <f t="shared" si="212"/>
        <v>0.41899999999999998</v>
      </c>
      <c r="AGB159" s="760"/>
      <c r="AGC159" s="757">
        <f t="shared" si="213"/>
        <v>3.6480000000000001</v>
      </c>
      <c r="AGD159" s="758"/>
      <c r="AGQ159" s="876"/>
      <c r="AGR159" s="1395"/>
      <c r="AGS159" s="1395"/>
      <c r="AGT159" s="1795"/>
      <c r="AGU159" s="1795"/>
      <c r="AGV159" s="957"/>
      <c r="AGW159" s="957"/>
      <c r="AGX159" s="957"/>
      <c r="AGY159" s="957"/>
      <c r="AGZ159" s="957"/>
      <c r="AHA159" s="957"/>
      <c r="AHB159" s="957"/>
      <c r="AHC159" s="957"/>
      <c r="AHD159" s="957"/>
      <c r="AHE159" s="957"/>
      <c r="AHF159" s="957"/>
      <c r="AHG159" s="957"/>
      <c r="AHH159" s="957"/>
      <c r="AHI159" s="957"/>
      <c r="AHJ159" s="876"/>
      <c r="AIA159" s="130"/>
      <c r="AIB159" s="130"/>
      <c r="AIJ159" s="130"/>
      <c r="AIK159" s="130"/>
      <c r="AIL159" s="130"/>
      <c r="AIM159" s="130"/>
      <c r="AIN159" s="130"/>
      <c r="AIO159" s="130"/>
      <c r="AIP159" s="130"/>
      <c r="AIQ159" s="130"/>
      <c r="AIR159" s="130"/>
      <c r="AIS159" s="130"/>
      <c r="AIT159" s="130"/>
      <c r="AIU159" s="130"/>
      <c r="AIV159" s="130"/>
      <c r="AIW159" s="130"/>
      <c r="AIX159" s="130"/>
      <c r="AIY159" s="130"/>
      <c r="AIZ159" s="130"/>
    </row>
    <row r="160" spans="338:948 1133:1217" ht="48" customHeight="1">
      <c r="LZ160" s="377"/>
      <c r="MA160" s="373"/>
      <c r="MB160" s="54"/>
      <c r="MC160" s="373"/>
      <c r="MD160" s="373"/>
      <c r="ME160" s="373"/>
      <c r="MF160" s="373"/>
      <c r="MG160" s="373"/>
      <c r="MH160" s="373"/>
      <c r="MI160" s="373"/>
      <c r="MJ160" s="373"/>
      <c r="MK160" s="373"/>
      <c r="ML160" s="373"/>
      <c r="MM160" s="373"/>
      <c r="MN160" s="373"/>
      <c r="MO160" s="373"/>
      <c r="MP160" s="373"/>
      <c r="MQ160" s="373"/>
      <c r="MR160" s="373"/>
      <c r="MS160" s="373"/>
      <c r="MT160" s="373"/>
      <c r="MU160" s="373"/>
      <c r="MV160" s="373"/>
      <c r="MW160" s="373"/>
      <c r="MX160" s="373"/>
      <c r="MY160" s="373"/>
      <c r="MZ160" s="373"/>
      <c r="NA160" s="373"/>
      <c r="NB160" s="373"/>
      <c r="NC160" s="373"/>
      <c r="ND160" s="373"/>
      <c r="NE160" s="373"/>
      <c r="NF160" s="373"/>
      <c r="NG160" s="373"/>
      <c r="NH160" s="373"/>
      <c r="NI160" s="373"/>
      <c r="NJ160" s="373"/>
      <c r="NK160" s="373"/>
      <c r="NL160" s="373"/>
      <c r="NM160" s="373"/>
      <c r="NN160" s="373"/>
      <c r="NO160" s="374"/>
      <c r="PG160" s="377"/>
      <c r="PH160" s="54"/>
      <c r="PI160" s="373"/>
      <c r="PJ160" s="54"/>
      <c r="PK160" s="382" t="s">
        <v>1298</v>
      </c>
      <c r="PL160" s="850"/>
      <c r="PM160" s="809" t="s">
        <v>1546</v>
      </c>
      <c r="PN160" s="797"/>
      <c r="PO160" s="797"/>
      <c r="PP160" s="797"/>
      <c r="PQ160" s="797"/>
      <c r="PR160" s="797"/>
      <c r="PS160" s="797"/>
      <c r="PT160" s="797"/>
      <c r="PU160" s="797"/>
      <c r="PV160" s="797"/>
      <c r="PW160" s="797"/>
      <c r="PX160" s="797"/>
      <c r="PY160" s="798"/>
      <c r="PZ160" s="835">
        <f>IF(PT158=2,PZ151,
IF(OR(PT158 = 4,PT158 &gt; 4),PW155,PZ151))</f>
        <v>0.89310000000000012</v>
      </c>
      <c r="QA160" s="836"/>
      <c r="QB160" s="1183" t="s">
        <v>729</v>
      </c>
      <c r="QC160" s="1184"/>
      <c r="QD160" s="1289"/>
      <c r="QE160" s="1320" t="s">
        <v>1540</v>
      </c>
      <c r="QF160" s="1320"/>
      <c r="QG160" s="1320"/>
      <c r="QH160" s="1289"/>
      <c r="QI160" s="1203" t="s">
        <v>862</v>
      </c>
      <c r="QJ160" s="1275"/>
      <c r="QK160" s="1204"/>
      <c r="QL160" s="382" t="s">
        <v>1298</v>
      </c>
      <c r="QM160" s="54"/>
      <c r="QN160" s="54"/>
      <c r="QO160" s="373"/>
      <c r="QP160" s="373"/>
      <c r="QQ160" s="373"/>
      <c r="QR160" s="374"/>
      <c r="QV160" s="130"/>
      <c r="QW160" s="130"/>
      <c r="QX160" s="130"/>
      <c r="WE160" s="996"/>
      <c r="WF160" s="997"/>
      <c r="WG160" s="175"/>
      <c r="WH160" s="173"/>
      <c r="WI160" s="173"/>
      <c r="WJ160" s="173"/>
      <c r="WK160" s="173"/>
      <c r="WL160" s="173"/>
      <c r="WM160" s="173"/>
      <c r="WN160" s="173"/>
      <c r="WO160" s="173"/>
      <c r="WP160" s="173"/>
      <c r="WQ160" s="173"/>
      <c r="WR160" s="173"/>
      <c r="WS160" s="173"/>
      <c r="WT160" s="173"/>
      <c r="WU160" s="173"/>
      <c r="WV160" s="173"/>
      <c r="WW160" s="173"/>
      <c r="WX160" s="173"/>
      <c r="WY160" s="174"/>
      <c r="WZ160" s="1085"/>
      <c r="XA160" s="1085"/>
      <c r="XB160" s="175"/>
      <c r="XC160" s="173"/>
      <c r="XD160" s="173"/>
      <c r="XE160" s="173"/>
      <c r="XF160" s="173"/>
      <c r="XG160" s="693" t="str">
        <f t="shared" ref="XG160:YL160" si="220">IF($ADK$228&lt;0,"Ошибка",
IF(OR(AND($ADK$228&gt;XG155,XG155&gt;$ADA$277),XG155 = $ADK$228),$ADI$228,
IF(OR(AND($ADK$229&gt;XG155,XG155&gt;$ADK$228),XG155 = $ADK$229),$ADI$229,
IF(OR(AND($ADK$230&gt;XG155,XG155&gt;$ADK$229),XG155 = $ADK$230),$ADI$230,
IF(OR(AND($ADK$231&gt;XG155,XG155&gt;$ADK$230),XG155 = $ADK$231),$ADI$231,
IF(OR(AND($ADK$232&gt;XG155,XG155&gt;$ADK$231),XG155 = $ADK$232),$ADI$232,
IF(OR(AND($ADK$233&gt;XG155,XG155&gt;$ADK$232),XG155 = $ADK$233),$ADI$233,
IF(OR(AND($ADK$234&gt;XG155,XG155&gt;$ADK$233),XG155 = $ADK$234),$ADI$234,
IF(OR(AND($ADK$235&gt;XG155,XG155&gt;$ADK$234),XG155 = $ADK$235),$ADI$235,
IF(OR(AND($ADK$236&gt;XG155,XG155&gt;$ADK$235),XG155 = $ADK$236),$ADI$236,
IF(OR(AND($ADK$237&gt;XG155,XG155&gt;$ADK$236),XG155 = $ADK$237),$ADI$237,
IF(OR(AND($ADK$238&gt;XG155,XG155&gt;$ADK$237),XG155 = $ADK$238),$ADI$238,
IF(OR(AND($ADK$239&gt;XG155,XG155&gt;$ADK$238),XG155 = $ADK$239),$ADI$239,
IF(OR(AND($ADK$240&gt;XG155,XG155&gt;$ADK$239),XG155 = $ADK$240),$ADI$240,
IF(OR(AND($ADK$241&gt;XG155,XG155&gt;$ADK$240),XG155 = $ADK$241),$ADI$241,
IF(OR(AND($ADK$242&gt;XG155,XG155&gt;$ADK$241),XG155 = $ADK$242),$ADI$242,
IF(OR(AND($ADK$243&gt;XG155,XG155&gt;$ADK$242),XG155 = $ADK$243),$ADI$243,
IF(OR(AND($ADK$244&gt;XG155,XG155&gt;$ADK$243),XG155 = $ADK$244),$ADI$244,
IF(OR(AND($ADK$245&gt;XG155,XG155&gt;$ADK$244),XG155 = $ADK$245),$ADI$245,
IF(OR(AND($ADK$246&gt;XG155,XG155&gt;$ADK$245),XG155 = $ADK$246),$ADI$246,
IF(OR(AND($ADK$247&gt;XG155,XG155&gt;$ADK$246),XG155 = $ADK$247),$ADI$247,
IF(OR(AND($ADK$248&gt;XG155,XG155&gt;$ADK$247),XG155 = $ADK$248),$ADI$248,
IF(OR(AND($ADK$249&gt;XG155,XG155&gt;$ADK$248),XG155 = $ADK$249),$ADI$249,
IF(OR(AND($ADK$250&gt;XG155,XG155&gt;$ADK$249),XG155 = $ADK$250),$ADI$250,
IF(OR(AND($ADK$251&gt;XG155,XG155&gt;$ADK$250),XG155 = $ADK$251),$ADI$251,
IF(OR(AND($ADK$252&gt;XG155,XG155&gt;$ADK$251),XG155 = $ADK$252),$ADI$252,
IF(OR(AND($ADK$253&gt;XG155,XG155&gt;$ADK$252),XG155 = $ADK$253),$ADI$253,
IF(OR(AND($ADK$254&gt;XG155,XG155&gt;$ADK$253),XG155 = $ADK$254),$ADI$254,
IF(OR(AND($ADK$255&gt;XG155,XG155&gt;$ADK$254),XG155 = $ADK$255),$ADI$255,
IF(OR(AND($ADK$256&gt;XG155,XG155&gt;$ADK$255),XG155 = $ADK$256),$ADI$256,
IF(OR(AND($ADK$257&gt;XG155,XG155&gt;$ADK$256),XG155 = $ADK$257),$ADI$257,
IF(OR(AND($ADK$258&gt;XG155,XG155&gt;$ADK$257),XG155 = $ADK$258),$ADI$258,
IF(OR(AND($ADK$259&gt;XG155,XG155&gt;$ADK$258),XG155 = $ADK$259),$ADI$259,
IF(OR(AND($ADK$260&gt;XG155,XG155&gt;$ADK$259),XG155 = $ADK$260),$ADI$260,
IF(OR(AND($ADK$261&gt;XG155,XG155&gt;$ADK$260),XG155 = $ADK$261),$ADI$261,
IF(OR(AND($ADK$262&gt;XG155,XG155&gt;$ADK$261),XG155 = $ADK$262),$ADI$262,
IF(OR(AND($ADK$263&gt;XG155,XG155&gt;$ADK$262),XG155 = $ADK$263),$ADI$263,
IF(OR(AND($ADK$264&gt;XG155,XG155&gt;$ADK$263),XG155 = $ADK$264),$ADI$264,
IF(OR(AND($ADK$265&gt;XG155,XG155&gt;$ADK$264),XG155 = $ADK$265),$ADI$265,
IF(OR(AND($ADK$266&gt;XG155,XG155&gt;$ADK$265),XG155 = $ADK$266),$ADI$266,
IF(OR(AND($ADK$267&gt;XG155,XG155&gt;$ADK$266),XG155 = $ADK$267),$ADI$267,
IF(OR(AND($ADK$268&gt;XG155,XG155&gt;$ADK$267),XG155 = $ADK$268),$ADI$268,
IF(OR(AND($ADK$269&gt;XG155,XG155&gt;$ADK$268),XG155 = $ADK$269),$ADI$269,
IF(OR(AND($ADK$270&gt;XG155,XG155&gt;$ADK$269),XG155 = $ADK$270),$ADI$270,
IF(OR(AND($ADK$271&gt;XG155,XG155&gt;$ADK$270),XG155 = $ADK$271),$ADI$271,
IF(OR(AND($ADK$272&gt;XG155,XG155&gt;$ADK$271),XG155 = $ADK$272),$ADI$272,
IF(OR(AND($ADK$273&gt;XG155,XG155&gt;$ADK$272),XG155 = $ADK$273),$ADI$273,
IF(OR(AND($ADK$274&gt;XG155,XG155&gt;$ADK$273),XG155 = $ADK$274),$ADI$274,
IF(OR(AND($ADK$275&gt;XG155,XG155&gt;$ADK$274),XG155 = $ADK$275),$ADI$275,
IF(OR(AND($ADK$276&gt;XG155,XG155&gt;$ADK$275),XG155 = $ADK$276),$ADI$276,
IF(OR(AND($ADK$277&gt;XG155,XG155&gt;$ADK$276),XG155 = $ADK$277),$ADI$277,
"Y")))))))))))))))))))))))))))))))))))))))))))))))))))</f>
        <v>Y</v>
      </c>
      <c r="XH160" s="693" t="str">
        <f t="shared" si="220"/>
        <v>Y</v>
      </c>
      <c r="XI160" s="693" t="str">
        <f t="shared" si="220"/>
        <v>Y</v>
      </c>
      <c r="XJ160" s="693" t="str">
        <f t="shared" si="220"/>
        <v>Y</v>
      </c>
      <c r="XK160" s="693" t="str">
        <f t="shared" si="220"/>
        <v>Y</v>
      </c>
      <c r="XL160" s="693" t="str">
        <f t="shared" si="220"/>
        <v>Y</v>
      </c>
      <c r="XM160" s="693" t="str">
        <f t="shared" si="220"/>
        <v>Y</v>
      </c>
      <c r="XN160" s="693" t="str">
        <f t="shared" si="220"/>
        <v>Y</v>
      </c>
      <c r="XO160" s="693" t="str">
        <f t="shared" si="220"/>
        <v>Y</v>
      </c>
      <c r="XP160" s="693" t="str">
        <f t="shared" si="220"/>
        <v>Y</v>
      </c>
      <c r="XQ160" s="693" t="str">
        <f t="shared" si="220"/>
        <v>Y</v>
      </c>
      <c r="XR160" s="693" t="str">
        <f t="shared" si="220"/>
        <v>Y</v>
      </c>
      <c r="XS160" s="693" t="str">
        <f t="shared" si="220"/>
        <v>Y</v>
      </c>
      <c r="XT160" s="693" t="str">
        <f t="shared" si="220"/>
        <v>Y</v>
      </c>
      <c r="XU160" s="693" t="str">
        <f t="shared" si="220"/>
        <v>Y</v>
      </c>
      <c r="XV160" s="693" t="str">
        <f t="shared" si="220"/>
        <v>Y</v>
      </c>
      <c r="XW160" s="693" t="str">
        <f t="shared" si="220"/>
        <v>Y</v>
      </c>
      <c r="XX160" s="693" t="str">
        <f t="shared" si="220"/>
        <v>Y</v>
      </c>
      <c r="XY160" s="693" t="str">
        <f t="shared" si="220"/>
        <v>Y</v>
      </c>
      <c r="XZ160" s="693" t="str">
        <f t="shared" si="220"/>
        <v>Y</v>
      </c>
      <c r="YA160" s="693" t="str">
        <f t="shared" si="220"/>
        <v>Y</v>
      </c>
      <c r="YB160" s="693" t="str">
        <f t="shared" si="220"/>
        <v>Y</v>
      </c>
      <c r="YC160" s="693" t="str">
        <f t="shared" si="220"/>
        <v>Y</v>
      </c>
      <c r="YD160" s="693" t="str">
        <f t="shared" si="220"/>
        <v>Y</v>
      </c>
      <c r="YE160" s="693" t="str">
        <f t="shared" si="220"/>
        <v>Y</v>
      </c>
      <c r="YF160" s="693" t="str">
        <f t="shared" si="220"/>
        <v>Y</v>
      </c>
      <c r="YG160" s="693" t="str">
        <f t="shared" si="220"/>
        <v>Y</v>
      </c>
      <c r="YH160" s="693" t="str">
        <f t="shared" si="220"/>
        <v>Y</v>
      </c>
      <c r="YI160" s="693" t="str">
        <f t="shared" si="220"/>
        <v>Y</v>
      </c>
      <c r="YJ160" s="693" t="str">
        <f t="shared" si="220"/>
        <v>Y</v>
      </c>
      <c r="YK160" s="693" t="str">
        <f t="shared" si="220"/>
        <v>Y</v>
      </c>
      <c r="YL160" s="693" t="str">
        <f t="shared" si="220"/>
        <v>Y</v>
      </c>
      <c r="YM160" s="693" t="str">
        <f t="shared" ref="YM160:ZR160" si="221">IF($ADK$228&lt;0,"Ошибка",
IF(OR(AND($ADK$228&gt;YM155,YM155&gt;$ADA$277),YM155 = $ADK$228),$ADI$228,
IF(OR(AND($ADK$229&gt;YM155,YM155&gt;$ADK$228),YM155 = $ADK$229),$ADI$229,
IF(OR(AND($ADK$230&gt;YM155,YM155&gt;$ADK$229),YM155 = $ADK$230),$ADI$230,
IF(OR(AND($ADK$231&gt;YM155,YM155&gt;$ADK$230),YM155 = $ADK$231),$ADI$231,
IF(OR(AND($ADK$232&gt;YM155,YM155&gt;$ADK$231),YM155 = $ADK$232),$ADI$232,
IF(OR(AND($ADK$233&gt;YM155,YM155&gt;$ADK$232),YM155 = $ADK$233),$ADI$233,
IF(OR(AND($ADK$234&gt;YM155,YM155&gt;$ADK$233),YM155 = $ADK$234),$ADI$234,
IF(OR(AND($ADK$235&gt;YM155,YM155&gt;$ADK$234),YM155 = $ADK$235),$ADI$235,
IF(OR(AND($ADK$236&gt;YM155,YM155&gt;$ADK$235),YM155 = $ADK$236),$ADI$236,
IF(OR(AND($ADK$237&gt;YM155,YM155&gt;$ADK$236),YM155 = $ADK$237),$ADI$237,
IF(OR(AND($ADK$238&gt;YM155,YM155&gt;$ADK$237),YM155 = $ADK$238),$ADI$238,
IF(OR(AND($ADK$239&gt;YM155,YM155&gt;$ADK$238),YM155 = $ADK$239),$ADI$239,
IF(OR(AND($ADK$240&gt;YM155,YM155&gt;$ADK$239),YM155 = $ADK$240),$ADI$240,
IF(OR(AND($ADK$241&gt;YM155,YM155&gt;$ADK$240),YM155 = $ADK$241),$ADI$241,
IF(OR(AND($ADK$242&gt;YM155,YM155&gt;$ADK$241),YM155 = $ADK$242),$ADI$242,
IF(OR(AND($ADK$243&gt;YM155,YM155&gt;$ADK$242),YM155 = $ADK$243),$ADI$243,
IF(OR(AND($ADK$244&gt;YM155,YM155&gt;$ADK$243),YM155 = $ADK$244),$ADI$244,
IF(OR(AND($ADK$245&gt;YM155,YM155&gt;$ADK$244),YM155 = $ADK$245),$ADI$245,
IF(OR(AND($ADK$246&gt;YM155,YM155&gt;$ADK$245),YM155 = $ADK$246),$ADI$246,
IF(OR(AND($ADK$247&gt;YM155,YM155&gt;$ADK$246),YM155 = $ADK$247),$ADI$247,
IF(OR(AND($ADK$248&gt;YM155,YM155&gt;$ADK$247),YM155 = $ADK$248),$ADI$248,
IF(OR(AND($ADK$249&gt;YM155,YM155&gt;$ADK$248),YM155 = $ADK$249),$ADI$249,
IF(OR(AND($ADK$250&gt;YM155,YM155&gt;$ADK$249),YM155 = $ADK$250),$ADI$250,
IF(OR(AND($ADK$251&gt;YM155,YM155&gt;$ADK$250),YM155 = $ADK$251),$ADI$251,
IF(OR(AND($ADK$252&gt;YM155,YM155&gt;$ADK$251),YM155 = $ADK$252),$ADI$252,
IF(OR(AND($ADK$253&gt;YM155,YM155&gt;$ADK$252),YM155 = $ADK$253),$ADI$253,
IF(OR(AND($ADK$254&gt;YM155,YM155&gt;$ADK$253),YM155 = $ADK$254),$ADI$254,
IF(OR(AND($ADK$255&gt;YM155,YM155&gt;$ADK$254),YM155 = $ADK$255),$ADI$255,
IF(OR(AND($ADK$256&gt;YM155,YM155&gt;$ADK$255),YM155 = $ADK$256),$ADI$256,
IF(OR(AND($ADK$257&gt;YM155,YM155&gt;$ADK$256),YM155 = $ADK$257),$ADI$257,
IF(OR(AND($ADK$258&gt;YM155,YM155&gt;$ADK$257),YM155 = $ADK$258),$ADI$258,
IF(OR(AND($ADK$259&gt;YM155,YM155&gt;$ADK$258),YM155 = $ADK$259),$ADI$259,
IF(OR(AND($ADK$260&gt;YM155,YM155&gt;$ADK$259),YM155 = $ADK$260),$ADI$260,
IF(OR(AND($ADK$261&gt;YM155,YM155&gt;$ADK$260),YM155 = $ADK$261),$ADI$261,
IF(OR(AND($ADK$262&gt;YM155,YM155&gt;$ADK$261),YM155 = $ADK$262),$ADI$262,
IF(OR(AND($ADK$263&gt;YM155,YM155&gt;$ADK$262),YM155 = $ADK$263),$ADI$263,
IF(OR(AND($ADK$264&gt;YM155,YM155&gt;$ADK$263),YM155 = $ADK$264),$ADI$264,
IF(OR(AND($ADK$265&gt;YM155,YM155&gt;$ADK$264),YM155 = $ADK$265),$ADI$265,
IF(OR(AND($ADK$266&gt;YM155,YM155&gt;$ADK$265),YM155 = $ADK$266),$ADI$266,
IF(OR(AND($ADK$267&gt;YM155,YM155&gt;$ADK$266),YM155 = $ADK$267),$ADI$267,
IF(OR(AND($ADK$268&gt;YM155,YM155&gt;$ADK$267),YM155 = $ADK$268),$ADI$268,
IF(OR(AND($ADK$269&gt;YM155,YM155&gt;$ADK$268),YM155 = $ADK$269),$ADI$269,
IF(OR(AND($ADK$270&gt;YM155,YM155&gt;$ADK$269),YM155 = $ADK$270),$ADI$270,
IF(OR(AND($ADK$271&gt;YM155,YM155&gt;$ADK$270),YM155 = $ADK$271),$ADI$271,
IF(OR(AND($ADK$272&gt;YM155,YM155&gt;$ADK$271),YM155 = $ADK$272),$ADI$272,
IF(OR(AND($ADK$273&gt;YM155,YM155&gt;$ADK$272),YM155 = $ADK$273),$ADI$273,
IF(OR(AND($ADK$274&gt;YM155,YM155&gt;$ADK$273),YM155 = $ADK$274),$ADI$274,
IF(OR(AND($ADK$275&gt;YM155,YM155&gt;$ADK$274),YM155 = $ADK$275),$ADI$275,
IF(OR(AND($ADK$276&gt;YM155,YM155&gt;$ADK$275),YM155 = $ADK$276),$ADI$276,
IF(OR(AND($ADK$277&gt;YM155,YM155&gt;$ADK$276),YM155 = $ADK$277),$ADI$277,
"Y")))))))))))))))))))))))))))))))))))))))))))))))))))</f>
        <v>Y</v>
      </c>
      <c r="YN160" s="693" t="str">
        <f t="shared" si="221"/>
        <v>Y</v>
      </c>
      <c r="YO160" s="693" t="str">
        <f t="shared" si="221"/>
        <v>Y</v>
      </c>
      <c r="YP160" s="693" t="str">
        <f t="shared" si="221"/>
        <v>Y</v>
      </c>
      <c r="YQ160" s="693" t="str">
        <f t="shared" si="221"/>
        <v>Y</v>
      </c>
      <c r="YR160" s="693" t="str">
        <f t="shared" si="221"/>
        <v>Y</v>
      </c>
      <c r="YS160" s="693" t="str">
        <f t="shared" si="221"/>
        <v>Y</v>
      </c>
      <c r="YT160" s="693" t="str">
        <f t="shared" si="221"/>
        <v>Y</v>
      </c>
      <c r="YU160" s="693" t="str">
        <f t="shared" si="221"/>
        <v>Y</v>
      </c>
      <c r="YV160" s="693" t="str">
        <f t="shared" si="221"/>
        <v>Y</v>
      </c>
      <c r="YW160" s="693" t="str">
        <f t="shared" si="221"/>
        <v>Y</v>
      </c>
      <c r="YX160" s="693" t="str">
        <f t="shared" si="221"/>
        <v>Y</v>
      </c>
      <c r="YY160" s="693" t="str">
        <f t="shared" si="221"/>
        <v>Y</v>
      </c>
      <c r="YZ160" s="693" t="str">
        <f t="shared" si="221"/>
        <v>Y</v>
      </c>
      <c r="ZA160" s="693" t="str">
        <f t="shared" si="221"/>
        <v>Y</v>
      </c>
      <c r="ZB160" s="693" t="str">
        <f t="shared" si="221"/>
        <v>Y</v>
      </c>
      <c r="ZC160" s="693" t="str">
        <f t="shared" si="221"/>
        <v>Y</v>
      </c>
      <c r="ZD160" s="693" t="str">
        <f t="shared" si="221"/>
        <v>Y</v>
      </c>
      <c r="ZE160" s="693" t="str">
        <f t="shared" si="221"/>
        <v>Y</v>
      </c>
      <c r="ZF160" s="693" t="str">
        <f t="shared" si="221"/>
        <v>Y</v>
      </c>
      <c r="ZG160" s="693" t="str">
        <f t="shared" si="221"/>
        <v>Y</v>
      </c>
      <c r="ZH160" s="693" t="str">
        <f t="shared" si="221"/>
        <v>Y</v>
      </c>
      <c r="ZI160" s="693" t="str">
        <f t="shared" si="221"/>
        <v>Y</v>
      </c>
      <c r="ZJ160" s="693" t="str">
        <f t="shared" si="221"/>
        <v>Y</v>
      </c>
      <c r="ZK160" s="693" t="str">
        <f t="shared" si="221"/>
        <v>Y</v>
      </c>
      <c r="ZL160" s="693" t="str">
        <f t="shared" si="221"/>
        <v>Y</v>
      </c>
      <c r="ZM160" s="693" t="str">
        <f t="shared" si="221"/>
        <v>Y</v>
      </c>
      <c r="ZN160" s="693" t="str">
        <f t="shared" si="221"/>
        <v>Y</v>
      </c>
      <c r="ZO160" s="693" t="str">
        <f t="shared" si="221"/>
        <v>Y</v>
      </c>
      <c r="ZP160" s="693" t="str">
        <f t="shared" si="221"/>
        <v>Y</v>
      </c>
      <c r="ZQ160" s="693" t="str">
        <f t="shared" si="221"/>
        <v>Y</v>
      </c>
      <c r="ZR160" s="693" t="str">
        <f t="shared" si="221"/>
        <v>Y</v>
      </c>
      <c r="ZS160" s="693" t="str">
        <f t="shared" ref="ZS160:AAS160" si="222">IF($ADK$228&lt;0,"Ошибка",
IF(OR(AND($ADK$228&gt;ZS155,ZS155&gt;$ADA$277),ZS155 = $ADK$228),$ADI$228,
IF(OR(AND($ADK$229&gt;ZS155,ZS155&gt;$ADK$228),ZS155 = $ADK$229),$ADI$229,
IF(OR(AND($ADK$230&gt;ZS155,ZS155&gt;$ADK$229),ZS155 = $ADK$230),$ADI$230,
IF(OR(AND($ADK$231&gt;ZS155,ZS155&gt;$ADK$230),ZS155 = $ADK$231),$ADI$231,
IF(OR(AND($ADK$232&gt;ZS155,ZS155&gt;$ADK$231),ZS155 = $ADK$232),$ADI$232,
IF(OR(AND($ADK$233&gt;ZS155,ZS155&gt;$ADK$232),ZS155 = $ADK$233),$ADI$233,
IF(OR(AND($ADK$234&gt;ZS155,ZS155&gt;$ADK$233),ZS155 = $ADK$234),$ADI$234,
IF(OR(AND($ADK$235&gt;ZS155,ZS155&gt;$ADK$234),ZS155 = $ADK$235),$ADI$235,
IF(OR(AND($ADK$236&gt;ZS155,ZS155&gt;$ADK$235),ZS155 = $ADK$236),$ADI$236,
IF(OR(AND($ADK$237&gt;ZS155,ZS155&gt;$ADK$236),ZS155 = $ADK$237),$ADI$237,
IF(OR(AND($ADK$238&gt;ZS155,ZS155&gt;$ADK$237),ZS155 = $ADK$238),$ADI$238,
IF(OR(AND($ADK$239&gt;ZS155,ZS155&gt;$ADK$238),ZS155 = $ADK$239),$ADI$239,
IF(OR(AND($ADK$240&gt;ZS155,ZS155&gt;$ADK$239),ZS155 = $ADK$240),$ADI$240,
IF(OR(AND($ADK$241&gt;ZS155,ZS155&gt;$ADK$240),ZS155 = $ADK$241),$ADI$241,
IF(OR(AND($ADK$242&gt;ZS155,ZS155&gt;$ADK$241),ZS155 = $ADK$242),$ADI$242,
IF(OR(AND($ADK$243&gt;ZS155,ZS155&gt;$ADK$242),ZS155 = $ADK$243),$ADI$243,
IF(OR(AND($ADK$244&gt;ZS155,ZS155&gt;$ADK$243),ZS155 = $ADK$244),$ADI$244,
IF(OR(AND($ADK$245&gt;ZS155,ZS155&gt;$ADK$244),ZS155 = $ADK$245),$ADI$245,
IF(OR(AND($ADK$246&gt;ZS155,ZS155&gt;$ADK$245),ZS155 = $ADK$246),$ADI$246,
IF(OR(AND($ADK$247&gt;ZS155,ZS155&gt;$ADK$246),ZS155 = $ADK$247),$ADI$247,
IF(OR(AND($ADK$248&gt;ZS155,ZS155&gt;$ADK$247),ZS155 = $ADK$248),$ADI$248,
IF(OR(AND($ADK$249&gt;ZS155,ZS155&gt;$ADK$248),ZS155 = $ADK$249),$ADI$249,
IF(OR(AND($ADK$250&gt;ZS155,ZS155&gt;$ADK$249),ZS155 = $ADK$250),$ADI$250,
IF(OR(AND($ADK$251&gt;ZS155,ZS155&gt;$ADK$250),ZS155 = $ADK$251),$ADI$251,
IF(OR(AND($ADK$252&gt;ZS155,ZS155&gt;$ADK$251),ZS155 = $ADK$252),$ADI$252,
IF(OR(AND($ADK$253&gt;ZS155,ZS155&gt;$ADK$252),ZS155 = $ADK$253),$ADI$253,
IF(OR(AND($ADK$254&gt;ZS155,ZS155&gt;$ADK$253),ZS155 = $ADK$254),$ADI$254,
IF(OR(AND($ADK$255&gt;ZS155,ZS155&gt;$ADK$254),ZS155 = $ADK$255),$ADI$255,
IF(OR(AND($ADK$256&gt;ZS155,ZS155&gt;$ADK$255),ZS155 = $ADK$256),$ADI$256,
IF(OR(AND($ADK$257&gt;ZS155,ZS155&gt;$ADK$256),ZS155 = $ADK$257),$ADI$257,
IF(OR(AND($ADK$258&gt;ZS155,ZS155&gt;$ADK$257),ZS155 = $ADK$258),$ADI$258,
IF(OR(AND($ADK$259&gt;ZS155,ZS155&gt;$ADK$258),ZS155 = $ADK$259),$ADI$259,
IF(OR(AND($ADK$260&gt;ZS155,ZS155&gt;$ADK$259),ZS155 = $ADK$260),$ADI$260,
IF(OR(AND($ADK$261&gt;ZS155,ZS155&gt;$ADK$260),ZS155 = $ADK$261),$ADI$261,
IF(OR(AND($ADK$262&gt;ZS155,ZS155&gt;$ADK$261),ZS155 = $ADK$262),$ADI$262,
IF(OR(AND($ADK$263&gt;ZS155,ZS155&gt;$ADK$262),ZS155 = $ADK$263),$ADI$263,
IF(OR(AND($ADK$264&gt;ZS155,ZS155&gt;$ADK$263),ZS155 = $ADK$264),$ADI$264,
IF(OR(AND($ADK$265&gt;ZS155,ZS155&gt;$ADK$264),ZS155 = $ADK$265),$ADI$265,
IF(OR(AND($ADK$266&gt;ZS155,ZS155&gt;$ADK$265),ZS155 = $ADK$266),$ADI$266,
IF(OR(AND($ADK$267&gt;ZS155,ZS155&gt;$ADK$266),ZS155 = $ADK$267),$ADI$267,
IF(OR(AND($ADK$268&gt;ZS155,ZS155&gt;$ADK$267),ZS155 = $ADK$268),$ADI$268,
IF(OR(AND($ADK$269&gt;ZS155,ZS155&gt;$ADK$268),ZS155 = $ADK$269),$ADI$269,
IF(OR(AND($ADK$270&gt;ZS155,ZS155&gt;$ADK$269),ZS155 = $ADK$270),$ADI$270,
IF(OR(AND($ADK$271&gt;ZS155,ZS155&gt;$ADK$270),ZS155 = $ADK$271),$ADI$271,
IF(OR(AND($ADK$272&gt;ZS155,ZS155&gt;$ADK$271),ZS155 = $ADK$272),$ADI$272,
IF(OR(AND($ADK$273&gt;ZS155,ZS155&gt;$ADK$272),ZS155 = $ADK$273),$ADI$273,
IF(OR(AND($ADK$274&gt;ZS155,ZS155&gt;$ADK$273),ZS155 = $ADK$274),$ADI$274,
IF(OR(AND($ADK$275&gt;ZS155,ZS155&gt;$ADK$274),ZS155 = $ADK$275),$ADI$275,
IF(OR(AND($ADK$276&gt;ZS155,ZS155&gt;$ADK$275),ZS155 = $ADK$276),$ADI$276,
IF(OR(AND($ADK$277&gt;ZS155,ZS155&gt;$ADK$276),ZS155 = $ADK$277),$ADI$277,
"Y")))))))))))))))))))))))))))))))))))))))))))))))))))</f>
        <v>Y</v>
      </c>
      <c r="ZT160" s="693" t="str">
        <f t="shared" si="222"/>
        <v>Y</v>
      </c>
      <c r="ZU160" s="693" t="str">
        <f t="shared" si="222"/>
        <v>Y</v>
      </c>
      <c r="ZV160" s="693" t="str">
        <f t="shared" si="222"/>
        <v>Y</v>
      </c>
      <c r="ZW160" s="693" t="str">
        <f t="shared" si="222"/>
        <v>Y</v>
      </c>
      <c r="ZX160" s="693" t="str">
        <f t="shared" si="222"/>
        <v>Y</v>
      </c>
      <c r="ZY160" s="693" t="str">
        <f t="shared" si="222"/>
        <v>Y</v>
      </c>
      <c r="ZZ160" s="693" t="str">
        <f t="shared" si="222"/>
        <v>Y</v>
      </c>
      <c r="AAA160" s="693" t="str">
        <f t="shared" si="222"/>
        <v>Y</v>
      </c>
      <c r="AAB160" s="693" t="str">
        <f t="shared" si="222"/>
        <v>Y</v>
      </c>
      <c r="AAC160" s="693" t="str">
        <f t="shared" si="222"/>
        <v>Y</v>
      </c>
      <c r="AAD160" s="693" t="str">
        <f t="shared" si="222"/>
        <v>Y</v>
      </c>
      <c r="AAE160" s="693" t="str">
        <f t="shared" si="222"/>
        <v>Y</v>
      </c>
      <c r="AAF160" s="693" t="str">
        <f t="shared" si="222"/>
        <v>Y</v>
      </c>
      <c r="AAG160" s="693" t="str">
        <f t="shared" si="222"/>
        <v>Y</v>
      </c>
      <c r="AAH160" s="693" t="str">
        <f t="shared" si="222"/>
        <v>Y</v>
      </c>
      <c r="AAI160" s="693" t="str">
        <f t="shared" si="222"/>
        <v>Y</v>
      </c>
      <c r="AAJ160" s="693" t="str">
        <f t="shared" si="222"/>
        <v>Y</v>
      </c>
      <c r="AAK160" s="693" t="str">
        <f t="shared" si="222"/>
        <v>Y</v>
      </c>
      <c r="AAL160" s="693" t="str">
        <f t="shared" si="222"/>
        <v>Y</v>
      </c>
      <c r="AAM160" s="693" t="str">
        <f t="shared" si="222"/>
        <v>Y</v>
      </c>
      <c r="AAN160" s="693" t="str">
        <f t="shared" si="222"/>
        <v>Y</v>
      </c>
      <c r="AAO160" s="693" t="str">
        <f t="shared" si="222"/>
        <v>Y</v>
      </c>
      <c r="AAP160" s="693" t="str">
        <f t="shared" si="222"/>
        <v>Y</v>
      </c>
      <c r="AAQ160" s="693" t="str">
        <f t="shared" si="222"/>
        <v>Y</v>
      </c>
      <c r="AAR160" s="693" t="str">
        <f t="shared" si="222"/>
        <v>Y</v>
      </c>
      <c r="AAS160" s="693" t="str">
        <f t="shared" si="222"/>
        <v>Y</v>
      </c>
      <c r="AAT160" s="1006"/>
      <c r="AAU160" s="175"/>
      <c r="AAV160" s="173"/>
      <c r="AAW160" s="173"/>
      <c r="AAX160" s="173"/>
      <c r="AAY160" s="173"/>
      <c r="AAZ160" s="173"/>
      <c r="ABA160" s="173"/>
      <c r="ABB160" s="173"/>
      <c r="ABC160" s="173"/>
      <c r="ABD160" s="173"/>
      <c r="ABE160" s="173"/>
      <c r="ABF160" s="173"/>
      <c r="ABG160" s="173"/>
      <c r="ABH160" s="174"/>
      <c r="ABI160" s="158"/>
      <c r="ABJ160" s="158"/>
      <c r="ABK160" s="158"/>
      <c r="ABL160" s="158"/>
      <c r="ABM160" s="158"/>
      <c r="ABN160" s="158"/>
      <c r="ABO160" s="158"/>
      <c r="ABP160" s="163"/>
      <c r="ABS160" s="162"/>
      <c r="ABT160" s="158"/>
      <c r="ABU160" s="158"/>
      <c r="ABV160" s="158"/>
      <c r="ABW160" s="158"/>
      <c r="ABX160" s="158"/>
      <c r="ABY160" s="158"/>
      <c r="ABZ160" s="158"/>
      <c r="ACA160" s="158"/>
      <c r="ACB160" s="158"/>
      <c r="ACC160" s="158"/>
      <c r="ACD160" s="158"/>
      <c r="ACE160" s="158"/>
      <c r="ACF160" s="158"/>
      <c r="ACG160" s="158"/>
      <c r="ACH160" s="163"/>
      <c r="ACJ160" s="759">
        <v>-3.125E-2</v>
      </c>
      <c r="ACK160" s="760"/>
      <c r="ACL160" s="759">
        <v>1</v>
      </c>
      <c r="ACM160" s="760"/>
      <c r="ACN160" s="591">
        <v>7</v>
      </c>
      <c r="ACO160" s="759">
        <f t="shared" si="194"/>
        <v>0.99824999999999997</v>
      </c>
      <c r="ACP160" s="760"/>
      <c r="ACQ160" s="757">
        <f t="shared" si="195"/>
        <v>5.6000000000000001E-2</v>
      </c>
      <c r="ACR160" s="758"/>
      <c r="ACT160" s="759">
        <v>-3.125E-2</v>
      </c>
      <c r="ACU160" s="760"/>
      <c r="ACV160" s="759">
        <v>1</v>
      </c>
      <c r="ACW160" s="760"/>
      <c r="ACX160" s="591">
        <v>57</v>
      </c>
      <c r="ACY160" s="759">
        <f t="shared" si="196"/>
        <v>0.98575000000000002</v>
      </c>
      <c r="ACZ160" s="760"/>
      <c r="ADA160" s="757">
        <f t="shared" si="197"/>
        <v>0.45600000000000002</v>
      </c>
      <c r="ADB160" s="758"/>
      <c r="ADD160" s="759">
        <v>-8.3333333333333398E-2</v>
      </c>
      <c r="ADE160" s="760"/>
      <c r="ADF160" s="759">
        <v>1.0416666666666701</v>
      </c>
      <c r="ADG160" s="760"/>
      <c r="ADH160" s="592">
        <v>107</v>
      </c>
      <c r="ADI160" s="759">
        <f t="shared" si="198"/>
        <v>0.97033333333333671</v>
      </c>
      <c r="ADJ160" s="760"/>
      <c r="ADK160" s="757">
        <f t="shared" si="199"/>
        <v>0.85599999999999998</v>
      </c>
      <c r="ADL160" s="758"/>
      <c r="ADN160" s="759">
        <v>-0.14285714285714299</v>
      </c>
      <c r="ADO160" s="760"/>
      <c r="ADP160" s="759">
        <v>1.1071428571428601</v>
      </c>
      <c r="ADQ160" s="760"/>
      <c r="ADR160" s="592">
        <v>157</v>
      </c>
      <c r="ADS160" s="759">
        <f t="shared" si="200"/>
        <v>0.92771428571428849</v>
      </c>
      <c r="ADT160" s="760"/>
      <c r="ADU160" s="757">
        <f t="shared" si="201"/>
        <v>1.256</v>
      </c>
      <c r="ADV160" s="758"/>
      <c r="ADX160" s="759">
        <v>-0.2</v>
      </c>
      <c r="ADY160" s="760"/>
      <c r="ADZ160" s="759">
        <v>1.19</v>
      </c>
      <c r="AEA160" s="760"/>
      <c r="AEB160" s="591">
        <v>207</v>
      </c>
      <c r="AEC160" s="759">
        <f t="shared" si="202"/>
        <v>0.8587999999999999</v>
      </c>
      <c r="AED160" s="760"/>
      <c r="AEE160" s="757">
        <f t="shared" si="203"/>
        <v>1.6560000000000001</v>
      </c>
      <c r="AEF160" s="758"/>
      <c r="AEH160" s="759">
        <v>-0.33333333333333298</v>
      </c>
      <c r="AEI160" s="760"/>
      <c r="AEJ160" s="759">
        <v>1.4166666666666701</v>
      </c>
      <c r="AEK160" s="760"/>
      <c r="AEL160" s="592">
        <v>257</v>
      </c>
      <c r="AEM160" s="759">
        <f t="shared" si="204"/>
        <v>0.7313333333333375</v>
      </c>
      <c r="AEN160" s="760"/>
      <c r="AEO160" s="757">
        <f t="shared" si="205"/>
        <v>2.056</v>
      </c>
      <c r="AEP160" s="758"/>
      <c r="AER160" s="759">
        <v>-0.25</v>
      </c>
      <c r="AES160" s="760"/>
      <c r="AET160" s="759">
        <v>1.2250000000000001</v>
      </c>
      <c r="AEU160" s="760"/>
      <c r="AEV160" s="591">
        <v>307</v>
      </c>
      <c r="AEW160" s="759">
        <f t="shared" si="206"/>
        <v>0.6110000000000001</v>
      </c>
      <c r="AEX160" s="760"/>
      <c r="AEY160" s="757">
        <f t="shared" si="207"/>
        <v>2.456</v>
      </c>
      <c r="AEZ160" s="758"/>
      <c r="AFB160" s="759">
        <v>-0.1</v>
      </c>
      <c r="AFC160" s="760"/>
      <c r="AFD160" s="759">
        <v>0.82</v>
      </c>
      <c r="AFE160" s="760"/>
      <c r="AFF160" s="591">
        <v>357</v>
      </c>
      <c r="AFG160" s="759">
        <f t="shared" si="208"/>
        <v>0.53439999999999999</v>
      </c>
      <c r="AFH160" s="760"/>
      <c r="AFI160" s="757">
        <f t="shared" si="209"/>
        <v>2.8559999999999999</v>
      </c>
      <c r="AFJ160" s="758"/>
      <c r="AFL160" s="759">
        <v>-0.25</v>
      </c>
      <c r="AFM160" s="760"/>
      <c r="AFN160" s="759">
        <v>1.3</v>
      </c>
      <c r="AFO160" s="760"/>
      <c r="AFP160" s="592">
        <v>407</v>
      </c>
      <c r="AFQ160" s="759">
        <f t="shared" si="210"/>
        <v>0.48599999999999999</v>
      </c>
      <c r="AFR160" s="760"/>
      <c r="AFS160" s="757">
        <f t="shared" si="211"/>
        <v>3.2560000000000002</v>
      </c>
      <c r="AFT160" s="758"/>
      <c r="AFV160" s="759">
        <v>-0.125</v>
      </c>
      <c r="AFW160" s="760"/>
      <c r="AFX160" s="759">
        <v>0.875</v>
      </c>
      <c r="AFY160" s="760"/>
      <c r="AFZ160" s="591">
        <v>457</v>
      </c>
      <c r="AGA160" s="759">
        <f t="shared" si="212"/>
        <v>0.41799999999999998</v>
      </c>
      <c r="AGB160" s="760"/>
      <c r="AGC160" s="757">
        <f t="shared" si="213"/>
        <v>3.6560000000000001</v>
      </c>
      <c r="AGD160" s="758"/>
      <c r="AIA160" s="130"/>
      <c r="AIB160" s="130"/>
      <c r="AIJ160" s="130"/>
      <c r="AIK160" s="130"/>
      <c r="AIL160" s="130"/>
      <c r="AIM160" s="130"/>
      <c r="AIN160" s="130"/>
      <c r="AIO160" s="130"/>
      <c r="AIP160" s="130"/>
      <c r="AIQ160" s="130"/>
      <c r="AIR160" s="130"/>
      <c r="AIS160" s="130"/>
      <c r="AIT160" s="130"/>
      <c r="AIU160" s="130"/>
      <c r="AIV160" s="130"/>
      <c r="AIW160" s="130"/>
      <c r="AIX160" s="130"/>
      <c r="AIY160" s="130"/>
      <c r="AIZ160" s="130"/>
      <c r="ATF160" s="199"/>
      <c r="ATG160" s="852" t="s">
        <v>874</v>
      </c>
      <c r="ATH160" s="923"/>
      <c r="ATI160" s="199"/>
      <c r="ATJ160" s="1117" t="s">
        <v>882</v>
      </c>
      <c r="ATK160" s="1118"/>
      <c r="ATL160" s="1118"/>
      <c r="ATM160" s="1118"/>
      <c r="ATN160" s="1118"/>
      <c r="ATO160" s="1118"/>
      <c r="ATP160" s="1118"/>
      <c r="ATQ160" s="1118"/>
      <c r="ATR160" s="1118"/>
      <c r="ATS160" s="1118"/>
      <c r="ATT160" s="1119"/>
      <c r="ATU160" s="199"/>
    </row>
    <row r="161" spans="249:948 1165:1221" ht="48" customHeight="1" thickBot="1">
      <c r="LZ161" s="377"/>
      <c r="MA161" s="373"/>
      <c r="MB161" s="54"/>
      <c r="MC161" s="373"/>
      <c r="MD161" s="849"/>
      <c r="ME161" s="852" t="s">
        <v>416</v>
      </c>
      <c r="MF161" s="853"/>
      <c r="MG161" s="646"/>
      <c r="MH161" s="76" t="s">
        <v>441</v>
      </c>
      <c r="MI161" s="854" t="s">
        <v>435</v>
      </c>
      <c r="MJ161" s="855"/>
      <c r="MK161" s="924" t="s">
        <v>111</v>
      </c>
      <c r="ML161" s="925"/>
      <c r="MM161" s="916" t="s">
        <v>704</v>
      </c>
      <c r="MN161" s="917"/>
      <c r="MO161" s="906" t="s">
        <v>447</v>
      </c>
      <c r="MP161" s="907"/>
      <c r="MQ161" s="907"/>
      <c r="MR161" s="907"/>
      <c r="MS161" s="908"/>
      <c r="MT161" s="906" t="s">
        <v>863</v>
      </c>
      <c r="MU161" s="907"/>
      <c r="MV161" s="908"/>
      <c r="MW161" s="373"/>
      <c r="MX161" s="373"/>
      <c r="MY161" s="373"/>
      <c r="MZ161" s="373"/>
      <c r="NA161" s="373"/>
      <c r="NB161" s="373"/>
      <c r="NC161" s="373"/>
      <c r="ND161" s="373"/>
      <c r="NE161" s="373"/>
      <c r="NF161" s="373"/>
      <c r="NG161" s="373"/>
      <c r="NH161" s="373"/>
      <c r="NI161" s="373"/>
      <c r="NJ161" s="373"/>
      <c r="NK161" s="373"/>
      <c r="NL161" s="373"/>
      <c r="NM161" s="373"/>
      <c r="NN161" s="373"/>
      <c r="NO161" s="374"/>
      <c r="PG161" s="377"/>
      <c r="PH161" s="54"/>
      <c r="PI161" s="373"/>
      <c r="PJ161" s="373"/>
      <c r="PK161" s="373"/>
      <c r="PL161" s="851"/>
      <c r="PM161" s="777"/>
      <c r="PN161" s="778"/>
      <c r="PO161" s="778"/>
      <c r="PP161" s="778"/>
      <c r="PQ161" s="778"/>
      <c r="PR161" s="778"/>
      <c r="PS161" s="778"/>
      <c r="PT161" s="778"/>
      <c r="PU161" s="778"/>
      <c r="PV161" s="778"/>
      <c r="PW161" s="778"/>
      <c r="PX161" s="778"/>
      <c r="PY161" s="799"/>
      <c r="PZ161" s="837"/>
      <c r="QA161" s="838"/>
      <c r="QB161" s="1185"/>
      <c r="QC161" s="1186"/>
      <c r="QD161" s="1290"/>
      <c r="QE161" s="1321"/>
      <c r="QF161" s="1321"/>
      <c r="QG161" s="1321"/>
      <c r="QH161" s="1290"/>
      <c r="QI161" s="1276"/>
      <c r="QJ161" s="1277"/>
      <c r="QK161" s="1278"/>
      <c r="QL161" s="373"/>
      <c r="QM161" s="373"/>
      <c r="QN161" s="373"/>
      <c r="QO161" s="373"/>
      <c r="QP161" s="373"/>
      <c r="QQ161" s="373"/>
      <c r="QR161" s="374"/>
      <c r="QV161" s="130"/>
      <c r="QW161" s="130"/>
      <c r="QX161" s="130"/>
      <c r="WE161" s="996"/>
      <c r="WF161" s="997"/>
      <c r="WG161" s="175"/>
      <c r="WH161" s="173"/>
      <c r="WI161" s="173"/>
      <c r="WJ161" s="173"/>
      <c r="WK161" s="173"/>
      <c r="WL161" s="173"/>
      <c r="WM161" s="173"/>
      <c r="WN161" s="173"/>
      <c r="WO161" s="173"/>
      <c r="WP161" s="173"/>
      <c r="WQ161" s="173"/>
      <c r="WR161" s="173"/>
      <c r="WS161" s="173"/>
      <c r="WT161" s="173"/>
      <c r="WU161" s="173"/>
      <c r="WV161" s="173"/>
      <c r="WW161" s="173"/>
      <c r="WX161" s="173"/>
      <c r="WY161" s="174"/>
      <c r="WZ161" s="1085"/>
      <c r="XA161" s="1085"/>
      <c r="XB161" s="175"/>
      <c r="XC161" s="173"/>
      <c r="XD161" s="173"/>
      <c r="XE161" s="173"/>
      <c r="XF161" s="173"/>
      <c r="XG161" s="693" t="str">
        <f t="shared" ref="XG161:YL161" si="223">IF($ADU$228&lt;0,"Ошибка",
IF(OR(AND($ADU$228&gt;XG155,XG155&gt;$ADK$277),XG155 = $ADU$228),$ADS$228,
IF(OR(AND($ADU$229&gt;XG155,XG155&gt;$ADU$228),XG155 = $ADU$229),$ADS$229,
IF(OR(AND($ADU$230&gt;XG155,XG155&gt;$ADU$229),XG155 = $ADU$230),$ADS$230,
IF(OR(AND($ADU$231&gt;XG155,XG155&gt;$ADU$230),XG155 = $ADU$231),$ADS$231,
IF(OR(AND($ADU$232&gt;XG155,XG155&gt;$ADU$231),XG155 = $ADU$232),$ADS$232,
IF(OR(AND($ADU$233&gt;XG155,XG155&gt;$ADU$232),XG155 = $ADU$233),$ADS$233,
IF(OR(AND($ADU$234&gt;XG155,XG155&gt;$ADU$233),XG155 = $ADU$234),$ADS$234,
IF(OR(AND($ADU$235&gt;XG155,XG155&gt;$ADU$234),XG155 = $ADU$235),$ADS$235,
IF(OR(AND($ADU$236&gt;XG155,XG155&gt;$ADU$235),XG155 = $ADU$236),$ADS$236,
IF(OR(AND($ADU$237&gt;XG155,XG155&gt;$ADU$236),XG155 = $ADU$237),$ADS$237,
IF(OR(AND($ADU$238&gt;XG155,XG155&gt;$ADU$237),XG155 = $ADU$238),$ADS$238,
IF(OR(AND($ADU$239&gt;XG155,XG155&gt;$ADU$238),XG155 = $ADU$239),$ADS$239,
IF(OR(AND($ADU$240&gt;XG155,XG155&gt;$ADU$239),XG155 = $ADU$240),$ADS$240,
IF(OR(AND($ADU$241&gt;XG155,XG155&gt;$ADU$240),XG155 = $ADU$241),$ADS$241,
IF(OR(AND($ADU$242&gt;XG155,XG155&gt;$ADU$241),XG155 = $ADU$242),$ADS$242,
IF(OR(AND($ADU$243&gt;XG155,XG155&gt;$ADU$242),XG155 = $ADU$243),$ADS$243,
IF(OR(AND($ADU$244&gt;XG155,XG155&gt;$ADU$243),XG155 = $ADU$244),$ADS$244,
IF(OR(AND($ADU$245&gt;XG155,XG155&gt;$ADU$244),XG155 = $ADU$245),$ADS$245,
IF(OR(AND($ADU$246&gt;XG155,XG155&gt;$ADU$245),XG155 = $ADU$246),$ADS$246,
IF(OR(AND($ADU$247&gt;XG155,XG155&gt;$ADU$246),XG155 = $ADU$247),$ADS$247,
IF(OR(AND($ADU$248&gt;XG155,XG155&gt;$ADU$247),XG155 = $ADU$248),$ADS$248,
IF(OR(AND($ADU$249&gt;XG155,XG155&gt;$ADU$248),XG155 = $ADU$249),$ADS$249,
IF(OR(AND($ADU$250&gt;XG155,XG155&gt;$ADU$249),XG155 = $ADU$250),$ADS$250,
IF(OR(AND($ADU$251&gt;XG155,XG155&gt;$ADU$250),XG155 = $ADU$251),$ADS$251,
IF(OR(AND($ADU$252&gt;XG155,XG155&gt;$ADU$251),XG155 = $ADU$252),$ADS$252,
IF(OR(AND($ADU$253&gt;XG155,XG155&gt;$ADU$252),XG155 = $ADU$253),$ADS$253,
IF(OR(AND($ADU$254&gt;XG155,XG155&gt;$ADU$253),XG155 = $ADU$254),$ADS$254,
IF(OR(AND($ADU$255&gt;XG155,XG155&gt;$ADU$254),XG155 = $ADU$255),$ADS$255,
IF(OR(AND($ADU$256&gt;XG155,XG155&gt;$ADU$255),XG155 = $ADU$256),$ADS$256,
IF(OR(AND($ADU$257&gt;XG155,XG155&gt;$ADU$256),XG155 = $ADU$257),$ADS$257,
IF(OR(AND($ADU$258&gt;XG155,XG155&gt;$ADU$257),XG155 = $ADU$258),$ADS$258,
IF(OR(AND($ADU$259&gt;XG155,XG155&gt;$ADU$258),XG155 = $ADU$259),$ADS$259,
IF(OR(AND($ADU$260&gt;XG155,XG155&gt;$ADU$259),XG155 = $ADU$260),$ADS$260,
IF(OR(AND($ADU$261&gt;XG155,XG155&gt;$ADU$260),XG155 = $ADU$261),$ADS$261,
IF(OR(AND($ADU$262&gt;XG155,XG155&gt;$ADU$261),XG155 = $ADU$262),$ADS$262,
IF(OR(AND($ADU$263&gt;XG155,XG155&gt;$ADU$262),XG155 = $ADU$263),$ADS$263,
IF(OR(AND($ADU$264&gt;XG155,XG155&gt;$ADU$263),XG155 = $ADU$264),$ADS$264,
IF(OR(AND($ADU$265&gt;XG155,XG155&gt;$ADU$264),XG155 = $ADU$265),$ADS$265,
IF(OR(AND($ADU$266&gt;XG155,XG155&gt;$ADU$265),XG155 = $ADU$266),$ADS$266,
IF(OR(AND($ADU$267&gt;XG155,XG155&gt;$ADU$266),XG155 = $ADU$267),$ADS$267,
IF(OR(AND($ADU$268&gt;XG155,XG155&gt;$ADU$267),XG155 = $ADU$268),$ADS$268,
IF(OR(AND($ADU$269&gt;XG155,XG155&gt;$ADU$268),XG155 = $ADU$269),$ADS$269,
IF(OR(AND($ADU$270&gt;XG155,XG155&gt;$ADU$269),XG155 = $ADU$270),$ADS$270,
IF(OR(AND($ADU$271&gt;XG155,XG155&gt;$ADU$270),XG155 = $ADU$271),$ADS$271,
IF(OR(AND($ADU$272&gt;XG155,XG155&gt;$ADU$271),XG155 = $ADU$272),$ADS$272,
IF(OR(AND($ADU$273&gt;XG155,XG155&gt;$ADU$272),XG155 = $ADU$273),$ADS$273,
IF(OR(AND($ADU$274&gt;XG155,XG155&gt;$ADU$273),XG155 = $ADU$274),$ADS$274,
IF(OR(AND($ADU$275&gt;XG155,XG155&gt;$ADU$274),XG155 = $ADU$275),$ADS$275,
IF(OR(AND($ADU$276&gt;XG155,XG155&gt;$ADU$275),XG155 = $ADU$276),$ADS$276,
IF(OR(AND($ADU$277&gt;XG155,XG155&gt;$ADU$276),XG155 = $ADU$277),$ADS$277,
"Y")))))))))))))))))))))))))))))))))))))))))))))))))))</f>
        <v>Y</v>
      </c>
      <c r="XH161" s="693" t="str">
        <f t="shared" si="223"/>
        <v>Y</v>
      </c>
      <c r="XI161" s="693" t="str">
        <f t="shared" si="223"/>
        <v>Y</v>
      </c>
      <c r="XJ161" s="693" t="str">
        <f t="shared" si="223"/>
        <v>Y</v>
      </c>
      <c r="XK161" s="693" t="str">
        <f t="shared" si="223"/>
        <v>Y</v>
      </c>
      <c r="XL161" s="693" t="str">
        <f t="shared" si="223"/>
        <v>Y</v>
      </c>
      <c r="XM161" s="693" t="str">
        <f t="shared" si="223"/>
        <v>Y</v>
      </c>
      <c r="XN161" s="693" t="str">
        <f t="shared" si="223"/>
        <v>Y</v>
      </c>
      <c r="XO161" s="693" t="str">
        <f t="shared" si="223"/>
        <v>Y</v>
      </c>
      <c r="XP161" s="693" t="str">
        <f t="shared" si="223"/>
        <v>Y</v>
      </c>
      <c r="XQ161" s="693" t="str">
        <f t="shared" si="223"/>
        <v>Y</v>
      </c>
      <c r="XR161" s="693" t="str">
        <f t="shared" si="223"/>
        <v>Y</v>
      </c>
      <c r="XS161" s="693" t="str">
        <f t="shared" si="223"/>
        <v>Y</v>
      </c>
      <c r="XT161" s="693" t="str">
        <f t="shared" si="223"/>
        <v>Y</v>
      </c>
      <c r="XU161" s="693" t="str">
        <f t="shared" si="223"/>
        <v>Y</v>
      </c>
      <c r="XV161" s="693" t="str">
        <f t="shared" si="223"/>
        <v>Y</v>
      </c>
      <c r="XW161" s="693" t="str">
        <f t="shared" si="223"/>
        <v>Y</v>
      </c>
      <c r="XX161" s="693" t="str">
        <f t="shared" si="223"/>
        <v>Y</v>
      </c>
      <c r="XY161" s="693" t="str">
        <f t="shared" si="223"/>
        <v>Y</v>
      </c>
      <c r="XZ161" s="693" t="str">
        <f t="shared" si="223"/>
        <v>Y</v>
      </c>
      <c r="YA161" s="693" t="str">
        <f t="shared" si="223"/>
        <v>Y</v>
      </c>
      <c r="YB161" s="693" t="str">
        <f t="shared" si="223"/>
        <v>Y</v>
      </c>
      <c r="YC161" s="693" t="str">
        <f t="shared" si="223"/>
        <v>Y</v>
      </c>
      <c r="YD161" s="693" t="str">
        <f t="shared" si="223"/>
        <v>Y</v>
      </c>
      <c r="YE161" s="693" t="str">
        <f t="shared" si="223"/>
        <v>Y</v>
      </c>
      <c r="YF161" s="693" t="str">
        <f t="shared" si="223"/>
        <v>Y</v>
      </c>
      <c r="YG161" s="693" t="str">
        <f t="shared" si="223"/>
        <v>Y</v>
      </c>
      <c r="YH161" s="693" t="str">
        <f t="shared" si="223"/>
        <v>Y</v>
      </c>
      <c r="YI161" s="693" t="str">
        <f t="shared" si="223"/>
        <v>Y</v>
      </c>
      <c r="YJ161" s="693" t="str">
        <f t="shared" si="223"/>
        <v>Y</v>
      </c>
      <c r="YK161" s="693" t="str">
        <f t="shared" si="223"/>
        <v>Y</v>
      </c>
      <c r="YL161" s="693" t="str">
        <f t="shared" si="223"/>
        <v>Y</v>
      </c>
      <c r="YM161" s="693" t="str">
        <f t="shared" ref="YM161:ZR161" si="224">IF($ADU$228&lt;0,"Ошибка",
IF(OR(AND($ADU$228&gt;YM155,YM155&gt;$ADK$277),YM155 = $ADU$228),$ADS$228,
IF(OR(AND($ADU$229&gt;YM155,YM155&gt;$ADU$228),YM155 = $ADU$229),$ADS$229,
IF(OR(AND($ADU$230&gt;YM155,YM155&gt;$ADU$229),YM155 = $ADU$230),$ADS$230,
IF(OR(AND($ADU$231&gt;YM155,YM155&gt;$ADU$230),YM155 = $ADU$231),$ADS$231,
IF(OR(AND($ADU$232&gt;YM155,YM155&gt;$ADU$231),YM155 = $ADU$232),$ADS$232,
IF(OR(AND($ADU$233&gt;YM155,YM155&gt;$ADU$232),YM155 = $ADU$233),$ADS$233,
IF(OR(AND($ADU$234&gt;YM155,YM155&gt;$ADU$233),YM155 = $ADU$234),$ADS$234,
IF(OR(AND($ADU$235&gt;YM155,YM155&gt;$ADU$234),YM155 = $ADU$235),$ADS$235,
IF(OR(AND($ADU$236&gt;YM155,YM155&gt;$ADU$235),YM155 = $ADU$236),$ADS$236,
IF(OR(AND($ADU$237&gt;YM155,YM155&gt;$ADU$236),YM155 = $ADU$237),$ADS$237,
IF(OR(AND($ADU$238&gt;YM155,YM155&gt;$ADU$237),YM155 = $ADU$238),$ADS$238,
IF(OR(AND($ADU$239&gt;YM155,YM155&gt;$ADU$238),YM155 = $ADU$239),$ADS$239,
IF(OR(AND($ADU$240&gt;YM155,YM155&gt;$ADU$239),YM155 = $ADU$240),$ADS$240,
IF(OR(AND($ADU$241&gt;YM155,YM155&gt;$ADU$240),YM155 = $ADU$241),$ADS$241,
IF(OR(AND($ADU$242&gt;YM155,YM155&gt;$ADU$241),YM155 = $ADU$242),$ADS$242,
IF(OR(AND($ADU$243&gt;YM155,YM155&gt;$ADU$242),YM155 = $ADU$243),$ADS$243,
IF(OR(AND($ADU$244&gt;YM155,YM155&gt;$ADU$243),YM155 = $ADU$244),$ADS$244,
IF(OR(AND($ADU$245&gt;YM155,YM155&gt;$ADU$244),YM155 = $ADU$245),$ADS$245,
IF(OR(AND($ADU$246&gt;YM155,YM155&gt;$ADU$245),YM155 = $ADU$246),$ADS$246,
IF(OR(AND($ADU$247&gt;YM155,YM155&gt;$ADU$246),YM155 = $ADU$247),$ADS$247,
IF(OR(AND($ADU$248&gt;YM155,YM155&gt;$ADU$247),YM155 = $ADU$248),$ADS$248,
IF(OR(AND($ADU$249&gt;YM155,YM155&gt;$ADU$248),YM155 = $ADU$249),$ADS$249,
IF(OR(AND($ADU$250&gt;YM155,YM155&gt;$ADU$249),YM155 = $ADU$250),$ADS$250,
IF(OR(AND($ADU$251&gt;YM155,YM155&gt;$ADU$250),YM155 = $ADU$251),$ADS$251,
IF(OR(AND($ADU$252&gt;YM155,YM155&gt;$ADU$251),YM155 = $ADU$252),$ADS$252,
IF(OR(AND($ADU$253&gt;YM155,YM155&gt;$ADU$252),YM155 = $ADU$253),$ADS$253,
IF(OR(AND($ADU$254&gt;YM155,YM155&gt;$ADU$253),YM155 = $ADU$254),$ADS$254,
IF(OR(AND($ADU$255&gt;YM155,YM155&gt;$ADU$254),YM155 = $ADU$255),$ADS$255,
IF(OR(AND($ADU$256&gt;YM155,YM155&gt;$ADU$255),YM155 = $ADU$256),$ADS$256,
IF(OR(AND($ADU$257&gt;YM155,YM155&gt;$ADU$256),YM155 = $ADU$257),$ADS$257,
IF(OR(AND($ADU$258&gt;YM155,YM155&gt;$ADU$257),YM155 = $ADU$258),$ADS$258,
IF(OR(AND($ADU$259&gt;YM155,YM155&gt;$ADU$258),YM155 = $ADU$259),$ADS$259,
IF(OR(AND($ADU$260&gt;YM155,YM155&gt;$ADU$259),YM155 = $ADU$260),$ADS$260,
IF(OR(AND($ADU$261&gt;YM155,YM155&gt;$ADU$260),YM155 = $ADU$261),$ADS$261,
IF(OR(AND($ADU$262&gt;YM155,YM155&gt;$ADU$261),YM155 = $ADU$262),$ADS$262,
IF(OR(AND($ADU$263&gt;YM155,YM155&gt;$ADU$262),YM155 = $ADU$263),$ADS$263,
IF(OR(AND($ADU$264&gt;YM155,YM155&gt;$ADU$263),YM155 = $ADU$264),$ADS$264,
IF(OR(AND($ADU$265&gt;YM155,YM155&gt;$ADU$264),YM155 = $ADU$265),$ADS$265,
IF(OR(AND($ADU$266&gt;YM155,YM155&gt;$ADU$265),YM155 = $ADU$266),$ADS$266,
IF(OR(AND($ADU$267&gt;YM155,YM155&gt;$ADU$266),YM155 = $ADU$267),$ADS$267,
IF(OR(AND($ADU$268&gt;YM155,YM155&gt;$ADU$267),YM155 = $ADU$268),$ADS$268,
IF(OR(AND($ADU$269&gt;YM155,YM155&gt;$ADU$268),YM155 = $ADU$269),$ADS$269,
IF(OR(AND($ADU$270&gt;YM155,YM155&gt;$ADU$269),YM155 = $ADU$270),$ADS$270,
IF(OR(AND($ADU$271&gt;YM155,YM155&gt;$ADU$270),YM155 = $ADU$271),$ADS$271,
IF(OR(AND($ADU$272&gt;YM155,YM155&gt;$ADU$271),YM155 = $ADU$272),$ADS$272,
IF(OR(AND($ADU$273&gt;YM155,YM155&gt;$ADU$272),YM155 = $ADU$273),$ADS$273,
IF(OR(AND($ADU$274&gt;YM155,YM155&gt;$ADU$273),YM155 = $ADU$274),$ADS$274,
IF(OR(AND($ADU$275&gt;YM155,YM155&gt;$ADU$274),YM155 = $ADU$275),$ADS$275,
IF(OR(AND($ADU$276&gt;YM155,YM155&gt;$ADU$275),YM155 = $ADU$276),$ADS$276,
IF(OR(AND($ADU$277&gt;YM155,YM155&gt;$ADU$276),YM155 = $ADU$277),$ADS$277,
"Y")))))))))))))))))))))))))))))))))))))))))))))))))))</f>
        <v>Y</v>
      </c>
      <c r="YN161" s="693" t="str">
        <f t="shared" si="224"/>
        <v>Y</v>
      </c>
      <c r="YO161" s="693" t="str">
        <f t="shared" si="224"/>
        <v>Y</v>
      </c>
      <c r="YP161" s="693" t="str">
        <f t="shared" si="224"/>
        <v>Y</v>
      </c>
      <c r="YQ161" s="693" t="str">
        <f t="shared" si="224"/>
        <v>Y</v>
      </c>
      <c r="YR161" s="693" t="str">
        <f t="shared" si="224"/>
        <v>Y</v>
      </c>
      <c r="YS161" s="693" t="str">
        <f t="shared" si="224"/>
        <v>Y</v>
      </c>
      <c r="YT161" s="693" t="str">
        <f t="shared" si="224"/>
        <v>Y</v>
      </c>
      <c r="YU161" s="693" t="str">
        <f t="shared" si="224"/>
        <v>Y</v>
      </c>
      <c r="YV161" s="693" t="str">
        <f t="shared" si="224"/>
        <v>Y</v>
      </c>
      <c r="YW161" s="693" t="str">
        <f t="shared" si="224"/>
        <v>Y</v>
      </c>
      <c r="YX161" s="693" t="str">
        <f t="shared" si="224"/>
        <v>Y</v>
      </c>
      <c r="YY161" s="693" t="str">
        <f t="shared" si="224"/>
        <v>Y</v>
      </c>
      <c r="YZ161" s="693" t="str">
        <f t="shared" si="224"/>
        <v>Y</v>
      </c>
      <c r="ZA161" s="693" t="str">
        <f t="shared" si="224"/>
        <v>Y</v>
      </c>
      <c r="ZB161" s="693" t="str">
        <f t="shared" si="224"/>
        <v>Y</v>
      </c>
      <c r="ZC161" s="693" t="str">
        <f t="shared" si="224"/>
        <v>Y</v>
      </c>
      <c r="ZD161" s="693" t="str">
        <f t="shared" si="224"/>
        <v>Y</v>
      </c>
      <c r="ZE161" s="693" t="str">
        <f t="shared" si="224"/>
        <v>Y</v>
      </c>
      <c r="ZF161" s="693" t="str">
        <f t="shared" si="224"/>
        <v>Y</v>
      </c>
      <c r="ZG161" s="693" t="str">
        <f t="shared" si="224"/>
        <v>Y</v>
      </c>
      <c r="ZH161" s="693" t="str">
        <f t="shared" si="224"/>
        <v>Y</v>
      </c>
      <c r="ZI161" s="693" t="str">
        <f t="shared" si="224"/>
        <v>Y</v>
      </c>
      <c r="ZJ161" s="693" t="str">
        <f t="shared" si="224"/>
        <v>Y</v>
      </c>
      <c r="ZK161" s="693" t="str">
        <f t="shared" si="224"/>
        <v>Y</v>
      </c>
      <c r="ZL161" s="693" t="str">
        <f t="shared" si="224"/>
        <v>Y</v>
      </c>
      <c r="ZM161" s="693" t="str">
        <f t="shared" si="224"/>
        <v>Y</v>
      </c>
      <c r="ZN161" s="693" t="str">
        <f t="shared" si="224"/>
        <v>Y</v>
      </c>
      <c r="ZO161" s="693" t="str">
        <f t="shared" si="224"/>
        <v>Y</v>
      </c>
      <c r="ZP161" s="693" t="str">
        <f t="shared" si="224"/>
        <v>Y</v>
      </c>
      <c r="ZQ161" s="693" t="str">
        <f t="shared" si="224"/>
        <v>Y</v>
      </c>
      <c r="ZR161" s="693" t="str">
        <f t="shared" si="224"/>
        <v>Y</v>
      </c>
      <c r="ZS161" s="693" t="str">
        <f t="shared" ref="ZS161:AAS161" si="225">IF($ADU$228&lt;0,"Ошибка",
IF(OR(AND($ADU$228&gt;ZS155,ZS155&gt;$ADK$277),ZS155 = $ADU$228),$ADS$228,
IF(OR(AND($ADU$229&gt;ZS155,ZS155&gt;$ADU$228),ZS155 = $ADU$229),$ADS$229,
IF(OR(AND($ADU$230&gt;ZS155,ZS155&gt;$ADU$229),ZS155 = $ADU$230),$ADS$230,
IF(OR(AND($ADU$231&gt;ZS155,ZS155&gt;$ADU$230),ZS155 = $ADU$231),$ADS$231,
IF(OR(AND($ADU$232&gt;ZS155,ZS155&gt;$ADU$231),ZS155 = $ADU$232),$ADS$232,
IF(OR(AND($ADU$233&gt;ZS155,ZS155&gt;$ADU$232),ZS155 = $ADU$233),$ADS$233,
IF(OR(AND($ADU$234&gt;ZS155,ZS155&gt;$ADU$233),ZS155 = $ADU$234),$ADS$234,
IF(OR(AND($ADU$235&gt;ZS155,ZS155&gt;$ADU$234),ZS155 = $ADU$235),$ADS$235,
IF(OR(AND($ADU$236&gt;ZS155,ZS155&gt;$ADU$235),ZS155 = $ADU$236),$ADS$236,
IF(OR(AND($ADU$237&gt;ZS155,ZS155&gt;$ADU$236),ZS155 = $ADU$237),$ADS$237,
IF(OR(AND($ADU$238&gt;ZS155,ZS155&gt;$ADU$237),ZS155 = $ADU$238),$ADS$238,
IF(OR(AND($ADU$239&gt;ZS155,ZS155&gt;$ADU$238),ZS155 = $ADU$239),$ADS$239,
IF(OR(AND($ADU$240&gt;ZS155,ZS155&gt;$ADU$239),ZS155 = $ADU$240),$ADS$240,
IF(OR(AND($ADU$241&gt;ZS155,ZS155&gt;$ADU$240),ZS155 = $ADU$241),$ADS$241,
IF(OR(AND($ADU$242&gt;ZS155,ZS155&gt;$ADU$241),ZS155 = $ADU$242),$ADS$242,
IF(OR(AND($ADU$243&gt;ZS155,ZS155&gt;$ADU$242),ZS155 = $ADU$243),$ADS$243,
IF(OR(AND($ADU$244&gt;ZS155,ZS155&gt;$ADU$243),ZS155 = $ADU$244),$ADS$244,
IF(OR(AND($ADU$245&gt;ZS155,ZS155&gt;$ADU$244),ZS155 = $ADU$245),$ADS$245,
IF(OR(AND($ADU$246&gt;ZS155,ZS155&gt;$ADU$245),ZS155 = $ADU$246),$ADS$246,
IF(OR(AND($ADU$247&gt;ZS155,ZS155&gt;$ADU$246),ZS155 = $ADU$247),$ADS$247,
IF(OR(AND($ADU$248&gt;ZS155,ZS155&gt;$ADU$247),ZS155 = $ADU$248),$ADS$248,
IF(OR(AND($ADU$249&gt;ZS155,ZS155&gt;$ADU$248),ZS155 = $ADU$249),$ADS$249,
IF(OR(AND($ADU$250&gt;ZS155,ZS155&gt;$ADU$249),ZS155 = $ADU$250),$ADS$250,
IF(OR(AND($ADU$251&gt;ZS155,ZS155&gt;$ADU$250),ZS155 = $ADU$251),$ADS$251,
IF(OR(AND($ADU$252&gt;ZS155,ZS155&gt;$ADU$251),ZS155 = $ADU$252),$ADS$252,
IF(OR(AND($ADU$253&gt;ZS155,ZS155&gt;$ADU$252),ZS155 = $ADU$253),$ADS$253,
IF(OR(AND($ADU$254&gt;ZS155,ZS155&gt;$ADU$253),ZS155 = $ADU$254),$ADS$254,
IF(OR(AND($ADU$255&gt;ZS155,ZS155&gt;$ADU$254),ZS155 = $ADU$255),$ADS$255,
IF(OR(AND($ADU$256&gt;ZS155,ZS155&gt;$ADU$255),ZS155 = $ADU$256),$ADS$256,
IF(OR(AND($ADU$257&gt;ZS155,ZS155&gt;$ADU$256),ZS155 = $ADU$257),$ADS$257,
IF(OR(AND($ADU$258&gt;ZS155,ZS155&gt;$ADU$257),ZS155 = $ADU$258),$ADS$258,
IF(OR(AND($ADU$259&gt;ZS155,ZS155&gt;$ADU$258),ZS155 = $ADU$259),$ADS$259,
IF(OR(AND($ADU$260&gt;ZS155,ZS155&gt;$ADU$259),ZS155 = $ADU$260),$ADS$260,
IF(OR(AND($ADU$261&gt;ZS155,ZS155&gt;$ADU$260),ZS155 = $ADU$261),$ADS$261,
IF(OR(AND($ADU$262&gt;ZS155,ZS155&gt;$ADU$261),ZS155 = $ADU$262),$ADS$262,
IF(OR(AND($ADU$263&gt;ZS155,ZS155&gt;$ADU$262),ZS155 = $ADU$263),$ADS$263,
IF(OR(AND($ADU$264&gt;ZS155,ZS155&gt;$ADU$263),ZS155 = $ADU$264),$ADS$264,
IF(OR(AND($ADU$265&gt;ZS155,ZS155&gt;$ADU$264),ZS155 = $ADU$265),$ADS$265,
IF(OR(AND($ADU$266&gt;ZS155,ZS155&gt;$ADU$265),ZS155 = $ADU$266),$ADS$266,
IF(OR(AND($ADU$267&gt;ZS155,ZS155&gt;$ADU$266),ZS155 = $ADU$267),$ADS$267,
IF(OR(AND($ADU$268&gt;ZS155,ZS155&gt;$ADU$267),ZS155 = $ADU$268),$ADS$268,
IF(OR(AND($ADU$269&gt;ZS155,ZS155&gt;$ADU$268),ZS155 = $ADU$269),$ADS$269,
IF(OR(AND($ADU$270&gt;ZS155,ZS155&gt;$ADU$269),ZS155 = $ADU$270),$ADS$270,
IF(OR(AND($ADU$271&gt;ZS155,ZS155&gt;$ADU$270),ZS155 = $ADU$271),$ADS$271,
IF(OR(AND($ADU$272&gt;ZS155,ZS155&gt;$ADU$271),ZS155 = $ADU$272),$ADS$272,
IF(OR(AND($ADU$273&gt;ZS155,ZS155&gt;$ADU$272),ZS155 = $ADU$273),$ADS$273,
IF(OR(AND($ADU$274&gt;ZS155,ZS155&gt;$ADU$273),ZS155 = $ADU$274),$ADS$274,
IF(OR(AND($ADU$275&gt;ZS155,ZS155&gt;$ADU$274),ZS155 = $ADU$275),$ADS$275,
IF(OR(AND($ADU$276&gt;ZS155,ZS155&gt;$ADU$275),ZS155 = $ADU$276),$ADS$276,
IF(OR(AND($ADU$277&gt;ZS155,ZS155&gt;$ADU$276),ZS155 = $ADU$277),$ADS$277,
"Y")))))))))))))))))))))))))))))))))))))))))))))))))))</f>
        <v>Y</v>
      </c>
      <c r="ZT161" s="693" t="str">
        <f t="shared" si="225"/>
        <v>Y</v>
      </c>
      <c r="ZU161" s="693" t="str">
        <f t="shared" si="225"/>
        <v>Y</v>
      </c>
      <c r="ZV161" s="693" t="str">
        <f t="shared" si="225"/>
        <v>Y</v>
      </c>
      <c r="ZW161" s="693" t="str">
        <f t="shared" si="225"/>
        <v>Y</v>
      </c>
      <c r="ZX161" s="693" t="str">
        <f t="shared" si="225"/>
        <v>Y</v>
      </c>
      <c r="ZY161" s="693" t="str">
        <f t="shared" si="225"/>
        <v>Y</v>
      </c>
      <c r="ZZ161" s="693" t="str">
        <f t="shared" si="225"/>
        <v>Y</v>
      </c>
      <c r="AAA161" s="693" t="str">
        <f t="shared" si="225"/>
        <v>Y</v>
      </c>
      <c r="AAB161" s="693" t="str">
        <f t="shared" si="225"/>
        <v>Y</v>
      </c>
      <c r="AAC161" s="693" t="str">
        <f t="shared" si="225"/>
        <v>Y</v>
      </c>
      <c r="AAD161" s="693" t="str">
        <f t="shared" si="225"/>
        <v>Y</v>
      </c>
      <c r="AAE161" s="693" t="str">
        <f t="shared" si="225"/>
        <v>Y</v>
      </c>
      <c r="AAF161" s="693" t="str">
        <f t="shared" si="225"/>
        <v>Y</v>
      </c>
      <c r="AAG161" s="693" t="str">
        <f t="shared" si="225"/>
        <v>Y</v>
      </c>
      <c r="AAH161" s="693" t="str">
        <f t="shared" si="225"/>
        <v>Y</v>
      </c>
      <c r="AAI161" s="693" t="str">
        <f t="shared" si="225"/>
        <v>Y</v>
      </c>
      <c r="AAJ161" s="693" t="str">
        <f t="shared" si="225"/>
        <v>Y</v>
      </c>
      <c r="AAK161" s="693" t="str">
        <f t="shared" si="225"/>
        <v>Y</v>
      </c>
      <c r="AAL161" s="693" t="str">
        <f t="shared" si="225"/>
        <v>Y</v>
      </c>
      <c r="AAM161" s="693" t="str">
        <f t="shared" si="225"/>
        <v>Y</v>
      </c>
      <c r="AAN161" s="693" t="str">
        <f t="shared" si="225"/>
        <v>Y</v>
      </c>
      <c r="AAO161" s="693" t="str">
        <f t="shared" si="225"/>
        <v>Y</v>
      </c>
      <c r="AAP161" s="693" t="str">
        <f t="shared" si="225"/>
        <v>Y</v>
      </c>
      <c r="AAQ161" s="693" t="str">
        <f t="shared" si="225"/>
        <v>Y</v>
      </c>
      <c r="AAR161" s="693" t="str">
        <f t="shared" si="225"/>
        <v>Y</v>
      </c>
      <c r="AAS161" s="693" t="str">
        <f t="shared" si="225"/>
        <v>Y</v>
      </c>
      <c r="AAT161" s="1006"/>
      <c r="AAU161" s="175"/>
      <c r="AAV161" s="173"/>
      <c r="AAW161" s="173"/>
      <c r="AAX161" s="173"/>
      <c r="AAY161" s="173"/>
      <c r="AAZ161" s="173"/>
      <c r="ABA161" s="173"/>
      <c r="ABB161" s="173"/>
      <c r="ABC161" s="173"/>
      <c r="ABD161" s="173"/>
      <c r="ABE161" s="173"/>
      <c r="ABF161" s="173"/>
      <c r="ABG161" s="173"/>
      <c r="ABH161" s="174"/>
      <c r="ABI161" s="158"/>
      <c r="ABJ161" s="158"/>
      <c r="ABK161" s="158"/>
      <c r="ABL161" s="158"/>
      <c r="ABM161" s="158"/>
      <c r="ABN161" s="158"/>
      <c r="ABO161" s="158"/>
      <c r="ABP161" s="163"/>
      <c r="ABS161" s="162"/>
      <c r="ABT161" s="158"/>
      <c r="ABU161" s="158"/>
      <c r="ABV161" s="158"/>
      <c r="ABW161" s="158"/>
      <c r="ABX161" s="158"/>
      <c r="ABY161" s="158"/>
      <c r="ABZ161" s="158"/>
      <c r="ACA161" s="158"/>
      <c r="ACB161" s="158"/>
      <c r="ACC161" s="158"/>
      <c r="ACD161" s="158"/>
      <c r="ACE161" s="158"/>
      <c r="ACF161" s="158"/>
      <c r="ACG161" s="158"/>
      <c r="ACH161" s="163"/>
      <c r="ACJ161" s="759">
        <v>-3.125E-2</v>
      </c>
      <c r="ACK161" s="760"/>
      <c r="ACL161" s="759">
        <v>1</v>
      </c>
      <c r="ACM161" s="760"/>
      <c r="ACN161" s="591">
        <v>8</v>
      </c>
      <c r="ACO161" s="759">
        <f t="shared" si="194"/>
        <v>0.998</v>
      </c>
      <c r="ACP161" s="760"/>
      <c r="ACQ161" s="757">
        <f t="shared" si="195"/>
        <v>6.4000000000000001E-2</v>
      </c>
      <c r="ACR161" s="758"/>
      <c r="ACT161" s="759">
        <v>-3.125E-2</v>
      </c>
      <c r="ACU161" s="760"/>
      <c r="ACV161" s="759">
        <v>1</v>
      </c>
      <c r="ACW161" s="760"/>
      <c r="ACX161" s="591">
        <v>58</v>
      </c>
      <c r="ACY161" s="759">
        <f t="shared" si="196"/>
        <v>0.98550000000000004</v>
      </c>
      <c r="ACZ161" s="760"/>
      <c r="ADA161" s="757">
        <f t="shared" si="197"/>
        <v>0.46400000000000002</v>
      </c>
      <c r="ADB161" s="758"/>
      <c r="ADD161" s="759">
        <v>-8.3333333333333398E-2</v>
      </c>
      <c r="ADE161" s="760"/>
      <c r="ADF161" s="759">
        <v>1.0416666666666701</v>
      </c>
      <c r="ADG161" s="760"/>
      <c r="ADH161" s="592">
        <v>108</v>
      </c>
      <c r="ADI161" s="759">
        <f t="shared" si="198"/>
        <v>0.96966666666667001</v>
      </c>
      <c r="ADJ161" s="760"/>
      <c r="ADK161" s="757">
        <f t="shared" si="199"/>
        <v>0.86399999999999999</v>
      </c>
      <c r="ADL161" s="758"/>
      <c r="ADN161" s="759">
        <v>-0.14285714285714299</v>
      </c>
      <c r="ADO161" s="760"/>
      <c r="ADP161" s="759">
        <v>1.1071428571428601</v>
      </c>
      <c r="ADQ161" s="760"/>
      <c r="ADR161" s="592">
        <v>158</v>
      </c>
      <c r="ADS161" s="759">
        <f t="shared" si="200"/>
        <v>0.92657142857143138</v>
      </c>
      <c r="ADT161" s="760"/>
      <c r="ADU161" s="757">
        <f t="shared" si="201"/>
        <v>1.264</v>
      </c>
      <c r="ADV161" s="758"/>
      <c r="ADX161" s="759">
        <v>-0.2</v>
      </c>
      <c r="ADY161" s="760"/>
      <c r="ADZ161" s="759">
        <v>1.19</v>
      </c>
      <c r="AEA161" s="760"/>
      <c r="AEB161" s="591">
        <v>208</v>
      </c>
      <c r="AEC161" s="759">
        <f t="shared" si="202"/>
        <v>0.85719999999999996</v>
      </c>
      <c r="AED161" s="760"/>
      <c r="AEE161" s="757">
        <f t="shared" si="203"/>
        <v>1.6640000000000001</v>
      </c>
      <c r="AEF161" s="758"/>
      <c r="AEH161" s="759">
        <v>-0.33333333333333298</v>
      </c>
      <c r="AEI161" s="760"/>
      <c r="AEJ161" s="759">
        <v>1.4166666666666701</v>
      </c>
      <c r="AEK161" s="760"/>
      <c r="AEL161" s="592">
        <v>258</v>
      </c>
      <c r="AEM161" s="759">
        <f t="shared" si="204"/>
        <v>0.72866666666667079</v>
      </c>
      <c r="AEN161" s="760"/>
      <c r="AEO161" s="757">
        <f t="shared" si="205"/>
        <v>2.0640000000000001</v>
      </c>
      <c r="AEP161" s="758"/>
      <c r="AER161" s="759">
        <v>-0.25</v>
      </c>
      <c r="AES161" s="760"/>
      <c r="AET161" s="759">
        <v>1.2250000000000001</v>
      </c>
      <c r="AEU161" s="760"/>
      <c r="AEV161" s="591">
        <v>308</v>
      </c>
      <c r="AEW161" s="759">
        <f t="shared" si="206"/>
        <v>0.6090000000000001</v>
      </c>
      <c r="AEX161" s="760"/>
      <c r="AEY161" s="757">
        <f t="shared" si="207"/>
        <v>2.464</v>
      </c>
      <c r="AEZ161" s="758"/>
      <c r="AFB161" s="759">
        <v>-0.1</v>
      </c>
      <c r="AFC161" s="760"/>
      <c r="AFD161" s="759">
        <v>0.82</v>
      </c>
      <c r="AFE161" s="760"/>
      <c r="AFF161" s="591">
        <v>358</v>
      </c>
      <c r="AFG161" s="759">
        <f t="shared" si="208"/>
        <v>0.53359999999999996</v>
      </c>
      <c r="AFH161" s="760"/>
      <c r="AFI161" s="757">
        <f t="shared" si="209"/>
        <v>2.8639999999999999</v>
      </c>
      <c r="AFJ161" s="758"/>
      <c r="AFL161" s="759">
        <v>-0.25</v>
      </c>
      <c r="AFM161" s="760"/>
      <c r="AFN161" s="759">
        <v>1.3</v>
      </c>
      <c r="AFO161" s="760"/>
      <c r="AFP161" s="592">
        <v>408</v>
      </c>
      <c r="AFQ161" s="759">
        <f t="shared" si="210"/>
        <v>0.48399999999999999</v>
      </c>
      <c r="AFR161" s="760"/>
      <c r="AFS161" s="757">
        <f t="shared" si="211"/>
        <v>3.2640000000000002</v>
      </c>
      <c r="AFT161" s="758"/>
      <c r="AFV161" s="759">
        <v>-0.125</v>
      </c>
      <c r="AFW161" s="760"/>
      <c r="AFX161" s="759">
        <v>0.875</v>
      </c>
      <c r="AFY161" s="760"/>
      <c r="AFZ161" s="591">
        <v>458</v>
      </c>
      <c r="AGA161" s="759">
        <f t="shared" si="212"/>
        <v>0.41699999999999998</v>
      </c>
      <c r="AGB161" s="760"/>
      <c r="AGC161" s="757">
        <f t="shared" si="213"/>
        <v>3.6640000000000001</v>
      </c>
      <c r="AGD161" s="758"/>
      <c r="AGL161" s="897" t="s">
        <v>929</v>
      </c>
      <c r="AGM161" s="898"/>
      <c r="AGN161" s="899"/>
      <c r="AGO161" s="849"/>
      <c r="AGP161" s="852" t="s">
        <v>416</v>
      </c>
      <c r="AGQ161" s="853"/>
      <c r="AGR161" s="142"/>
      <c r="AGS161" s="78"/>
      <c r="AGT161" s="78"/>
      <c r="AGU161" s="78"/>
      <c r="AGV161" s="78"/>
      <c r="AGW161" s="78"/>
      <c r="AGX161" s="78"/>
      <c r="AGY161" s="142"/>
      <c r="AGZ161" s="76" t="s">
        <v>441</v>
      </c>
      <c r="AHA161" s="854" t="s">
        <v>435</v>
      </c>
      <c r="AHB161" s="855"/>
      <c r="AHC161" s="920" t="s">
        <v>111</v>
      </c>
      <c r="AHD161" s="921"/>
      <c r="AHE161" s="916" t="s">
        <v>704</v>
      </c>
      <c r="AHF161" s="917"/>
      <c r="AHG161" s="906" t="s">
        <v>447</v>
      </c>
      <c r="AHH161" s="907"/>
      <c r="AHI161" s="907"/>
      <c r="AHJ161" s="908"/>
      <c r="AIA161" s="130"/>
      <c r="AIB161" s="130"/>
      <c r="AIJ161" s="130"/>
      <c r="AIK161" s="130"/>
      <c r="AIL161" s="130"/>
      <c r="AIM161" s="130"/>
      <c r="AIN161" s="130"/>
      <c r="AIO161" s="130"/>
      <c r="AIP161" s="130"/>
      <c r="AIQ161" s="130"/>
      <c r="AIR161" s="130"/>
      <c r="AIS161" s="130"/>
      <c r="AIT161" s="130"/>
      <c r="AIU161" s="130"/>
      <c r="AIV161" s="130"/>
      <c r="AIW161" s="130"/>
      <c r="AIX161" s="130"/>
      <c r="AIY161" s="130"/>
      <c r="AIZ161" s="130"/>
      <c r="ATD161" s="849"/>
      <c r="ATE161" s="852" t="s">
        <v>416</v>
      </c>
      <c r="ATF161" s="853"/>
      <c r="ATG161" s="142"/>
      <c r="ATH161" s="78"/>
      <c r="ATI161" s="78"/>
      <c r="ATJ161" s="78"/>
      <c r="ATK161" s="78"/>
      <c r="ATL161" s="78"/>
      <c r="ATM161" s="78"/>
      <c r="ATN161" s="142"/>
      <c r="ATO161" s="76" t="s">
        <v>441</v>
      </c>
      <c r="ATP161" s="854" t="s">
        <v>435</v>
      </c>
      <c r="ATQ161" s="855"/>
      <c r="ATR161" s="920" t="s">
        <v>111</v>
      </c>
      <c r="ATS161" s="921"/>
      <c r="ATT161" s="916" t="s">
        <v>704</v>
      </c>
      <c r="ATU161" s="917"/>
      <c r="ATV161" s="906" t="s">
        <v>447</v>
      </c>
      <c r="ATW161" s="907"/>
      <c r="ATX161" s="907"/>
      <c r="ATY161" s="908"/>
    </row>
    <row r="162" spans="249:948 1165:1221" ht="48" customHeight="1" thickBot="1">
      <c r="LZ162" s="377"/>
      <c r="MA162" s="373"/>
      <c r="MB162" s="54"/>
      <c r="MC162" s="382" t="s">
        <v>1298</v>
      </c>
      <c r="MD162" s="850"/>
      <c r="ME162" s="809" t="s">
        <v>1267</v>
      </c>
      <c r="MF162" s="797"/>
      <c r="MG162" s="797"/>
      <c r="MH162" s="797"/>
      <c r="MI162" s="797"/>
      <c r="MJ162" s="797"/>
      <c r="MK162" s="835">
        <f>IF(MR157&gt;MS151,MR157,IF(MS151&gt;MR157,MS151,1.05))</f>
        <v>1.5156633701854219</v>
      </c>
      <c r="ML162" s="836"/>
      <c r="MM162" s="1183" t="s">
        <v>729</v>
      </c>
      <c r="MN162" s="1184"/>
      <c r="MO162" s="1410"/>
      <c r="MP162" s="895" t="s">
        <v>1308</v>
      </c>
      <c r="MQ162" s="1090"/>
      <c r="MR162" s="896"/>
      <c r="MS162" s="1166"/>
      <c r="MT162" s="1203" t="s">
        <v>862</v>
      </c>
      <c r="MU162" s="1275"/>
      <c r="MV162" s="1204"/>
      <c r="MW162" s="373"/>
      <c r="MX162" s="373"/>
      <c r="MY162" s="373"/>
      <c r="MZ162" s="373"/>
      <c r="NA162" s="373"/>
      <c r="NB162" s="373"/>
      <c r="NC162" s="373"/>
      <c r="ND162" s="373"/>
      <c r="NE162" s="373"/>
      <c r="NF162" s="373"/>
      <c r="NG162" s="373"/>
      <c r="NH162" s="373"/>
      <c r="NI162" s="373"/>
      <c r="NJ162" s="373"/>
      <c r="NK162" s="373"/>
      <c r="NL162" s="373"/>
      <c r="NM162" s="373"/>
      <c r="NN162" s="373"/>
      <c r="NO162" s="374"/>
      <c r="PG162" s="377"/>
      <c r="PH162" s="54"/>
      <c r="PI162" s="373"/>
      <c r="PJ162" s="373"/>
      <c r="PK162" s="373"/>
      <c r="PL162" s="373"/>
      <c r="PM162" s="373"/>
      <c r="PN162" s="373"/>
      <c r="PO162" s="373"/>
      <c r="PP162" s="373"/>
      <c r="PQ162" s="373"/>
      <c r="PR162" s="373"/>
      <c r="PS162" s="373"/>
      <c r="PT162" s="373"/>
      <c r="PU162" s="373"/>
      <c r="PV162" s="373"/>
      <c r="PW162" s="373"/>
      <c r="PX162" s="373"/>
      <c r="PY162" s="373"/>
      <c r="PZ162" s="373"/>
      <c r="QA162" s="373"/>
      <c r="QB162" s="373"/>
      <c r="QC162" s="536"/>
      <c r="QD162" s="536"/>
      <c r="QE162" s="536"/>
      <c r="QF162" s="536"/>
      <c r="QG162" s="536"/>
      <c r="QH162" s="536"/>
      <c r="QI162" s="536"/>
      <c r="QJ162" s="536"/>
      <c r="QK162" s="536"/>
      <c r="QL162" s="373"/>
      <c r="QM162" s="373"/>
      <c r="QN162" s="373"/>
      <c r="QO162" s="373"/>
      <c r="QP162" s="373"/>
      <c r="QQ162" s="373"/>
      <c r="QR162" s="374"/>
      <c r="WE162" s="996"/>
      <c r="WF162" s="997"/>
      <c r="WG162" s="175"/>
      <c r="WH162" s="173"/>
      <c r="WI162" s="173"/>
      <c r="WJ162" s="173"/>
      <c r="WK162" s="173"/>
      <c r="WL162" s="173"/>
      <c r="WM162" s="173"/>
      <c r="WN162" s="173"/>
      <c r="WO162" s="173"/>
      <c r="WP162" s="173"/>
      <c r="WQ162" s="173"/>
      <c r="WR162" s="173"/>
      <c r="WS162" s="173"/>
      <c r="WT162" s="173"/>
      <c r="WU162" s="173"/>
      <c r="WV162" s="173"/>
      <c r="WW162" s="173"/>
      <c r="WX162" s="173"/>
      <c r="WY162" s="174"/>
      <c r="WZ162" s="1085"/>
      <c r="XA162" s="1085"/>
      <c r="XB162" s="175"/>
      <c r="XC162" s="173"/>
      <c r="XD162" s="173"/>
      <c r="XE162" s="173"/>
      <c r="XF162" s="173"/>
      <c r="XG162" s="693" t="str">
        <f t="shared" ref="XG162:YL162" si="226">IF($AEE$228&lt;0,"Ошибка",
IF(OR(AND($AEE$228&gt;XG155,XG155&gt;$ADU$277),XG155 = $AEE$228),$AEC$228,
IF(OR(AND($AEE$229&gt;XG155,XG155&gt;$AEE$228),XG155 = $AEE$229),$AEC$229,
IF(OR(AND($AEE$230&gt;XG155,XG155&gt;$AEE$229),XG155 = $AEE$230),$AEC$230,
IF(OR(AND($AEE$231&gt;XG155,XG155&gt;$AEE$230),XG155 = $AEE$231),$AEC$231,
IF(OR(AND($AEE$232&gt;XG155,XG155&gt;$AEE$231),XG155 = $AEE$232),$AEC$232,
IF(OR(AND($AEE$233&gt;XG155,XG155&gt;$AEE$232),XG155 = $AEE$233),$AEC$233,
IF(OR(AND($AEE$234&gt;XG155,XG155&gt;$AEE$233),XG155 = $AEE$234),$AEC$234,
IF(OR(AND($AEE$235&gt;XG155,XG155&gt;$AEE$234),XG155 = $AEE$235),$AEC$235,
IF(OR(AND($AEE$236&gt;XG155,XG155&gt;$AEE$235),XG155 = $AEE$236),$AEC$236,
IF(OR(AND($AEE$237&gt;XG155,XG155&gt;$AEE$236),XG155 = $AEE$237),$AEC$237,
IF(OR(AND($AEE$238&gt;XG155,XG155&gt;$AEE$237),XG155 = $AEE$238),$AEC$238,
IF(OR(AND($AEE$239&gt;XG155,XG155&gt;$AEE$238),XG155 = $AEE$239),$AEC$239,
IF(OR(AND($AEE$240&gt;XG155,XG155&gt;$AEE$239),XG155 = $AEE$240),$AEC$240,
IF(OR(AND($AEE$241&gt;XG155,XG155&gt;$AEE$240),XG155 = $AEE$241),$AEC$241,
IF(OR(AND($AEE$242&gt;XG155,XG155&gt;$AEE$241),XG155 = $AEE$242),$AEC$242,
IF(OR(AND($AEE$243&gt;XG155,XG155&gt;$AEE$242),XG155 = $AEE$243),$AEC$243,
IF(OR(AND($AEE$244&gt;XG155,XG155&gt;$AEE$243),XG155 = $AEE$244),$AEC$244,
IF(OR(AND($AEE$245&gt;XG155,XG155&gt;$AEE$244),XG155 = $AEE$245),$AEC$245,
IF(OR(AND($AEE$246&gt;XG155,XG155&gt;$AEE$245),XG155 = $AEE$246),$AEC$246,
IF(OR(AND($AEE$247&gt;XG155,XG155&gt;$AEE$246),XG155 = $AEE$247),$AEC$247,
IF(OR(AND($AEE$248&gt;XG155,XG155&gt;$AEE$247),XG155 = $AEE$248),$AEC$248,
IF(OR(AND($AEE$249&gt;XG155,XG155&gt;$AEE$248),XG155 = $AEE$249),$AEC$249,
IF(OR(AND($AEE$250&gt;XG155,XG155&gt;$AEE$249),XG155 = $AEE$250),$AEC$250,
IF(OR(AND($AEE$251&gt;XG155,XG155&gt;$AEE$250),XG155 = $AEE$251),$AEC$251,
IF(OR(AND($AEE$252&gt;XG155,XG155&gt;$AEE$251),XG155 = $AEE$252),$AEC$252,
IF(OR(AND($AEE$253&gt;XG155,XG155&gt;$AEE$252),XG155 = $AEE$253),$AEC$253,
IF(OR(AND($AEE$254&gt;XG155,XG155&gt;$AEE$253),XG155 = $AEE$254),$AEC$254,
IF(OR(AND($AEE$255&gt;XG155,XG155&gt;$AEE$254),XG155 = $AEE$255),$AEC$255,
IF(OR(AND($AEE$256&gt;XG155,XG155&gt;$AEE$255),XG155 = $AEE$256),$AEC$256,
IF(OR(AND($AEE$257&gt;XG155,XG155&gt;$AEE$256),XG155 = $AEE$257),$AEC$257,
IF(OR(AND($AEE$258&gt;XG155,XG155&gt;$AEE$257),XG155 = $AEE$258),$AEC$258,
IF(OR(AND($AEE$259&gt;XG155,XG155&gt;$AEE$258),XG155 = $AEE$259),$AEC$259,
IF(OR(AND($AEE$260&gt;XG155,XG155&gt;$AEE$259),XG155 = $AEE$260),$AEC$260,
IF(OR(AND($AEE$261&gt;XG155,XG155&gt;$AEE$260),XG155 = $AEE$261),$AEC$261,
IF(OR(AND($AEE$262&gt;XG155,XG155&gt;$AEE$261),XG155 = $AEE$262),$AEC$262,
IF(OR(AND($AEE$263&gt;XG155,XG155&gt;$AEE$262),XG155 = $AEE$263),$AEC$263,
IF(OR(AND($AEE$264&gt;XG155,XG155&gt;$AEE$263),XG155 = $AEE$264),$AEC$264,
IF(OR(AND($AEE$265&gt;XG155,XG155&gt;$AEE$264),XG155 = $AEE$265),$AEC$265,
IF(OR(AND($AEE$266&gt;XG155,XG155&gt;$AEE$265),XG155 = $AEE$266),$AEC$266,
IF(OR(AND($AEE$267&gt;XG155,XG155&gt;$AEE$266),XG155 = $AEE$267),$AEC$267,
IF(OR(AND($AEE$268&gt;XG155,XG155&gt;$AEE$267),XG155 = $AEE$268),$AEC$268,
IF(OR(AND($AEE$269&gt;XG155,XG155&gt;$AEE$268),XG155 = $AEE$269),$AEC$269,
IF(OR(AND($AEE$270&gt;XG155,XG155&gt;$AEE$269),XG155 = $AEE$270),$AEC$270,
IF(OR(AND($AEE$271&gt;XG155,XG155&gt;$AEE$270),XG155 = $AEE$271),$AEC$271,
IF(OR(AND($AEE$272&gt;XG155,XG155&gt;$AEE$271),XG155 = $AEE$272),$AEC$272,
IF(OR(AND($AEE$273&gt;XG155,XG155&gt;$AEE$272),XG155 = $AEE$273),$AEC$273,
IF(OR(AND($AEE$274&gt;XG155,XG155&gt;$AEE$273),XG155 = $AEE$274),$AEC$274,
IF(OR(AND($AEE$275&gt;XG155,XG155&gt;$AEE$274),XG155 = $AEE$275),$AEC$275,
IF(OR(AND($AEE$276&gt;XG155,XG155&gt;$AEE$275),XG155 = $AEE$276),$AEC$276,
IF(OR(AND($AEE$277&gt;XG155,XG155&gt;$AEE$276),XG155 = $AEE$277),$AEC$277,
"Y")))))))))))))))))))))))))))))))))))))))))))))))))))</f>
        <v>Y</v>
      </c>
      <c r="XH162" s="693" t="str">
        <f t="shared" si="226"/>
        <v>Y</v>
      </c>
      <c r="XI162" s="693" t="str">
        <f t="shared" si="226"/>
        <v>Y</v>
      </c>
      <c r="XJ162" s="693" t="str">
        <f t="shared" si="226"/>
        <v>Y</v>
      </c>
      <c r="XK162" s="693" t="str">
        <f t="shared" si="226"/>
        <v>Y</v>
      </c>
      <c r="XL162" s="693" t="str">
        <f t="shared" si="226"/>
        <v>Y</v>
      </c>
      <c r="XM162" s="693" t="str">
        <f t="shared" si="226"/>
        <v>Y</v>
      </c>
      <c r="XN162" s="693" t="str">
        <f t="shared" si="226"/>
        <v>Y</v>
      </c>
      <c r="XO162" s="693" t="str">
        <f t="shared" si="226"/>
        <v>Y</v>
      </c>
      <c r="XP162" s="693" t="str">
        <f t="shared" si="226"/>
        <v>Y</v>
      </c>
      <c r="XQ162" s="693" t="str">
        <f t="shared" si="226"/>
        <v>Y</v>
      </c>
      <c r="XR162" s="693" t="str">
        <f t="shared" si="226"/>
        <v>Y</v>
      </c>
      <c r="XS162" s="693" t="str">
        <f t="shared" si="226"/>
        <v>Y</v>
      </c>
      <c r="XT162" s="693" t="str">
        <f t="shared" si="226"/>
        <v>Y</v>
      </c>
      <c r="XU162" s="693" t="str">
        <f t="shared" si="226"/>
        <v>Y</v>
      </c>
      <c r="XV162" s="693" t="str">
        <f t="shared" si="226"/>
        <v>Y</v>
      </c>
      <c r="XW162" s="693" t="str">
        <f t="shared" si="226"/>
        <v>Y</v>
      </c>
      <c r="XX162" s="693" t="str">
        <f t="shared" si="226"/>
        <v>Y</v>
      </c>
      <c r="XY162" s="693" t="str">
        <f t="shared" si="226"/>
        <v>Y</v>
      </c>
      <c r="XZ162" s="693" t="str">
        <f t="shared" si="226"/>
        <v>Y</v>
      </c>
      <c r="YA162" s="693" t="str">
        <f t="shared" si="226"/>
        <v>Y</v>
      </c>
      <c r="YB162" s="693" t="str">
        <f t="shared" si="226"/>
        <v>Y</v>
      </c>
      <c r="YC162" s="693" t="str">
        <f t="shared" si="226"/>
        <v>Y</v>
      </c>
      <c r="YD162" s="693" t="str">
        <f t="shared" si="226"/>
        <v>Y</v>
      </c>
      <c r="YE162" s="693" t="str">
        <f t="shared" si="226"/>
        <v>Y</v>
      </c>
      <c r="YF162" s="693" t="str">
        <f t="shared" si="226"/>
        <v>Y</v>
      </c>
      <c r="YG162" s="693" t="str">
        <f t="shared" si="226"/>
        <v>Y</v>
      </c>
      <c r="YH162" s="693" t="str">
        <f t="shared" si="226"/>
        <v>Y</v>
      </c>
      <c r="YI162" s="693" t="str">
        <f t="shared" si="226"/>
        <v>Y</v>
      </c>
      <c r="YJ162" s="693" t="str">
        <f t="shared" si="226"/>
        <v>Y</v>
      </c>
      <c r="YK162" s="693" t="str">
        <f t="shared" si="226"/>
        <v>Y</v>
      </c>
      <c r="YL162" s="693" t="str">
        <f t="shared" si="226"/>
        <v>Y</v>
      </c>
      <c r="YM162" s="693" t="str">
        <f t="shared" ref="YM162:ZR162" si="227">IF($AEE$228&lt;0,"Ошибка",
IF(OR(AND($AEE$228&gt;YM155,YM155&gt;$ADU$277),YM155 = $AEE$228),$AEC$228,
IF(OR(AND($AEE$229&gt;YM155,YM155&gt;$AEE$228),YM155 = $AEE$229),$AEC$229,
IF(OR(AND($AEE$230&gt;YM155,YM155&gt;$AEE$229),YM155 = $AEE$230),$AEC$230,
IF(OR(AND($AEE$231&gt;YM155,YM155&gt;$AEE$230),YM155 = $AEE$231),$AEC$231,
IF(OR(AND($AEE$232&gt;YM155,YM155&gt;$AEE$231),YM155 = $AEE$232),$AEC$232,
IF(OR(AND($AEE$233&gt;YM155,YM155&gt;$AEE$232),YM155 = $AEE$233),$AEC$233,
IF(OR(AND($AEE$234&gt;YM155,YM155&gt;$AEE$233),YM155 = $AEE$234),$AEC$234,
IF(OR(AND($AEE$235&gt;YM155,YM155&gt;$AEE$234),YM155 = $AEE$235),$AEC$235,
IF(OR(AND($AEE$236&gt;YM155,YM155&gt;$AEE$235),YM155 = $AEE$236),$AEC$236,
IF(OR(AND($AEE$237&gt;YM155,YM155&gt;$AEE$236),YM155 = $AEE$237),$AEC$237,
IF(OR(AND($AEE$238&gt;YM155,YM155&gt;$AEE$237),YM155 = $AEE$238),$AEC$238,
IF(OR(AND($AEE$239&gt;YM155,YM155&gt;$AEE$238),YM155 = $AEE$239),$AEC$239,
IF(OR(AND($AEE$240&gt;YM155,YM155&gt;$AEE$239),YM155 = $AEE$240),$AEC$240,
IF(OR(AND($AEE$241&gt;YM155,YM155&gt;$AEE$240),YM155 = $AEE$241),$AEC$241,
IF(OR(AND($AEE$242&gt;YM155,YM155&gt;$AEE$241),YM155 = $AEE$242),$AEC$242,
IF(OR(AND($AEE$243&gt;YM155,YM155&gt;$AEE$242),YM155 = $AEE$243),$AEC$243,
IF(OR(AND($AEE$244&gt;YM155,YM155&gt;$AEE$243),YM155 = $AEE$244),$AEC$244,
IF(OR(AND($AEE$245&gt;YM155,YM155&gt;$AEE$244),YM155 = $AEE$245),$AEC$245,
IF(OR(AND($AEE$246&gt;YM155,YM155&gt;$AEE$245),YM155 = $AEE$246),$AEC$246,
IF(OR(AND($AEE$247&gt;YM155,YM155&gt;$AEE$246),YM155 = $AEE$247),$AEC$247,
IF(OR(AND($AEE$248&gt;YM155,YM155&gt;$AEE$247),YM155 = $AEE$248),$AEC$248,
IF(OR(AND($AEE$249&gt;YM155,YM155&gt;$AEE$248),YM155 = $AEE$249),$AEC$249,
IF(OR(AND($AEE$250&gt;YM155,YM155&gt;$AEE$249),YM155 = $AEE$250),$AEC$250,
IF(OR(AND($AEE$251&gt;YM155,YM155&gt;$AEE$250),YM155 = $AEE$251),$AEC$251,
IF(OR(AND($AEE$252&gt;YM155,YM155&gt;$AEE$251),YM155 = $AEE$252),$AEC$252,
IF(OR(AND($AEE$253&gt;YM155,YM155&gt;$AEE$252),YM155 = $AEE$253),$AEC$253,
IF(OR(AND($AEE$254&gt;YM155,YM155&gt;$AEE$253),YM155 = $AEE$254),$AEC$254,
IF(OR(AND($AEE$255&gt;YM155,YM155&gt;$AEE$254),YM155 = $AEE$255),$AEC$255,
IF(OR(AND($AEE$256&gt;YM155,YM155&gt;$AEE$255),YM155 = $AEE$256),$AEC$256,
IF(OR(AND($AEE$257&gt;YM155,YM155&gt;$AEE$256),YM155 = $AEE$257),$AEC$257,
IF(OR(AND($AEE$258&gt;YM155,YM155&gt;$AEE$257),YM155 = $AEE$258),$AEC$258,
IF(OR(AND($AEE$259&gt;YM155,YM155&gt;$AEE$258),YM155 = $AEE$259),$AEC$259,
IF(OR(AND($AEE$260&gt;YM155,YM155&gt;$AEE$259),YM155 = $AEE$260),$AEC$260,
IF(OR(AND($AEE$261&gt;YM155,YM155&gt;$AEE$260),YM155 = $AEE$261),$AEC$261,
IF(OR(AND($AEE$262&gt;YM155,YM155&gt;$AEE$261),YM155 = $AEE$262),$AEC$262,
IF(OR(AND($AEE$263&gt;YM155,YM155&gt;$AEE$262),YM155 = $AEE$263),$AEC$263,
IF(OR(AND($AEE$264&gt;YM155,YM155&gt;$AEE$263),YM155 = $AEE$264),$AEC$264,
IF(OR(AND($AEE$265&gt;YM155,YM155&gt;$AEE$264),YM155 = $AEE$265),$AEC$265,
IF(OR(AND($AEE$266&gt;YM155,YM155&gt;$AEE$265),YM155 = $AEE$266),$AEC$266,
IF(OR(AND($AEE$267&gt;YM155,YM155&gt;$AEE$266),YM155 = $AEE$267),$AEC$267,
IF(OR(AND($AEE$268&gt;YM155,YM155&gt;$AEE$267),YM155 = $AEE$268),$AEC$268,
IF(OR(AND($AEE$269&gt;YM155,YM155&gt;$AEE$268),YM155 = $AEE$269),$AEC$269,
IF(OR(AND($AEE$270&gt;YM155,YM155&gt;$AEE$269),YM155 = $AEE$270),$AEC$270,
IF(OR(AND($AEE$271&gt;YM155,YM155&gt;$AEE$270),YM155 = $AEE$271),$AEC$271,
IF(OR(AND($AEE$272&gt;YM155,YM155&gt;$AEE$271),YM155 = $AEE$272),$AEC$272,
IF(OR(AND($AEE$273&gt;YM155,YM155&gt;$AEE$272),YM155 = $AEE$273),$AEC$273,
IF(OR(AND($AEE$274&gt;YM155,YM155&gt;$AEE$273),YM155 = $AEE$274),$AEC$274,
IF(OR(AND($AEE$275&gt;YM155,YM155&gt;$AEE$274),YM155 = $AEE$275),$AEC$275,
IF(OR(AND($AEE$276&gt;YM155,YM155&gt;$AEE$275),YM155 = $AEE$276),$AEC$276,
IF(OR(AND($AEE$277&gt;YM155,YM155&gt;$AEE$276),YM155 = $AEE$277),$AEC$277,
"Y")))))))))))))))))))))))))))))))))))))))))))))))))))</f>
        <v>Y</v>
      </c>
      <c r="YN162" s="693" t="str">
        <f t="shared" si="227"/>
        <v>Y</v>
      </c>
      <c r="YO162" s="693" t="str">
        <f t="shared" si="227"/>
        <v>Y</v>
      </c>
      <c r="YP162" s="693" t="str">
        <f t="shared" si="227"/>
        <v>Y</v>
      </c>
      <c r="YQ162" s="693" t="str">
        <f t="shared" si="227"/>
        <v>Y</v>
      </c>
      <c r="YR162" s="693" t="str">
        <f t="shared" si="227"/>
        <v>Y</v>
      </c>
      <c r="YS162" s="693" t="str">
        <f t="shared" si="227"/>
        <v>Y</v>
      </c>
      <c r="YT162" s="693" t="str">
        <f t="shared" si="227"/>
        <v>Y</v>
      </c>
      <c r="YU162" s="693" t="str">
        <f t="shared" si="227"/>
        <v>Y</v>
      </c>
      <c r="YV162" s="693" t="str">
        <f t="shared" si="227"/>
        <v>Y</v>
      </c>
      <c r="YW162" s="693" t="str">
        <f t="shared" si="227"/>
        <v>Y</v>
      </c>
      <c r="YX162" s="693" t="str">
        <f t="shared" si="227"/>
        <v>Y</v>
      </c>
      <c r="YY162" s="693" t="str">
        <f t="shared" si="227"/>
        <v>Y</v>
      </c>
      <c r="YZ162" s="693" t="str">
        <f t="shared" si="227"/>
        <v>Y</v>
      </c>
      <c r="ZA162" s="693" t="str">
        <f t="shared" si="227"/>
        <v>Y</v>
      </c>
      <c r="ZB162" s="693" t="str">
        <f t="shared" si="227"/>
        <v>Y</v>
      </c>
      <c r="ZC162" s="693" t="str">
        <f t="shared" si="227"/>
        <v>Y</v>
      </c>
      <c r="ZD162" s="693" t="str">
        <f t="shared" si="227"/>
        <v>Y</v>
      </c>
      <c r="ZE162" s="693" t="str">
        <f t="shared" si="227"/>
        <v>Y</v>
      </c>
      <c r="ZF162" s="693" t="str">
        <f t="shared" si="227"/>
        <v>Y</v>
      </c>
      <c r="ZG162" s="693" t="str">
        <f t="shared" si="227"/>
        <v>Y</v>
      </c>
      <c r="ZH162" s="693" t="str">
        <f t="shared" si="227"/>
        <v>Y</v>
      </c>
      <c r="ZI162" s="693" t="str">
        <f t="shared" si="227"/>
        <v>Y</v>
      </c>
      <c r="ZJ162" s="693" t="str">
        <f t="shared" si="227"/>
        <v>Y</v>
      </c>
      <c r="ZK162" s="693" t="str">
        <f t="shared" si="227"/>
        <v>Y</v>
      </c>
      <c r="ZL162" s="693" t="str">
        <f t="shared" si="227"/>
        <v>Y</v>
      </c>
      <c r="ZM162" s="693" t="str">
        <f t="shared" si="227"/>
        <v>Y</v>
      </c>
      <c r="ZN162" s="693" t="str">
        <f t="shared" si="227"/>
        <v>Y</v>
      </c>
      <c r="ZO162" s="693" t="str">
        <f t="shared" si="227"/>
        <v>Y</v>
      </c>
      <c r="ZP162" s="693" t="str">
        <f t="shared" si="227"/>
        <v>Y</v>
      </c>
      <c r="ZQ162" s="693" t="str">
        <f t="shared" si="227"/>
        <v>Y</v>
      </c>
      <c r="ZR162" s="693" t="str">
        <f t="shared" si="227"/>
        <v>Y</v>
      </c>
      <c r="ZS162" s="693" t="str">
        <f t="shared" ref="ZS162:AAS162" si="228">IF($AEE$228&lt;0,"Ошибка",
IF(OR(AND($AEE$228&gt;ZS155,ZS155&gt;$ADU$277),ZS155 = $AEE$228),$AEC$228,
IF(OR(AND($AEE$229&gt;ZS155,ZS155&gt;$AEE$228),ZS155 = $AEE$229),$AEC$229,
IF(OR(AND($AEE$230&gt;ZS155,ZS155&gt;$AEE$229),ZS155 = $AEE$230),$AEC$230,
IF(OR(AND($AEE$231&gt;ZS155,ZS155&gt;$AEE$230),ZS155 = $AEE$231),$AEC$231,
IF(OR(AND($AEE$232&gt;ZS155,ZS155&gt;$AEE$231),ZS155 = $AEE$232),$AEC$232,
IF(OR(AND($AEE$233&gt;ZS155,ZS155&gt;$AEE$232),ZS155 = $AEE$233),$AEC$233,
IF(OR(AND($AEE$234&gt;ZS155,ZS155&gt;$AEE$233),ZS155 = $AEE$234),$AEC$234,
IF(OR(AND($AEE$235&gt;ZS155,ZS155&gt;$AEE$234),ZS155 = $AEE$235),$AEC$235,
IF(OR(AND($AEE$236&gt;ZS155,ZS155&gt;$AEE$235),ZS155 = $AEE$236),$AEC$236,
IF(OR(AND($AEE$237&gt;ZS155,ZS155&gt;$AEE$236),ZS155 = $AEE$237),$AEC$237,
IF(OR(AND($AEE$238&gt;ZS155,ZS155&gt;$AEE$237),ZS155 = $AEE$238),$AEC$238,
IF(OR(AND($AEE$239&gt;ZS155,ZS155&gt;$AEE$238),ZS155 = $AEE$239),$AEC$239,
IF(OR(AND($AEE$240&gt;ZS155,ZS155&gt;$AEE$239),ZS155 = $AEE$240),$AEC$240,
IF(OR(AND($AEE$241&gt;ZS155,ZS155&gt;$AEE$240),ZS155 = $AEE$241),$AEC$241,
IF(OR(AND($AEE$242&gt;ZS155,ZS155&gt;$AEE$241),ZS155 = $AEE$242),$AEC$242,
IF(OR(AND($AEE$243&gt;ZS155,ZS155&gt;$AEE$242),ZS155 = $AEE$243),$AEC$243,
IF(OR(AND($AEE$244&gt;ZS155,ZS155&gt;$AEE$243),ZS155 = $AEE$244),$AEC$244,
IF(OR(AND($AEE$245&gt;ZS155,ZS155&gt;$AEE$244),ZS155 = $AEE$245),$AEC$245,
IF(OR(AND($AEE$246&gt;ZS155,ZS155&gt;$AEE$245),ZS155 = $AEE$246),$AEC$246,
IF(OR(AND($AEE$247&gt;ZS155,ZS155&gt;$AEE$246),ZS155 = $AEE$247),$AEC$247,
IF(OR(AND($AEE$248&gt;ZS155,ZS155&gt;$AEE$247),ZS155 = $AEE$248),$AEC$248,
IF(OR(AND($AEE$249&gt;ZS155,ZS155&gt;$AEE$248),ZS155 = $AEE$249),$AEC$249,
IF(OR(AND($AEE$250&gt;ZS155,ZS155&gt;$AEE$249),ZS155 = $AEE$250),$AEC$250,
IF(OR(AND($AEE$251&gt;ZS155,ZS155&gt;$AEE$250),ZS155 = $AEE$251),$AEC$251,
IF(OR(AND($AEE$252&gt;ZS155,ZS155&gt;$AEE$251),ZS155 = $AEE$252),$AEC$252,
IF(OR(AND($AEE$253&gt;ZS155,ZS155&gt;$AEE$252),ZS155 = $AEE$253),$AEC$253,
IF(OR(AND($AEE$254&gt;ZS155,ZS155&gt;$AEE$253),ZS155 = $AEE$254),$AEC$254,
IF(OR(AND($AEE$255&gt;ZS155,ZS155&gt;$AEE$254),ZS155 = $AEE$255),$AEC$255,
IF(OR(AND($AEE$256&gt;ZS155,ZS155&gt;$AEE$255),ZS155 = $AEE$256),$AEC$256,
IF(OR(AND($AEE$257&gt;ZS155,ZS155&gt;$AEE$256),ZS155 = $AEE$257),$AEC$257,
IF(OR(AND($AEE$258&gt;ZS155,ZS155&gt;$AEE$257),ZS155 = $AEE$258),$AEC$258,
IF(OR(AND($AEE$259&gt;ZS155,ZS155&gt;$AEE$258),ZS155 = $AEE$259),$AEC$259,
IF(OR(AND($AEE$260&gt;ZS155,ZS155&gt;$AEE$259),ZS155 = $AEE$260),$AEC$260,
IF(OR(AND($AEE$261&gt;ZS155,ZS155&gt;$AEE$260),ZS155 = $AEE$261),$AEC$261,
IF(OR(AND($AEE$262&gt;ZS155,ZS155&gt;$AEE$261),ZS155 = $AEE$262),$AEC$262,
IF(OR(AND($AEE$263&gt;ZS155,ZS155&gt;$AEE$262),ZS155 = $AEE$263),$AEC$263,
IF(OR(AND($AEE$264&gt;ZS155,ZS155&gt;$AEE$263),ZS155 = $AEE$264),$AEC$264,
IF(OR(AND($AEE$265&gt;ZS155,ZS155&gt;$AEE$264),ZS155 = $AEE$265),$AEC$265,
IF(OR(AND($AEE$266&gt;ZS155,ZS155&gt;$AEE$265),ZS155 = $AEE$266),$AEC$266,
IF(OR(AND($AEE$267&gt;ZS155,ZS155&gt;$AEE$266),ZS155 = $AEE$267),$AEC$267,
IF(OR(AND($AEE$268&gt;ZS155,ZS155&gt;$AEE$267),ZS155 = $AEE$268),$AEC$268,
IF(OR(AND($AEE$269&gt;ZS155,ZS155&gt;$AEE$268),ZS155 = $AEE$269),$AEC$269,
IF(OR(AND($AEE$270&gt;ZS155,ZS155&gt;$AEE$269),ZS155 = $AEE$270),$AEC$270,
IF(OR(AND($AEE$271&gt;ZS155,ZS155&gt;$AEE$270),ZS155 = $AEE$271),$AEC$271,
IF(OR(AND($AEE$272&gt;ZS155,ZS155&gt;$AEE$271),ZS155 = $AEE$272),$AEC$272,
IF(OR(AND($AEE$273&gt;ZS155,ZS155&gt;$AEE$272),ZS155 = $AEE$273),$AEC$273,
IF(OR(AND($AEE$274&gt;ZS155,ZS155&gt;$AEE$273),ZS155 = $AEE$274),$AEC$274,
IF(OR(AND($AEE$275&gt;ZS155,ZS155&gt;$AEE$274),ZS155 = $AEE$275),$AEC$275,
IF(OR(AND($AEE$276&gt;ZS155,ZS155&gt;$AEE$275),ZS155 = $AEE$276),$AEC$276,
IF(OR(AND($AEE$277&gt;ZS155,ZS155&gt;$AEE$276),ZS155 = $AEE$277),$AEC$277,
"Y")))))))))))))))))))))))))))))))))))))))))))))))))))</f>
        <v>Y</v>
      </c>
      <c r="ZT162" s="693" t="str">
        <f t="shared" si="228"/>
        <v>Y</v>
      </c>
      <c r="ZU162" s="693" t="str">
        <f t="shared" si="228"/>
        <v>Y</v>
      </c>
      <c r="ZV162" s="693" t="str">
        <f t="shared" si="228"/>
        <v>Y</v>
      </c>
      <c r="ZW162" s="693" t="str">
        <f t="shared" si="228"/>
        <v>Y</v>
      </c>
      <c r="ZX162" s="693" t="str">
        <f t="shared" si="228"/>
        <v>Y</v>
      </c>
      <c r="ZY162" s="693" t="str">
        <f t="shared" si="228"/>
        <v>Y</v>
      </c>
      <c r="ZZ162" s="693" t="str">
        <f t="shared" si="228"/>
        <v>Y</v>
      </c>
      <c r="AAA162" s="693" t="str">
        <f t="shared" si="228"/>
        <v>Y</v>
      </c>
      <c r="AAB162" s="693" t="str">
        <f t="shared" si="228"/>
        <v>Y</v>
      </c>
      <c r="AAC162" s="693" t="str">
        <f t="shared" si="228"/>
        <v>Y</v>
      </c>
      <c r="AAD162" s="693" t="str">
        <f t="shared" si="228"/>
        <v>Y</v>
      </c>
      <c r="AAE162" s="693" t="str">
        <f t="shared" si="228"/>
        <v>Y</v>
      </c>
      <c r="AAF162" s="693" t="str">
        <f t="shared" si="228"/>
        <v>Y</v>
      </c>
      <c r="AAG162" s="693" t="str">
        <f t="shared" si="228"/>
        <v>Y</v>
      </c>
      <c r="AAH162" s="693" t="str">
        <f t="shared" si="228"/>
        <v>Y</v>
      </c>
      <c r="AAI162" s="693" t="str">
        <f t="shared" si="228"/>
        <v>Y</v>
      </c>
      <c r="AAJ162" s="693" t="str">
        <f t="shared" si="228"/>
        <v>Y</v>
      </c>
      <c r="AAK162" s="693" t="str">
        <f t="shared" si="228"/>
        <v>Y</v>
      </c>
      <c r="AAL162" s="693" t="str">
        <f t="shared" si="228"/>
        <v>Y</v>
      </c>
      <c r="AAM162" s="693" t="str">
        <f t="shared" si="228"/>
        <v>Y</v>
      </c>
      <c r="AAN162" s="693" t="str">
        <f t="shared" si="228"/>
        <v>Y</v>
      </c>
      <c r="AAO162" s="693" t="str">
        <f t="shared" si="228"/>
        <v>Y</v>
      </c>
      <c r="AAP162" s="693" t="str">
        <f t="shared" si="228"/>
        <v>Y</v>
      </c>
      <c r="AAQ162" s="693" t="str">
        <f t="shared" si="228"/>
        <v>Y</v>
      </c>
      <c r="AAR162" s="693" t="str">
        <f t="shared" si="228"/>
        <v>Y</v>
      </c>
      <c r="AAS162" s="693" t="str">
        <f t="shared" si="228"/>
        <v>Y</v>
      </c>
      <c r="AAT162" s="1006"/>
      <c r="AAU162" s="175"/>
      <c r="AAV162" s="173"/>
      <c r="AAW162" s="173"/>
      <c r="AAX162" s="173"/>
      <c r="AAY162" s="173"/>
      <c r="AAZ162" s="173"/>
      <c r="ABA162" s="173"/>
      <c r="ABB162" s="173"/>
      <c r="ABC162" s="173"/>
      <c r="ABD162" s="173"/>
      <c r="ABE162" s="173"/>
      <c r="ABF162" s="173"/>
      <c r="ABG162" s="173"/>
      <c r="ABH162" s="174"/>
      <c r="ABI162" s="158"/>
      <c r="ABJ162" s="158"/>
      <c r="ABK162" s="158"/>
      <c r="ABL162" s="158"/>
      <c r="ABM162" s="158"/>
      <c r="ABN162" s="158"/>
      <c r="ABO162" s="158"/>
      <c r="ABP162" s="163"/>
      <c r="ABS162" s="162"/>
      <c r="ABT162" s="158"/>
      <c r="ABU162" s="158"/>
      <c r="ABV162" s="158"/>
      <c r="ABW162" s="158"/>
      <c r="ABX162" s="158"/>
      <c r="ABY162" s="158"/>
      <c r="ABZ162" s="158"/>
      <c r="ACA162" s="158"/>
      <c r="ACB162" s="158"/>
      <c r="ACC162" s="158"/>
      <c r="ACD162" s="158"/>
      <c r="ACE162" s="158"/>
      <c r="ACF162" s="158"/>
      <c r="ACG162" s="158"/>
      <c r="ACH162" s="163"/>
      <c r="ACJ162" s="759">
        <v>-3.125E-2</v>
      </c>
      <c r="ACK162" s="760"/>
      <c r="ACL162" s="759">
        <v>1</v>
      </c>
      <c r="ACM162" s="760"/>
      <c r="ACN162" s="591">
        <v>9</v>
      </c>
      <c r="ACO162" s="759">
        <f t="shared" si="194"/>
        <v>0.99775000000000003</v>
      </c>
      <c r="ACP162" s="760"/>
      <c r="ACQ162" s="757">
        <f t="shared" si="195"/>
        <v>7.2000000000000008E-2</v>
      </c>
      <c r="ACR162" s="758"/>
      <c r="ACT162" s="759">
        <v>-3.125E-2</v>
      </c>
      <c r="ACU162" s="760"/>
      <c r="ACV162" s="759">
        <v>1</v>
      </c>
      <c r="ACW162" s="760"/>
      <c r="ACX162" s="591">
        <v>59</v>
      </c>
      <c r="ACY162" s="759">
        <f t="shared" si="196"/>
        <v>0.98524999999999996</v>
      </c>
      <c r="ACZ162" s="760"/>
      <c r="ADA162" s="757">
        <f t="shared" si="197"/>
        <v>0.47200000000000003</v>
      </c>
      <c r="ADB162" s="758"/>
      <c r="ADD162" s="759">
        <v>-8.3333333333333398E-2</v>
      </c>
      <c r="ADE162" s="760"/>
      <c r="ADF162" s="759">
        <v>1.0416666666666701</v>
      </c>
      <c r="ADG162" s="760"/>
      <c r="ADH162" s="592">
        <v>109</v>
      </c>
      <c r="ADI162" s="759">
        <f t="shared" si="198"/>
        <v>0.9690000000000033</v>
      </c>
      <c r="ADJ162" s="760"/>
      <c r="ADK162" s="757">
        <f t="shared" si="199"/>
        <v>0.872</v>
      </c>
      <c r="ADL162" s="758"/>
      <c r="ADN162" s="759">
        <v>-0.14285714285714299</v>
      </c>
      <c r="ADO162" s="760"/>
      <c r="ADP162" s="759">
        <v>1.1071428571428601</v>
      </c>
      <c r="ADQ162" s="760"/>
      <c r="ADR162" s="592">
        <v>159</v>
      </c>
      <c r="ADS162" s="759">
        <f t="shared" si="200"/>
        <v>0.92542857142857415</v>
      </c>
      <c r="ADT162" s="760"/>
      <c r="ADU162" s="757">
        <f t="shared" si="201"/>
        <v>1.272</v>
      </c>
      <c r="ADV162" s="758"/>
      <c r="ADX162" s="759">
        <v>-0.2</v>
      </c>
      <c r="ADY162" s="760"/>
      <c r="ADZ162" s="759">
        <v>1.19</v>
      </c>
      <c r="AEA162" s="760"/>
      <c r="AEB162" s="591">
        <v>209</v>
      </c>
      <c r="AEC162" s="759">
        <f t="shared" si="202"/>
        <v>0.85559999999999992</v>
      </c>
      <c r="AED162" s="760"/>
      <c r="AEE162" s="757">
        <f t="shared" si="203"/>
        <v>1.6719999999999999</v>
      </c>
      <c r="AEF162" s="758"/>
      <c r="AEH162" s="759">
        <v>-0.33333333333333298</v>
      </c>
      <c r="AEI162" s="760"/>
      <c r="AEJ162" s="759">
        <v>1.4166666666666701</v>
      </c>
      <c r="AEK162" s="760"/>
      <c r="AEL162" s="592">
        <v>259</v>
      </c>
      <c r="AEM162" s="759">
        <f t="shared" si="204"/>
        <v>0.72600000000000409</v>
      </c>
      <c r="AEN162" s="760"/>
      <c r="AEO162" s="757">
        <f t="shared" si="205"/>
        <v>2.0720000000000001</v>
      </c>
      <c r="AEP162" s="758"/>
      <c r="AER162" s="759">
        <v>-0.25</v>
      </c>
      <c r="AES162" s="760"/>
      <c r="AET162" s="759">
        <v>1.2250000000000001</v>
      </c>
      <c r="AEU162" s="760"/>
      <c r="AEV162" s="591">
        <v>309</v>
      </c>
      <c r="AEW162" s="759">
        <f t="shared" si="206"/>
        <v>0.6070000000000001</v>
      </c>
      <c r="AEX162" s="760"/>
      <c r="AEY162" s="757">
        <f t="shared" si="207"/>
        <v>2.472</v>
      </c>
      <c r="AEZ162" s="758"/>
      <c r="AFB162" s="759">
        <v>-0.1</v>
      </c>
      <c r="AFC162" s="760"/>
      <c r="AFD162" s="759">
        <v>0.82</v>
      </c>
      <c r="AFE162" s="760"/>
      <c r="AFF162" s="591">
        <v>359</v>
      </c>
      <c r="AFG162" s="759">
        <f t="shared" si="208"/>
        <v>0.53279999999999994</v>
      </c>
      <c r="AFH162" s="760"/>
      <c r="AFI162" s="757">
        <f t="shared" si="209"/>
        <v>2.8719999999999999</v>
      </c>
      <c r="AFJ162" s="758"/>
      <c r="AFL162" s="759">
        <v>-0.25</v>
      </c>
      <c r="AFM162" s="760"/>
      <c r="AFN162" s="759">
        <v>1.3</v>
      </c>
      <c r="AFO162" s="760"/>
      <c r="AFP162" s="592">
        <v>409</v>
      </c>
      <c r="AFQ162" s="759">
        <f t="shared" si="210"/>
        <v>0.48199999999999998</v>
      </c>
      <c r="AFR162" s="760"/>
      <c r="AFS162" s="757">
        <f t="shared" si="211"/>
        <v>3.2720000000000002</v>
      </c>
      <c r="AFT162" s="758"/>
      <c r="AFV162" s="759">
        <v>-0.125</v>
      </c>
      <c r="AFW162" s="760"/>
      <c r="AFX162" s="759">
        <v>0.875</v>
      </c>
      <c r="AFY162" s="760"/>
      <c r="AFZ162" s="591">
        <v>459</v>
      </c>
      <c r="AGA162" s="759">
        <f t="shared" si="212"/>
        <v>0.41599999999999998</v>
      </c>
      <c r="AGB162" s="760"/>
      <c r="AGC162" s="757">
        <f t="shared" si="213"/>
        <v>3.6720000000000002</v>
      </c>
      <c r="AGD162" s="758"/>
      <c r="AGL162" s="900"/>
      <c r="AGM162" s="901"/>
      <c r="AGN162" s="902"/>
      <c r="AGO162" s="850"/>
      <c r="AGP162" s="856" t="s">
        <v>1389</v>
      </c>
      <c r="AGQ162" s="856"/>
      <c r="AGR162" s="856"/>
      <c r="AGS162" s="856"/>
      <c r="AGT162" s="856"/>
      <c r="AGU162" s="856"/>
      <c r="AGV162" s="856"/>
      <c r="AGW162" s="856"/>
      <c r="AGX162" s="856"/>
      <c r="AGY162" s="856"/>
      <c r="AGZ162" s="856"/>
      <c r="AHA162" s="856"/>
      <c r="AHB162" s="856"/>
      <c r="AHC162" s="1193">
        <v>1</v>
      </c>
      <c r="AHD162" s="1194"/>
      <c r="AHE162" s="839"/>
      <c r="AHF162" s="840"/>
      <c r="AHG162" s="841"/>
      <c r="AHH162" s="1170" t="s">
        <v>1420</v>
      </c>
      <c r="AHI162" s="1172"/>
      <c r="AHJ162" s="847"/>
      <c r="AIJ162" s="130"/>
      <c r="AIK162" s="130"/>
      <c r="AIL162" s="130"/>
      <c r="AIM162" s="130"/>
      <c r="AIN162" s="130"/>
      <c r="AIO162" s="130"/>
      <c r="AIP162" s="130"/>
      <c r="AIQ162" s="130"/>
      <c r="AIR162" s="130"/>
      <c r="AIS162" s="130"/>
      <c r="AIT162" s="130"/>
      <c r="AIU162" s="130"/>
      <c r="AIV162" s="130"/>
      <c r="AIW162" s="130"/>
      <c r="AIX162" s="130"/>
      <c r="AIY162" s="130"/>
      <c r="AIZ162" s="130"/>
      <c r="ATD162" s="850"/>
      <c r="ATE162" s="957" t="s">
        <v>147</v>
      </c>
      <c r="ATF162" s="957"/>
      <c r="ATG162" s="957"/>
      <c r="ATH162" s="957"/>
      <c r="ATI162" s="957"/>
      <c r="ATJ162" s="957"/>
      <c r="ATK162" s="957"/>
      <c r="ATL162" s="957"/>
      <c r="ATM162" s="957"/>
      <c r="ATN162" s="957"/>
      <c r="ATO162" s="957"/>
      <c r="ATP162" s="957"/>
      <c r="ATQ162" s="957"/>
      <c r="ATR162" s="835" t="e">
        <f>ATW125+ATW131</f>
        <v>#REF!</v>
      </c>
      <c r="ATS162" s="836"/>
      <c r="ATT162" s="839"/>
      <c r="ATU162" s="840"/>
      <c r="ATV162" s="841"/>
      <c r="ATW162" s="843" t="s">
        <v>416</v>
      </c>
      <c r="ATX162" s="844"/>
      <c r="ATY162" s="847"/>
    </row>
    <row r="163" spans="249:948 1165:1221" ht="48" customHeight="1" thickBot="1">
      <c r="LZ163" s="377"/>
      <c r="MA163" s="373"/>
      <c r="MB163" s="373"/>
      <c r="MC163" s="373"/>
      <c r="MD163" s="851"/>
      <c r="ME163" s="777"/>
      <c r="MF163" s="778"/>
      <c r="MG163" s="778"/>
      <c r="MH163" s="778"/>
      <c r="MI163" s="778"/>
      <c r="MJ163" s="778"/>
      <c r="MK163" s="837"/>
      <c r="ML163" s="838"/>
      <c r="MM163" s="1185"/>
      <c r="MN163" s="1186"/>
      <c r="MO163" s="1067"/>
      <c r="MP163" s="918"/>
      <c r="MQ163" s="1082"/>
      <c r="MR163" s="919"/>
      <c r="MS163" s="848"/>
      <c r="MT163" s="1276"/>
      <c r="MU163" s="1277"/>
      <c r="MV163" s="1278"/>
      <c r="MW163" s="373"/>
      <c r="MX163" s="373"/>
      <c r="MY163" s="373"/>
      <c r="MZ163" s="373"/>
      <c r="NA163" s="373"/>
      <c r="NB163" s="373"/>
      <c r="NC163" s="373"/>
      <c r="ND163" s="373"/>
      <c r="NE163" s="373"/>
      <c r="NF163" s="373"/>
      <c r="NG163" s="373"/>
      <c r="NH163" s="373"/>
      <c r="NI163" s="373"/>
      <c r="NJ163" s="373"/>
      <c r="NK163" s="373"/>
      <c r="NL163" s="373"/>
      <c r="NM163" s="373"/>
      <c r="NN163" s="373"/>
      <c r="NO163" s="374"/>
      <c r="PG163" s="377"/>
      <c r="PH163" s="54"/>
      <c r="PI163" s="373"/>
      <c r="PJ163" s="373"/>
      <c r="PK163" s="373"/>
      <c r="PL163" s="373"/>
      <c r="PM163" s="373"/>
      <c r="PN163" s="1458" t="s">
        <v>885</v>
      </c>
      <c r="PO163" s="1280"/>
      <c r="PP163" s="1280"/>
      <c r="PQ163" s="1281"/>
      <c r="PR163" s="1706" t="str">
        <f>$M$67</f>
        <v>IP44</v>
      </c>
      <c r="PS163" s="1707"/>
      <c r="PT163" s="478" t="s">
        <v>911</v>
      </c>
      <c r="PU163" s="1807" t="str">
        <f>IF(PR163="IP44","Расчет для машины степени защиты IP44",
IF(PR163="IP23","Расчет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V163" s="1808"/>
      <c r="PW163" s="1808"/>
      <c r="PX163" s="1808"/>
      <c r="PY163" s="1808"/>
      <c r="PZ163" s="1808"/>
      <c r="QA163" s="1808"/>
      <c r="QB163" s="1809"/>
      <c r="QC163" s="373"/>
      <c r="QD163" s="373"/>
      <c r="QE163" s="373"/>
      <c r="QF163" s="373"/>
      <c r="QG163" s="373"/>
      <c r="QH163" s="373"/>
      <c r="QI163" s="373"/>
      <c r="QJ163" s="373"/>
      <c r="QK163" s="373"/>
      <c r="QL163" s="373"/>
      <c r="QM163" s="373"/>
      <c r="QN163" s="373"/>
      <c r="QO163" s="373"/>
      <c r="QP163" s="373"/>
      <c r="QQ163" s="373"/>
      <c r="QR163" s="374"/>
      <c r="WE163" s="996"/>
      <c r="WF163" s="997"/>
      <c r="WG163" s="175"/>
      <c r="WH163" s="173"/>
      <c r="WI163" s="173"/>
      <c r="WJ163" s="173"/>
      <c r="WK163" s="173"/>
      <c r="WL163" s="173"/>
      <c r="WM163" s="173"/>
      <c r="WN163" s="173"/>
      <c r="WO163" s="173"/>
      <c r="WP163" s="173"/>
      <c r="WQ163" s="173"/>
      <c r="WR163" s="173"/>
      <c r="WS163" s="173"/>
      <c r="WT163" s="173"/>
      <c r="WU163" s="173"/>
      <c r="WV163" s="173"/>
      <c r="WW163" s="173"/>
      <c r="WX163" s="173"/>
      <c r="WY163" s="174"/>
      <c r="WZ163" s="1085"/>
      <c r="XA163" s="1085"/>
      <c r="XB163" s="175"/>
      <c r="XC163" s="173"/>
      <c r="XD163" s="173"/>
      <c r="XE163" s="173"/>
      <c r="XF163" s="173"/>
      <c r="XG163" s="693" t="str">
        <f t="shared" ref="XG163:YL163" si="229">IF($AEO$228&lt;0,"Ошибка",
IF(OR(AND($AEO$228&gt;XG155,XG155&gt;$AEE$277),XG155 = $AEO$228),$AEM$228,
IF(OR(AND($AEO$229&gt;XG155,XG155&gt;$AEO$228),XG155 = $AEO$229),$AEM$229,
IF(OR(AND($AEO$230&gt;XG155,XG155&gt;$AEO$229),XG155 = $AEO$230),$AEM$230,
IF(OR(AND($AEO$231&gt;XG155,XG155&gt;$AEO$230),XG155 = $AEO$231),$AEM$231,
IF(OR(AND($AEO$232&gt;XG155,XG155&gt;$AEO$231),XG155 = $AEO$232),$AEM$232,
IF(OR(AND($AEO$233&gt;XG155,XG155&gt;$AEO$232),XG155 = $AEO$233),$AEM$233,
IF(OR(AND($AEO$234&gt;XG155,XG155&gt;$AEO$233),XG155 = $AEO$234),$AEM$234,
IF(OR(AND($AEO$235&gt;XG155,XG155&gt;$AEO$234),XG155 = $AEO$235),$AEM$235,
IF(OR(AND($AEO$236&gt;XG155,XG155&gt;$AEO$235),XG155 = $AEO$236),$AEM$236,
IF(OR(AND($AEO$237&gt;XG155,XG155&gt;$AEO$236),XG155 = $AEO$237),$AEM$237,
IF(OR(AND($AEO$238&gt;XG155,XG155&gt;$AEO$237),XG155 = $AEO$238),$AEM$238,
IF(OR(AND($AEO$239&gt;XG155,XG155&gt;$AEO$238),XG155 = $AEO$239),$AEM$239,
IF(OR(AND($AEO$240&gt;XG155,XG155&gt;$AEO$239),XG155 = $AEO$240),$AEM$240,
IF(OR(AND($AEO$241&gt;XG155,XG155&gt;$AEO$240),XG155 = $AEO$241),$AEM$241,
IF(OR(AND($AEO$242&gt;XG155,XG155&gt;$AEO$241),XG155 = $AEO$242),$AEM$242,
IF(OR(AND($AEO$243&gt;XG155,XG155&gt;$AEO$242),XG155 = $AEO$243),$AEM$243,
IF(OR(AND($AEO$244&gt;XG155,XG155&gt;$AEO$243),XG155 = $AEO$244),$AEM$244,
IF(OR(AND($AEO$245&gt;XG155,XG155&gt;$AEO$244),XG155 = $AEO$245),$AEM$245,
IF(OR(AND($AEO$246&gt;XG155,XG155&gt;$AEO$245),XG155 = $AEO$246),$AEM$246,
IF(OR(AND($AEO$247&gt;XG155,XG155&gt;$AEO$246),XG155 = $AEO$247),$AEM$247,
IF(OR(AND($AEO$248&gt;XG155,XG155&gt;$AEO$247),XG155 = $AEO$248),$AEM$248,
IF(OR(AND($AEO$249&gt;XG155,XG155&gt;$AEO$248),XG155 = $AEO$249),$AEM$249,
IF(OR(AND($AEO$250&gt;XG155,XG155&gt;$AEO$249),XG155 = $AEO$250),$AEM$250,
IF(OR(AND($AEO$251&gt;XG155,XG155&gt;$AEO$250),XG155 = $AEO$251),$AEM$251,
IF(OR(AND($AEO$252&gt;XG155,XG155&gt;$AEO$251),XG155 = $AEO$252),$AEM$252,
IF(OR(AND($AEO$253&gt;XG155,XG155&gt;$AEO$252),XG155 = $AEO$253),$AEM$253,
IF(OR(AND($AEO$254&gt;XG155,XG155&gt;$AEO$253),XG155 = $AEO$254),$AEM$254,
IF(OR(AND($AEO$255&gt;XG155,XG155&gt;$AEO$254),XG155 = $AEO$255),$AEM$255,
IF(OR(AND($AEO$256&gt;XG155,XG155&gt;$AEO$255),XG155 = $AEO$256),$AEM$256,
IF(OR(AND($AEO$257&gt;XG155,XG155&gt;$AEO$256),XG155 = $AEO$257),$AEM$257,
IF(OR(AND($AEO$258&gt;XG155,XG155&gt;$AEO$257),XG155 = $AEO$258),$AEM$258,
IF(OR(AND($AEO$259&gt;XG155,XG155&gt;$AEO$258),XG155 = $AEO$259),$AEM$259,
IF(OR(AND($AEO$260&gt;XG155,XG155&gt;$AEO$259),XG155 = $AEO$260),$AEM$260,
IF(OR(AND($AEO$261&gt;XG155,XG155&gt;$AEO$260),XG155 = $AEO$261),$AEM$261,
IF(OR(AND($AEO$262&gt;XG155,XG155&gt;$AEO$261),XG155 = $AEO$262),$AEM$262,
IF(OR(AND($AEO$263&gt;XG155,XG155&gt;$AEO$262),XG155 = $AEO$263),$AEM$263,
IF(OR(AND($AEO$264&gt;XG155,XG155&gt;$AEO$263),XG155 = $AEO$264),$AEM$264,
IF(OR(AND($AEO$265&gt;XG155,XG155&gt;$AEO$264),XG155 = $AEO$265),$AEM$265,
IF(OR(AND($AEO$266&gt;XG155,XG155&gt;$AEO$265),XG155 = $AEO$266),$AEM$266,
IF(OR(AND($AEO$267&gt;XG155,XG155&gt;$AEO$266),XG155 = $AEO$267),$AEM$267,
IF(OR(AND($AEO$268&gt;XG155,XG155&gt;$AEO$267),XG155 = $AEO$268),$AEM$268,
IF(OR(AND($AEO$269&gt;XG155,XG155&gt;$AEO$268),XG155 = $AEO$269),$AEM$269,
IF(OR(AND($AEO$270&gt;XG155,XG155&gt;$AEO$269),XG155 = $AEO$270),$AEM$270,
IF(OR(AND($AEO$271&gt;XG155,XG155&gt;$AEO$270),XG155 = $AEO$271),$AEM$271,
IF(OR(AND($AEO$272&gt;XG155,XG155&gt;$AEO$271),XG155 = $AEO$272),$AEM$272,
IF(OR(AND($AEO$273&gt;XG155,XG155&gt;$AEO$272),XG155 = $AEO$273),$AEM$273,
IF(OR(AND($AEO$274&gt;XG155,XG155&gt;$AEO$273),XG155 = $AEO$274),$AEM$274,
IF(OR(AND($AEO$275&gt;XG155,XG155&gt;$AEO$274),XG155 = $AEO$275),$AEM$275,
IF(OR(AND($AEO$276&gt;XG155,XG155&gt;$AEO$275),XG155 = $AEO$276),$AEM$276,
IF(OR(AND($AEO$277&gt;XG155,XG155&gt;$AEO$276),XG155 = $AEO$277),$AEM$277,
"Y")))))))))))))))))))))))))))))))))))))))))))))))))))</f>
        <v>Y</v>
      </c>
      <c r="XH163" s="693" t="str">
        <f t="shared" si="229"/>
        <v>Y</v>
      </c>
      <c r="XI163" s="693" t="str">
        <f t="shared" si="229"/>
        <v>Y</v>
      </c>
      <c r="XJ163" s="693" t="str">
        <f t="shared" si="229"/>
        <v>Y</v>
      </c>
      <c r="XK163" s="693" t="str">
        <f t="shared" si="229"/>
        <v>Y</v>
      </c>
      <c r="XL163" s="693" t="str">
        <f t="shared" si="229"/>
        <v>Y</v>
      </c>
      <c r="XM163" s="693" t="str">
        <f t="shared" si="229"/>
        <v>Y</v>
      </c>
      <c r="XN163" s="693" t="str">
        <f t="shared" si="229"/>
        <v>Y</v>
      </c>
      <c r="XO163" s="693" t="str">
        <f t="shared" si="229"/>
        <v>Y</v>
      </c>
      <c r="XP163" s="693" t="str">
        <f t="shared" si="229"/>
        <v>Y</v>
      </c>
      <c r="XQ163" s="693" t="str">
        <f t="shared" si="229"/>
        <v>Y</v>
      </c>
      <c r="XR163" s="693" t="str">
        <f t="shared" si="229"/>
        <v>Y</v>
      </c>
      <c r="XS163" s="693" t="str">
        <f t="shared" si="229"/>
        <v>Y</v>
      </c>
      <c r="XT163" s="693" t="str">
        <f t="shared" si="229"/>
        <v>Y</v>
      </c>
      <c r="XU163" s="693" t="str">
        <f t="shared" si="229"/>
        <v>Y</v>
      </c>
      <c r="XV163" s="693" t="str">
        <f t="shared" si="229"/>
        <v>Y</v>
      </c>
      <c r="XW163" s="693" t="str">
        <f t="shared" si="229"/>
        <v>Y</v>
      </c>
      <c r="XX163" s="693" t="str">
        <f t="shared" si="229"/>
        <v>Y</v>
      </c>
      <c r="XY163" s="693" t="str">
        <f t="shared" si="229"/>
        <v>Y</v>
      </c>
      <c r="XZ163" s="693" t="str">
        <f t="shared" si="229"/>
        <v>Y</v>
      </c>
      <c r="YA163" s="693" t="str">
        <f t="shared" si="229"/>
        <v>Y</v>
      </c>
      <c r="YB163" s="693" t="str">
        <f t="shared" si="229"/>
        <v>Y</v>
      </c>
      <c r="YC163" s="693" t="str">
        <f t="shared" si="229"/>
        <v>Y</v>
      </c>
      <c r="YD163" s="693" t="str">
        <f t="shared" si="229"/>
        <v>Y</v>
      </c>
      <c r="YE163" s="693" t="str">
        <f t="shared" si="229"/>
        <v>Y</v>
      </c>
      <c r="YF163" s="693" t="str">
        <f t="shared" si="229"/>
        <v>Y</v>
      </c>
      <c r="YG163" s="693" t="str">
        <f t="shared" si="229"/>
        <v>Y</v>
      </c>
      <c r="YH163" s="693" t="str">
        <f t="shared" si="229"/>
        <v>Y</v>
      </c>
      <c r="YI163" s="693" t="str">
        <f t="shared" si="229"/>
        <v>Y</v>
      </c>
      <c r="YJ163" s="693" t="str">
        <f t="shared" si="229"/>
        <v>Y</v>
      </c>
      <c r="YK163" s="693" t="str">
        <f t="shared" si="229"/>
        <v>Y</v>
      </c>
      <c r="YL163" s="693" t="str">
        <f t="shared" si="229"/>
        <v>Y</v>
      </c>
      <c r="YM163" s="693" t="str">
        <f t="shared" ref="YM163:ZR163" si="230">IF($AEO$228&lt;0,"Ошибка",
IF(OR(AND($AEO$228&gt;YM155,YM155&gt;$AEE$277),YM155 = $AEO$228),$AEM$228,
IF(OR(AND($AEO$229&gt;YM155,YM155&gt;$AEO$228),YM155 = $AEO$229),$AEM$229,
IF(OR(AND($AEO$230&gt;YM155,YM155&gt;$AEO$229),YM155 = $AEO$230),$AEM$230,
IF(OR(AND($AEO$231&gt;YM155,YM155&gt;$AEO$230),YM155 = $AEO$231),$AEM$231,
IF(OR(AND($AEO$232&gt;YM155,YM155&gt;$AEO$231),YM155 = $AEO$232),$AEM$232,
IF(OR(AND($AEO$233&gt;YM155,YM155&gt;$AEO$232),YM155 = $AEO$233),$AEM$233,
IF(OR(AND($AEO$234&gt;YM155,YM155&gt;$AEO$233),YM155 = $AEO$234),$AEM$234,
IF(OR(AND($AEO$235&gt;YM155,YM155&gt;$AEO$234),YM155 = $AEO$235),$AEM$235,
IF(OR(AND($AEO$236&gt;YM155,YM155&gt;$AEO$235),YM155 = $AEO$236),$AEM$236,
IF(OR(AND($AEO$237&gt;YM155,YM155&gt;$AEO$236),YM155 = $AEO$237),$AEM$237,
IF(OR(AND($AEO$238&gt;YM155,YM155&gt;$AEO$237),YM155 = $AEO$238),$AEM$238,
IF(OR(AND($AEO$239&gt;YM155,YM155&gt;$AEO$238),YM155 = $AEO$239),$AEM$239,
IF(OR(AND($AEO$240&gt;YM155,YM155&gt;$AEO$239),YM155 = $AEO$240),$AEM$240,
IF(OR(AND($AEO$241&gt;YM155,YM155&gt;$AEO$240),YM155 = $AEO$241),$AEM$241,
IF(OR(AND($AEO$242&gt;YM155,YM155&gt;$AEO$241),YM155 = $AEO$242),$AEM$242,
IF(OR(AND($AEO$243&gt;YM155,YM155&gt;$AEO$242),YM155 = $AEO$243),$AEM$243,
IF(OR(AND($AEO$244&gt;YM155,YM155&gt;$AEO$243),YM155 = $AEO$244),$AEM$244,
IF(OR(AND($AEO$245&gt;YM155,YM155&gt;$AEO$244),YM155 = $AEO$245),$AEM$245,
IF(OR(AND($AEO$246&gt;YM155,YM155&gt;$AEO$245),YM155 = $AEO$246),$AEM$246,
IF(OR(AND($AEO$247&gt;YM155,YM155&gt;$AEO$246),YM155 = $AEO$247),$AEM$247,
IF(OR(AND($AEO$248&gt;YM155,YM155&gt;$AEO$247),YM155 = $AEO$248),$AEM$248,
IF(OR(AND($AEO$249&gt;YM155,YM155&gt;$AEO$248),YM155 = $AEO$249),$AEM$249,
IF(OR(AND($AEO$250&gt;YM155,YM155&gt;$AEO$249),YM155 = $AEO$250),$AEM$250,
IF(OR(AND($AEO$251&gt;YM155,YM155&gt;$AEO$250),YM155 = $AEO$251),$AEM$251,
IF(OR(AND($AEO$252&gt;YM155,YM155&gt;$AEO$251),YM155 = $AEO$252),$AEM$252,
IF(OR(AND($AEO$253&gt;YM155,YM155&gt;$AEO$252),YM155 = $AEO$253),$AEM$253,
IF(OR(AND($AEO$254&gt;YM155,YM155&gt;$AEO$253),YM155 = $AEO$254),$AEM$254,
IF(OR(AND($AEO$255&gt;YM155,YM155&gt;$AEO$254),YM155 = $AEO$255),$AEM$255,
IF(OR(AND($AEO$256&gt;YM155,YM155&gt;$AEO$255),YM155 = $AEO$256),$AEM$256,
IF(OR(AND($AEO$257&gt;YM155,YM155&gt;$AEO$256),YM155 = $AEO$257),$AEM$257,
IF(OR(AND($AEO$258&gt;YM155,YM155&gt;$AEO$257),YM155 = $AEO$258),$AEM$258,
IF(OR(AND($AEO$259&gt;YM155,YM155&gt;$AEO$258),YM155 = $AEO$259),$AEM$259,
IF(OR(AND($AEO$260&gt;YM155,YM155&gt;$AEO$259),YM155 = $AEO$260),$AEM$260,
IF(OR(AND($AEO$261&gt;YM155,YM155&gt;$AEO$260),YM155 = $AEO$261),$AEM$261,
IF(OR(AND($AEO$262&gt;YM155,YM155&gt;$AEO$261),YM155 = $AEO$262),$AEM$262,
IF(OR(AND($AEO$263&gt;YM155,YM155&gt;$AEO$262),YM155 = $AEO$263),$AEM$263,
IF(OR(AND($AEO$264&gt;YM155,YM155&gt;$AEO$263),YM155 = $AEO$264),$AEM$264,
IF(OR(AND($AEO$265&gt;YM155,YM155&gt;$AEO$264),YM155 = $AEO$265),$AEM$265,
IF(OR(AND($AEO$266&gt;YM155,YM155&gt;$AEO$265),YM155 = $AEO$266),$AEM$266,
IF(OR(AND($AEO$267&gt;YM155,YM155&gt;$AEO$266),YM155 = $AEO$267),$AEM$267,
IF(OR(AND($AEO$268&gt;YM155,YM155&gt;$AEO$267),YM155 = $AEO$268),$AEM$268,
IF(OR(AND($AEO$269&gt;YM155,YM155&gt;$AEO$268),YM155 = $AEO$269),$AEM$269,
IF(OR(AND($AEO$270&gt;YM155,YM155&gt;$AEO$269),YM155 = $AEO$270),$AEM$270,
IF(OR(AND($AEO$271&gt;YM155,YM155&gt;$AEO$270),YM155 = $AEO$271),$AEM$271,
IF(OR(AND($AEO$272&gt;YM155,YM155&gt;$AEO$271),YM155 = $AEO$272),$AEM$272,
IF(OR(AND($AEO$273&gt;YM155,YM155&gt;$AEO$272),YM155 = $AEO$273),$AEM$273,
IF(OR(AND($AEO$274&gt;YM155,YM155&gt;$AEO$273),YM155 = $AEO$274),$AEM$274,
IF(OR(AND($AEO$275&gt;YM155,YM155&gt;$AEO$274),YM155 = $AEO$275),$AEM$275,
IF(OR(AND($AEO$276&gt;YM155,YM155&gt;$AEO$275),YM155 = $AEO$276),$AEM$276,
IF(OR(AND($AEO$277&gt;YM155,YM155&gt;$AEO$276),YM155 = $AEO$277),$AEM$277,
"Y")))))))))))))))))))))))))))))))))))))))))))))))))))</f>
        <v>Y</v>
      </c>
      <c r="YN163" s="693" t="str">
        <f t="shared" si="230"/>
        <v>Y</v>
      </c>
      <c r="YO163" s="693" t="str">
        <f t="shared" si="230"/>
        <v>Y</v>
      </c>
      <c r="YP163" s="693" t="str">
        <f t="shared" si="230"/>
        <v>Y</v>
      </c>
      <c r="YQ163" s="693" t="str">
        <f t="shared" si="230"/>
        <v>Y</v>
      </c>
      <c r="YR163" s="693" t="str">
        <f t="shared" si="230"/>
        <v>Y</v>
      </c>
      <c r="YS163" s="693" t="str">
        <f t="shared" si="230"/>
        <v>Y</v>
      </c>
      <c r="YT163" s="693" t="str">
        <f t="shared" si="230"/>
        <v>Y</v>
      </c>
      <c r="YU163" s="693" t="str">
        <f t="shared" si="230"/>
        <v>Y</v>
      </c>
      <c r="YV163" s="693" t="str">
        <f t="shared" si="230"/>
        <v>Y</v>
      </c>
      <c r="YW163" s="693" t="str">
        <f t="shared" si="230"/>
        <v>Y</v>
      </c>
      <c r="YX163" s="693" t="str">
        <f t="shared" si="230"/>
        <v>Y</v>
      </c>
      <c r="YY163" s="693" t="str">
        <f t="shared" si="230"/>
        <v>Y</v>
      </c>
      <c r="YZ163" s="693" t="str">
        <f t="shared" si="230"/>
        <v>Y</v>
      </c>
      <c r="ZA163" s="693" t="str">
        <f t="shared" si="230"/>
        <v>Y</v>
      </c>
      <c r="ZB163" s="693" t="str">
        <f t="shared" si="230"/>
        <v>Y</v>
      </c>
      <c r="ZC163" s="693" t="str">
        <f t="shared" si="230"/>
        <v>Y</v>
      </c>
      <c r="ZD163" s="693" t="str">
        <f t="shared" si="230"/>
        <v>Y</v>
      </c>
      <c r="ZE163" s="693" t="str">
        <f t="shared" si="230"/>
        <v>Y</v>
      </c>
      <c r="ZF163" s="693" t="str">
        <f t="shared" si="230"/>
        <v>Y</v>
      </c>
      <c r="ZG163" s="693" t="str">
        <f t="shared" si="230"/>
        <v>Y</v>
      </c>
      <c r="ZH163" s="693" t="str">
        <f t="shared" si="230"/>
        <v>Y</v>
      </c>
      <c r="ZI163" s="693" t="str">
        <f t="shared" si="230"/>
        <v>Y</v>
      </c>
      <c r="ZJ163" s="693" t="str">
        <f t="shared" si="230"/>
        <v>Y</v>
      </c>
      <c r="ZK163" s="693" t="str">
        <f t="shared" si="230"/>
        <v>Y</v>
      </c>
      <c r="ZL163" s="693" t="str">
        <f t="shared" si="230"/>
        <v>Y</v>
      </c>
      <c r="ZM163" s="693" t="str">
        <f t="shared" si="230"/>
        <v>Y</v>
      </c>
      <c r="ZN163" s="693" t="str">
        <f t="shared" si="230"/>
        <v>Y</v>
      </c>
      <c r="ZO163" s="693" t="str">
        <f t="shared" si="230"/>
        <v>Y</v>
      </c>
      <c r="ZP163" s="693" t="str">
        <f t="shared" si="230"/>
        <v>Y</v>
      </c>
      <c r="ZQ163" s="693" t="str">
        <f t="shared" si="230"/>
        <v>Y</v>
      </c>
      <c r="ZR163" s="693" t="str">
        <f t="shared" si="230"/>
        <v>Y</v>
      </c>
      <c r="ZS163" s="693" t="str">
        <f t="shared" ref="ZS163:AAS163" si="231">IF($AEO$228&lt;0,"Ошибка",
IF(OR(AND($AEO$228&gt;ZS155,ZS155&gt;$AEE$277),ZS155 = $AEO$228),$AEM$228,
IF(OR(AND($AEO$229&gt;ZS155,ZS155&gt;$AEO$228),ZS155 = $AEO$229),$AEM$229,
IF(OR(AND($AEO$230&gt;ZS155,ZS155&gt;$AEO$229),ZS155 = $AEO$230),$AEM$230,
IF(OR(AND($AEO$231&gt;ZS155,ZS155&gt;$AEO$230),ZS155 = $AEO$231),$AEM$231,
IF(OR(AND($AEO$232&gt;ZS155,ZS155&gt;$AEO$231),ZS155 = $AEO$232),$AEM$232,
IF(OR(AND($AEO$233&gt;ZS155,ZS155&gt;$AEO$232),ZS155 = $AEO$233),$AEM$233,
IF(OR(AND($AEO$234&gt;ZS155,ZS155&gt;$AEO$233),ZS155 = $AEO$234),$AEM$234,
IF(OR(AND($AEO$235&gt;ZS155,ZS155&gt;$AEO$234),ZS155 = $AEO$235),$AEM$235,
IF(OR(AND($AEO$236&gt;ZS155,ZS155&gt;$AEO$235),ZS155 = $AEO$236),$AEM$236,
IF(OR(AND($AEO$237&gt;ZS155,ZS155&gt;$AEO$236),ZS155 = $AEO$237),$AEM$237,
IF(OR(AND($AEO$238&gt;ZS155,ZS155&gt;$AEO$237),ZS155 = $AEO$238),$AEM$238,
IF(OR(AND($AEO$239&gt;ZS155,ZS155&gt;$AEO$238),ZS155 = $AEO$239),$AEM$239,
IF(OR(AND($AEO$240&gt;ZS155,ZS155&gt;$AEO$239),ZS155 = $AEO$240),$AEM$240,
IF(OR(AND($AEO$241&gt;ZS155,ZS155&gt;$AEO$240),ZS155 = $AEO$241),$AEM$241,
IF(OR(AND($AEO$242&gt;ZS155,ZS155&gt;$AEO$241),ZS155 = $AEO$242),$AEM$242,
IF(OR(AND($AEO$243&gt;ZS155,ZS155&gt;$AEO$242),ZS155 = $AEO$243),$AEM$243,
IF(OR(AND($AEO$244&gt;ZS155,ZS155&gt;$AEO$243),ZS155 = $AEO$244),$AEM$244,
IF(OR(AND($AEO$245&gt;ZS155,ZS155&gt;$AEO$244),ZS155 = $AEO$245),$AEM$245,
IF(OR(AND($AEO$246&gt;ZS155,ZS155&gt;$AEO$245),ZS155 = $AEO$246),$AEM$246,
IF(OR(AND($AEO$247&gt;ZS155,ZS155&gt;$AEO$246),ZS155 = $AEO$247),$AEM$247,
IF(OR(AND($AEO$248&gt;ZS155,ZS155&gt;$AEO$247),ZS155 = $AEO$248),$AEM$248,
IF(OR(AND($AEO$249&gt;ZS155,ZS155&gt;$AEO$248),ZS155 = $AEO$249),$AEM$249,
IF(OR(AND($AEO$250&gt;ZS155,ZS155&gt;$AEO$249),ZS155 = $AEO$250),$AEM$250,
IF(OR(AND($AEO$251&gt;ZS155,ZS155&gt;$AEO$250),ZS155 = $AEO$251),$AEM$251,
IF(OR(AND($AEO$252&gt;ZS155,ZS155&gt;$AEO$251),ZS155 = $AEO$252),$AEM$252,
IF(OR(AND($AEO$253&gt;ZS155,ZS155&gt;$AEO$252),ZS155 = $AEO$253),$AEM$253,
IF(OR(AND($AEO$254&gt;ZS155,ZS155&gt;$AEO$253),ZS155 = $AEO$254),$AEM$254,
IF(OR(AND($AEO$255&gt;ZS155,ZS155&gt;$AEO$254),ZS155 = $AEO$255),$AEM$255,
IF(OR(AND($AEO$256&gt;ZS155,ZS155&gt;$AEO$255),ZS155 = $AEO$256),$AEM$256,
IF(OR(AND($AEO$257&gt;ZS155,ZS155&gt;$AEO$256),ZS155 = $AEO$257),$AEM$257,
IF(OR(AND($AEO$258&gt;ZS155,ZS155&gt;$AEO$257),ZS155 = $AEO$258),$AEM$258,
IF(OR(AND($AEO$259&gt;ZS155,ZS155&gt;$AEO$258),ZS155 = $AEO$259),$AEM$259,
IF(OR(AND($AEO$260&gt;ZS155,ZS155&gt;$AEO$259),ZS155 = $AEO$260),$AEM$260,
IF(OR(AND($AEO$261&gt;ZS155,ZS155&gt;$AEO$260),ZS155 = $AEO$261),$AEM$261,
IF(OR(AND($AEO$262&gt;ZS155,ZS155&gt;$AEO$261),ZS155 = $AEO$262),$AEM$262,
IF(OR(AND($AEO$263&gt;ZS155,ZS155&gt;$AEO$262),ZS155 = $AEO$263),$AEM$263,
IF(OR(AND($AEO$264&gt;ZS155,ZS155&gt;$AEO$263),ZS155 = $AEO$264),$AEM$264,
IF(OR(AND($AEO$265&gt;ZS155,ZS155&gt;$AEO$264),ZS155 = $AEO$265),$AEM$265,
IF(OR(AND($AEO$266&gt;ZS155,ZS155&gt;$AEO$265),ZS155 = $AEO$266),$AEM$266,
IF(OR(AND($AEO$267&gt;ZS155,ZS155&gt;$AEO$266),ZS155 = $AEO$267),$AEM$267,
IF(OR(AND($AEO$268&gt;ZS155,ZS155&gt;$AEO$267),ZS155 = $AEO$268),$AEM$268,
IF(OR(AND($AEO$269&gt;ZS155,ZS155&gt;$AEO$268),ZS155 = $AEO$269),$AEM$269,
IF(OR(AND($AEO$270&gt;ZS155,ZS155&gt;$AEO$269),ZS155 = $AEO$270),$AEM$270,
IF(OR(AND($AEO$271&gt;ZS155,ZS155&gt;$AEO$270),ZS155 = $AEO$271),$AEM$271,
IF(OR(AND($AEO$272&gt;ZS155,ZS155&gt;$AEO$271),ZS155 = $AEO$272),$AEM$272,
IF(OR(AND($AEO$273&gt;ZS155,ZS155&gt;$AEO$272),ZS155 = $AEO$273),$AEM$273,
IF(OR(AND($AEO$274&gt;ZS155,ZS155&gt;$AEO$273),ZS155 = $AEO$274),$AEM$274,
IF(OR(AND($AEO$275&gt;ZS155,ZS155&gt;$AEO$274),ZS155 = $AEO$275),$AEM$275,
IF(OR(AND($AEO$276&gt;ZS155,ZS155&gt;$AEO$275),ZS155 = $AEO$276),$AEM$276,
IF(OR(AND($AEO$277&gt;ZS155,ZS155&gt;$AEO$276),ZS155 = $AEO$277),$AEM$277,
"Y")))))))))))))))))))))))))))))))))))))))))))))))))))</f>
        <v>Y</v>
      </c>
      <c r="ZT163" s="693" t="str">
        <f t="shared" si="231"/>
        <v>Y</v>
      </c>
      <c r="ZU163" s="693" t="str">
        <f t="shared" si="231"/>
        <v>Y</v>
      </c>
      <c r="ZV163" s="693" t="str">
        <f t="shared" si="231"/>
        <v>Y</v>
      </c>
      <c r="ZW163" s="693" t="str">
        <f t="shared" si="231"/>
        <v>Y</v>
      </c>
      <c r="ZX163" s="693" t="str">
        <f t="shared" si="231"/>
        <v>Y</v>
      </c>
      <c r="ZY163" s="693" t="str">
        <f t="shared" si="231"/>
        <v>Y</v>
      </c>
      <c r="ZZ163" s="693" t="str">
        <f t="shared" si="231"/>
        <v>Y</v>
      </c>
      <c r="AAA163" s="693" t="str">
        <f t="shared" si="231"/>
        <v>Y</v>
      </c>
      <c r="AAB163" s="693" t="str">
        <f t="shared" si="231"/>
        <v>Y</v>
      </c>
      <c r="AAC163" s="693" t="str">
        <f t="shared" si="231"/>
        <v>Y</v>
      </c>
      <c r="AAD163" s="693" t="str">
        <f t="shared" si="231"/>
        <v>Y</v>
      </c>
      <c r="AAE163" s="693" t="str">
        <f t="shared" si="231"/>
        <v>Y</v>
      </c>
      <c r="AAF163" s="693" t="str">
        <f t="shared" si="231"/>
        <v>Y</v>
      </c>
      <c r="AAG163" s="693" t="str">
        <f t="shared" si="231"/>
        <v>Y</v>
      </c>
      <c r="AAH163" s="693" t="str">
        <f t="shared" si="231"/>
        <v>Y</v>
      </c>
      <c r="AAI163" s="693" t="str">
        <f t="shared" si="231"/>
        <v>Y</v>
      </c>
      <c r="AAJ163" s="693" t="str">
        <f t="shared" si="231"/>
        <v>Y</v>
      </c>
      <c r="AAK163" s="693" t="str">
        <f t="shared" si="231"/>
        <v>Y</v>
      </c>
      <c r="AAL163" s="693" t="str">
        <f t="shared" si="231"/>
        <v>Y</v>
      </c>
      <c r="AAM163" s="693" t="str">
        <f t="shared" si="231"/>
        <v>Y</v>
      </c>
      <c r="AAN163" s="693" t="str">
        <f t="shared" si="231"/>
        <v>Y</v>
      </c>
      <c r="AAO163" s="693" t="str">
        <f t="shared" si="231"/>
        <v>Y</v>
      </c>
      <c r="AAP163" s="693" t="str">
        <f t="shared" si="231"/>
        <v>Y</v>
      </c>
      <c r="AAQ163" s="693" t="str">
        <f t="shared" si="231"/>
        <v>Y</v>
      </c>
      <c r="AAR163" s="693" t="str">
        <f t="shared" si="231"/>
        <v>Y</v>
      </c>
      <c r="AAS163" s="693" t="str">
        <f t="shared" si="231"/>
        <v>Y</v>
      </c>
      <c r="AAT163" s="1006"/>
      <c r="AAU163" s="175"/>
      <c r="AAV163" s="173"/>
      <c r="AAW163" s="173"/>
      <c r="AAX163" s="173"/>
      <c r="AAY163" s="173"/>
      <c r="AAZ163" s="173"/>
      <c r="ABA163" s="173"/>
      <c r="ABB163" s="173"/>
      <c r="ABC163" s="173"/>
      <c r="ABD163" s="173"/>
      <c r="ABE163" s="173"/>
      <c r="ABF163" s="173"/>
      <c r="ABG163" s="173"/>
      <c r="ABH163" s="174"/>
      <c r="ABI163" s="158"/>
      <c r="ABJ163" s="158"/>
      <c r="ABK163" s="158"/>
      <c r="ABL163" s="158"/>
      <c r="ABM163" s="158"/>
      <c r="ABN163" s="158"/>
      <c r="ABO163" s="158"/>
      <c r="ABP163" s="163"/>
      <c r="ABS163" s="164"/>
      <c r="ABT163" s="165"/>
      <c r="ABU163" s="165"/>
      <c r="ABV163" s="165"/>
      <c r="ABW163" s="165"/>
      <c r="ABX163" s="165"/>
      <c r="ABY163" s="165"/>
      <c r="ABZ163" s="165"/>
      <c r="ACA163" s="165"/>
      <c r="ACB163" s="165"/>
      <c r="ACC163" s="165"/>
      <c r="ACD163" s="165"/>
      <c r="ACE163" s="165"/>
      <c r="ACF163" s="165"/>
      <c r="ACG163" s="165"/>
      <c r="ACH163" s="166"/>
      <c r="ACJ163" s="759">
        <v>-3.125E-2</v>
      </c>
      <c r="ACK163" s="760"/>
      <c r="ACL163" s="759">
        <v>1</v>
      </c>
      <c r="ACM163" s="760"/>
      <c r="ACN163" s="591">
        <v>10</v>
      </c>
      <c r="ACO163" s="759">
        <f t="shared" si="194"/>
        <v>0.99750000000000005</v>
      </c>
      <c r="ACP163" s="760"/>
      <c r="ACQ163" s="757">
        <f t="shared" si="195"/>
        <v>0.08</v>
      </c>
      <c r="ACR163" s="758"/>
      <c r="ACT163" s="759">
        <v>-3.125E-2</v>
      </c>
      <c r="ACU163" s="760"/>
      <c r="ACV163" s="759">
        <v>1</v>
      </c>
      <c r="ACW163" s="760"/>
      <c r="ACX163" s="591">
        <v>60</v>
      </c>
      <c r="ACY163" s="759">
        <f t="shared" si="196"/>
        <v>0.98499999999999999</v>
      </c>
      <c r="ACZ163" s="760"/>
      <c r="ADA163" s="757">
        <f t="shared" si="197"/>
        <v>0.48</v>
      </c>
      <c r="ADB163" s="758"/>
      <c r="ADD163" s="759">
        <v>-8.3333333333333398E-2</v>
      </c>
      <c r="ADE163" s="760"/>
      <c r="ADF163" s="759">
        <v>1.0416666666666701</v>
      </c>
      <c r="ADG163" s="760"/>
      <c r="ADH163" s="592">
        <v>110</v>
      </c>
      <c r="ADI163" s="759">
        <f t="shared" si="198"/>
        <v>0.96833333333333671</v>
      </c>
      <c r="ADJ163" s="760"/>
      <c r="ADK163" s="757">
        <f t="shared" si="199"/>
        <v>0.88</v>
      </c>
      <c r="ADL163" s="758"/>
      <c r="ADN163" s="759">
        <v>-0.14285714285714299</v>
      </c>
      <c r="ADO163" s="760"/>
      <c r="ADP163" s="759">
        <v>1.1071428571428601</v>
      </c>
      <c r="ADQ163" s="760"/>
      <c r="ADR163" s="592">
        <v>160</v>
      </c>
      <c r="ADS163" s="759">
        <f t="shared" si="200"/>
        <v>0.92428571428571704</v>
      </c>
      <c r="ADT163" s="760"/>
      <c r="ADU163" s="757">
        <f t="shared" si="201"/>
        <v>1.28</v>
      </c>
      <c r="ADV163" s="758"/>
      <c r="ADX163" s="759">
        <v>-0.2</v>
      </c>
      <c r="ADY163" s="760"/>
      <c r="ADZ163" s="759">
        <v>1.19</v>
      </c>
      <c r="AEA163" s="760"/>
      <c r="AEB163" s="591">
        <v>210</v>
      </c>
      <c r="AEC163" s="759">
        <f t="shared" si="202"/>
        <v>0.85399999999999987</v>
      </c>
      <c r="AED163" s="760"/>
      <c r="AEE163" s="757">
        <f t="shared" si="203"/>
        <v>1.68</v>
      </c>
      <c r="AEF163" s="758"/>
      <c r="AEH163" s="759">
        <v>-0.33333333333333298</v>
      </c>
      <c r="AEI163" s="760"/>
      <c r="AEJ163" s="759">
        <v>1.4166666666666701</v>
      </c>
      <c r="AEK163" s="760"/>
      <c r="AEL163" s="592">
        <v>260</v>
      </c>
      <c r="AEM163" s="759">
        <f t="shared" si="204"/>
        <v>0.72333333333333749</v>
      </c>
      <c r="AEN163" s="760"/>
      <c r="AEO163" s="757">
        <f t="shared" si="205"/>
        <v>2.08</v>
      </c>
      <c r="AEP163" s="758"/>
      <c r="AER163" s="759">
        <v>-0.25</v>
      </c>
      <c r="AES163" s="760"/>
      <c r="AET163" s="759">
        <v>1.2250000000000001</v>
      </c>
      <c r="AEU163" s="760"/>
      <c r="AEV163" s="591">
        <v>310</v>
      </c>
      <c r="AEW163" s="759">
        <f t="shared" si="206"/>
        <v>0.60500000000000009</v>
      </c>
      <c r="AEX163" s="760"/>
      <c r="AEY163" s="757">
        <f t="shared" si="207"/>
        <v>2.48</v>
      </c>
      <c r="AEZ163" s="758"/>
      <c r="AFB163" s="759">
        <v>-0.1</v>
      </c>
      <c r="AFC163" s="760"/>
      <c r="AFD163" s="759">
        <v>0.82</v>
      </c>
      <c r="AFE163" s="760"/>
      <c r="AFF163" s="591">
        <v>360</v>
      </c>
      <c r="AFG163" s="759">
        <f t="shared" si="208"/>
        <v>0.53200000000000003</v>
      </c>
      <c r="AFH163" s="760"/>
      <c r="AFI163" s="757">
        <f t="shared" si="209"/>
        <v>2.88</v>
      </c>
      <c r="AFJ163" s="758"/>
      <c r="AFL163" s="759">
        <v>-0.25</v>
      </c>
      <c r="AFM163" s="760"/>
      <c r="AFN163" s="759">
        <v>1.3</v>
      </c>
      <c r="AFO163" s="760"/>
      <c r="AFP163" s="592">
        <v>410</v>
      </c>
      <c r="AFQ163" s="759">
        <f t="shared" si="210"/>
        <v>0.48</v>
      </c>
      <c r="AFR163" s="760"/>
      <c r="AFS163" s="757">
        <f t="shared" si="211"/>
        <v>3.2800000000000002</v>
      </c>
      <c r="AFT163" s="758"/>
      <c r="AFV163" s="759">
        <v>-0.125</v>
      </c>
      <c r="AFW163" s="760"/>
      <c r="AFX163" s="759">
        <v>0.875</v>
      </c>
      <c r="AFY163" s="760"/>
      <c r="AFZ163" s="591">
        <v>460</v>
      </c>
      <c r="AGA163" s="759">
        <f t="shared" si="212"/>
        <v>0.41499999999999998</v>
      </c>
      <c r="AGB163" s="760"/>
      <c r="AGC163" s="757">
        <f t="shared" si="213"/>
        <v>3.68</v>
      </c>
      <c r="AGD163" s="758"/>
      <c r="AGL163" s="903"/>
      <c r="AGM163" s="904"/>
      <c r="AGN163" s="905"/>
      <c r="AGO163" s="851"/>
      <c r="AGP163" s="857"/>
      <c r="AGQ163" s="857"/>
      <c r="AGR163" s="857"/>
      <c r="AGS163" s="857"/>
      <c r="AGT163" s="857"/>
      <c r="AGU163" s="857"/>
      <c r="AGV163" s="857"/>
      <c r="AGW163" s="857"/>
      <c r="AGX163" s="857"/>
      <c r="AGY163" s="857"/>
      <c r="AGZ163" s="857"/>
      <c r="AHA163" s="857"/>
      <c r="AHB163" s="857"/>
      <c r="AHC163" s="1195"/>
      <c r="AHD163" s="1196"/>
      <c r="AHE163" s="777"/>
      <c r="AHF163" s="799"/>
      <c r="AHG163" s="842"/>
      <c r="AHH163" s="1173"/>
      <c r="AHI163" s="1175"/>
      <c r="AHJ163" s="848"/>
      <c r="AIJ163" s="130"/>
      <c r="AIK163" s="130"/>
      <c r="AIL163" s="130"/>
      <c r="AIM163" s="130"/>
      <c r="AIN163" s="130"/>
      <c r="AIO163" s="130"/>
      <c r="AIP163" s="130"/>
      <c r="AIQ163" s="130"/>
      <c r="AIR163" s="130"/>
      <c r="AIS163" s="130"/>
      <c r="AIT163" s="130"/>
      <c r="AIU163" s="130"/>
      <c r="AIV163" s="130"/>
      <c r="AIW163" s="130"/>
      <c r="AIX163" s="130"/>
      <c r="AIY163" s="130"/>
      <c r="AIZ163" s="130"/>
      <c r="ATD163" s="851"/>
      <c r="ATE163" s="1147"/>
      <c r="ATF163" s="1147"/>
      <c r="ATG163" s="1147"/>
      <c r="ATH163" s="1147"/>
      <c r="ATI163" s="1147"/>
      <c r="ATJ163" s="1147"/>
      <c r="ATK163" s="1147"/>
      <c r="ATL163" s="1147"/>
      <c r="ATM163" s="1147"/>
      <c r="ATN163" s="1147"/>
      <c r="ATO163" s="1147"/>
      <c r="ATP163" s="1147"/>
      <c r="ATQ163" s="1147"/>
      <c r="ATR163" s="837"/>
      <c r="ATS163" s="838"/>
      <c r="ATT163" s="777"/>
      <c r="ATU163" s="799"/>
      <c r="ATV163" s="842"/>
      <c r="ATW163" s="845"/>
      <c r="ATX163" s="846"/>
      <c r="ATY163" s="848"/>
    </row>
    <row r="164" spans="249:948 1165:1221" ht="48" customHeight="1" thickBot="1">
      <c r="LZ164" s="378"/>
      <c r="MA164" s="373"/>
      <c r="MB164" s="373"/>
      <c r="MC164" s="373"/>
      <c r="MD164" s="373"/>
      <c r="ME164" s="373"/>
      <c r="MF164" s="373"/>
      <c r="MG164" s="373"/>
      <c r="MH164" s="373"/>
      <c r="MI164" s="373"/>
      <c r="MJ164" s="373"/>
      <c r="MK164" s="373"/>
      <c r="ML164" s="373"/>
      <c r="MM164" s="373"/>
      <c r="MN164" s="373"/>
      <c r="MO164" s="373"/>
      <c r="MP164" s="373"/>
      <c r="MQ164" s="373"/>
      <c r="MR164" s="373"/>
      <c r="MS164" s="373"/>
      <c r="MT164" s="373"/>
      <c r="MU164" s="373"/>
      <c r="MV164" s="373"/>
      <c r="MW164" s="373"/>
      <c r="MX164" s="373"/>
      <c r="MY164" s="373"/>
      <c r="MZ164" s="373"/>
      <c r="NA164" s="373"/>
      <c r="NB164" s="373"/>
      <c r="NC164" s="373"/>
      <c r="ND164" s="373"/>
      <c r="NE164" s="373"/>
      <c r="NF164" s="373"/>
      <c r="NG164" s="373"/>
      <c r="NH164" s="373"/>
      <c r="NI164" s="373"/>
      <c r="NJ164" s="373"/>
      <c r="NK164" s="373"/>
      <c r="NL164" s="373"/>
      <c r="NM164" s="373"/>
      <c r="NN164" s="373"/>
      <c r="NO164" s="374"/>
      <c r="PG164" s="377"/>
      <c r="PH164" s="54"/>
      <c r="PI164" s="373"/>
      <c r="PJ164" s="373"/>
      <c r="PK164" s="373"/>
      <c r="PL164" s="849"/>
      <c r="PM164" s="1257" t="s">
        <v>416</v>
      </c>
      <c r="PN164" s="1257"/>
      <c r="PO164" s="486"/>
      <c r="PP164" s="477" t="s">
        <v>441</v>
      </c>
      <c r="PQ164" s="1791" t="s">
        <v>435</v>
      </c>
      <c r="PR164" s="1792"/>
      <c r="PS164" s="1374" t="s">
        <v>111</v>
      </c>
      <c r="PT164" s="1375"/>
      <c r="PU164" s="1376" t="s">
        <v>704</v>
      </c>
      <c r="PV164" s="1377"/>
      <c r="PW164" s="1460" t="s">
        <v>447</v>
      </c>
      <c r="PX164" s="1793"/>
      <c r="PY164" s="1793"/>
      <c r="PZ164" s="1794"/>
      <c r="QA164" s="906" t="s">
        <v>863</v>
      </c>
      <c r="QB164" s="907"/>
      <c r="QC164" s="908"/>
      <c r="QD164" s="373"/>
      <c r="QE164" s="373"/>
      <c r="QF164" s="373"/>
      <c r="QG164" s="373"/>
      <c r="QH164" s="373"/>
      <c r="QI164" s="373"/>
      <c r="QJ164" s="373"/>
      <c r="QK164" s="373"/>
      <c r="QL164" s="373"/>
      <c r="QM164" s="373"/>
      <c r="QN164" s="373"/>
      <c r="QO164" s="373"/>
      <c r="QP164" s="373"/>
      <c r="QQ164" s="373"/>
      <c r="QR164" s="374"/>
      <c r="WE164" s="996"/>
      <c r="WF164" s="997"/>
      <c r="WG164" s="175"/>
      <c r="WH164" s="173"/>
      <c r="WI164" s="173"/>
      <c r="WJ164" s="173"/>
      <c r="WK164" s="173"/>
      <c r="WL164" s="173"/>
      <c r="WM164" s="173"/>
      <c r="WN164" s="173"/>
      <c r="WO164" s="173"/>
      <c r="WP164" s="173"/>
      <c r="WQ164" s="173"/>
      <c r="WR164" s="173"/>
      <c r="WS164" s="173"/>
      <c r="WT164" s="173"/>
      <c r="WU164" s="173"/>
      <c r="WV164" s="173"/>
      <c r="WW164" s="173"/>
      <c r="WX164" s="173"/>
      <c r="WY164" s="174"/>
      <c r="WZ164" s="1085"/>
      <c r="XA164" s="1085"/>
      <c r="XB164" s="175"/>
      <c r="XC164" s="173"/>
      <c r="XD164" s="173"/>
      <c r="XE164" s="173"/>
      <c r="XF164" s="173"/>
      <c r="XG164" s="693" t="str">
        <f t="shared" ref="XG164:YL164" si="232">IF($AEY$228&lt;0,"Ошибка",
IF(OR(AND($AEY$228&gt;XG155,XG155&gt;$AEO$277),XG155 = $AEY$228),$AEW$228,
IF(OR(AND($AEY$229&gt;XG155,XG155&gt;$AEY$228),XG155 = $AEY$229),$AEW$229,
IF(OR(AND($AEY$230&gt;XG155,XG155&gt;$AEY$229),XG155 = $AEY$230),$AEW$230,
IF(OR(AND($AEY$231&gt;XG155,XG155&gt;$AEY$230),XG155 = $AEY$231),$AEW$231,
IF(OR(AND($AEY$232&gt;XG155,XG155&gt;$AEY$231),XG155 = $AEY$232),$AEW$232,
IF(OR(AND($AEY$233&gt;XG155,XG155&gt;$AEY$232),XG155 = $AEY$233),$AEW$233,
IF(OR(AND($AEY$234&gt;XG155,XG155&gt;$AEY$233),XG155 = $AEY$234),$AEW$234,
IF(OR(AND($AEY$235&gt;XG155,XG155&gt;$AEY$234),XG155 = $AEY$235),$AEW$235,
IF(OR(AND($AEY$236&gt;XG155,XG155&gt;$AEY$235),XG155 = $AEY$236),$AEW$236,
IF(OR(AND($AEY$237&gt;XG155,XG155&gt;$AEY$236),XG155 = $AEY$237),$AEW$237,
IF(OR(AND($AEY$238&gt;XG155,XG155&gt;$AEY$237),XG155 = $AEY$238),$AEW$238,
IF(OR(AND($AEY$239&gt;XG155,XG155&gt;$AEY$238),XG155 = $AEY$239),$AEW$239,
IF(OR(AND($AEY$240&gt;XG155,XG155&gt;$AEY$239),XG155 = $AEY$240),$AEW$240,
IF(OR(AND($AEY$241&gt;XG155,XG155&gt;$AEY$240),XG155 = $AEY$241),$AEW$241,
IF(OR(AND($AEY$242&gt;XG155,XG155&gt;$AEY$241),XG155 = $AEY$242),$AEW$242,
IF(OR(AND($AEY$243&gt;XG155,XG155&gt;$AEY$242),XG155 = $AEY$243),$AEW$243,
IF(OR(AND($AEY$244&gt;XG155,XG155&gt;$AEY$243),XG155 = $AEY$244),$AEW$244,
IF(OR(AND($AEY$245&gt;XG155,XG155&gt;$AEY$244),XG155 = $AEY$245),$AEW$245,
IF(OR(AND($AEY$246&gt;XG155,XG155&gt;$AEY$245),XG155 = $AEY$246),$AEW$246,
IF(OR(AND($AEY$247&gt;XG155,XG155&gt;$AEY$246),XG155 = $AEY$247),$AEW$247,
IF(OR(AND($AEY$248&gt;XG155,XG155&gt;$AEY$247),XG155 = $AEY$248),$AEW$248,
IF(OR(AND($AEY$249&gt;XG155,XG155&gt;$AEY$248),XG155 = $AEY$249),$AEW$249,
IF(OR(AND($AEY$250&gt;XG155,XG155&gt;$AEY$249),XG155 = $AEY$250),$AEW$250,
IF(OR(AND($AEY$251&gt;XG155,XG155&gt;$AEY$250),XG155 = $AEY$251),$AEW$251,
IF(OR(AND($AEY$252&gt;XG155,XG155&gt;$AEY$251),XG155 = $AEY$252),$AEW$252,
IF(OR(AND($AEY$253&gt;XG155,XG155&gt;$AEY$252),XG155 = $AEY$253),$AEW$253,
IF(OR(AND($AEY$254&gt;XG155,XG155&gt;$AEY$253),XG155 = $AEY$254),$AEW$254,
IF(OR(AND($AEY$255&gt;XG155,XG155&gt;$AEY$254),XG155 = $AEY$255),$AEW$255,
IF(OR(AND($AEY$256&gt;XG155,XG155&gt;$AEY$255),XG155 = $AEY$256),$AEW$256,
IF(OR(AND($AEY$257&gt;XG155,XG155&gt;$AEY$256),XG155 = $AEY$257),$AEW$257,
IF(OR(AND($AEY$258&gt;XG155,XG155&gt;$AEY$257),XG155 = $AEY$258),$AEW$258,
IF(OR(AND($AEY$259&gt;XG155,XG155&gt;$AEY$258),XG155 = $AEY$259),$AEW$259,
IF(OR(AND($AEY$260&gt;XG155,XG155&gt;$AEY$259),XG155 = $AEY$260),$AEW$260,
IF(OR(AND($AEY$261&gt;XG155,XG155&gt;$AEY$260),XG155 = $AEY$261),$AEW$261,
IF(OR(AND($AEY$262&gt;XG155,XG155&gt;$AEY$261),XG155 = $AEY$262),$AEW$262,
IF(OR(AND($AEY$263&gt;XG155,XG155&gt;$AEY$262),XG155 = $AEY$263),$AEW$263,
IF(OR(AND($AEY$264&gt;XG155,XG155&gt;$AEY$263),XG155 = $AEY$264),$AEW$264,
IF(OR(AND($AEY$265&gt;XG155,XG155&gt;$AEY$264),XG155 = $AEY$265),$AEW$265,
IF(OR(AND($AEY$266&gt;XG155,XG155&gt;$AEY$265),XG155 = $AEY$266),$AEW$266,
IF(OR(AND($AEY$267&gt;XG155,XG155&gt;$AEY$266),XG155 = $AEY$267),$AEW$267,
IF(OR(AND($AEY$268&gt;XG155,XG155&gt;$AEY$267),XG155 = $AEY$268),$AEW$268,
IF(OR(AND($AEY$269&gt;XG155,XG155&gt;$AEY$268),XG155 = $AEY$269),$AEW$269,
IF(OR(AND($AEY$270&gt;XG155,XG155&gt;$AEY$269),XG155 = $AEY$270),$AEW$270,
IF(OR(AND($AEY$271&gt;XG155,XG155&gt;$AEY$270),XG155 = $AEY$271),$AEW$271,
IF(OR(AND($AEY$272&gt;XG155,XG155&gt;$AEY$271),XG155 = $AEY$272),$AEW$272,
IF(OR(AND($AEY$273&gt;XG155,XG155&gt;$AEY$272),XG155 = $AEY$273),$AEW$273,
IF(OR(AND($AEY$274&gt;XG155,XG155&gt;$AEY$273),XG155 = $AEY$274),$AEW$274,
IF(OR(AND($AEY$275&gt;XG155,XG155&gt;$AEY$274),XG155 = $AEY$275),$AEW$275,
IF(OR(AND($AEY$276&gt;XG155,XG155&gt;$AEY$275),XG155 = $AEY$276),$AEW$276,
IF(OR(AND($AEY$277&gt;XG155,XG155&gt;$AEY$276),XG155 = $AEY$277),$AEW$277,
"Y")))))))))))))))))))))))))))))))))))))))))))))))))))</f>
        <v>Y</v>
      </c>
      <c r="XH164" s="693" t="str">
        <f t="shared" si="232"/>
        <v>Y</v>
      </c>
      <c r="XI164" s="693" t="str">
        <f t="shared" si="232"/>
        <v>Y</v>
      </c>
      <c r="XJ164" s="693" t="str">
        <f t="shared" si="232"/>
        <v>Y</v>
      </c>
      <c r="XK164" s="693" t="str">
        <f t="shared" si="232"/>
        <v>Y</v>
      </c>
      <c r="XL164" s="693" t="str">
        <f t="shared" si="232"/>
        <v>Y</v>
      </c>
      <c r="XM164" s="693" t="str">
        <f t="shared" si="232"/>
        <v>Y</v>
      </c>
      <c r="XN164" s="693" t="str">
        <f t="shared" si="232"/>
        <v>Y</v>
      </c>
      <c r="XO164" s="693" t="str">
        <f t="shared" si="232"/>
        <v>Y</v>
      </c>
      <c r="XP164" s="693" t="str">
        <f t="shared" si="232"/>
        <v>Y</v>
      </c>
      <c r="XQ164" s="693" t="str">
        <f t="shared" si="232"/>
        <v>Y</v>
      </c>
      <c r="XR164" s="693" t="str">
        <f t="shared" si="232"/>
        <v>Y</v>
      </c>
      <c r="XS164" s="693" t="str">
        <f t="shared" si="232"/>
        <v>Y</v>
      </c>
      <c r="XT164" s="693" t="str">
        <f t="shared" si="232"/>
        <v>Y</v>
      </c>
      <c r="XU164" s="693" t="str">
        <f t="shared" si="232"/>
        <v>Y</v>
      </c>
      <c r="XV164" s="693" t="str">
        <f t="shared" si="232"/>
        <v>Y</v>
      </c>
      <c r="XW164" s="693" t="str">
        <f t="shared" si="232"/>
        <v>Y</v>
      </c>
      <c r="XX164" s="693" t="str">
        <f t="shared" si="232"/>
        <v>Y</v>
      </c>
      <c r="XY164" s="693" t="str">
        <f t="shared" si="232"/>
        <v>Y</v>
      </c>
      <c r="XZ164" s="693" t="str">
        <f t="shared" si="232"/>
        <v>Y</v>
      </c>
      <c r="YA164" s="693" t="str">
        <f t="shared" si="232"/>
        <v>Y</v>
      </c>
      <c r="YB164" s="693" t="str">
        <f t="shared" si="232"/>
        <v>Y</v>
      </c>
      <c r="YC164" s="693" t="str">
        <f t="shared" si="232"/>
        <v>Y</v>
      </c>
      <c r="YD164" s="693" t="str">
        <f t="shared" si="232"/>
        <v>Y</v>
      </c>
      <c r="YE164" s="693" t="str">
        <f t="shared" si="232"/>
        <v>Y</v>
      </c>
      <c r="YF164" s="693" t="str">
        <f t="shared" si="232"/>
        <v>Y</v>
      </c>
      <c r="YG164" s="693" t="str">
        <f t="shared" si="232"/>
        <v>Y</v>
      </c>
      <c r="YH164" s="693" t="str">
        <f t="shared" si="232"/>
        <v>Y</v>
      </c>
      <c r="YI164" s="693" t="str">
        <f t="shared" si="232"/>
        <v>Y</v>
      </c>
      <c r="YJ164" s="693" t="str">
        <f t="shared" si="232"/>
        <v>Y</v>
      </c>
      <c r="YK164" s="693" t="str">
        <f t="shared" si="232"/>
        <v>Y</v>
      </c>
      <c r="YL164" s="693" t="str">
        <f t="shared" si="232"/>
        <v>Y</v>
      </c>
      <c r="YM164" s="693" t="str">
        <f t="shared" ref="YM164:ZR164" si="233">IF($AEY$228&lt;0,"Ошибка",
IF(OR(AND($AEY$228&gt;YM155,YM155&gt;$AEO$277),YM155 = $AEY$228),$AEW$228,
IF(OR(AND($AEY$229&gt;YM155,YM155&gt;$AEY$228),YM155 = $AEY$229),$AEW$229,
IF(OR(AND($AEY$230&gt;YM155,YM155&gt;$AEY$229),YM155 = $AEY$230),$AEW$230,
IF(OR(AND($AEY$231&gt;YM155,YM155&gt;$AEY$230),YM155 = $AEY$231),$AEW$231,
IF(OR(AND($AEY$232&gt;YM155,YM155&gt;$AEY$231),YM155 = $AEY$232),$AEW$232,
IF(OR(AND($AEY$233&gt;YM155,YM155&gt;$AEY$232),YM155 = $AEY$233),$AEW$233,
IF(OR(AND($AEY$234&gt;YM155,YM155&gt;$AEY$233),YM155 = $AEY$234),$AEW$234,
IF(OR(AND($AEY$235&gt;YM155,YM155&gt;$AEY$234),YM155 = $AEY$235),$AEW$235,
IF(OR(AND($AEY$236&gt;YM155,YM155&gt;$AEY$235),YM155 = $AEY$236),$AEW$236,
IF(OR(AND($AEY$237&gt;YM155,YM155&gt;$AEY$236),YM155 = $AEY$237),$AEW$237,
IF(OR(AND($AEY$238&gt;YM155,YM155&gt;$AEY$237),YM155 = $AEY$238),$AEW$238,
IF(OR(AND($AEY$239&gt;YM155,YM155&gt;$AEY$238),YM155 = $AEY$239),$AEW$239,
IF(OR(AND($AEY$240&gt;YM155,YM155&gt;$AEY$239),YM155 = $AEY$240),$AEW$240,
IF(OR(AND($AEY$241&gt;YM155,YM155&gt;$AEY$240),YM155 = $AEY$241),$AEW$241,
IF(OR(AND($AEY$242&gt;YM155,YM155&gt;$AEY$241),YM155 = $AEY$242),$AEW$242,
IF(OR(AND($AEY$243&gt;YM155,YM155&gt;$AEY$242),YM155 = $AEY$243),$AEW$243,
IF(OR(AND($AEY$244&gt;YM155,YM155&gt;$AEY$243),YM155 = $AEY$244),$AEW$244,
IF(OR(AND($AEY$245&gt;YM155,YM155&gt;$AEY$244),YM155 = $AEY$245),$AEW$245,
IF(OR(AND($AEY$246&gt;YM155,YM155&gt;$AEY$245),YM155 = $AEY$246),$AEW$246,
IF(OR(AND($AEY$247&gt;YM155,YM155&gt;$AEY$246),YM155 = $AEY$247),$AEW$247,
IF(OR(AND($AEY$248&gt;YM155,YM155&gt;$AEY$247),YM155 = $AEY$248),$AEW$248,
IF(OR(AND($AEY$249&gt;YM155,YM155&gt;$AEY$248),YM155 = $AEY$249),$AEW$249,
IF(OR(AND($AEY$250&gt;YM155,YM155&gt;$AEY$249),YM155 = $AEY$250),$AEW$250,
IF(OR(AND($AEY$251&gt;YM155,YM155&gt;$AEY$250),YM155 = $AEY$251),$AEW$251,
IF(OR(AND($AEY$252&gt;YM155,YM155&gt;$AEY$251),YM155 = $AEY$252),$AEW$252,
IF(OR(AND($AEY$253&gt;YM155,YM155&gt;$AEY$252),YM155 = $AEY$253),$AEW$253,
IF(OR(AND($AEY$254&gt;YM155,YM155&gt;$AEY$253),YM155 = $AEY$254),$AEW$254,
IF(OR(AND($AEY$255&gt;YM155,YM155&gt;$AEY$254),YM155 = $AEY$255),$AEW$255,
IF(OR(AND($AEY$256&gt;YM155,YM155&gt;$AEY$255),YM155 = $AEY$256),$AEW$256,
IF(OR(AND($AEY$257&gt;YM155,YM155&gt;$AEY$256),YM155 = $AEY$257),$AEW$257,
IF(OR(AND($AEY$258&gt;YM155,YM155&gt;$AEY$257),YM155 = $AEY$258),$AEW$258,
IF(OR(AND($AEY$259&gt;YM155,YM155&gt;$AEY$258),YM155 = $AEY$259),$AEW$259,
IF(OR(AND($AEY$260&gt;YM155,YM155&gt;$AEY$259),YM155 = $AEY$260),$AEW$260,
IF(OR(AND($AEY$261&gt;YM155,YM155&gt;$AEY$260),YM155 = $AEY$261),$AEW$261,
IF(OR(AND($AEY$262&gt;YM155,YM155&gt;$AEY$261),YM155 = $AEY$262),$AEW$262,
IF(OR(AND($AEY$263&gt;YM155,YM155&gt;$AEY$262),YM155 = $AEY$263),$AEW$263,
IF(OR(AND($AEY$264&gt;YM155,YM155&gt;$AEY$263),YM155 = $AEY$264),$AEW$264,
IF(OR(AND($AEY$265&gt;YM155,YM155&gt;$AEY$264),YM155 = $AEY$265),$AEW$265,
IF(OR(AND($AEY$266&gt;YM155,YM155&gt;$AEY$265),YM155 = $AEY$266),$AEW$266,
IF(OR(AND($AEY$267&gt;YM155,YM155&gt;$AEY$266),YM155 = $AEY$267),$AEW$267,
IF(OR(AND($AEY$268&gt;YM155,YM155&gt;$AEY$267),YM155 = $AEY$268),$AEW$268,
IF(OR(AND($AEY$269&gt;YM155,YM155&gt;$AEY$268),YM155 = $AEY$269),$AEW$269,
IF(OR(AND($AEY$270&gt;YM155,YM155&gt;$AEY$269),YM155 = $AEY$270),$AEW$270,
IF(OR(AND($AEY$271&gt;YM155,YM155&gt;$AEY$270),YM155 = $AEY$271),$AEW$271,
IF(OR(AND($AEY$272&gt;YM155,YM155&gt;$AEY$271),YM155 = $AEY$272),$AEW$272,
IF(OR(AND($AEY$273&gt;YM155,YM155&gt;$AEY$272),YM155 = $AEY$273),$AEW$273,
IF(OR(AND($AEY$274&gt;YM155,YM155&gt;$AEY$273),YM155 = $AEY$274),$AEW$274,
IF(OR(AND($AEY$275&gt;YM155,YM155&gt;$AEY$274),YM155 = $AEY$275),$AEW$275,
IF(OR(AND($AEY$276&gt;YM155,YM155&gt;$AEY$275),YM155 = $AEY$276),$AEW$276,
IF(OR(AND($AEY$277&gt;YM155,YM155&gt;$AEY$276),YM155 = $AEY$277),$AEW$277,
"Y")))))))))))))))))))))))))))))))))))))))))))))))))))</f>
        <v>Y</v>
      </c>
      <c r="YN164" s="693" t="str">
        <f t="shared" si="233"/>
        <v>Y</v>
      </c>
      <c r="YO164" s="693" t="str">
        <f t="shared" si="233"/>
        <v>Y</v>
      </c>
      <c r="YP164" s="693" t="str">
        <f t="shared" si="233"/>
        <v>Y</v>
      </c>
      <c r="YQ164" s="693" t="str">
        <f t="shared" si="233"/>
        <v>Y</v>
      </c>
      <c r="YR164" s="693" t="str">
        <f t="shared" si="233"/>
        <v>Y</v>
      </c>
      <c r="YS164" s="693" t="str">
        <f t="shared" si="233"/>
        <v>Y</v>
      </c>
      <c r="YT164" s="693" t="str">
        <f t="shared" si="233"/>
        <v>Y</v>
      </c>
      <c r="YU164" s="693" t="str">
        <f t="shared" si="233"/>
        <v>Y</v>
      </c>
      <c r="YV164" s="693" t="str">
        <f t="shared" si="233"/>
        <v>Y</v>
      </c>
      <c r="YW164" s="693" t="str">
        <f t="shared" si="233"/>
        <v>Y</v>
      </c>
      <c r="YX164" s="693" t="str">
        <f t="shared" si="233"/>
        <v>Y</v>
      </c>
      <c r="YY164" s="693" t="str">
        <f t="shared" si="233"/>
        <v>Y</v>
      </c>
      <c r="YZ164" s="693" t="str">
        <f t="shared" si="233"/>
        <v>Y</v>
      </c>
      <c r="ZA164" s="693" t="str">
        <f t="shared" si="233"/>
        <v>Y</v>
      </c>
      <c r="ZB164" s="693" t="str">
        <f t="shared" si="233"/>
        <v>Y</v>
      </c>
      <c r="ZC164" s="693" t="str">
        <f t="shared" si="233"/>
        <v>Y</v>
      </c>
      <c r="ZD164" s="693" t="str">
        <f t="shared" si="233"/>
        <v>Y</v>
      </c>
      <c r="ZE164" s="693" t="str">
        <f t="shared" si="233"/>
        <v>Y</v>
      </c>
      <c r="ZF164" s="693" t="str">
        <f t="shared" si="233"/>
        <v>Y</v>
      </c>
      <c r="ZG164" s="693" t="str">
        <f t="shared" si="233"/>
        <v>Y</v>
      </c>
      <c r="ZH164" s="693" t="str">
        <f t="shared" si="233"/>
        <v>Y</v>
      </c>
      <c r="ZI164" s="693" t="str">
        <f t="shared" si="233"/>
        <v>Y</v>
      </c>
      <c r="ZJ164" s="693" t="str">
        <f t="shared" si="233"/>
        <v>Y</v>
      </c>
      <c r="ZK164" s="693" t="str">
        <f t="shared" si="233"/>
        <v>Y</v>
      </c>
      <c r="ZL164" s="693" t="str">
        <f t="shared" si="233"/>
        <v>Y</v>
      </c>
      <c r="ZM164" s="693" t="str">
        <f t="shared" si="233"/>
        <v>Y</v>
      </c>
      <c r="ZN164" s="693" t="str">
        <f t="shared" si="233"/>
        <v>Y</v>
      </c>
      <c r="ZO164" s="693" t="str">
        <f t="shared" si="233"/>
        <v>Y</v>
      </c>
      <c r="ZP164" s="693" t="str">
        <f t="shared" si="233"/>
        <v>Y</v>
      </c>
      <c r="ZQ164" s="693" t="str">
        <f t="shared" si="233"/>
        <v>Y</v>
      </c>
      <c r="ZR164" s="693" t="str">
        <f t="shared" si="233"/>
        <v>Y</v>
      </c>
      <c r="ZS164" s="693" t="str">
        <f t="shared" ref="ZS164:AAS164" si="234">IF($AEY$228&lt;0,"Ошибка",
IF(OR(AND($AEY$228&gt;ZS155,ZS155&gt;$AEO$277),ZS155 = $AEY$228),$AEW$228,
IF(OR(AND($AEY$229&gt;ZS155,ZS155&gt;$AEY$228),ZS155 = $AEY$229),$AEW$229,
IF(OR(AND($AEY$230&gt;ZS155,ZS155&gt;$AEY$229),ZS155 = $AEY$230),$AEW$230,
IF(OR(AND($AEY$231&gt;ZS155,ZS155&gt;$AEY$230),ZS155 = $AEY$231),$AEW$231,
IF(OR(AND($AEY$232&gt;ZS155,ZS155&gt;$AEY$231),ZS155 = $AEY$232),$AEW$232,
IF(OR(AND($AEY$233&gt;ZS155,ZS155&gt;$AEY$232),ZS155 = $AEY$233),$AEW$233,
IF(OR(AND($AEY$234&gt;ZS155,ZS155&gt;$AEY$233),ZS155 = $AEY$234),$AEW$234,
IF(OR(AND($AEY$235&gt;ZS155,ZS155&gt;$AEY$234),ZS155 = $AEY$235),$AEW$235,
IF(OR(AND($AEY$236&gt;ZS155,ZS155&gt;$AEY$235),ZS155 = $AEY$236),$AEW$236,
IF(OR(AND($AEY$237&gt;ZS155,ZS155&gt;$AEY$236),ZS155 = $AEY$237),$AEW$237,
IF(OR(AND($AEY$238&gt;ZS155,ZS155&gt;$AEY$237),ZS155 = $AEY$238),$AEW$238,
IF(OR(AND($AEY$239&gt;ZS155,ZS155&gt;$AEY$238),ZS155 = $AEY$239),$AEW$239,
IF(OR(AND($AEY$240&gt;ZS155,ZS155&gt;$AEY$239),ZS155 = $AEY$240),$AEW$240,
IF(OR(AND($AEY$241&gt;ZS155,ZS155&gt;$AEY$240),ZS155 = $AEY$241),$AEW$241,
IF(OR(AND($AEY$242&gt;ZS155,ZS155&gt;$AEY$241),ZS155 = $AEY$242),$AEW$242,
IF(OR(AND($AEY$243&gt;ZS155,ZS155&gt;$AEY$242),ZS155 = $AEY$243),$AEW$243,
IF(OR(AND($AEY$244&gt;ZS155,ZS155&gt;$AEY$243),ZS155 = $AEY$244),$AEW$244,
IF(OR(AND($AEY$245&gt;ZS155,ZS155&gt;$AEY$244),ZS155 = $AEY$245),$AEW$245,
IF(OR(AND($AEY$246&gt;ZS155,ZS155&gt;$AEY$245),ZS155 = $AEY$246),$AEW$246,
IF(OR(AND($AEY$247&gt;ZS155,ZS155&gt;$AEY$246),ZS155 = $AEY$247),$AEW$247,
IF(OR(AND($AEY$248&gt;ZS155,ZS155&gt;$AEY$247),ZS155 = $AEY$248),$AEW$248,
IF(OR(AND($AEY$249&gt;ZS155,ZS155&gt;$AEY$248),ZS155 = $AEY$249),$AEW$249,
IF(OR(AND($AEY$250&gt;ZS155,ZS155&gt;$AEY$249),ZS155 = $AEY$250),$AEW$250,
IF(OR(AND($AEY$251&gt;ZS155,ZS155&gt;$AEY$250),ZS155 = $AEY$251),$AEW$251,
IF(OR(AND($AEY$252&gt;ZS155,ZS155&gt;$AEY$251),ZS155 = $AEY$252),$AEW$252,
IF(OR(AND($AEY$253&gt;ZS155,ZS155&gt;$AEY$252),ZS155 = $AEY$253),$AEW$253,
IF(OR(AND($AEY$254&gt;ZS155,ZS155&gt;$AEY$253),ZS155 = $AEY$254),$AEW$254,
IF(OR(AND($AEY$255&gt;ZS155,ZS155&gt;$AEY$254),ZS155 = $AEY$255),$AEW$255,
IF(OR(AND($AEY$256&gt;ZS155,ZS155&gt;$AEY$255),ZS155 = $AEY$256),$AEW$256,
IF(OR(AND($AEY$257&gt;ZS155,ZS155&gt;$AEY$256),ZS155 = $AEY$257),$AEW$257,
IF(OR(AND($AEY$258&gt;ZS155,ZS155&gt;$AEY$257),ZS155 = $AEY$258),$AEW$258,
IF(OR(AND($AEY$259&gt;ZS155,ZS155&gt;$AEY$258),ZS155 = $AEY$259),$AEW$259,
IF(OR(AND($AEY$260&gt;ZS155,ZS155&gt;$AEY$259),ZS155 = $AEY$260),$AEW$260,
IF(OR(AND($AEY$261&gt;ZS155,ZS155&gt;$AEY$260),ZS155 = $AEY$261),$AEW$261,
IF(OR(AND($AEY$262&gt;ZS155,ZS155&gt;$AEY$261),ZS155 = $AEY$262),$AEW$262,
IF(OR(AND($AEY$263&gt;ZS155,ZS155&gt;$AEY$262),ZS155 = $AEY$263),$AEW$263,
IF(OR(AND($AEY$264&gt;ZS155,ZS155&gt;$AEY$263),ZS155 = $AEY$264),$AEW$264,
IF(OR(AND($AEY$265&gt;ZS155,ZS155&gt;$AEY$264),ZS155 = $AEY$265),$AEW$265,
IF(OR(AND($AEY$266&gt;ZS155,ZS155&gt;$AEY$265),ZS155 = $AEY$266),$AEW$266,
IF(OR(AND($AEY$267&gt;ZS155,ZS155&gt;$AEY$266),ZS155 = $AEY$267),$AEW$267,
IF(OR(AND($AEY$268&gt;ZS155,ZS155&gt;$AEY$267),ZS155 = $AEY$268),$AEW$268,
IF(OR(AND($AEY$269&gt;ZS155,ZS155&gt;$AEY$268),ZS155 = $AEY$269),$AEW$269,
IF(OR(AND($AEY$270&gt;ZS155,ZS155&gt;$AEY$269),ZS155 = $AEY$270),$AEW$270,
IF(OR(AND($AEY$271&gt;ZS155,ZS155&gt;$AEY$270),ZS155 = $AEY$271),$AEW$271,
IF(OR(AND($AEY$272&gt;ZS155,ZS155&gt;$AEY$271),ZS155 = $AEY$272),$AEW$272,
IF(OR(AND($AEY$273&gt;ZS155,ZS155&gt;$AEY$272),ZS155 = $AEY$273),$AEW$273,
IF(OR(AND($AEY$274&gt;ZS155,ZS155&gt;$AEY$273),ZS155 = $AEY$274),$AEW$274,
IF(OR(AND($AEY$275&gt;ZS155,ZS155&gt;$AEY$274),ZS155 = $AEY$275),$AEW$275,
IF(OR(AND($AEY$276&gt;ZS155,ZS155&gt;$AEY$275),ZS155 = $AEY$276),$AEW$276,
IF(OR(AND($AEY$277&gt;ZS155,ZS155&gt;$AEY$276),ZS155 = $AEY$277),$AEW$277,
"Y")))))))))))))))))))))))))))))))))))))))))))))))))))</f>
        <v>Y</v>
      </c>
      <c r="ZT164" s="693" t="str">
        <f t="shared" si="234"/>
        <v>Y</v>
      </c>
      <c r="ZU164" s="693" t="str">
        <f t="shared" si="234"/>
        <v>Y</v>
      </c>
      <c r="ZV164" s="693" t="str">
        <f t="shared" si="234"/>
        <v>Y</v>
      </c>
      <c r="ZW164" s="693" t="str">
        <f t="shared" si="234"/>
        <v>Y</v>
      </c>
      <c r="ZX164" s="693" t="str">
        <f t="shared" si="234"/>
        <v>Y</v>
      </c>
      <c r="ZY164" s="693" t="str">
        <f t="shared" si="234"/>
        <v>Y</v>
      </c>
      <c r="ZZ164" s="693" t="str">
        <f t="shared" si="234"/>
        <v>Y</v>
      </c>
      <c r="AAA164" s="693" t="str">
        <f t="shared" si="234"/>
        <v>Y</v>
      </c>
      <c r="AAB164" s="693" t="str">
        <f t="shared" si="234"/>
        <v>Y</v>
      </c>
      <c r="AAC164" s="693" t="str">
        <f t="shared" si="234"/>
        <v>Y</v>
      </c>
      <c r="AAD164" s="693" t="str">
        <f t="shared" si="234"/>
        <v>Y</v>
      </c>
      <c r="AAE164" s="693" t="str">
        <f t="shared" si="234"/>
        <v>Y</v>
      </c>
      <c r="AAF164" s="693" t="str">
        <f t="shared" si="234"/>
        <v>Y</v>
      </c>
      <c r="AAG164" s="693" t="str">
        <f t="shared" si="234"/>
        <v>Y</v>
      </c>
      <c r="AAH164" s="693" t="str">
        <f t="shared" si="234"/>
        <v>Y</v>
      </c>
      <c r="AAI164" s="693" t="str">
        <f t="shared" si="234"/>
        <v>Y</v>
      </c>
      <c r="AAJ164" s="693" t="str">
        <f t="shared" si="234"/>
        <v>Y</v>
      </c>
      <c r="AAK164" s="693" t="str">
        <f t="shared" si="234"/>
        <v>Y</v>
      </c>
      <c r="AAL164" s="693" t="str">
        <f t="shared" si="234"/>
        <v>Y</v>
      </c>
      <c r="AAM164" s="693" t="str">
        <f t="shared" si="234"/>
        <v>Y</v>
      </c>
      <c r="AAN164" s="693" t="str">
        <f t="shared" si="234"/>
        <v>Y</v>
      </c>
      <c r="AAO164" s="693" t="str">
        <f t="shared" si="234"/>
        <v>Y</v>
      </c>
      <c r="AAP164" s="693" t="str">
        <f t="shared" si="234"/>
        <v>Y</v>
      </c>
      <c r="AAQ164" s="693" t="str">
        <f t="shared" si="234"/>
        <v>Y</v>
      </c>
      <c r="AAR164" s="693" t="str">
        <f t="shared" si="234"/>
        <v>Y</v>
      </c>
      <c r="AAS164" s="693" t="str">
        <f t="shared" si="234"/>
        <v>Y</v>
      </c>
      <c r="AAT164" s="1006"/>
      <c r="AAU164" s="175"/>
      <c r="AAV164" s="173"/>
      <c r="AAW164" s="173"/>
      <c r="AAX164" s="173"/>
      <c r="AAY164" s="173"/>
      <c r="AAZ164" s="173"/>
      <c r="ABA164" s="173"/>
      <c r="ABB164" s="173"/>
      <c r="ABC164" s="173"/>
      <c r="ABD164" s="173"/>
      <c r="ABE164" s="173"/>
      <c r="ABF164" s="173"/>
      <c r="ABG164" s="173"/>
      <c r="ABH164" s="174"/>
      <c r="ABI164" s="158"/>
      <c r="ABJ164" s="158"/>
      <c r="ABK164" s="158"/>
      <c r="ABL164" s="158"/>
      <c r="ABM164" s="158"/>
      <c r="ABN164" s="158"/>
      <c r="ABO164" s="158"/>
      <c r="ABP164" s="163"/>
      <c r="ACJ164" s="759">
        <v>-3.125E-2</v>
      </c>
      <c r="ACK164" s="760"/>
      <c r="ACL164" s="759">
        <v>1</v>
      </c>
      <c r="ACM164" s="760"/>
      <c r="ACN164" s="591">
        <v>11</v>
      </c>
      <c r="ACO164" s="759">
        <f t="shared" si="194"/>
        <v>0.99724999999999997</v>
      </c>
      <c r="ACP164" s="760"/>
      <c r="ACQ164" s="757">
        <f t="shared" si="195"/>
        <v>8.7999999999999995E-2</v>
      </c>
      <c r="ACR164" s="758"/>
      <c r="ACT164" s="759">
        <v>-3.125E-2</v>
      </c>
      <c r="ACU164" s="760"/>
      <c r="ACV164" s="759">
        <v>1</v>
      </c>
      <c r="ACW164" s="760"/>
      <c r="ACX164" s="591">
        <v>61</v>
      </c>
      <c r="ACY164" s="759">
        <f t="shared" si="196"/>
        <v>0.98475000000000001</v>
      </c>
      <c r="ACZ164" s="760"/>
      <c r="ADA164" s="757">
        <f t="shared" si="197"/>
        <v>0.48799999999999999</v>
      </c>
      <c r="ADB164" s="758"/>
      <c r="ADD164" s="759">
        <v>-8.3333333333333398E-2</v>
      </c>
      <c r="ADE164" s="760"/>
      <c r="ADF164" s="759">
        <v>1.0416666666666701</v>
      </c>
      <c r="ADG164" s="760"/>
      <c r="ADH164" s="592">
        <v>111</v>
      </c>
      <c r="ADI164" s="759">
        <f t="shared" si="198"/>
        <v>0.96766666666667001</v>
      </c>
      <c r="ADJ164" s="760"/>
      <c r="ADK164" s="757">
        <f t="shared" si="199"/>
        <v>0.88800000000000001</v>
      </c>
      <c r="ADL164" s="758"/>
      <c r="ADN164" s="759">
        <v>-0.14285714285714299</v>
      </c>
      <c r="ADO164" s="760"/>
      <c r="ADP164" s="759">
        <v>1.1071428571428601</v>
      </c>
      <c r="ADQ164" s="760"/>
      <c r="ADR164" s="592">
        <v>161</v>
      </c>
      <c r="ADS164" s="759">
        <f t="shared" si="200"/>
        <v>0.92314285714285993</v>
      </c>
      <c r="ADT164" s="760"/>
      <c r="ADU164" s="757">
        <f t="shared" si="201"/>
        <v>1.288</v>
      </c>
      <c r="ADV164" s="758"/>
      <c r="ADX164" s="759">
        <v>-0.2</v>
      </c>
      <c r="ADY164" s="760"/>
      <c r="ADZ164" s="759">
        <v>1.19</v>
      </c>
      <c r="AEA164" s="760"/>
      <c r="AEB164" s="591">
        <v>211</v>
      </c>
      <c r="AEC164" s="759">
        <f t="shared" si="202"/>
        <v>0.85239999999999994</v>
      </c>
      <c r="AED164" s="760"/>
      <c r="AEE164" s="757">
        <f t="shared" si="203"/>
        <v>1.6879999999999999</v>
      </c>
      <c r="AEF164" s="758"/>
      <c r="AEH164" s="759">
        <v>-0.33333333333333298</v>
      </c>
      <c r="AEI164" s="760"/>
      <c r="AEJ164" s="759">
        <v>1.4166666666666701</v>
      </c>
      <c r="AEK164" s="760"/>
      <c r="AEL164" s="592">
        <v>261</v>
      </c>
      <c r="AEM164" s="759">
        <f t="shared" si="204"/>
        <v>0.72066666666667079</v>
      </c>
      <c r="AEN164" s="760"/>
      <c r="AEO164" s="757">
        <f t="shared" si="205"/>
        <v>2.0880000000000001</v>
      </c>
      <c r="AEP164" s="758"/>
      <c r="AER164" s="759">
        <v>-0.25</v>
      </c>
      <c r="AES164" s="760"/>
      <c r="AET164" s="759">
        <v>1.2250000000000001</v>
      </c>
      <c r="AEU164" s="760"/>
      <c r="AEV164" s="591">
        <v>311</v>
      </c>
      <c r="AEW164" s="759">
        <f t="shared" si="206"/>
        <v>0.60300000000000009</v>
      </c>
      <c r="AEX164" s="760"/>
      <c r="AEY164" s="757">
        <f t="shared" si="207"/>
        <v>2.488</v>
      </c>
      <c r="AEZ164" s="758"/>
      <c r="AFB164" s="759">
        <v>-0.1</v>
      </c>
      <c r="AFC164" s="760"/>
      <c r="AFD164" s="759">
        <v>0.82</v>
      </c>
      <c r="AFE164" s="760"/>
      <c r="AFF164" s="591">
        <v>361</v>
      </c>
      <c r="AFG164" s="759">
        <f t="shared" si="208"/>
        <v>0.53119999999999989</v>
      </c>
      <c r="AFH164" s="760"/>
      <c r="AFI164" s="757">
        <f t="shared" si="209"/>
        <v>2.8879999999999999</v>
      </c>
      <c r="AFJ164" s="758"/>
      <c r="AFL164" s="759">
        <v>-0.25</v>
      </c>
      <c r="AFM164" s="760"/>
      <c r="AFN164" s="759">
        <v>1.3</v>
      </c>
      <c r="AFO164" s="760"/>
      <c r="AFP164" s="592">
        <v>411</v>
      </c>
      <c r="AFQ164" s="759">
        <f t="shared" si="210"/>
        <v>0.47799999999999998</v>
      </c>
      <c r="AFR164" s="760"/>
      <c r="AFS164" s="757">
        <f t="shared" si="211"/>
        <v>3.2880000000000003</v>
      </c>
      <c r="AFT164" s="758"/>
      <c r="AFV164" s="759">
        <v>-0.125</v>
      </c>
      <c r="AFW164" s="760"/>
      <c r="AFX164" s="759">
        <v>0.875</v>
      </c>
      <c r="AFY164" s="760"/>
      <c r="AFZ164" s="591">
        <v>461</v>
      </c>
      <c r="AGA164" s="759">
        <f t="shared" si="212"/>
        <v>0.41399999999999998</v>
      </c>
      <c r="AGB164" s="760"/>
      <c r="AGC164" s="757">
        <f t="shared" si="213"/>
        <v>3.6880000000000002</v>
      </c>
      <c r="AGD164" s="758"/>
      <c r="AIJ164" s="130"/>
      <c r="AIK164" s="130"/>
      <c r="AIL164" s="130"/>
      <c r="AIM164" s="130"/>
      <c r="AIN164" s="130"/>
      <c r="AIO164" s="130"/>
      <c r="AIP164" s="130"/>
      <c r="AIQ164" s="130"/>
      <c r="AIR164" s="130"/>
      <c r="AIS164" s="130"/>
      <c r="AIT164" s="130"/>
      <c r="AIU164" s="130"/>
      <c r="AIV164" s="130"/>
      <c r="AIW164" s="130"/>
      <c r="AIX164" s="130"/>
      <c r="AIY164" s="130"/>
      <c r="AIZ164" s="130"/>
    </row>
    <row r="165" spans="249:948 1165:1221" ht="48" customHeight="1" thickBot="1">
      <c r="LZ165" s="383"/>
      <c r="MA165" s="854"/>
      <c r="MB165" s="891"/>
      <c r="MC165" s="891"/>
      <c r="MD165" s="891"/>
      <c r="ME165" s="891"/>
      <c r="MF165" s="891"/>
      <c r="MG165" s="891"/>
      <c r="MH165" s="891"/>
      <c r="MI165" s="891"/>
      <c r="MJ165" s="891"/>
      <c r="MK165" s="891"/>
      <c r="ML165" s="891"/>
      <c r="MM165" s="891"/>
      <c r="MN165" s="891"/>
      <c r="MO165" s="891"/>
      <c r="MP165" s="891"/>
      <c r="MQ165" s="891"/>
      <c r="MR165" s="891"/>
      <c r="MS165" s="891"/>
      <c r="MT165" s="891"/>
      <c r="MU165" s="891"/>
      <c r="MV165" s="891"/>
      <c r="MW165" s="891"/>
      <c r="MX165" s="891"/>
      <c r="MY165" s="891"/>
      <c r="MZ165" s="891"/>
      <c r="NA165" s="891"/>
      <c r="NB165" s="891"/>
      <c r="NC165" s="891"/>
      <c r="ND165" s="891"/>
      <c r="NE165" s="891"/>
      <c r="NF165" s="891"/>
      <c r="NG165" s="891"/>
      <c r="NH165" s="891"/>
      <c r="NI165" s="891"/>
      <c r="NJ165" s="891"/>
      <c r="NK165" s="891"/>
      <c r="NL165" s="891"/>
      <c r="NM165" s="891"/>
      <c r="NN165" s="891"/>
      <c r="NO165" s="136"/>
      <c r="NU165" s="856" t="s">
        <v>1283</v>
      </c>
      <c r="NV165" s="856"/>
      <c r="NW165" s="856" t="s">
        <v>1284</v>
      </c>
      <c r="NX165" s="856"/>
      <c r="PG165" s="377"/>
      <c r="PH165" s="54"/>
      <c r="PI165" s="54"/>
      <c r="PJ165" s="54"/>
      <c r="PK165" s="382" t="s">
        <v>1298</v>
      </c>
      <c r="PL165" s="850"/>
      <c r="PM165" s="809" t="s">
        <v>1526</v>
      </c>
      <c r="PN165" s="797"/>
      <c r="PO165" s="797"/>
      <c r="PP165" s="797"/>
      <c r="PQ165" s="797"/>
      <c r="PR165" s="797"/>
      <c r="PS165" s="1378">
        <f>IF(PR163 ="IP44",PZ146,
IF(PR163 = "IP23",PW135,PZ146))</f>
        <v>41.237811440369647</v>
      </c>
      <c r="PT165" s="1379"/>
      <c r="PU165" s="1075" t="s">
        <v>3</v>
      </c>
      <c r="PV165" s="1076"/>
      <c r="PW165" s="1066"/>
      <c r="PX165" s="1170" t="s">
        <v>1532</v>
      </c>
      <c r="PY165" s="1172"/>
      <c r="PZ165" s="847"/>
      <c r="QA165" s="1203" t="s">
        <v>862</v>
      </c>
      <c r="QB165" s="1275"/>
      <c r="QC165" s="1204"/>
      <c r="QD165" s="373"/>
      <c r="QE165" s="373"/>
      <c r="QF165" s="373"/>
      <c r="QG165" s="373"/>
      <c r="QH165" s="373"/>
      <c r="QI165" s="373"/>
      <c r="QJ165" s="373"/>
      <c r="QK165" s="373"/>
      <c r="QL165" s="373"/>
      <c r="QM165" s="373"/>
      <c r="QN165" s="373"/>
      <c r="QO165" s="373"/>
      <c r="QP165" s="373"/>
      <c r="QQ165" s="373"/>
      <c r="QR165" s="374"/>
      <c r="WE165" s="996"/>
      <c r="WF165" s="997"/>
      <c r="WG165" s="175"/>
      <c r="WH165" s="173"/>
      <c r="WI165" s="173"/>
      <c r="WJ165" s="173"/>
      <c r="WK165" s="173"/>
      <c r="WL165" s="173"/>
      <c r="WM165" s="173"/>
      <c r="WN165" s="173"/>
      <c r="WO165" s="173"/>
      <c r="WP165" s="173"/>
      <c r="WQ165" s="173"/>
      <c r="WR165" s="173"/>
      <c r="WS165" s="173"/>
      <c r="WT165" s="173"/>
      <c r="WU165" s="173"/>
      <c r="WV165" s="173"/>
      <c r="WW165" s="173"/>
      <c r="WX165" s="173"/>
      <c r="WY165" s="174"/>
      <c r="WZ165" s="1085"/>
      <c r="XA165" s="1085"/>
      <c r="XB165" s="175"/>
      <c r="XC165" s="173"/>
      <c r="XD165" s="173"/>
      <c r="XE165" s="173"/>
      <c r="XF165" s="173"/>
      <c r="XG165" s="693" t="str">
        <f t="shared" ref="XG165:YL165" si="235">IF($AFI$228&lt;0,"Ошибка",
IF(OR(AND($AFI$228&gt;XG155,XG155&gt;$AEY$277),XG155 = $AFI$228),$AFG$228,
IF(OR(AND($AFI$229&gt;XG155,XG155&gt;$AFI$228),XG155 = $AFI$229),$AFG$229,
IF(OR(AND($AFI$230&gt;XG155,XG155&gt;$AFI$229),XG155 = $AFI$230),$AFG$230,
IF(OR(AND($AFI$231&gt;XG155,XG155&gt;$AFI$230),XG155 = $AFI$231),$AFG$231,
IF(OR(AND($AFI$232&gt;XG155,XG155&gt;$AFI$231),XG155 = $AFI$232),$AFG$232,
IF(OR(AND($AFI$233&gt;XG155,XG155&gt;$AFI$232),XG155 = $AFI$233),$AFG$233,
IF(OR(AND($AFI$234&gt;XG155,XG155&gt;$AFI$233),XG155 = $AFI$234),$AFG$234,
IF(OR(AND($AFI$235&gt;XG155,XG155&gt;$AFI$234),XG155 = $AFI$235),$AFG$235,
IF(OR(AND($AFI$236&gt;XG155,XG155&gt;$AFI$235),XG155 = $AFI$236),$AFG$236,
IF(OR(AND($AFI$237&gt;XG155,XG155&gt;$AFI$236),XG155 = $AFI$237),$AFG$237,
IF(OR(AND($AFI$238&gt;XG155,XG155&gt;$AFI$237),XG155 = $AFI$238),$AFG$238,
IF(OR(AND($AFI$239&gt;XG155,XG155&gt;$AFI$238),XG155 = $AFI$239),$AFG$239,
IF(OR(AND($AFI$240&gt;XG155,XG155&gt;$AFI$239),XG155 = $AFI$240),$AFG$240,
IF(OR(AND($AFI$241&gt;XG155,XG155&gt;$AFI$240),XG155 = $AFI$241),$AFG$241,
IF(OR(AND($AFI$242&gt;XG155,XG155&gt;$AFI$241),XG155 = $AFI$242),$AFG$242,
IF(OR(AND($AFI$243&gt;XG155,XG155&gt;$AFI$242),XG155 = $AFI$243),$AFG$243,
IF(OR(AND($AFI$244&gt;XG155,XG155&gt;$AFI$243),XG155 = $AFI$244),$AFG$244,
IF(OR(AND($AFI$245&gt;XG155,XG155&gt;$AFI$244),XG155 = $AFI$245),$AFG$245,
IF(OR(AND($AFI$246&gt;XG155,XG155&gt;$AFI$245),XG155 = $AFI$246),$AFG$246,
IF(OR(AND($AFI$247&gt;XG155,XG155&gt;$AFI$246),XG155 = $AFI$247),$AFG$247,
IF(OR(AND($AFI$248&gt;XG155,XG155&gt;$AFI$247),XG155 = $AFI$248),$AFG$248,
IF(OR(AND($AFI$249&gt;XG155,XG155&gt;$AFI$248),XG155 = $AFI$249),$AFG$249,
IF(OR(AND($AFI$250&gt;XG155,XG155&gt;$AFI$249),XG155 = $AFI$250),$AFG$250,
IF(OR(AND($AFI$251&gt;XG155,XG155&gt;$AFI$250),XG155 = $AFI$251),$AFG$251,
IF(OR(AND($AFI$252&gt;XG155,XG155&gt;$AFI$251),XG155 = $AFI$252),$AFG$252,
IF(OR(AND($AFI$253&gt;XG155,XG155&gt;$AFI$252),XG155 = $AFI$253),$AFG$253,
IF(OR(AND($AFI$254&gt;XG155,XG155&gt;$AFI$253),XG155 = $AFI$254),$AFG$254,
IF(OR(AND($AFI$255&gt;XG155,XG155&gt;$AFI$254),XG155 = $AFI$255),$AFG$255,
IF(OR(AND($AFI$256&gt;XG155,XG155&gt;$AFI$255),XG155 = $AFI$256),$AFG$256,
IF(OR(AND($AFI$257&gt;XG155,XG155&gt;$AFI$256),XG155 = $AFI$257),$AFG$257,
IF(OR(AND($AFI$258&gt;XG155,XG155&gt;$AFI$257),XG155 = $AFI$258),$AFG$258,
IF(OR(AND($AFI$259&gt;XG155,XG155&gt;$AFI$258),XG155 = $AFI$259),$AFG$259,
IF(OR(AND($AFI$260&gt;XG155,XG155&gt;$AFI$259),XG155 = $AFI$260),$AFG$260,
IF(OR(AND($AFI$261&gt;XG155,XG155&gt;$AFI$260),XG155 = $AFI$261),$AFG$261,
IF(OR(AND($AFI$262&gt;XG155,XG155&gt;$AFI$261),XG155 = $AFI$262),$AFG$262,
IF(OR(AND($AFI$263&gt;XG155,XG155&gt;$AFI$262),XG155 = $AFI$263),$AFG$263,
IF(OR(AND($AFI$264&gt;XG155,XG155&gt;$AFI$263),XG155 = $AFI$264),$AFG$264,
IF(OR(AND($AFI$265&gt;XG155,XG155&gt;$AFI$264),XG155 = $AFI$265),$AFG$265,
IF(OR(AND($AFI$266&gt;XG155,XG155&gt;$AFI$265),XG155 = $AFI$266),$AFG$266,
IF(OR(AND($AFI$267&gt;XG155,XG155&gt;$AFI$266),XG155 = $AFI$267),$AFG$267,
IF(OR(AND($AFI$268&gt;XG155,XG155&gt;$AFI$267),XG155 = $AFI$268),$AFG$268,
IF(OR(AND($AFI$269&gt;XG155,XG155&gt;$AFI$268),XG155 = $AFI$269),$AFG$269,
IF(OR(AND($AFI$270&gt;XG155,XG155&gt;$AFI$269),XG155 = $AFI$270),$AFG$270,
IF(OR(AND($AFI$271&gt;XG155,XG155&gt;$AFI$270),XG155 = $AFI$271),$AFG$271,
IF(OR(AND($AFI$272&gt;XG155,XG155&gt;$AFI$271),XG155 = $AFI$272),$AFG$272,
IF(OR(AND($AFI$273&gt;XG155,XG155&gt;$AFI$272),XG155 = $AFI$273),$AFG$273,
IF(OR(AND($AFI$274&gt;XG155,XG155&gt;$AFI$273),XG155 = $AFI$274),$AFG$274,
IF(OR(AND($AFI$275&gt;XG155,XG155&gt;$AFI$274),XG155 = $AFI$275),$AFG$275,
IF(OR(AND($AFI$276&gt;XG155,XG155&gt;$AFI$275),XG155 = $AFI$276),$AFG$276,
IF(OR(AND($AFI$277&gt;XG155,XG155&gt;$AFI$276),XG155 = $AFI$277),$AFG$277,
"Y")))))))))))))))))))))))))))))))))))))))))))))))))))</f>
        <v>Y</v>
      </c>
      <c r="XH165" s="693" t="str">
        <f t="shared" si="235"/>
        <v>Y</v>
      </c>
      <c r="XI165" s="693" t="str">
        <f t="shared" si="235"/>
        <v>Y</v>
      </c>
      <c r="XJ165" s="693" t="str">
        <f t="shared" si="235"/>
        <v>Y</v>
      </c>
      <c r="XK165" s="693" t="str">
        <f t="shared" si="235"/>
        <v>Y</v>
      </c>
      <c r="XL165" s="693" t="str">
        <f t="shared" si="235"/>
        <v>Y</v>
      </c>
      <c r="XM165" s="693" t="str">
        <f t="shared" si="235"/>
        <v>Y</v>
      </c>
      <c r="XN165" s="693" t="str">
        <f t="shared" si="235"/>
        <v>Y</v>
      </c>
      <c r="XO165" s="693" t="str">
        <f t="shared" si="235"/>
        <v>Y</v>
      </c>
      <c r="XP165" s="693" t="str">
        <f t="shared" si="235"/>
        <v>Y</v>
      </c>
      <c r="XQ165" s="693" t="str">
        <f t="shared" si="235"/>
        <v>Y</v>
      </c>
      <c r="XR165" s="693" t="str">
        <f t="shared" si="235"/>
        <v>Y</v>
      </c>
      <c r="XS165" s="693" t="str">
        <f t="shared" si="235"/>
        <v>Y</v>
      </c>
      <c r="XT165" s="693" t="str">
        <f t="shared" si="235"/>
        <v>Y</v>
      </c>
      <c r="XU165" s="693" t="str">
        <f t="shared" si="235"/>
        <v>Y</v>
      </c>
      <c r="XV165" s="693" t="str">
        <f t="shared" si="235"/>
        <v>Y</v>
      </c>
      <c r="XW165" s="693" t="str">
        <f t="shared" si="235"/>
        <v>Y</v>
      </c>
      <c r="XX165" s="693" t="str">
        <f t="shared" si="235"/>
        <v>Y</v>
      </c>
      <c r="XY165" s="693" t="str">
        <f t="shared" si="235"/>
        <v>Y</v>
      </c>
      <c r="XZ165" s="693" t="str">
        <f t="shared" si="235"/>
        <v>Y</v>
      </c>
      <c r="YA165" s="693" t="str">
        <f t="shared" si="235"/>
        <v>Y</v>
      </c>
      <c r="YB165" s="693" t="str">
        <f t="shared" si="235"/>
        <v>Y</v>
      </c>
      <c r="YC165" s="693" t="str">
        <f t="shared" si="235"/>
        <v>Y</v>
      </c>
      <c r="YD165" s="693" t="str">
        <f t="shared" si="235"/>
        <v>Y</v>
      </c>
      <c r="YE165" s="693" t="str">
        <f t="shared" si="235"/>
        <v>Y</v>
      </c>
      <c r="YF165" s="693" t="str">
        <f t="shared" si="235"/>
        <v>Y</v>
      </c>
      <c r="YG165" s="693" t="str">
        <f t="shared" si="235"/>
        <v>Y</v>
      </c>
      <c r="YH165" s="693" t="str">
        <f t="shared" si="235"/>
        <v>Y</v>
      </c>
      <c r="YI165" s="693" t="str">
        <f t="shared" si="235"/>
        <v>Y</v>
      </c>
      <c r="YJ165" s="693" t="str">
        <f t="shared" si="235"/>
        <v>Y</v>
      </c>
      <c r="YK165" s="693" t="str">
        <f t="shared" si="235"/>
        <v>Y</v>
      </c>
      <c r="YL165" s="693" t="str">
        <f t="shared" si="235"/>
        <v>Y</v>
      </c>
      <c r="YM165" s="693" t="str">
        <f t="shared" ref="YM165:ZR165" si="236">IF($AFI$228&lt;0,"Ошибка",
IF(OR(AND($AFI$228&gt;YM155,YM155&gt;$AEY$277),YM155 = $AFI$228),$AFG$228,
IF(OR(AND($AFI$229&gt;YM155,YM155&gt;$AFI$228),YM155 = $AFI$229),$AFG$229,
IF(OR(AND($AFI$230&gt;YM155,YM155&gt;$AFI$229),YM155 = $AFI$230),$AFG$230,
IF(OR(AND($AFI$231&gt;YM155,YM155&gt;$AFI$230),YM155 = $AFI$231),$AFG$231,
IF(OR(AND($AFI$232&gt;YM155,YM155&gt;$AFI$231),YM155 = $AFI$232),$AFG$232,
IF(OR(AND($AFI$233&gt;YM155,YM155&gt;$AFI$232),YM155 = $AFI$233),$AFG$233,
IF(OR(AND($AFI$234&gt;YM155,YM155&gt;$AFI$233),YM155 = $AFI$234),$AFG$234,
IF(OR(AND($AFI$235&gt;YM155,YM155&gt;$AFI$234),YM155 = $AFI$235),$AFG$235,
IF(OR(AND($AFI$236&gt;YM155,YM155&gt;$AFI$235),YM155 = $AFI$236),$AFG$236,
IF(OR(AND($AFI$237&gt;YM155,YM155&gt;$AFI$236),YM155 = $AFI$237),$AFG$237,
IF(OR(AND($AFI$238&gt;YM155,YM155&gt;$AFI$237),YM155 = $AFI$238),$AFG$238,
IF(OR(AND($AFI$239&gt;YM155,YM155&gt;$AFI$238),YM155 = $AFI$239),$AFG$239,
IF(OR(AND($AFI$240&gt;YM155,YM155&gt;$AFI$239),YM155 = $AFI$240),$AFG$240,
IF(OR(AND($AFI$241&gt;YM155,YM155&gt;$AFI$240),YM155 = $AFI$241),$AFG$241,
IF(OR(AND($AFI$242&gt;YM155,YM155&gt;$AFI$241),YM155 = $AFI$242),$AFG$242,
IF(OR(AND($AFI$243&gt;YM155,YM155&gt;$AFI$242),YM155 = $AFI$243),$AFG$243,
IF(OR(AND($AFI$244&gt;YM155,YM155&gt;$AFI$243),YM155 = $AFI$244),$AFG$244,
IF(OR(AND($AFI$245&gt;YM155,YM155&gt;$AFI$244),YM155 = $AFI$245),$AFG$245,
IF(OR(AND($AFI$246&gt;YM155,YM155&gt;$AFI$245),YM155 = $AFI$246),$AFG$246,
IF(OR(AND($AFI$247&gt;YM155,YM155&gt;$AFI$246),YM155 = $AFI$247),$AFG$247,
IF(OR(AND($AFI$248&gt;YM155,YM155&gt;$AFI$247),YM155 = $AFI$248),$AFG$248,
IF(OR(AND($AFI$249&gt;YM155,YM155&gt;$AFI$248),YM155 = $AFI$249),$AFG$249,
IF(OR(AND($AFI$250&gt;YM155,YM155&gt;$AFI$249),YM155 = $AFI$250),$AFG$250,
IF(OR(AND($AFI$251&gt;YM155,YM155&gt;$AFI$250),YM155 = $AFI$251),$AFG$251,
IF(OR(AND($AFI$252&gt;YM155,YM155&gt;$AFI$251),YM155 = $AFI$252),$AFG$252,
IF(OR(AND($AFI$253&gt;YM155,YM155&gt;$AFI$252),YM155 = $AFI$253),$AFG$253,
IF(OR(AND($AFI$254&gt;YM155,YM155&gt;$AFI$253),YM155 = $AFI$254),$AFG$254,
IF(OR(AND($AFI$255&gt;YM155,YM155&gt;$AFI$254),YM155 = $AFI$255),$AFG$255,
IF(OR(AND($AFI$256&gt;YM155,YM155&gt;$AFI$255),YM155 = $AFI$256),$AFG$256,
IF(OR(AND($AFI$257&gt;YM155,YM155&gt;$AFI$256),YM155 = $AFI$257),$AFG$257,
IF(OR(AND($AFI$258&gt;YM155,YM155&gt;$AFI$257),YM155 = $AFI$258),$AFG$258,
IF(OR(AND($AFI$259&gt;YM155,YM155&gt;$AFI$258),YM155 = $AFI$259),$AFG$259,
IF(OR(AND($AFI$260&gt;YM155,YM155&gt;$AFI$259),YM155 = $AFI$260),$AFG$260,
IF(OR(AND($AFI$261&gt;YM155,YM155&gt;$AFI$260),YM155 = $AFI$261),$AFG$261,
IF(OR(AND($AFI$262&gt;YM155,YM155&gt;$AFI$261),YM155 = $AFI$262),$AFG$262,
IF(OR(AND($AFI$263&gt;YM155,YM155&gt;$AFI$262),YM155 = $AFI$263),$AFG$263,
IF(OR(AND($AFI$264&gt;YM155,YM155&gt;$AFI$263),YM155 = $AFI$264),$AFG$264,
IF(OR(AND($AFI$265&gt;YM155,YM155&gt;$AFI$264),YM155 = $AFI$265),$AFG$265,
IF(OR(AND($AFI$266&gt;YM155,YM155&gt;$AFI$265),YM155 = $AFI$266),$AFG$266,
IF(OR(AND($AFI$267&gt;YM155,YM155&gt;$AFI$266),YM155 = $AFI$267),$AFG$267,
IF(OR(AND($AFI$268&gt;YM155,YM155&gt;$AFI$267),YM155 = $AFI$268),$AFG$268,
IF(OR(AND($AFI$269&gt;YM155,YM155&gt;$AFI$268),YM155 = $AFI$269),$AFG$269,
IF(OR(AND($AFI$270&gt;YM155,YM155&gt;$AFI$269),YM155 = $AFI$270),$AFG$270,
IF(OR(AND($AFI$271&gt;YM155,YM155&gt;$AFI$270),YM155 = $AFI$271),$AFG$271,
IF(OR(AND($AFI$272&gt;YM155,YM155&gt;$AFI$271),YM155 = $AFI$272),$AFG$272,
IF(OR(AND($AFI$273&gt;YM155,YM155&gt;$AFI$272),YM155 = $AFI$273),$AFG$273,
IF(OR(AND($AFI$274&gt;YM155,YM155&gt;$AFI$273),YM155 = $AFI$274),$AFG$274,
IF(OR(AND($AFI$275&gt;YM155,YM155&gt;$AFI$274),YM155 = $AFI$275),$AFG$275,
IF(OR(AND($AFI$276&gt;YM155,YM155&gt;$AFI$275),YM155 = $AFI$276),$AFG$276,
IF(OR(AND($AFI$277&gt;YM155,YM155&gt;$AFI$276),YM155 = $AFI$277),$AFG$277,
"Y")))))))))))))))))))))))))))))))))))))))))))))))))))</f>
        <v>Y</v>
      </c>
      <c r="YN165" s="693" t="str">
        <f t="shared" si="236"/>
        <v>Y</v>
      </c>
      <c r="YO165" s="693" t="str">
        <f t="shared" si="236"/>
        <v>Y</v>
      </c>
      <c r="YP165" s="693" t="str">
        <f t="shared" si="236"/>
        <v>Y</v>
      </c>
      <c r="YQ165" s="693" t="str">
        <f t="shared" si="236"/>
        <v>Y</v>
      </c>
      <c r="YR165" s="693" t="str">
        <f t="shared" si="236"/>
        <v>Y</v>
      </c>
      <c r="YS165" s="693" t="str">
        <f t="shared" si="236"/>
        <v>Y</v>
      </c>
      <c r="YT165" s="693" t="str">
        <f t="shared" si="236"/>
        <v>Y</v>
      </c>
      <c r="YU165" s="693" t="str">
        <f t="shared" si="236"/>
        <v>Y</v>
      </c>
      <c r="YV165" s="693" t="str">
        <f t="shared" si="236"/>
        <v>Y</v>
      </c>
      <c r="YW165" s="693" t="str">
        <f t="shared" si="236"/>
        <v>Y</v>
      </c>
      <c r="YX165" s="693" t="str">
        <f t="shared" si="236"/>
        <v>Y</v>
      </c>
      <c r="YY165" s="693" t="str">
        <f t="shared" si="236"/>
        <v>Y</v>
      </c>
      <c r="YZ165" s="693" t="str">
        <f t="shared" si="236"/>
        <v>Y</v>
      </c>
      <c r="ZA165" s="693" t="str">
        <f t="shared" si="236"/>
        <v>Y</v>
      </c>
      <c r="ZB165" s="693" t="str">
        <f t="shared" si="236"/>
        <v>Y</v>
      </c>
      <c r="ZC165" s="693" t="str">
        <f t="shared" si="236"/>
        <v>Y</v>
      </c>
      <c r="ZD165" s="693" t="str">
        <f t="shared" si="236"/>
        <v>Y</v>
      </c>
      <c r="ZE165" s="693" t="str">
        <f t="shared" si="236"/>
        <v>Y</v>
      </c>
      <c r="ZF165" s="693" t="str">
        <f t="shared" si="236"/>
        <v>Y</v>
      </c>
      <c r="ZG165" s="693" t="str">
        <f t="shared" si="236"/>
        <v>Y</v>
      </c>
      <c r="ZH165" s="693" t="str">
        <f t="shared" si="236"/>
        <v>Y</v>
      </c>
      <c r="ZI165" s="693" t="str">
        <f t="shared" si="236"/>
        <v>Y</v>
      </c>
      <c r="ZJ165" s="693" t="str">
        <f t="shared" si="236"/>
        <v>Y</v>
      </c>
      <c r="ZK165" s="693" t="str">
        <f t="shared" si="236"/>
        <v>Y</v>
      </c>
      <c r="ZL165" s="693" t="str">
        <f t="shared" si="236"/>
        <v>Y</v>
      </c>
      <c r="ZM165" s="693" t="str">
        <f t="shared" si="236"/>
        <v>Y</v>
      </c>
      <c r="ZN165" s="693" t="str">
        <f t="shared" si="236"/>
        <v>Y</v>
      </c>
      <c r="ZO165" s="693" t="str">
        <f t="shared" si="236"/>
        <v>Y</v>
      </c>
      <c r="ZP165" s="693" t="str">
        <f t="shared" si="236"/>
        <v>Y</v>
      </c>
      <c r="ZQ165" s="693" t="str">
        <f t="shared" si="236"/>
        <v>Y</v>
      </c>
      <c r="ZR165" s="693" t="str">
        <f t="shared" si="236"/>
        <v>Y</v>
      </c>
      <c r="ZS165" s="693" t="str">
        <f t="shared" ref="ZS165:AAS165" si="237">IF($AFI$228&lt;0,"Ошибка",
IF(OR(AND($AFI$228&gt;ZS155,ZS155&gt;$AEY$277),ZS155 = $AFI$228),$AFG$228,
IF(OR(AND($AFI$229&gt;ZS155,ZS155&gt;$AFI$228),ZS155 = $AFI$229),$AFG$229,
IF(OR(AND($AFI$230&gt;ZS155,ZS155&gt;$AFI$229),ZS155 = $AFI$230),$AFG$230,
IF(OR(AND($AFI$231&gt;ZS155,ZS155&gt;$AFI$230),ZS155 = $AFI$231),$AFG$231,
IF(OR(AND($AFI$232&gt;ZS155,ZS155&gt;$AFI$231),ZS155 = $AFI$232),$AFG$232,
IF(OR(AND($AFI$233&gt;ZS155,ZS155&gt;$AFI$232),ZS155 = $AFI$233),$AFG$233,
IF(OR(AND($AFI$234&gt;ZS155,ZS155&gt;$AFI$233),ZS155 = $AFI$234),$AFG$234,
IF(OR(AND($AFI$235&gt;ZS155,ZS155&gt;$AFI$234),ZS155 = $AFI$235),$AFG$235,
IF(OR(AND($AFI$236&gt;ZS155,ZS155&gt;$AFI$235),ZS155 = $AFI$236),$AFG$236,
IF(OR(AND($AFI$237&gt;ZS155,ZS155&gt;$AFI$236),ZS155 = $AFI$237),$AFG$237,
IF(OR(AND($AFI$238&gt;ZS155,ZS155&gt;$AFI$237),ZS155 = $AFI$238),$AFG$238,
IF(OR(AND($AFI$239&gt;ZS155,ZS155&gt;$AFI$238),ZS155 = $AFI$239),$AFG$239,
IF(OR(AND($AFI$240&gt;ZS155,ZS155&gt;$AFI$239),ZS155 = $AFI$240),$AFG$240,
IF(OR(AND($AFI$241&gt;ZS155,ZS155&gt;$AFI$240),ZS155 = $AFI$241),$AFG$241,
IF(OR(AND($AFI$242&gt;ZS155,ZS155&gt;$AFI$241),ZS155 = $AFI$242),$AFG$242,
IF(OR(AND($AFI$243&gt;ZS155,ZS155&gt;$AFI$242),ZS155 = $AFI$243),$AFG$243,
IF(OR(AND($AFI$244&gt;ZS155,ZS155&gt;$AFI$243),ZS155 = $AFI$244),$AFG$244,
IF(OR(AND($AFI$245&gt;ZS155,ZS155&gt;$AFI$244),ZS155 = $AFI$245),$AFG$245,
IF(OR(AND($AFI$246&gt;ZS155,ZS155&gt;$AFI$245),ZS155 = $AFI$246),$AFG$246,
IF(OR(AND($AFI$247&gt;ZS155,ZS155&gt;$AFI$246),ZS155 = $AFI$247),$AFG$247,
IF(OR(AND($AFI$248&gt;ZS155,ZS155&gt;$AFI$247),ZS155 = $AFI$248),$AFG$248,
IF(OR(AND($AFI$249&gt;ZS155,ZS155&gt;$AFI$248),ZS155 = $AFI$249),$AFG$249,
IF(OR(AND($AFI$250&gt;ZS155,ZS155&gt;$AFI$249),ZS155 = $AFI$250),$AFG$250,
IF(OR(AND($AFI$251&gt;ZS155,ZS155&gt;$AFI$250),ZS155 = $AFI$251),$AFG$251,
IF(OR(AND($AFI$252&gt;ZS155,ZS155&gt;$AFI$251),ZS155 = $AFI$252),$AFG$252,
IF(OR(AND($AFI$253&gt;ZS155,ZS155&gt;$AFI$252),ZS155 = $AFI$253),$AFG$253,
IF(OR(AND($AFI$254&gt;ZS155,ZS155&gt;$AFI$253),ZS155 = $AFI$254),$AFG$254,
IF(OR(AND($AFI$255&gt;ZS155,ZS155&gt;$AFI$254),ZS155 = $AFI$255),$AFG$255,
IF(OR(AND($AFI$256&gt;ZS155,ZS155&gt;$AFI$255),ZS155 = $AFI$256),$AFG$256,
IF(OR(AND($AFI$257&gt;ZS155,ZS155&gt;$AFI$256),ZS155 = $AFI$257),$AFG$257,
IF(OR(AND($AFI$258&gt;ZS155,ZS155&gt;$AFI$257),ZS155 = $AFI$258),$AFG$258,
IF(OR(AND($AFI$259&gt;ZS155,ZS155&gt;$AFI$258),ZS155 = $AFI$259),$AFG$259,
IF(OR(AND($AFI$260&gt;ZS155,ZS155&gt;$AFI$259),ZS155 = $AFI$260),$AFG$260,
IF(OR(AND($AFI$261&gt;ZS155,ZS155&gt;$AFI$260),ZS155 = $AFI$261),$AFG$261,
IF(OR(AND($AFI$262&gt;ZS155,ZS155&gt;$AFI$261),ZS155 = $AFI$262),$AFG$262,
IF(OR(AND($AFI$263&gt;ZS155,ZS155&gt;$AFI$262),ZS155 = $AFI$263),$AFG$263,
IF(OR(AND($AFI$264&gt;ZS155,ZS155&gt;$AFI$263),ZS155 = $AFI$264),$AFG$264,
IF(OR(AND($AFI$265&gt;ZS155,ZS155&gt;$AFI$264),ZS155 = $AFI$265),$AFG$265,
IF(OR(AND($AFI$266&gt;ZS155,ZS155&gt;$AFI$265),ZS155 = $AFI$266),$AFG$266,
IF(OR(AND($AFI$267&gt;ZS155,ZS155&gt;$AFI$266),ZS155 = $AFI$267),$AFG$267,
IF(OR(AND($AFI$268&gt;ZS155,ZS155&gt;$AFI$267),ZS155 = $AFI$268),$AFG$268,
IF(OR(AND($AFI$269&gt;ZS155,ZS155&gt;$AFI$268),ZS155 = $AFI$269),$AFG$269,
IF(OR(AND($AFI$270&gt;ZS155,ZS155&gt;$AFI$269),ZS155 = $AFI$270),$AFG$270,
IF(OR(AND($AFI$271&gt;ZS155,ZS155&gt;$AFI$270),ZS155 = $AFI$271),$AFG$271,
IF(OR(AND($AFI$272&gt;ZS155,ZS155&gt;$AFI$271),ZS155 = $AFI$272),$AFG$272,
IF(OR(AND($AFI$273&gt;ZS155,ZS155&gt;$AFI$272),ZS155 = $AFI$273),$AFG$273,
IF(OR(AND($AFI$274&gt;ZS155,ZS155&gt;$AFI$273),ZS155 = $AFI$274),$AFG$274,
IF(OR(AND($AFI$275&gt;ZS155,ZS155&gt;$AFI$274),ZS155 = $AFI$275),$AFG$275,
IF(OR(AND($AFI$276&gt;ZS155,ZS155&gt;$AFI$275),ZS155 = $AFI$276),$AFG$276,
IF(OR(AND($AFI$277&gt;ZS155,ZS155&gt;$AFI$276),ZS155 = $AFI$277),$AFG$277,
"Y")))))))))))))))))))))))))))))))))))))))))))))))))))</f>
        <v>Y</v>
      </c>
      <c r="ZT165" s="693" t="str">
        <f t="shared" si="237"/>
        <v>Y</v>
      </c>
      <c r="ZU165" s="693" t="str">
        <f t="shared" si="237"/>
        <v>Y</v>
      </c>
      <c r="ZV165" s="693" t="str">
        <f t="shared" si="237"/>
        <v>Y</v>
      </c>
      <c r="ZW165" s="693" t="str">
        <f t="shared" si="237"/>
        <v>Y</v>
      </c>
      <c r="ZX165" s="693" t="str">
        <f t="shared" si="237"/>
        <v>Y</v>
      </c>
      <c r="ZY165" s="693" t="str">
        <f t="shared" si="237"/>
        <v>Y</v>
      </c>
      <c r="ZZ165" s="693" t="str">
        <f t="shared" si="237"/>
        <v>Y</v>
      </c>
      <c r="AAA165" s="693" t="str">
        <f t="shared" si="237"/>
        <v>Y</v>
      </c>
      <c r="AAB165" s="693" t="str">
        <f t="shared" si="237"/>
        <v>Y</v>
      </c>
      <c r="AAC165" s="693" t="str">
        <f t="shared" si="237"/>
        <v>Y</v>
      </c>
      <c r="AAD165" s="693" t="str">
        <f t="shared" si="237"/>
        <v>Y</v>
      </c>
      <c r="AAE165" s="693" t="str">
        <f t="shared" si="237"/>
        <v>Y</v>
      </c>
      <c r="AAF165" s="693" t="str">
        <f t="shared" si="237"/>
        <v>Y</v>
      </c>
      <c r="AAG165" s="693" t="str">
        <f t="shared" si="237"/>
        <v>Y</v>
      </c>
      <c r="AAH165" s="693" t="str">
        <f t="shared" si="237"/>
        <v>Y</v>
      </c>
      <c r="AAI165" s="693" t="str">
        <f t="shared" si="237"/>
        <v>Y</v>
      </c>
      <c r="AAJ165" s="693" t="str">
        <f t="shared" si="237"/>
        <v>Y</v>
      </c>
      <c r="AAK165" s="693" t="str">
        <f t="shared" si="237"/>
        <v>Y</v>
      </c>
      <c r="AAL165" s="693" t="str">
        <f t="shared" si="237"/>
        <v>Y</v>
      </c>
      <c r="AAM165" s="693" t="str">
        <f t="shared" si="237"/>
        <v>Y</v>
      </c>
      <c r="AAN165" s="693" t="str">
        <f t="shared" si="237"/>
        <v>Y</v>
      </c>
      <c r="AAO165" s="693" t="str">
        <f t="shared" si="237"/>
        <v>Y</v>
      </c>
      <c r="AAP165" s="693" t="str">
        <f t="shared" si="237"/>
        <v>Y</v>
      </c>
      <c r="AAQ165" s="693" t="str">
        <f t="shared" si="237"/>
        <v>Y</v>
      </c>
      <c r="AAR165" s="693" t="str">
        <f t="shared" si="237"/>
        <v>Y</v>
      </c>
      <c r="AAS165" s="693" t="str">
        <f t="shared" si="237"/>
        <v>Y</v>
      </c>
      <c r="AAT165" s="1006"/>
      <c r="AAU165" s="169"/>
      <c r="AAV165" s="170"/>
      <c r="AAW165" s="170"/>
      <c r="AAX165" s="170"/>
      <c r="AAY165" s="170"/>
      <c r="AAZ165" s="170"/>
      <c r="ABA165" s="170"/>
      <c r="ABB165" s="170"/>
      <c r="ABC165" s="170"/>
      <c r="ABD165" s="170"/>
      <c r="ABE165" s="170"/>
      <c r="ABF165" s="170"/>
      <c r="ABG165" s="170"/>
      <c r="ABH165" s="172"/>
      <c r="ABI165" s="158"/>
      <c r="ABJ165" s="158"/>
      <c r="ABK165" s="158"/>
      <c r="ABL165" s="158"/>
      <c r="ABM165" s="158"/>
      <c r="ABN165" s="158"/>
      <c r="ABO165" s="158"/>
      <c r="ABP165" s="163"/>
      <c r="ABQ165" s="653"/>
      <c r="ABR165" s="653"/>
      <c r="ABS165" s="1285" t="s">
        <v>1009</v>
      </c>
      <c r="ABT165" s="1286"/>
      <c r="ABU165" s="1286"/>
      <c r="ABV165" s="1286"/>
      <c r="ABW165" s="1286"/>
      <c r="ABX165" s="1286"/>
      <c r="ABY165" s="1286"/>
      <c r="ABZ165" s="1286"/>
      <c r="ACA165" s="1286"/>
      <c r="ACB165" s="1286"/>
      <c r="ACC165" s="1286"/>
      <c r="ACD165" s="1286"/>
      <c r="ACE165" s="1286"/>
      <c r="ACF165" s="1286"/>
      <c r="ACG165" s="1761"/>
      <c r="ACH165" s="682"/>
      <c r="ACJ165" s="759">
        <v>-3.125E-2</v>
      </c>
      <c r="ACK165" s="760"/>
      <c r="ACL165" s="759">
        <v>1</v>
      </c>
      <c r="ACM165" s="760"/>
      <c r="ACN165" s="591">
        <v>12</v>
      </c>
      <c r="ACO165" s="759">
        <f t="shared" si="194"/>
        <v>0.997</v>
      </c>
      <c r="ACP165" s="760"/>
      <c r="ACQ165" s="757">
        <f t="shared" si="195"/>
        <v>9.6000000000000002E-2</v>
      </c>
      <c r="ACR165" s="758"/>
      <c r="ACT165" s="759">
        <v>-3.125E-2</v>
      </c>
      <c r="ACU165" s="760"/>
      <c r="ACV165" s="759">
        <v>1</v>
      </c>
      <c r="ACW165" s="760"/>
      <c r="ACX165" s="591">
        <v>62</v>
      </c>
      <c r="ACY165" s="759">
        <f t="shared" si="196"/>
        <v>0.98450000000000004</v>
      </c>
      <c r="ACZ165" s="760"/>
      <c r="ADA165" s="757">
        <f t="shared" si="197"/>
        <v>0.496</v>
      </c>
      <c r="ADB165" s="758"/>
      <c r="ADD165" s="759">
        <v>-8.3333333333333398E-2</v>
      </c>
      <c r="ADE165" s="760"/>
      <c r="ADF165" s="759">
        <v>1.0416666666666701</v>
      </c>
      <c r="ADG165" s="760"/>
      <c r="ADH165" s="592">
        <v>112</v>
      </c>
      <c r="ADI165" s="759">
        <f t="shared" si="198"/>
        <v>0.9670000000000033</v>
      </c>
      <c r="ADJ165" s="760"/>
      <c r="ADK165" s="757">
        <f t="shared" si="199"/>
        <v>0.89600000000000002</v>
      </c>
      <c r="ADL165" s="758"/>
      <c r="ADN165" s="759">
        <v>-0.14285714285714299</v>
      </c>
      <c r="ADO165" s="760"/>
      <c r="ADP165" s="759">
        <v>1.1071428571428601</v>
      </c>
      <c r="ADQ165" s="760"/>
      <c r="ADR165" s="592">
        <v>162</v>
      </c>
      <c r="ADS165" s="759">
        <f t="shared" si="200"/>
        <v>0.92200000000000282</v>
      </c>
      <c r="ADT165" s="760"/>
      <c r="ADU165" s="757">
        <f t="shared" si="201"/>
        <v>1.296</v>
      </c>
      <c r="ADV165" s="758"/>
      <c r="ADX165" s="759">
        <v>-0.2</v>
      </c>
      <c r="ADY165" s="760"/>
      <c r="ADZ165" s="759">
        <v>1.19</v>
      </c>
      <c r="AEA165" s="760"/>
      <c r="AEB165" s="591">
        <v>212</v>
      </c>
      <c r="AEC165" s="759">
        <f t="shared" si="202"/>
        <v>0.8508</v>
      </c>
      <c r="AED165" s="760"/>
      <c r="AEE165" s="757">
        <f t="shared" si="203"/>
        <v>1.696</v>
      </c>
      <c r="AEF165" s="758"/>
      <c r="AEH165" s="759">
        <v>-0.33333333333333298</v>
      </c>
      <c r="AEI165" s="760"/>
      <c r="AEJ165" s="759">
        <v>1.4166666666666701</v>
      </c>
      <c r="AEK165" s="760"/>
      <c r="AEL165" s="592">
        <v>262</v>
      </c>
      <c r="AEM165" s="759">
        <f t="shared" si="204"/>
        <v>0.71800000000000408</v>
      </c>
      <c r="AEN165" s="760"/>
      <c r="AEO165" s="757">
        <f t="shared" si="205"/>
        <v>2.0960000000000001</v>
      </c>
      <c r="AEP165" s="758"/>
      <c r="AER165" s="759">
        <v>-0.25</v>
      </c>
      <c r="AES165" s="760"/>
      <c r="AET165" s="759">
        <v>1.2250000000000001</v>
      </c>
      <c r="AEU165" s="760"/>
      <c r="AEV165" s="591">
        <v>312</v>
      </c>
      <c r="AEW165" s="759">
        <f t="shared" si="206"/>
        <v>0.60100000000000009</v>
      </c>
      <c r="AEX165" s="760"/>
      <c r="AEY165" s="757">
        <f t="shared" si="207"/>
        <v>2.496</v>
      </c>
      <c r="AEZ165" s="758"/>
      <c r="AFB165" s="759">
        <v>-0.1</v>
      </c>
      <c r="AFC165" s="760"/>
      <c r="AFD165" s="759">
        <v>0.82</v>
      </c>
      <c r="AFE165" s="760"/>
      <c r="AFF165" s="591">
        <v>362</v>
      </c>
      <c r="AFG165" s="759">
        <f t="shared" si="208"/>
        <v>0.53039999999999998</v>
      </c>
      <c r="AFH165" s="760"/>
      <c r="AFI165" s="757">
        <f t="shared" si="209"/>
        <v>2.8959999999999999</v>
      </c>
      <c r="AFJ165" s="758"/>
      <c r="AFL165" s="759">
        <v>-0.25</v>
      </c>
      <c r="AFM165" s="760"/>
      <c r="AFN165" s="759">
        <v>1.3</v>
      </c>
      <c r="AFO165" s="760"/>
      <c r="AFP165" s="592">
        <v>412</v>
      </c>
      <c r="AFQ165" s="759">
        <f t="shared" si="210"/>
        <v>0.47599999999999998</v>
      </c>
      <c r="AFR165" s="760"/>
      <c r="AFS165" s="757">
        <f t="shared" si="211"/>
        <v>3.2960000000000003</v>
      </c>
      <c r="AFT165" s="758"/>
      <c r="AFV165" s="759">
        <v>-0.125</v>
      </c>
      <c r="AFW165" s="760"/>
      <c r="AFX165" s="759">
        <v>0.875</v>
      </c>
      <c r="AFY165" s="760"/>
      <c r="AFZ165" s="591">
        <v>462</v>
      </c>
      <c r="AGA165" s="759">
        <f t="shared" si="212"/>
        <v>0.41299999999999998</v>
      </c>
      <c r="AGB165" s="760"/>
      <c r="AGC165" s="757">
        <f t="shared" si="213"/>
        <v>3.6960000000000002</v>
      </c>
      <c r="AGD165" s="758"/>
      <c r="AGE165" s="653"/>
      <c r="AGF165" s="653"/>
      <c r="AGG165" s="653"/>
      <c r="AGH165" s="653"/>
      <c r="AGI165" s="653"/>
      <c r="AGN165" s="199"/>
      <c r="AGO165" s="852" t="s">
        <v>1742</v>
      </c>
      <c r="AGP165" s="923"/>
      <c r="AGQ165" s="199"/>
      <c r="AGR165" s="1069" t="s">
        <v>131</v>
      </c>
      <c r="AGS165" s="1070"/>
      <c r="AGT165" s="1070"/>
      <c r="AGU165" s="1070"/>
      <c r="AGV165" s="1070"/>
      <c r="AGW165" s="1070"/>
      <c r="AGX165" s="1070"/>
      <c r="AGY165" s="1070"/>
      <c r="AGZ165" s="1070"/>
      <c r="AHA165" s="1070"/>
      <c r="AHB165" s="1071"/>
      <c r="AHC165" s="199"/>
      <c r="AHS165" s="130"/>
      <c r="AHT165" s="130"/>
      <c r="AHU165" s="130"/>
      <c r="AHV165" s="130"/>
      <c r="AHW165" s="130"/>
      <c r="AIJ165" s="130"/>
      <c r="AIK165" s="130"/>
      <c r="AIL165" s="130"/>
      <c r="AIM165" s="130"/>
      <c r="AIN165" s="130"/>
      <c r="AIO165" s="130"/>
      <c r="AIP165" s="130"/>
      <c r="AIQ165" s="130"/>
      <c r="AIR165" s="130"/>
      <c r="AIS165" s="130"/>
      <c r="AIT165" s="130"/>
      <c r="AIU165" s="130"/>
      <c r="AIV165" s="130"/>
      <c r="AIW165" s="130"/>
      <c r="AIX165" s="130"/>
      <c r="AIY165" s="130"/>
      <c r="AIZ165" s="130"/>
      <c r="AJL165" s="130"/>
      <c r="ARU165" s="197" t="s">
        <v>849</v>
      </c>
      <c r="ARV165" s="852" t="s">
        <v>416</v>
      </c>
      <c r="ARW165" s="853"/>
      <c r="ARX165" s="142"/>
      <c r="ARY165" s="78"/>
      <c r="ARZ165" s="78"/>
      <c r="ASA165" s="78"/>
      <c r="ASB165" s="78"/>
      <c r="ASC165" s="78"/>
      <c r="ASD165" s="78"/>
      <c r="ASE165" s="142"/>
      <c r="ASF165" s="76" t="s">
        <v>441</v>
      </c>
      <c r="ASG165" s="854" t="s">
        <v>435</v>
      </c>
      <c r="ASH165" s="855"/>
      <c r="ASI165" s="920" t="s">
        <v>111</v>
      </c>
      <c r="ASJ165" s="921"/>
      <c r="ASK165" s="916" t="s">
        <v>704</v>
      </c>
      <c r="ASL165" s="917"/>
      <c r="ASM165" s="906" t="s">
        <v>447</v>
      </c>
      <c r="ASN165" s="907"/>
      <c r="ASO165" s="907"/>
      <c r="ASP165" s="908"/>
      <c r="ATE165" s="1052"/>
      <c r="ATF165" s="1257" t="s">
        <v>875</v>
      </c>
      <c r="ATG165" s="1257"/>
      <c r="ATH165" s="1052"/>
      <c r="ATI165" s="957" t="s">
        <v>883</v>
      </c>
      <c r="ATJ165" s="957"/>
      <c r="ATK165" s="957"/>
      <c r="ATL165" s="957"/>
      <c r="ATM165" s="957"/>
      <c r="ATN165" s="957"/>
      <c r="ATO165" s="957"/>
      <c r="ATP165" s="957"/>
      <c r="ATQ165" s="957"/>
      <c r="ATR165" s="957"/>
      <c r="ATS165" s="957"/>
      <c r="ATT165" s="1052"/>
    </row>
    <row r="166" spans="249:948 1165:1221" ht="48" customHeight="1" thickBot="1">
      <c r="IO166" s="130"/>
      <c r="IP166" s="130"/>
      <c r="IQ166" s="130"/>
      <c r="PG166" s="377"/>
      <c r="PH166" s="373"/>
      <c r="PI166" s="373"/>
      <c r="PJ166" s="373"/>
      <c r="PK166" s="373"/>
      <c r="PL166" s="851"/>
      <c r="PM166" s="777"/>
      <c r="PN166" s="778"/>
      <c r="PO166" s="778"/>
      <c r="PP166" s="778"/>
      <c r="PQ166" s="778"/>
      <c r="PR166" s="778"/>
      <c r="PS166" s="1380"/>
      <c r="PT166" s="1381"/>
      <c r="PU166" s="1077"/>
      <c r="PV166" s="1078"/>
      <c r="PW166" s="1067"/>
      <c r="PX166" s="1173"/>
      <c r="PY166" s="1175"/>
      <c r="PZ166" s="848"/>
      <c r="QA166" s="1276"/>
      <c r="QB166" s="1277"/>
      <c r="QC166" s="1278"/>
      <c r="QD166" s="373"/>
      <c r="QE166" s="373"/>
      <c r="QF166" s="373"/>
      <c r="QG166" s="373"/>
      <c r="QH166" s="373"/>
      <c r="QI166" s="373"/>
      <c r="QJ166" s="373"/>
      <c r="QK166" s="373"/>
      <c r="QL166" s="373"/>
      <c r="QM166" s="373"/>
      <c r="QN166" s="373"/>
      <c r="QO166" s="373"/>
      <c r="QP166" s="373"/>
      <c r="QQ166" s="373"/>
      <c r="QR166" s="374"/>
      <c r="WE166" s="996"/>
      <c r="WF166" s="997"/>
      <c r="WG166" s="173"/>
      <c r="WH166" s="173"/>
      <c r="WI166" s="173"/>
      <c r="WJ166" s="173"/>
      <c r="WK166" s="173"/>
      <c r="WL166" s="173"/>
      <c r="WM166" s="173"/>
      <c r="WN166" s="173"/>
      <c r="WO166" s="173"/>
      <c r="WP166" s="173"/>
      <c r="WQ166" s="173"/>
      <c r="WR166" s="173"/>
      <c r="WS166" s="173"/>
      <c r="WT166" s="173"/>
      <c r="WU166" s="173"/>
      <c r="WV166" s="173"/>
      <c r="WW166" s="173"/>
      <c r="WX166" s="1203" t="s">
        <v>1654</v>
      </c>
      <c r="WY166" s="1204"/>
      <c r="WZ166" s="1135" t="s">
        <v>729</v>
      </c>
      <c r="XA166" s="1135"/>
      <c r="XB166" s="175"/>
      <c r="XC166" s="173"/>
      <c r="XD166" s="173"/>
      <c r="XE166" s="173"/>
      <c r="XF166" s="173"/>
      <c r="XG166" s="1016">
        <f xml:space="preserve">
IF(XG158="Y",
IF(XG159="Y",
IF(XG160="Y",
IF(XG161="Y",
IF(XG162="Y",
IF(XG163="Y",
IF(XG164="Y",
IF(XG165="Y","Ошибка",
XG165),
XG164),
XG163),
XG162),
XG161),
XG160),
XG159),
XG158)</f>
        <v>0.96017578124999992</v>
      </c>
      <c r="XH166" s="1016">
        <f t="shared" ref="XH166:ZS166" si="238" xml:space="preserve">
IF(XH158="Y",
IF(XH159="Y",
IF(XH160="Y",
IF(XH161="Y",
IF(XH162="Y",
IF(XH163="Y",
IF(XH164="Y",
IF(XH165="Y","Ошибка",
XH165),
XH164),
XH163),
XH162),
XH161),
XH160),
XH159),
XH158)</f>
        <v>0.95631640624999992</v>
      </c>
      <c r="XI166" s="1016">
        <f t="shared" si="238"/>
        <v>0.95245703124999992</v>
      </c>
      <c r="XJ166" s="1016">
        <f t="shared" si="238"/>
        <v>0.94859765624999992</v>
      </c>
      <c r="XK166" s="1016">
        <f t="shared" si="238"/>
        <v>0.94570312499999998</v>
      </c>
      <c r="XL166" s="1016">
        <f t="shared" si="238"/>
        <v>0.94184374999999998</v>
      </c>
      <c r="XM166" s="1016">
        <f t="shared" si="238"/>
        <v>0.93894921874999993</v>
      </c>
      <c r="XN166" s="1016">
        <f t="shared" si="238"/>
        <v>0.93605468749999998</v>
      </c>
      <c r="XO166" s="1016">
        <f t="shared" si="238"/>
        <v>0.93316015624999993</v>
      </c>
      <c r="XP166" s="1016">
        <f t="shared" si="238"/>
        <v>0.93026562499999998</v>
      </c>
      <c r="XQ166" s="1016">
        <f t="shared" si="238"/>
        <v>0.92737109374999993</v>
      </c>
      <c r="XR166" s="1016">
        <f t="shared" si="238"/>
        <v>0.92447656249999999</v>
      </c>
      <c r="XS166" s="1016">
        <f t="shared" si="238"/>
        <v>0.92158203124999993</v>
      </c>
      <c r="XT166" s="1016">
        <f t="shared" si="238"/>
        <v>0.91965234374999993</v>
      </c>
      <c r="XU166" s="1016">
        <f t="shared" si="238"/>
        <v>0.91675781249999999</v>
      </c>
      <c r="XV166" s="1016">
        <f t="shared" si="238"/>
        <v>0.91482812499999999</v>
      </c>
      <c r="XW166" s="1016">
        <f t="shared" si="238"/>
        <v>0.91193359374999994</v>
      </c>
      <c r="XX166" s="1016">
        <f t="shared" si="238"/>
        <v>0.91000390624999994</v>
      </c>
      <c r="XY166" s="1016">
        <f t="shared" si="238"/>
        <v>0.90807421874999994</v>
      </c>
      <c r="XZ166" s="1016">
        <f t="shared" si="238"/>
        <v>0.90614453124999994</v>
      </c>
      <c r="YA166" s="1016">
        <f t="shared" si="238"/>
        <v>0.9051796875</v>
      </c>
      <c r="YB166" s="1016">
        <f t="shared" si="238"/>
        <v>0.90325</v>
      </c>
      <c r="YC166" s="1016">
        <f t="shared" si="238"/>
        <v>0.9013203125</v>
      </c>
      <c r="YD166" s="1016">
        <f t="shared" si="238"/>
        <v>0.90035546874999994</v>
      </c>
      <c r="YE166" s="1016">
        <f t="shared" si="238"/>
        <v>0.89612500000000006</v>
      </c>
      <c r="YF166" s="1016">
        <f t="shared" si="238"/>
        <v>0.89375000000000004</v>
      </c>
      <c r="YG166" s="1016">
        <f t="shared" si="238"/>
        <v>0.89137500000000003</v>
      </c>
      <c r="YH166" s="1016">
        <f t="shared" si="238"/>
        <v>0.88900000000000001</v>
      </c>
      <c r="YI166" s="1016">
        <f t="shared" si="238"/>
        <v>0.886625</v>
      </c>
      <c r="YJ166" s="1016">
        <f t="shared" si="238"/>
        <v>0.88424999999999998</v>
      </c>
      <c r="YK166" s="1016">
        <f t="shared" si="238"/>
        <v>0.88187500000000008</v>
      </c>
      <c r="YL166" s="1016">
        <f t="shared" si="238"/>
        <v>0.88187500000000008</v>
      </c>
      <c r="YM166" s="1016">
        <f t="shared" si="238"/>
        <v>0.87950000000000006</v>
      </c>
      <c r="YN166" s="1016">
        <f t="shared" si="238"/>
        <v>0.87712500000000004</v>
      </c>
      <c r="YO166" s="1016">
        <f t="shared" si="238"/>
        <v>0.87712500000000004</v>
      </c>
      <c r="YP166" s="1016">
        <f t="shared" si="238"/>
        <v>0.87475000000000003</v>
      </c>
      <c r="YQ166" s="1016">
        <f t="shared" si="238"/>
        <v>0.87475000000000003</v>
      </c>
      <c r="YR166" s="1016">
        <f t="shared" si="238"/>
        <v>0.87475000000000003</v>
      </c>
      <c r="YS166" s="1016">
        <f t="shared" si="238"/>
        <v>0.87237500000000001</v>
      </c>
      <c r="YT166" s="1016">
        <f t="shared" si="238"/>
        <v>0.87237500000000001</v>
      </c>
      <c r="YU166" s="1016">
        <f t="shared" si="238"/>
        <v>0.87237500000000001</v>
      </c>
      <c r="YV166" s="1016">
        <f t="shared" si="238"/>
        <v>0.87000000000000011</v>
      </c>
      <c r="YW166" s="1016">
        <f t="shared" si="238"/>
        <v>0.87000000000000011</v>
      </c>
      <c r="YX166" s="1016">
        <f t="shared" si="238"/>
        <v>0.87000000000000011</v>
      </c>
      <c r="YY166" s="1016">
        <f t="shared" si="238"/>
        <v>0.87000000000000011</v>
      </c>
      <c r="YZ166" s="1016">
        <f t="shared" si="238"/>
        <v>0.86762500000000009</v>
      </c>
      <c r="ZA166" s="1016">
        <f t="shared" si="238"/>
        <v>0.86762500000000009</v>
      </c>
      <c r="ZB166" s="1016">
        <f t="shared" si="238"/>
        <v>0.86762500000000009</v>
      </c>
      <c r="ZC166" s="1016">
        <f t="shared" si="238"/>
        <v>0.86762500000000009</v>
      </c>
      <c r="ZD166" s="1016">
        <f t="shared" si="238"/>
        <v>0.86762500000000009</v>
      </c>
      <c r="ZE166" s="1016">
        <f t="shared" si="238"/>
        <v>0.86525000000000007</v>
      </c>
      <c r="ZF166" s="1016">
        <f t="shared" si="238"/>
        <v>0.86525000000000007</v>
      </c>
      <c r="ZG166" s="1016">
        <f t="shared" si="238"/>
        <v>0.86525000000000007</v>
      </c>
      <c r="ZH166" s="1016">
        <f t="shared" si="238"/>
        <v>0.86525000000000007</v>
      </c>
      <c r="ZI166" s="1016">
        <f t="shared" si="238"/>
        <v>0.86525000000000007</v>
      </c>
      <c r="ZJ166" s="1016">
        <f t="shared" si="238"/>
        <v>0.86525000000000007</v>
      </c>
      <c r="ZK166" s="1016">
        <f t="shared" si="238"/>
        <v>0.86525000000000007</v>
      </c>
      <c r="ZL166" s="1016">
        <f t="shared" si="238"/>
        <v>0.86287500000000006</v>
      </c>
      <c r="ZM166" s="1016">
        <f t="shared" si="238"/>
        <v>0.86287500000000006</v>
      </c>
      <c r="ZN166" s="1016">
        <f t="shared" si="238"/>
        <v>0.86287500000000006</v>
      </c>
      <c r="ZO166" s="1016">
        <f t="shared" si="238"/>
        <v>0.86287500000000006</v>
      </c>
      <c r="ZP166" s="1016">
        <f t="shared" si="238"/>
        <v>0.86287500000000006</v>
      </c>
      <c r="ZQ166" s="1016">
        <f t="shared" si="238"/>
        <v>0.86287500000000006</v>
      </c>
      <c r="ZR166" s="1016">
        <f t="shared" si="238"/>
        <v>0.86287500000000006</v>
      </c>
      <c r="ZS166" s="1016">
        <f t="shared" si="238"/>
        <v>0.86287500000000006</v>
      </c>
      <c r="ZT166" s="1016">
        <f t="shared" ref="ZT166:AAS166" si="239" xml:space="preserve">
IF(ZT158="Y",
IF(ZT159="Y",
IF(ZT160="Y",
IF(ZT161="Y",
IF(ZT162="Y",
IF(ZT163="Y",
IF(ZT164="Y",
IF(ZT165="Y","Ошибка",
ZT165),
ZT164),
ZT163),
ZT162),
ZT161),
ZT160),
ZT159),
ZT158)</f>
        <v>0.86287500000000006</v>
      </c>
      <c r="ZU166" s="1016">
        <f t="shared" si="239"/>
        <v>0.86287500000000006</v>
      </c>
      <c r="ZV166" s="1016">
        <f t="shared" si="239"/>
        <v>0.86287500000000006</v>
      </c>
      <c r="ZW166" s="1016">
        <f t="shared" si="239"/>
        <v>0.86287500000000006</v>
      </c>
      <c r="ZX166" s="1016">
        <f t="shared" si="239"/>
        <v>0.86287500000000006</v>
      </c>
      <c r="ZY166" s="1016">
        <f t="shared" si="239"/>
        <v>0.86050000000000004</v>
      </c>
      <c r="ZZ166" s="1016">
        <f t="shared" si="239"/>
        <v>0.86050000000000004</v>
      </c>
      <c r="AAA166" s="1016">
        <f t="shared" si="239"/>
        <v>0.86050000000000004</v>
      </c>
      <c r="AAB166" s="1016">
        <f t="shared" si="239"/>
        <v>0.86050000000000004</v>
      </c>
      <c r="AAC166" s="1016">
        <f t="shared" si="239"/>
        <v>0.86050000000000004</v>
      </c>
      <c r="AAD166" s="1016">
        <f t="shared" si="239"/>
        <v>0.86050000000000004</v>
      </c>
      <c r="AAE166" s="1016">
        <f t="shared" si="239"/>
        <v>0.86050000000000004</v>
      </c>
      <c r="AAF166" s="1016">
        <f t="shared" si="239"/>
        <v>0.86050000000000004</v>
      </c>
      <c r="AAG166" s="1016">
        <f t="shared" si="239"/>
        <v>0.86050000000000004</v>
      </c>
      <c r="AAH166" s="1016">
        <f t="shared" si="239"/>
        <v>0.86050000000000004</v>
      </c>
      <c r="AAI166" s="1016">
        <f t="shared" si="239"/>
        <v>0.86050000000000004</v>
      </c>
      <c r="AAJ166" s="1016">
        <f t="shared" si="239"/>
        <v>0.86050000000000004</v>
      </c>
      <c r="AAK166" s="1016">
        <f t="shared" si="239"/>
        <v>0.86050000000000004</v>
      </c>
      <c r="AAL166" s="1016">
        <f t="shared" si="239"/>
        <v>0.86050000000000004</v>
      </c>
      <c r="AAM166" s="1016">
        <f t="shared" si="239"/>
        <v>0.86050000000000004</v>
      </c>
      <c r="AAN166" s="1016">
        <f t="shared" si="239"/>
        <v>0.86050000000000004</v>
      </c>
      <c r="AAO166" s="1016">
        <f t="shared" si="239"/>
        <v>0.86050000000000004</v>
      </c>
      <c r="AAP166" s="1016">
        <f t="shared" si="239"/>
        <v>0.86050000000000004</v>
      </c>
      <c r="AAQ166" s="1016">
        <f t="shared" si="239"/>
        <v>0.86050000000000004</v>
      </c>
      <c r="AAR166" s="1016">
        <f t="shared" si="239"/>
        <v>0.86050000000000004</v>
      </c>
      <c r="AAS166" s="1016">
        <f t="shared" si="239"/>
        <v>0.86050000000000004</v>
      </c>
      <c r="AAT166" s="1006"/>
      <c r="AAU166" s="960"/>
      <c r="AAV166" s="1101"/>
      <c r="AAW166" s="1101"/>
      <c r="AAX166" s="1101"/>
      <c r="AAY166" s="1101"/>
      <c r="AAZ166" s="1101"/>
      <c r="ABA166" s="1101"/>
      <c r="ABB166" s="1101"/>
      <c r="ABC166" s="961"/>
      <c r="ABD166" s="160"/>
      <c r="ABE166" s="160"/>
      <c r="ABF166" s="158"/>
      <c r="ABG166" s="158"/>
      <c r="ABH166" s="158"/>
      <c r="ABI166" s="158"/>
      <c r="ABJ166" s="158"/>
      <c r="ABK166" s="158"/>
      <c r="ABL166" s="158"/>
      <c r="ABM166" s="158"/>
      <c r="ABN166" s="158"/>
      <c r="ABO166" s="158"/>
      <c r="ABP166" s="163"/>
      <c r="ABQ166" s="653"/>
      <c r="ABR166" s="653"/>
      <c r="ABS166" s="800" t="s">
        <v>1698</v>
      </c>
      <c r="ABT166" s="801"/>
      <c r="ABU166" s="761">
        <f>$AGZ$175</f>
        <v>4.9483406222879935</v>
      </c>
      <c r="ABV166" s="761"/>
      <c r="ABW166" s="1032" t="s">
        <v>17</v>
      </c>
      <c r="ABX166" s="1033"/>
      <c r="ABY166" s="160"/>
      <c r="ABZ166" s="160"/>
      <c r="ACA166" s="160"/>
      <c r="ACB166" s="160"/>
      <c r="ACC166" s="160"/>
      <c r="ACD166" s="160"/>
      <c r="ACE166" s="160"/>
      <c r="ACF166" s="160"/>
      <c r="ACG166" s="160"/>
      <c r="ACH166" s="161"/>
      <c r="ACJ166" s="759">
        <v>-3.125E-2</v>
      </c>
      <c r="ACK166" s="760"/>
      <c r="ACL166" s="759">
        <v>1</v>
      </c>
      <c r="ACM166" s="760"/>
      <c r="ACN166" s="591">
        <v>13</v>
      </c>
      <c r="ACO166" s="759">
        <f t="shared" si="194"/>
        <v>0.99675000000000002</v>
      </c>
      <c r="ACP166" s="760"/>
      <c r="ACQ166" s="757">
        <f t="shared" si="195"/>
        <v>0.10400000000000001</v>
      </c>
      <c r="ACR166" s="758"/>
      <c r="ACT166" s="759">
        <v>-3.125E-2</v>
      </c>
      <c r="ACU166" s="760"/>
      <c r="ACV166" s="759">
        <v>1</v>
      </c>
      <c r="ACW166" s="760"/>
      <c r="ACX166" s="591">
        <v>63</v>
      </c>
      <c r="ACY166" s="759">
        <f t="shared" si="196"/>
        <v>0.98424999999999996</v>
      </c>
      <c r="ACZ166" s="760"/>
      <c r="ADA166" s="757">
        <f t="shared" si="197"/>
        <v>0.504</v>
      </c>
      <c r="ADB166" s="758"/>
      <c r="ADD166" s="759">
        <v>-8.3333333333333398E-2</v>
      </c>
      <c r="ADE166" s="760"/>
      <c r="ADF166" s="759">
        <v>1.0416666666666701</v>
      </c>
      <c r="ADG166" s="760"/>
      <c r="ADH166" s="592">
        <v>113</v>
      </c>
      <c r="ADI166" s="759">
        <f t="shared" si="198"/>
        <v>0.96633333333333671</v>
      </c>
      <c r="ADJ166" s="760"/>
      <c r="ADK166" s="757">
        <f t="shared" si="199"/>
        <v>0.90400000000000003</v>
      </c>
      <c r="ADL166" s="758"/>
      <c r="ADN166" s="759">
        <v>-0.14285714285714299</v>
      </c>
      <c r="ADO166" s="760"/>
      <c r="ADP166" s="759">
        <v>1.1071428571428601</v>
      </c>
      <c r="ADQ166" s="760"/>
      <c r="ADR166" s="592">
        <v>163</v>
      </c>
      <c r="ADS166" s="759">
        <f t="shared" si="200"/>
        <v>0.92085714285714559</v>
      </c>
      <c r="ADT166" s="760"/>
      <c r="ADU166" s="757">
        <f t="shared" si="201"/>
        <v>1.304</v>
      </c>
      <c r="ADV166" s="758"/>
      <c r="ADX166" s="759">
        <v>-0.2</v>
      </c>
      <c r="ADY166" s="760"/>
      <c r="ADZ166" s="759">
        <v>1.19</v>
      </c>
      <c r="AEA166" s="760"/>
      <c r="AEB166" s="591">
        <v>213</v>
      </c>
      <c r="AEC166" s="759">
        <f t="shared" si="202"/>
        <v>0.84919999999999995</v>
      </c>
      <c r="AED166" s="760"/>
      <c r="AEE166" s="757">
        <f t="shared" si="203"/>
        <v>1.704</v>
      </c>
      <c r="AEF166" s="758"/>
      <c r="AEH166" s="759">
        <v>-0.33333333333333298</v>
      </c>
      <c r="AEI166" s="760"/>
      <c r="AEJ166" s="759">
        <v>1.4166666666666701</v>
      </c>
      <c r="AEK166" s="760"/>
      <c r="AEL166" s="592">
        <v>263</v>
      </c>
      <c r="AEM166" s="759">
        <f t="shared" si="204"/>
        <v>0.71533333333333748</v>
      </c>
      <c r="AEN166" s="760"/>
      <c r="AEO166" s="757">
        <f t="shared" si="205"/>
        <v>2.1040000000000001</v>
      </c>
      <c r="AEP166" s="758"/>
      <c r="AER166" s="759">
        <v>-0.25</v>
      </c>
      <c r="AES166" s="760"/>
      <c r="AET166" s="759">
        <v>1.2250000000000001</v>
      </c>
      <c r="AEU166" s="760"/>
      <c r="AEV166" s="591">
        <v>313</v>
      </c>
      <c r="AEW166" s="759">
        <f t="shared" si="206"/>
        <v>0.59900000000000009</v>
      </c>
      <c r="AEX166" s="760"/>
      <c r="AEY166" s="757">
        <f t="shared" si="207"/>
        <v>2.504</v>
      </c>
      <c r="AEZ166" s="758"/>
      <c r="AFB166" s="759">
        <v>-0.1</v>
      </c>
      <c r="AFC166" s="760"/>
      <c r="AFD166" s="759">
        <v>0.82</v>
      </c>
      <c r="AFE166" s="760"/>
      <c r="AFF166" s="591">
        <v>363</v>
      </c>
      <c r="AFG166" s="759">
        <f t="shared" si="208"/>
        <v>0.52959999999999996</v>
      </c>
      <c r="AFH166" s="760"/>
      <c r="AFI166" s="757">
        <f t="shared" si="209"/>
        <v>2.9039999999999999</v>
      </c>
      <c r="AFJ166" s="758"/>
      <c r="AFK166" s="653"/>
      <c r="AFL166" s="759">
        <v>-0.25</v>
      </c>
      <c r="AFM166" s="760"/>
      <c r="AFN166" s="759">
        <v>1.3</v>
      </c>
      <c r="AFO166" s="760"/>
      <c r="AFP166" s="592">
        <v>413</v>
      </c>
      <c r="AFQ166" s="759">
        <f t="shared" si="210"/>
        <v>0.47399999999999998</v>
      </c>
      <c r="AFR166" s="760"/>
      <c r="AFS166" s="757">
        <f t="shared" si="211"/>
        <v>3.3040000000000003</v>
      </c>
      <c r="AFT166" s="758"/>
      <c r="AFU166" s="653"/>
      <c r="AFV166" s="759">
        <v>-0.125</v>
      </c>
      <c r="AFW166" s="760"/>
      <c r="AFX166" s="759">
        <v>0.875</v>
      </c>
      <c r="AFY166" s="760"/>
      <c r="AFZ166" s="591">
        <v>463</v>
      </c>
      <c r="AGA166" s="759">
        <f t="shared" si="212"/>
        <v>0.41199999999999998</v>
      </c>
      <c r="AGB166" s="760"/>
      <c r="AGC166" s="757">
        <f t="shared" si="213"/>
        <v>3.7040000000000002</v>
      </c>
      <c r="AGD166" s="758"/>
      <c r="AGE166" s="653"/>
      <c r="AGF166" s="653"/>
      <c r="AGG166" s="653"/>
      <c r="AGH166" s="653"/>
      <c r="AGI166" s="653"/>
      <c r="AHS166" s="130"/>
      <c r="AHT166" s="130"/>
      <c r="AHU166" s="130"/>
      <c r="AHV166" s="130"/>
      <c r="AHW166" s="130"/>
      <c r="AIJ166" s="130"/>
      <c r="AIK166" s="130"/>
      <c r="AIL166" s="130"/>
      <c r="AIM166" s="130"/>
      <c r="AIN166" s="130"/>
      <c r="AIO166" s="130"/>
      <c r="AIP166" s="130"/>
      <c r="AIQ166" s="130"/>
      <c r="AIR166" s="130"/>
      <c r="AIS166" s="130"/>
      <c r="AIT166" s="130"/>
      <c r="AIU166" s="130"/>
      <c r="AIV166" s="130"/>
      <c r="AIW166" s="130"/>
      <c r="AIX166" s="130"/>
      <c r="AIY166" s="130"/>
      <c r="AIZ166" s="130"/>
      <c r="ARU166" s="849"/>
      <c r="ARV166" s="957" t="s">
        <v>931</v>
      </c>
      <c r="ARW166" s="957"/>
      <c r="ARX166" s="957"/>
      <c r="ARY166" s="957"/>
      <c r="ARZ166" s="957"/>
      <c r="ASA166" s="957"/>
      <c r="ASB166" s="957"/>
      <c r="ASC166" s="957"/>
      <c r="ASD166" s="957"/>
      <c r="ASE166" s="957"/>
      <c r="ASF166" s="957"/>
      <c r="ASG166" s="957"/>
      <c r="ASH166" s="957"/>
      <c r="ASI166" s="835" t="e">
        <f>ASM66/(1100*ATW131)</f>
        <v>#REF!</v>
      </c>
      <c r="ASJ166" s="836"/>
      <c r="ASK166" s="839"/>
      <c r="ASL166" s="840"/>
      <c r="ASM166" s="841"/>
      <c r="ASN166" s="843" t="s">
        <v>416</v>
      </c>
      <c r="ASO166" s="844"/>
      <c r="ASP166" s="847"/>
      <c r="ATE166" s="1052"/>
      <c r="ATF166" s="1257"/>
      <c r="ATG166" s="1257"/>
      <c r="ATH166" s="1052"/>
      <c r="ATI166" s="957"/>
      <c r="ATJ166" s="957"/>
      <c r="ATK166" s="957"/>
      <c r="ATL166" s="957"/>
      <c r="ATM166" s="957"/>
      <c r="ATN166" s="957"/>
      <c r="ATO166" s="957"/>
      <c r="ATP166" s="957"/>
      <c r="ATQ166" s="957"/>
      <c r="ATR166" s="957"/>
      <c r="ATS166" s="957"/>
      <c r="ATT166" s="1052"/>
    </row>
    <row r="167" spans="249:948 1165:1221" ht="48" customHeight="1" thickBot="1">
      <c r="IO167" s="130"/>
      <c r="IP167" s="130"/>
      <c r="IQ167" s="130"/>
      <c r="PG167" s="377"/>
      <c r="PH167" s="373"/>
      <c r="PI167" s="373"/>
      <c r="PJ167" s="373"/>
      <c r="PK167" s="373"/>
      <c r="PL167" s="373"/>
      <c r="PM167" s="373"/>
      <c r="PN167" s="373"/>
      <c r="PO167" s="373"/>
      <c r="PP167" s="373"/>
      <c r="PQ167" s="373"/>
      <c r="PR167" s="373"/>
      <c r="PS167" s="373"/>
      <c r="PT167" s="373"/>
      <c r="PU167" s="373"/>
      <c r="PV167" s="373"/>
      <c r="PW167" s="373"/>
      <c r="PX167" s="373"/>
      <c r="PY167" s="373"/>
      <c r="PZ167" s="373"/>
      <c r="QA167" s="373"/>
      <c r="QB167" s="373"/>
      <c r="QC167" s="373"/>
      <c r="QD167" s="375"/>
      <c r="QE167" s="375"/>
      <c r="QF167" s="375"/>
      <c r="QG167" s="375"/>
      <c r="QH167" s="375"/>
      <c r="QI167" s="375"/>
      <c r="QJ167" s="375"/>
      <c r="QK167" s="375"/>
      <c r="QL167" s="375"/>
      <c r="QM167" s="373"/>
      <c r="QN167" s="373"/>
      <c r="QO167" s="373"/>
      <c r="QP167" s="373"/>
      <c r="QQ167" s="373"/>
      <c r="QR167" s="374"/>
      <c r="WE167" s="754"/>
      <c r="WF167" s="755"/>
      <c r="WG167" s="170"/>
      <c r="WH167" s="170"/>
      <c r="WI167" s="170"/>
      <c r="WJ167" s="170"/>
      <c r="WK167" s="170"/>
      <c r="WL167" s="170"/>
      <c r="WM167" s="170"/>
      <c r="WN167" s="170"/>
      <c r="WO167" s="170"/>
      <c r="WP167" s="170"/>
      <c r="WQ167" s="170"/>
      <c r="WR167" s="170"/>
      <c r="WS167" s="170"/>
      <c r="WT167" s="170"/>
      <c r="WU167" s="170"/>
      <c r="WV167" s="170"/>
      <c r="WW167" s="170"/>
      <c r="WX167" s="1722"/>
      <c r="WY167" s="1723"/>
      <c r="WZ167" s="1135"/>
      <c r="XA167" s="1135"/>
      <c r="XB167" s="169"/>
      <c r="XC167" s="170"/>
      <c r="XD167" s="170"/>
      <c r="XE167" s="170"/>
      <c r="XF167" s="170"/>
      <c r="XG167" s="1016"/>
      <c r="XH167" s="1016"/>
      <c r="XI167" s="1016"/>
      <c r="XJ167" s="1016"/>
      <c r="XK167" s="1016"/>
      <c r="XL167" s="1016"/>
      <c r="XM167" s="1016"/>
      <c r="XN167" s="1016"/>
      <c r="XO167" s="1016"/>
      <c r="XP167" s="1016"/>
      <c r="XQ167" s="1016"/>
      <c r="XR167" s="1016"/>
      <c r="XS167" s="1016"/>
      <c r="XT167" s="1016"/>
      <c r="XU167" s="1016"/>
      <c r="XV167" s="1016"/>
      <c r="XW167" s="1016"/>
      <c r="XX167" s="1016"/>
      <c r="XY167" s="1016"/>
      <c r="XZ167" s="1016"/>
      <c r="YA167" s="1016"/>
      <c r="YB167" s="1016"/>
      <c r="YC167" s="1016"/>
      <c r="YD167" s="1016"/>
      <c r="YE167" s="1016"/>
      <c r="YF167" s="1016"/>
      <c r="YG167" s="1016"/>
      <c r="YH167" s="1016"/>
      <c r="YI167" s="1016"/>
      <c r="YJ167" s="1016"/>
      <c r="YK167" s="1016"/>
      <c r="YL167" s="1016"/>
      <c r="YM167" s="1016"/>
      <c r="YN167" s="1016"/>
      <c r="YO167" s="1016"/>
      <c r="YP167" s="1016"/>
      <c r="YQ167" s="1016"/>
      <c r="YR167" s="1016"/>
      <c r="YS167" s="1016"/>
      <c r="YT167" s="1016"/>
      <c r="YU167" s="1016"/>
      <c r="YV167" s="1016"/>
      <c r="YW167" s="1016"/>
      <c r="YX167" s="1016"/>
      <c r="YY167" s="1016"/>
      <c r="YZ167" s="1016"/>
      <c r="ZA167" s="1016"/>
      <c r="ZB167" s="1016"/>
      <c r="ZC167" s="1016"/>
      <c r="ZD167" s="1016"/>
      <c r="ZE167" s="1016"/>
      <c r="ZF167" s="1016"/>
      <c r="ZG167" s="1016"/>
      <c r="ZH167" s="1016"/>
      <c r="ZI167" s="1016"/>
      <c r="ZJ167" s="1016"/>
      <c r="ZK167" s="1016"/>
      <c r="ZL167" s="1016"/>
      <c r="ZM167" s="1016"/>
      <c r="ZN167" s="1016"/>
      <c r="ZO167" s="1016"/>
      <c r="ZP167" s="1016"/>
      <c r="ZQ167" s="1016"/>
      <c r="ZR167" s="1016"/>
      <c r="ZS167" s="1016"/>
      <c r="ZT167" s="1016"/>
      <c r="ZU167" s="1016"/>
      <c r="ZV167" s="1016"/>
      <c r="ZW167" s="1016"/>
      <c r="ZX167" s="1016"/>
      <c r="ZY167" s="1016"/>
      <c r="ZZ167" s="1016"/>
      <c r="AAA167" s="1016"/>
      <c r="AAB167" s="1016"/>
      <c r="AAC167" s="1016"/>
      <c r="AAD167" s="1016"/>
      <c r="AAE167" s="1016"/>
      <c r="AAF167" s="1016"/>
      <c r="AAG167" s="1016"/>
      <c r="AAH167" s="1016"/>
      <c r="AAI167" s="1016"/>
      <c r="AAJ167" s="1016"/>
      <c r="AAK167" s="1016"/>
      <c r="AAL167" s="1016"/>
      <c r="AAM167" s="1016"/>
      <c r="AAN167" s="1016"/>
      <c r="AAO167" s="1016"/>
      <c r="AAP167" s="1016"/>
      <c r="AAQ167" s="1016"/>
      <c r="AAR167" s="1016"/>
      <c r="AAS167" s="1016"/>
      <c r="AAT167" s="1007"/>
      <c r="AAU167" s="962"/>
      <c r="AAV167" s="1059"/>
      <c r="AAW167" s="1059"/>
      <c r="AAX167" s="1059"/>
      <c r="AAY167" s="1059"/>
      <c r="AAZ167" s="1059"/>
      <c r="ABA167" s="1059"/>
      <c r="ABB167" s="1059"/>
      <c r="ABC167" s="963"/>
      <c r="ABD167" s="158"/>
      <c r="ABE167" s="158"/>
      <c r="ABF167" s="158"/>
      <c r="ABG167" s="158"/>
      <c r="ABH167" s="158"/>
      <c r="ABI167" s="158"/>
      <c r="ABJ167" s="158"/>
      <c r="ABK167" s="158"/>
      <c r="ABL167" s="158"/>
      <c r="ABM167" s="158"/>
      <c r="ABN167" s="158"/>
      <c r="ABO167" s="158"/>
      <c r="ABP167" s="163"/>
      <c r="ABQ167" s="653"/>
      <c r="ABR167" s="653"/>
      <c r="ABS167" s="162"/>
      <c r="ABT167" s="158"/>
      <c r="ABU167" s="158"/>
      <c r="ABV167" s="158"/>
      <c r="ABW167" s="158"/>
      <c r="ABX167" s="158"/>
      <c r="ABY167" s="158"/>
      <c r="ABZ167" s="158"/>
      <c r="ACA167" s="158"/>
      <c r="ACB167" s="158"/>
      <c r="ACC167" s="158"/>
      <c r="ACD167" s="158"/>
      <c r="ACE167" s="158"/>
      <c r="ACF167" s="158"/>
      <c r="ACG167" s="158"/>
      <c r="ACH167" s="163"/>
      <c r="ACJ167" s="759">
        <v>-3.125E-2</v>
      </c>
      <c r="ACK167" s="760"/>
      <c r="ACL167" s="759">
        <v>1</v>
      </c>
      <c r="ACM167" s="760"/>
      <c r="ACN167" s="591">
        <v>14</v>
      </c>
      <c r="ACO167" s="759">
        <f t="shared" si="194"/>
        <v>0.99650000000000005</v>
      </c>
      <c r="ACP167" s="760"/>
      <c r="ACQ167" s="757">
        <f t="shared" si="195"/>
        <v>0.112</v>
      </c>
      <c r="ACR167" s="758"/>
      <c r="ACT167" s="759">
        <v>-3.125E-2</v>
      </c>
      <c r="ACU167" s="760"/>
      <c r="ACV167" s="759">
        <v>1</v>
      </c>
      <c r="ACW167" s="760"/>
      <c r="ACX167" s="591">
        <v>64</v>
      </c>
      <c r="ACY167" s="759">
        <f t="shared" si="196"/>
        <v>0.98399999999999999</v>
      </c>
      <c r="ACZ167" s="760"/>
      <c r="ADA167" s="757">
        <f t="shared" si="197"/>
        <v>0.51200000000000001</v>
      </c>
      <c r="ADB167" s="758"/>
      <c r="ADD167" s="759">
        <v>-8.3333333333333398E-2</v>
      </c>
      <c r="ADE167" s="760"/>
      <c r="ADF167" s="759">
        <v>1.0416666666666701</v>
      </c>
      <c r="ADG167" s="760"/>
      <c r="ADH167" s="592">
        <v>114</v>
      </c>
      <c r="ADI167" s="759">
        <f t="shared" si="198"/>
        <v>0.96566666666667</v>
      </c>
      <c r="ADJ167" s="760"/>
      <c r="ADK167" s="757">
        <f t="shared" si="199"/>
        <v>0.91200000000000003</v>
      </c>
      <c r="ADL167" s="758"/>
      <c r="ADN167" s="759">
        <v>-0.14285714285714299</v>
      </c>
      <c r="ADO167" s="760"/>
      <c r="ADP167" s="759">
        <v>1.1071428571428601</v>
      </c>
      <c r="ADQ167" s="760"/>
      <c r="ADR167" s="592">
        <v>164</v>
      </c>
      <c r="ADS167" s="759">
        <f t="shared" si="200"/>
        <v>0.91971428571428848</v>
      </c>
      <c r="ADT167" s="760"/>
      <c r="ADU167" s="757">
        <f t="shared" si="201"/>
        <v>1.3120000000000001</v>
      </c>
      <c r="ADV167" s="758"/>
      <c r="ADX167" s="759">
        <v>-0.33333333333333259</v>
      </c>
      <c r="ADY167" s="760"/>
      <c r="ADZ167" s="759">
        <v>1.4166666666666654</v>
      </c>
      <c r="AEA167" s="760"/>
      <c r="AEB167" s="592">
        <v>214</v>
      </c>
      <c r="AEC167" s="759">
        <f t="shared" si="202"/>
        <v>0.84599999999999997</v>
      </c>
      <c r="AED167" s="760"/>
      <c r="AEE167" s="757">
        <f t="shared" si="203"/>
        <v>1.712</v>
      </c>
      <c r="AEF167" s="758"/>
      <c r="AEH167" s="759">
        <v>-0.33333333333333298</v>
      </c>
      <c r="AEI167" s="760"/>
      <c r="AEJ167" s="759">
        <v>1.4166666666666701</v>
      </c>
      <c r="AEK167" s="760"/>
      <c r="AEL167" s="592">
        <v>264</v>
      </c>
      <c r="AEM167" s="759">
        <f t="shared" si="204"/>
        <v>0.71266666666667078</v>
      </c>
      <c r="AEN167" s="760"/>
      <c r="AEO167" s="757">
        <f t="shared" si="205"/>
        <v>2.1120000000000001</v>
      </c>
      <c r="AEP167" s="758"/>
      <c r="AER167" s="759">
        <v>-0.24999999999999944</v>
      </c>
      <c r="AES167" s="760"/>
      <c r="AET167" s="759">
        <v>1.2249999999999988</v>
      </c>
      <c r="AEU167" s="760"/>
      <c r="AEV167" s="592">
        <v>314</v>
      </c>
      <c r="AEW167" s="759">
        <f t="shared" si="206"/>
        <v>0.5970000000000002</v>
      </c>
      <c r="AEX167" s="760"/>
      <c r="AEY167" s="757">
        <f t="shared" si="207"/>
        <v>2.512</v>
      </c>
      <c r="AEZ167" s="758"/>
      <c r="AFB167" s="759">
        <v>-0.1</v>
      </c>
      <c r="AFC167" s="760"/>
      <c r="AFD167" s="759">
        <v>0.82</v>
      </c>
      <c r="AFE167" s="760"/>
      <c r="AFF167" s="591">
        <v>364</v>
      </c>
      <c r="AFG167" s="759">
        <f t="shared" si="208"/>
        <v>0.52879999999999994</v>
      </c>
      <c r="AFH167" s="760"/>
      <c r="AFI167" s="757">
        <f t="shared" si="209"/>
        <v>2.9119999999999999</v>
      </c>
      <c r="AFJ167" s="758"/>
      <c r="AFK167" s="653"/>
      <c r="AFL167" s="759">
        <v>-0.25</v>
      </c>
      <c r="AFM167" s="760"/>
      <c r="AFN167" s="759">
        <v>1.3</v>
      </c>
      <c r="AFO167" s="760"/>
      <c r="AFP167" s="592">
        <v>414</v>
      </c>
      <c r="AFQ167" s="759">
        <f t="shared" si="210"/>
        <v>0.47199999999999998</v>
      </c>
      <c r="AFR167" s="760"/>
      <c r="AFS167" s="757">
        <f t="shared" si="211"/>
        <v>3.3120000000000003</v>
      </c>
      <c r="AFT167" s="758"/>
      <c r="AFU167" s="653"/>
      <c r="AFV167" s="759">
        <v>-0.125</v>
      </c>
      <c r="AFW167" s="760"/>
      <c r="AFX167" s="759">
        <v>0.875</v>
      </c>
      <c r="AFY167" s="760"/>
      <c r="AFZ167" s="591">
        <v>464</v>
      </c>
      <c r="AGA167" s="759">
        <f t="shared" si="212"/>
        <v>0.41099999999999998</v>
      </c>
      <c r="AGB167" s="760"/>
      <c r="AGC167" s="757">
        <f t="shared" si="213"/>
        <v>3.7120000000000002</v>
      </c>
      <c r="AGD167" s="758"/>
      <c r="AGE167" s="653"/>
      <c r="AGF167" s="653"/>
      <c r="AGG167" s="653"/>
      <c r="AGH167" s="653"/>
      <c r="AGI167" s="653"/>
      <c r="AGL167" s="1052"/>
      <c r="AGM167" s="852" t="s">
        <v>416</v>
      </c>
      <c r="AGN167" s="853"/>
      <c r="AGO167" s="142"/>
      <c r="AGP167" s="800" t="s">
        <v>1722</v>
      </c>
      <c r="AGQ167" s="801"/>
      <c r="AGR167" s="761">
        <f>$AGZ$151</f>
        <v>564.29987192194301</v>
      </c>
      <c r="AGS167" s="761"/>
      <c r="AGT167" s="439" t="s">
        <v>1487</v>
      </c>
      <c r="AGU167" s="766">
        <f>$CH$67</f>
        <v>17</v>
      </c>
      <c r="AGV167" s="766"/>
      <c r="AGW167" s="142"/>
      <c r="AGX167" s="76" t="s">
        <v>441</v>
      </c>
      <c r="AGY167" s="854" t="s">
        <v>435</v>
      </c>
      <c r="AGZ167" s="855"/>
      <c r="AHA167" s="920" t="s">
        <v>111</v>
      </c>
      <c r="AHB167" s="921"/>
      <c r="AHC167" s="916" t="s">
        <v>704</v>
      </c>
      <c r="AHD167" s="917"/>
      <c r="AHE167" s="906" t="s">
        <v>447</v>
      </c>
      <c r="AHF167" s="907"/>
      <c r="AHG167" s="907"/>
      <c r="AHH167" s="907"/>
      <c r="AHI167" s="1051" t="s">
        <v>436</v>
      </c>
      <c r="AHJ167" s="1051"/>
      <c r="AHK167" s="1051"/>
      <c r="AHL167" s="1051"/>
      <c r="AHM167" s="1051"/>
      <c r="AHN167" s="1051"/>
      <c r="AHO167" s="1051"/>
      <c r="AHP167" s="1051"/>
      <c r="AHQ167" s="1051"/>
      <c r="AHR167" s="1051"/>
      <c r="AHS167" s="1051"/>
      <c r="AHT167" s="1051"/>
      <c r="AHU167" s="1051"/>
      <c r="AHV167" s="1051"/>
      <c r="AHW167" s="1051"/>
      <c r="AHX167" s="1051"/>
      <c r="AIJ167" s="130"/>
      <c r="AIK167" s="130"/>
      <c r="AIL167" s="130"/>
      <c r="AIM167" s="130"/>
      <c r="AIN167" s="130"/>
      <c r="AIO167" s="130"/>
      <c r="AIP167" s="130"/>
      <c r="AIQ167" s="130"/>
      <c r="AIR167" s="130"/>
      <c r="AIS167" s="130"/>
      <c r="AIT167" s="130"/>
      <c r="AIU167" s="130"/>
      <c r="AIV167" s="130"/>
      <c r="AIW167" s="130"/>
      <c r="AIX167" s="130"/>
      <c r="AIY167" s="130"/>
      <c r="AIZ167" s="130"/>
      <c r="ARU167" s="851"/>
      <c r="ARV167" s="1147"/>
      <c r="ARW167" s="1147"/>
      <c r="ARX167" s="1147"/>
      <c r="ARY167" s="1147"/>
      <c r="ARZ167" s="1147"/>
      <c r="ASA167" s="1147"/>
      <c r="ASB167" s="1147"/>
      <c r="ASC167" s="1147"/>
      <c r="ASD167" s="1147"/>
      <c r="ASE167" s="1147"/>
      <c r="ASF167" s="1147"/>
      <c r="ASG167" s="1147"/>
      <c r="ASH167" s="1147"/>
      <c r="ASI167" s="837"/>
      <c r="ASJ167" s="838"/>
      <c r="ASK167" s="777"/>
      <c r="ASL167" s="799"/>
      <c r="ASM167" s="842"/>
      <c r="ASN167" s="845"/>
      <c r="ASO167" s="846"/>
      <c r="ASP167" s="848"/>
    </row>
    <row r="168" spans="249:948 1165:1221" ht="48" customHeight="1">
      <c r="IO168" s="130"/>
      <c r="IP168" s="130"/>
      <c r="IQ168" s="130"/>
      <c r="IR168" s="130"/>
      <c r="IS168" s="130"/>
      <c r="IT168" s="130"/>
      <c r="MB168" s="1023"/>
      <c r="MC168" s="1025"/>
      <c r="MD168" s="791" t="s">
        <v>1255</v>
      </c>
      <c r="ME168" s="792"/>
      <c r="MF168" s="792"/>
      <c r="MG168" s="792"/>
      <c r="MH168" s="792"/>
      <c r="MI168" s="792"/>
      <c r="MJ168" s="792"/>
      <c r="MK168" s="358" t="s">
        <v>1257</v>
      </c>
      <c r="ML168" s="358" t="s">
        <v>1258</v>
      </c>
      <c r="MM168" s="358" t="s">
        <v>1259</v>
      </c>
      <c r="MN168" s="358" t="s">
        <v>1260</v>
      </c>
      <c r="MO168" s="358" t="s">
        <v>1261</v>
      </c>
      <c r="MP168" s="358" t="s">
        <v>1262</v>
      </c>
      <c r="MQ168" s="1271" t="str">
        <f>MK168</f>
        <v>[А]</v>
      </c>
      <c r="MR168" s="1272"/>
      <c r="MS168" s="1023"/>
      <c r="MT168" s="1024"/>
      <c r="MU168" s="1024"/>
      <c r="MV168" s="1024"/>
      <c r="MW168" s="1024"/>
      <c r="MX168" s="1024"/>
      <c r="MY168" s="1024"/>
      <c r="MZ168" s="1024"/>
      <c r="NA168" s="1024"/>
      <c r="NB168" s="1024"/>
      <c r="NC168" s="1025"/>
      <c r="NI168" s="130"/>
      <c r="NJ168" s="130"/>
      <c r="PG168" s="136"/>
      <c r="PH168" s="891"/>
      <c r="PI168" s="891"/>
      <c r="PJ168" s="891"/>
      <c r="PK168" s="891"/>
      <c r="PL168" s="891"/>
      <c r="PM168" s="891"/>
      <c r="PN168" s="891"/>
      <c r="PO168" s="891"/>
      <c r="PP168" s="891"/>
      <c r="PQ168" s="891"/>
      <c r="PR168" s="891"/>
      <c r="PS168" s="891"/>
      <c r="PT168" s="891"/>
      <c r="PU168" s="891"/>
      <c r="PV168" s="891"/>
      <c r="PW168" s="891"/>
      <c r="PX168" s="891"/>
      <c r="PY168" s="891"/>
      <c r="PZ168" s="891"/>
      <c r="QA168" s="891"/>
      <c r="QB168" s="891"/>
      <c r="QC168" s="891"/>
      <c r="QD168" s="891"/>
      <c r="QE168" s="891"/>
      <c r="QF168" s="891"/>
      <c r="QG168" s="891"/>
      <c r="QH168" s="891"/>
      <c r="QI168" s="891"/>
      <c r="QJ168" s="891"/>
      <c r="QK168" s="891"/>
      <c r="QL168" s="891"/>
      <c r="QM168" s="891"/>
      <c r="QN168" s="891"/>
      <c r="QO168" s="891"/>
      <c r="QP168" s="891"/>
      <c r="QQ168" s="891"/>
      <c r="QR168" s="136"/>
      <c r="WE168" s="752">
        <v>20</v>
      </c>
      <c r="WF168" s="753"/>
      <c r="WG168" s="800" t="s">
        <v>1061</v>
      </c>
      <c r="WH168" s="982"/>
      <c r="WI168" s="982"/>
      <c r="WJ168" s="801"/>
      <c r="WK168" s="761">
        <f>$EQ$45</f>
        <v>4</v>
      </c>
      <c r="WL168" s="761"/>
      <c r="WM168" s="696" t="s">
        <v>1015</v>
      </c>
      <c r="WN168" s="890">
        <f>$CL$40</f>
        <v>1.3923283333333335E-2</v>
      </c>
      <c r="WO168" s="890"/>
      <c r="WP168" s="168"/>
      <c r="WQ168" s="168"/>
      <c r="WR168" s="168"/>
      <c r="WS168" s="168"/>
      <c r="WT168" s="168"/>
      <c r="WU168" s="168"/>
      <c r="WV168" s="168"/>
      <c r="WW168" s="168"/>
      <c r="WX168" s="168"/>
      <c r="WY168" s="171"/>
      <c r="WZ168" s="1044" t="s">
        <v>45</v>
      </c>
      <c r="XA168" s="1044"/>
      <c r="XB168" s="167"/>
      <c r="XC168" s="168"/>
      <c r="XD168" s="168"/>
      <c r="XE168" s="168"/>
      <c r="XF168" s="171"/>
      <c r="XG168" s="1136">
        <f>($WN$168*1000-$WK$168)*(1-XG166)</f>
        <v>0.39518700618489672</v>
      </c>
      <c r="XH168" s="1136">
        <f t="shared" ref="XH168:ZS168" si="240">($WN$168*1000-$WK$168)*(1-XH166)</f>
        <v>0.43348467779948002</v>
      </c>
      <c r="XI168" s="1136">
        <f t="shared" si="240"/>
        <v>0.47178234941406333</v>
      </c>
      <c r="XJ168" s="1136">
        <f t="shared" si="240"/>
        <v>0.51008002102864669</v>
      </c>
      <c r="XK168" s="1136">
        <f t="shared" si="240"/>
        <v>0.53880327473958356</v>
      </c>
      <c r="XL168" s="1136">
        <f t="shared" si="240"/>
        <v>0.57710094635416687</v>
      </c>
      <c r="XM168" s="1136">
        <f t="shared" si="240"/>
        <v>0.60582420006510496</v>
      </c>
      <c r="XN168" s="1136">
        <f t="shared" si="240"/>
        <v>0.63454745377604183</v>
      </c>
      <c r="XO168" s="1136">
        <f t="shared" si="240"/>
        <v>0.66327070748697992</v>
      </c>
      <c r="XP168" s="1136">
        <f t="shared" si="240"/>
        <v>0.6919939611979169</v>
      </c>
      <c r="XQ168" s="1136">
        <f t="shared" si="240"/>
        <v>0.72071721490885488</v>
      </c>
      <c r="XR168" s="1136">
        <f t="shared" si="240"/>
        <v>0.74944046861979186</v>
      </c>
      <c r="XS168" s="1136">
        <f t="shared" si="240"/>
        <v>0.77816372233072983</v>
      </c>
      <c r="XT168" s="1136">
        <f t="shared" si="240"/>
        <v>0.79731255813802149</v>
      </c>
      <c r="XU168" s="1136">
        <f t="shared" si="240"/>
        <v>0.82603581184895847</v>
      </c>
      <c r="XV168" s="1136">
        <f t="shared" si="240"/>
        <v>0.84518464765625012</v>
      </c>
      <c r="XW168" s="1136">
        <f t="shared" si="240"/>
        <v>0.87390790136718821</v>
      </c>
      <c r="XX168" s="1136">
        <f t="shared" si="240"/>
        <v>0.89305673717447986</v>
      </c>
      <c r="XY168" s="1136">
        <f t="shared" si="240"/>
        <v>0.91220557298177152</v>
      </c>
      <c r="XZ168" s="1136">
        <f t="shared" si="240"/>
        <v>0.93135440878906317</v>
      </c>
      <c r="YA168" s="1136">
        <f t="shared" si="240"/>
        <v>0.94092882669270839</v>
      </c>
      <c r="YB168" s="1136">
        <f t="shared" si="240"/>
        <v>0.96007766250000004</v>
      </c>
      <c r="YC168" s="1136">
        <f t="shared" si="240"/>
        <v>0.97922649830729169</v>
      </c>
      <c r="YD168" s="1136">
        <f t="shared" si="240"/>
        <v>0.98880091621093813</v>
      </c>
      <c r="YE168" s="1136">
        <f t="shared" si="240"/>
        <v>1.0307810562499995</v>
      </c>
      <c r="YF168" s="1136">
        <f t="shared" si="240"/>
        <v>1.0543488541666663</v>
      </c>
      <c r="YG168" s="1136">
        <f t="shared" si="240"/>
        <v>1.0779166520833332</v>
      </c>
      <c r="YH168" s="1136">
        <f t="shared" si="240"/>
        <v>1.1014844499999998</v>
      </c>
      <c r="YI168" s="1136">
        <f t="shared" si="240"/>
        <v>1.1250522479166667</v>
      </c>
      <c r="YJ168" s="1136">
        <f t="shared" si="240"/>
        <v>1.1486200458333335</v>
      </c>
      <c r="YK168" s="1136">
        <f t="shared" si="240"/>
        <v>1.1721878437499993</v>
      </c>
      <c r="YL168" s="1136">
        <f t="shared" si="240"/>
        <v>1.1721878437499993</v>
      </c>
      <c r="YM168" s="1136">
        <f t="shared" si="240"/>
        <v>1.1957556416666661</v>
      </c>
      <c r="YN168" s="1136">
        <f t="shared" si="240"/>
        <v>1.219323439583333</v>
      </c>
      <c r="YO168" s="1136">
        <f t="shared" si="240"/>
        <v>1.219323439583333</v>
      </c>
      <c r="YP168" s="1136">
        <f t="shared" si="240"/>
        <v>1.2428912374999999</v>
      </c>
      <c r="YQ168" s="1136">
        <f t="shared" si="240"/>
        <v>1.2428912374999999</v>
      </c>
      <c r="YR168" s="1136">
        <f t="shared" si="240"/>
        <v>1.2428912374999999</v>
      </c>
      <c r="YS168" s="1136">
        <f t="shared" si="240"/>
        <v>1.2664590354166667</v>
      </c>
      <c r="YT168" s="1136">
        <f t="shared" si="240"/>
        <v>1.2664590354166667</v>
      </c>
      <c r="YU168" s="1136">
        <f t="shared" si="240"/>
        <v>1.2664590354166667</v>
      </c>
      <c r="YV168" s="1136">
        <f t="shared" si="240"/>
        <v>1.2900268333333325</v>
      </c>
      <c r="YW168" s="1136">
        <f t="shared" si="240"/>
        <v>1.2900268333333325</v>
      </c>
      <c r="YX168" s="1136">
        <f t="shared" si="240"/>
        <v>1.2900268333333325</v>
      </c>
      <c r="YY168" s="1136">
        <f t="shared" si="240"/>
        <v>1.2900268333333325</v>
      </c>
      <c r="YZ168" s="1136">
        <f t="shared" si="240"/>
        <v>1.3135946312499991</v>
      </c>
      <c r="ZA168" s="1136">
        <f t="shared" si="240"/>
        <v>1.3135946312499991</v>
      </c>
      <c r="ZB168" s="1136">
        <f t="shared" si="240"/>
        <v>1.3135946312499991</v>
      </c>
      <c r="ZC168" s="1136">
        <f t="shared" si="240"/>
        <v>1.3135946312499991</v>
      </c>
      <c r="ZD168" s="1136">
        <f t="shared" si="240"/>
        <v>1.3135946312499991</v>
      </c>
      <c r="ZE168" s="1136">
        <f t="shared" si="240"/>
        <v>1.3371624291666659</v>
      </c>
      <c r="ZF168" s="1136">
        <f t="shared" si="240"/>
        <v>1.3371624291666659</v>
      </c>
      <c r="ZG168" s="1136">
        <f t="shared" si="240"/>
        <v>1.3371624291666659</v>
      </c>
      <c r="ZH168" s="1136">
        <f t="shared" si="240"/>
        <v>1.3371624291666659</v>
      </c>
      <c r="ZI168" s="1136">
        <f t="shared" si="240"/>
        <v>1.3371624291666659</v>
      </c>
      <c r="ZJ168" s="1136">
        <f t="shared" si="240"/>
        <v>1.3371624291666659</v>
      </c>
      <c r="ZK168" s="1136">
        <f t="shared" si="240"/>
        <v>1.3371624291666659</v>
      </c>
      <c r="ZL168" s="1136">
        <f t="shared" si="240"/>
        <v>1.3607302270833328</v>
      </c>
      <c r="ZM168" s="1136">
        <f t="shared" si="240"/>
        <v>1.3607302270833328</v>
      </c>
      <c r="ZN168" s="1136">
        <f t="shared" si="240"/>
        <v>1.3607302270833328</v>
      </c>
      <c r="ZO168" s="1136">
        <f t="shared" si="240"/>
        <v>1.3607302270833328</v>
      </c>
      <c r="ZP168" s="1136">
        <f t="shared" si="240"/>
        <v>1.3607302270833328</v>
      </c>
      <c r="ZQ168" s="1136">
        <f t="shared" si="240"/>
        <v>1.3607302270833328</v>
      </c>
      <c r="ZR168" s="1136">
        <f t="shared" si="240"/>
        <v>1.3607302270833328</v>
      </c>
      <c r="ZS168" s="1136">
        <f t="shared" si="240"/>
        <v>1.3607302270833328</v>
      </c>
      <c r="ZT168" s="1136">
        <f t="shared" ref="ZT168:AAS168" si="241">($WN$168*1000-$WK$168)*(1-ZT166)</f>
        <v>1.3607302270833328</v>
      </c>
      <c r="ZU168" s="1136">
        <f t="shared" si="241"/>
        <v>1.3607302270833328</v>
      </c>
      <c r="ZV168" s="1136">
        <f t="shared" si="241"/>
        <v>1.3607302270833328</v>
      </c>
      <c r="ZW168" s="1136">
        <f t="shared" si="241"/>
        <v>1.3607302270833328</v>
      </c>
      <c r="ZX168" s="1136">
        <f t="shared" si="241"/>
        <v>1.3607302270833328</v>
      </c>
      <c r="ZY168" s="1136">
        <f t="shared" si="241"/>
        <v>1.3842980249999997</v>
      </c>
      <c r="ZZ168" s="1136">
        <f t="shared" si="241"/>
        <v>1.3842980249999997</v>
      </c>
      <c r="AAA168" s="1136">
        <f t="shared" si="241"/>
        <v>1.3842980249999997</v>
      </c>
      <c r="AAB168" s="1136">
        <f t="shared" si="241"/>
        <v>1.3842980249999997</v>
      </c>
      <c r="AAC168" s="1136">
        <f t="shared" si="241"/>
        <v>1.3842980249999997</v>
      </c>
      <c r="AAD168" s="1136">
        <f t="shared" si="241"/>
        <v>1.3842980249999997</v>
      </c>
      <c r="AAE168" s="1136">
        <f t="shared" si="241"/>
        <v>1.3842980249999997</v>
      </c>
      <c r="AAF168" s="1136">
        <f t="shared" si="241"/>
        <v>1.3842980249999997</v>
      </c>
      <c r="AAG168" s="1136">
        <f t="shared" si="241"/>
        <v>1.3842980249999997</v>
      </c>
      <c r="AAH168" s="1136">
        <f t="shared" si="241"/>
        <v>1.3842980249999997</v>
      </c>
      <c r="AAI168" s="1136">
        <f t="shared" si="241"/>
        <v>1.3842980249999997</v>
      </c>
      <c r="AAJ168" s="1136">
        <f t="shared" si="241"/>
        <v>1.3842980249999997</v>
      </c>
      <c r="AAK168" s="1136">
        <f t="shared" si="241"/>
        <v>1.3842980249999997</v>
      </c>
      <c r="AAL168" s="1136">
        <f t="shared" si="241"/>
        <v>1.3842980249999997</v>
      </c>
      <c r="AAM168" s="1136">
        <f t="shared" si="241"/>
        <v>1.3842980249999997</v>
      </c>
      <c r="AAN168" s="1136">
        <f t="shared" si="241"/>
        <v>1.3842980249999997</v>
      </c>
      <c r="AAO168" s="1136">
        <f t="shared" si="241"/>
        <v>1.3842980249999997</v>
      </c>
      <c r="AAP168" s="1136">
        <f t="shared" si="241"/>
        <v>1.3842980249999997</v>
      </c>
      <c r="AAQ168" s="1136">
        <f t="shared" si="241"/>
        <v>1.3842980249999997</v>
      </c>
      <c r="AAR168" s="1136">
        <f t="shared" si="241"/>
        <v>1.3842980249999997</v>
      </c>
      <c r="AAS168" s="1136">
        <f t="shared" si="241"/>
        <v>1.3842980249999997</v>
      </c>
      <c r="AAT168" s="1005">
        <v>20</v>
      </c>
      <c r="AAU168" s="958"/>
      <c r="AAV168" s="1058"/>
      <c r="AAW168" s="1058"/>
      <c r="AAX168" s="1058"/>
      <c r="AAY168" s="1058"/>
      <c r="AAZ168" s="1058"/>
      <c r="ABA168" s="1058"/>
      <c r="ABB168" s="959"/>
      <c r="ABC168" s="159"/>
      <c r="ABD168" s="158"/>
      <c r="ABE168" s="158"/>
      <c r="ABF168" s="158"/>
      <c r="ABG168" s="158"/>
      <c r="ABH168" s="158"/>
      <c r="ABI168" s="158"/>
      <c r="ABJ168" s="158"/>
      <c r="ABK168" s="158"/>
      <c r="ABL168" s="158"/>
      <c r="ABM168" s="158"/>
      <c r="ABN168" s="158"/>
      <c r="ABO168" s="158"/>
      <c r="ABP168" s="163"/>
      <c r="ABQ168" s="653"/>
      <c r="ABR168" s="653"/>
      <c r="ABS168" s="162"/>
      <c r="ABT168" s="158"/>
      <c r="ABU168" s="158"/>
      <c r="ABV168" s="158"/>
      <c r="ABW168" s="158"/>
      <c r="ABX168" s="158"/>
      <c r="ABY168" s="158"/>
      <c r="ABZ168" s="158"/>
      <c r="ACA168" s="158"/>
      <c r="ACB168" s="158"/>
      <c r="ACC168" s="158"/>
      <c r="ACD168" s="158"/>
      <c r="ACE168" s="158"/>
      <c r="ACF168" s="158"/>
      <c r="ACG168" s="158"/>
      <c r="ACH168" s="163"/>
      <c r="ACJ168" s="759">
        <v>-3.125E-2</v>
      </c>
      <c r="ACK168" s="760"/>
      <c r="ACL168" s="759">
        <v>1</v>
      </c>
      <c r="ACM168" s="760"/>
      <c r="ACN168" s="591">
        <v>15</v>
      </c>
      <c r="ACO168" s="759">
        <f t="shared" si="194"/>
        <v>0.99624999999999997</v>
      </c>
      <c r="ACP168" s="760"/>
      <c r="ACQ168" s="757">
        <f t="shared" si="195"/>
        <v>0.12</v>
      </c>
      <c r="ACR168" s="758"/>
      <c r="ACT168" s="759">
        <v>-3.125E-2</v>
      </c>
      <c r="ACU168" s="760"/>
      <c r="ACV168" s="759">
        <v>1</v>
      </c>
      <c r="ACW168" s="760"/>
      <c r="ACX168" s="591">
        <v>65</v>
      </c>
      <c r="ACY168" s="759">
        <f t="shared" si="196"/>
        <v>0.98375000000000001</v>
      </c>
      <c r="ACZ168" s="760"/>
      <c r="ADA168" s="757">
        <f t="shared" si="197"/>
        <v>0.52</v>
      </c>
      <c r="ADB168" s="758"/>
      <c r="ADD168" s="759">
        <v>-8.3333333333333398E-2</v>
      </c>
      <c r="ADE168" s="760"/>
      <c r="ADF168" s="759">
        <v>1.0416666666666701</v>
      </c>
      <c r="ADG168" s="760"/>
      <c r="ADH168" s="592">
        <v>115</v>
      </c>
      <c r="ADI168" s="759">
        <f t="shared" si="198"/>
        <v>0.9650000000000033</v>
      </c>
      <c r="ADJ168" s="760"/>
      <c r="ADK168" s="757">
        <f t="shared" si="199"/>
        <v>0.92</v>
      </c>
      <c r="ADL168" s="758"/>
      <c r="ADN168" s="759">
        <v>-0.14285714285714299</v>
      </c>
      <c r="ADO168" s="760"/>
      <c r="ADP168" s="759">
        <v>1.1071428571428601</v>
      </c>
      <c r="ADQ168" s="760"/>
      <c r="ADR168" s="592">
        <v>165</v>
      </c>
      <c r="ADS168" s="759">
        <f t="shared" si="200"/>
        <v>0.91857142857143137</v>
      </c>
      <c r="ADT168" s="760"/>
      <c r="ADU168" s="757">
        <f t="shared" si="201"/>
        <v>1.32</v>
      </c>
      <c r="ADV168" s="758"/>
      <c r="ADX168" s="759">
        <v>-0.33333333333333259</v>
      </c>
      <c r="ADY168" s="760"/>
      <c r="ADZ168" s="759">
        <v>1.4166666666666654</v>
      </c>
      <c r="AEA168" s="760"/>
      <c r="AEB168" s="592">
        <v>215</v>
      </c>
      <c r="AEC168" s="759">
        <f t="shared" si="202"/>
        <v>0.84333333333333338</v>
      </c>
      <c r="AED168" s="760"/>
      <c r="AEE168" s="757">
        <f t="shared" si="203"/>
        <v>1.72</v>
      </c>
      <c r="AEF168" s="758"/>
      <c r="AEH168" s="759">
        <v>-0.33333333333333298</v>
      </c>
      <c r="AEI168" s="760"/>
      <c r="AEJ168" s="759">
        <v>1.4166666666666701</v>
      </c>
      <c r="AEK168" s="760"/>
      <c r="AEL168" s="592">
        <v>265</v>
      </c>
      <c r="AEM168" s="759">
        <f t="shared" si="204"/>
        <v>0.71000000000000407</v>
      </c>
      <c r="AEN168" s="760"/>
      <c r="AEO168" s="757">
        <f t="shared" si="205"/>
        <v>2.12</v>
      </c>
      <c r="AEP168" s="758"/>
      <c r="AER168" s="759">
        <v>-0.24999999999999944</v>
      </c>
      <c r="AES168" s="760"/>
      <c r="AET168" s="759">
        <v>1.2249999999999988</v>
      </c>
      <c r="AEU168" s="760"/>
      <c r="AEV168" s="592">
        <v>315</v>
      </c>
      <c r="AEW168" s="759">
        <f t="shared" si="206"/>
        <v>0.5950000000000002</v>
      </c>
      <c r="AEX168" s="760"/>
      <c r="AEY168" s="757">
        <f t="shared" si="207"/>
        <v>2.52</v>
      </c>
      <c r="AEZ168" s="758"/>
      <c r="AFB168" s="759">
        <v>-0.1</v>
      </c>
      <c r="AFC168" s="760"/>
      <c r="AFD168" s="759">
        <v>0.82</v>
      </c>
      <c r="AFE168" s="760"/>
      <c r="AFF168" s="591">
        <v>365</v>
      </c>
      <c r="AFG168" s="759">
        <f t="shared" si="208"/>
        <v>0.52800000000000002</v>
      </c>
      <c r="AFH168" s="760"/>
      <c r="AFI168" s="757">
        <f t="shared" si="209"/>
        <v>2.92</v>
      </c>
      <c r="AFJ168" s="758"/>
      <c r="AFK168" s="653"/>
      <c r="AFL168" s="759">
        <v>-0.25</v>
      </c>
      <c r="AFM168" s="760"/>
      <c r="AFN168" s="759">
        <v>1.3</v>
      </c>
      <c r="AFO168" s="760"/>
      <c r="AFP168" s="592">
        <v>415</v>
      </c>
      <c r="AFQ168" s="759">
        <f t="shared" si="210"/>
        <v>0.47</v>
      </c>
      <c r="AFR168" s="760"/>
      <c r="AFS168" s="757">
        <f t="shared" si="211"/>
        <v>3.3200000000000003</v>
      </c>
      <c r="AFT168" s="758"/>
      <c r="AFU168" s="653"/>
      <c r="AFV168" s="759">
        <v>-0.125</v>
      </c>
      <c r="AFW168" s="760"/>
      <c r="AFX168" s="759">
        <v>0.875</v>
      </c>
      <c r="AFY168" s="760"/>
      <c r="AFZ168" s="591">
        <v>465</v>
      </c>
      <c r="AGA168" s="759">
        <f t="shared" si="212"/>
        <v>0.41</v>
      </c>
      <c r="AGB168" s="760"/>
      <c r="AGC168" s="757">
        <f t="shared" si="213"/>
        <v>3.72</v>
      </c>
      <c r="AGD168" s="758"/>
      <c r="AGE168" s="653"/>
      <c r="AGF168" s="653"/>
      <c r="AGG168" s="653"/>
      <c r="AGH168" s="653"/>
      <c r="AGI168" s="653"/>
      <c r="AGL168" s="1052"/>
      <c r="AGM168" s="861" t="s">
        <v>1495</v>
      </c>
      <c r="AGN168" s="861"/>
      <c r="AGO168" s="890">
        <f>$CO$28/$GU$16</f>
        <v>1.0434782608695652</v>
      </c>
      <c r="AGP168" s="890"/>
      <c r="AGQ168" s="443" t="s">
        <v>739</v>
      </c>
      <c r="AGR168" s="766">
        <f>$CM$59</f>
        <v>2</v>
      </c>
      <c r="AGS168" s="766"/>
      <c r="AGT168" s="791" t="s">
        <v>131</v>
      </c>
      <c r="AGU168" s="792"/>
      <c r="AGV168" s="792"/>
      <c r="AGW168" s="792"/>
      <c r="AGX168" s="792"/>
      <c r="AGY168" s="792"/>
      <c r="AGZ168" s="793"/>
      <c r="AHA168" s="835">
        <f>((0.7*AGR167*AGU167*AGO170)/AGR168)*(AGO169+AGR170*AGR169*AGO168)</f>
        <v>6714.0006204840129</v>
      </c>
      <c r="AHB168" s="836"/>
      <c r="AHC168" s="1341" t="s">
        <v>1715</v>
      </c>
      <c r="AHD168" s="1342"/>
      <c r="AHE168" s="1066"/>
      <c r="AHF168" s="1170" t="s">
        <v>1392</v>
      </c>
      <c r="AHG168" s="1172"/>
      <c r="AHH168" s="847"/>
      <c r="AHI168" s="1052"/>
      <c r="AHJ168" s="1052"/>
      <c r="AHK168" s="1052"/>
      <c r="AHL168" s="1052"/>
      <c r="AHM168" s="1052"/>
      <c r="AHN168" s="1052"/>
      <c r="AHO168" s="1052"/>
      <c r="AHP168" s="1052"/>
      <c r="AHQ168" s="1052"/>
      <c r="AHR168" s="1052"/>
      <c r="AHS168" s="1052"/>
      <c r="AHT168" s="1052"/>
      <c r="AHU168" s="1052"/>
      <c r="AHV168" s="1052"/>
      <c r="AHW168" s="1052"/>
      <c r="AHX168" s="1052"/>
      <c r="AIJ168" s="130"/>
      <c r="AIK168" s="130"/>
      <c r="AIL168" s="130"/>
      <c r="AIM168" s="130"/>
      <c r="AIN168" s="130"/>
      <c r="AIO168" s="130"/>
      <c r="AIP168" s="130"/>
      <c r="AIQ168" s="130"/>
      <c r="AIR168" s="130"/>
      <c r="AIS168" s="130"/>
      <c r="AIT168" s="130"/>
      <c r="AIU168" s="130"/>
      <c r="AIV168" s="130"/>
      <c r="AIW168" s="130"/>
      <c r="AIX168" s="130"/>
      <c r="AIY168" s="130"/>
      <c r="AIZ168" s="130"/>
    </row>
    <row r="169" spans="249:948 1165:1221" ht="48" customHeight="1" thickBot="1">
      <c r="IR169" s="130"/>
      <c r="IS169" s="130"/>
      <c r="IT169" s="130"/>
      <c r="MB169" s="1029"/>
      <c r="MC169" s="1031"/>
      <c r="MD169" s="909"/>
      <c r="ME169" s="910"/>
      <c r="MF169" s="910"/>
      <c r="MG169" s="910"/>
      <c r="MH169" s="910"/>
      <c r="MI169" s="910"/>
      <c r="MJ169" s="1239"/>
      <c r="MK169" s="1258" t="s">
        <v>1256</v>
      </c>
      <c r="ML169" s="1259"/>
      <c r="MM169" s="1259"/>
      <c r="MN169" s="1259"/>
      <c r="MO169" s="1259"/>
      <c r="MP169" s="1259"/>
      <c r="MQ169" s="1273"/>
      <c r="MR169" s="1274"/>
      <c r="MS169" s="1029"/>
      <c r="MT169" s="1030"/>
      <c r="MU169" s="1030"/>
      <c r="MV169" s="1030"/>
      <c r="MW169" s="1030"/>
      <c r="MX169" s="1030"/>
      <c r="MY169" s="1030"/>
      <c r="MZ169" s="1030"/>
      <c r="NA169" s="1030"/>
      <c r="NB169" s="1030"/>
      <c r="NC169" s="1031"/>
      <c r="ND169" s="130"/>
      <c r="NI169" s="130"/>
      <c r="NJ169" s="130"/>
      <c r="QL169" s="130"/>
      <c r="QM169" s="130"/>
      <c r="QN169" s="130"/>
      <c r="QO169" s="130"/>
      <c r="QP169" s="130"/>
      <c r="QQ169" s="130"/>
      <c r="QR169" s="130"/>
      <c r="QS169" s="130"/>
      <c r="QT169" s="130"/>
      <c r="QU169" s="130"/>
      <c r="QV169" s="130"/>
      <c r="QW169" s="130"/>
      <c r="WE169" s="754"/>
      <c r="WF169" s="755"/>
      <c r="WG169" s="169"/>
      <c r="WH169" s="170"/>
      <c r="WI169" s="170"/>
      <c r="WJ169" s="170"/>
      <c r="WK169" s="170"/>
      <c r="WL169" s="170"/>
      <c r="WM169" s="170"/>
      <c r="WN169" s="170"/>
      <c r="WO169" s="170"/>
      <c r="WP169" s="170"/>
      <c r="WQ169" s="170"/>
      <c r="WR169" s="170"/>
      <c r="WS169" s="170"/>
      <c r="WT169" s="170"/>
      <c r="WU169" s="170"/>
      <c r="WV169" s="170"/>
      <c r="WW169" s="170"/>
      <c r="WX169" s="170"/>
      <c r="WY169" s="172"/>
      <c r="WZ169" s="1044"/>
      <c r="XA169" s="1044"/>
      <c r="XB169" s="169"/>
      <c r="XC169" s="170"/>
      <c r="XD169" s="170"/>
      <c r="XE169" s="170"/>
      <c r="XF169" s="172"/>
      <c r="XG169" s="1137"/>
      <c r="XH169" s="1137"/>
      <c r="XI169" s="1137"/>
      <c r="XJ169" s="1137"/>
      <c r="XK169" s="1137"/>
      <c r="XL169" s="1137"/>
      <c r="XM169" s="1137"/>
      <c r="XN169" s="1137"/>
      <c r="XO169" s="1137"/>
      <c r="XP169" s="1137"/>
      <c r="XQ169" s="1137"/>
      <c r="XR169" s="1137"/>
      <c r="XS169" s="1137"/>
      <c r="XT169" s="1137"/>
      <c r="XU169" s="1137"/>
      <c r="XV169" s="1137"/>
      <c r="XW169" s="1137"/>
      <c r="XX169" s="1137"/>
      <c r="XY169" s="1137"/>
      <c r="XZ169" s="1137"/>
      <c r="YA169" s="1137"/>
      <c r="YB169" s="1137"/>
      <c r="YC169" s="1137"/>
      <c r="YD169" s="1137"/>
      <c r="YE169" s="1137"/>
      <c r="YF169" s="1137"/>
      <c r="YG169" s="1137"/>
      <c r="YH169" s="1137"/>
      <c r="YI169" s="1137"/>
      <c r="YJ169" s="1137"/>
      <c r="YK169" s="1137"/>
      <c r="YL169" s="1137"/>
      <c r="YM169" s="1137"/>
      <c r="YN169" s="1137"/>
      <c r="YO169" s="1137"/>
      <c r="YP169" s="1137"/>
      <c r="YQ169" s="1137"/>
      <c r="YR169" s="1137"/>
      <c r="YS169" s="1137"/>
      <c r="YT169" s="1137"/>
      <c r="YU169" s="1137"/>
      <c r="YV169" s="1137"/>
      <c r="YW169" s="1137"/>
      <c r="YX169" s="1137"/>
      <c r="YY169" s="1137"/>
      <c r="YZ169" s="1137"/>
      <c r="ZA169" s="1137"/>
      <c r="ZB169" s="1137"/>
      <c r="ZC169" s="1137"/>
      <c r="ZD169" s="1137"/>
      <c r="ZE169" s="1137"/>
      <c r="ZF169" s="1137"/>
      <c r="ZG169" s="1137"/>
      <c r="ZH169" s="1137"/>
      <c r="ZI169" s="1137"/>
      <c r="ZJ169" s="1137"/>
      <c r="ZK169" s="1137"/>
      <c r="ZL169" s="1137"/>
      <c r="ZM169" s="1137"/>
      <c r="ZN169" s="1137"/>
      <c r="ZO169" s="1137"/>
      <c r="ZP169" s="1137"/>
      <c r="ZQ169" s="1137"/>
      <c r="ZR169" s="1137"/>
      <c r="ZS169" s="1137"/>
      <c r="ZT169" s="1137"/>
      <c r="ZU169" s="1137"/>
      <c r="ZV169" s="1137"/>
      <c r="ZW169" s="1137"/>
      <c r="ZX169" s="1137"/>
      <c r="ZY169" s="1137"/>
      <c r="ZZ169" s="1137"/>
      <c r="AAA169" s="1137"/>
      <c r="AAB169" s="1137"/>
      <c r="AAC169" s="1137"/>
      <c r="AAD169" s="1137"/>
      <c r="AAE169" s="1137"/>
      <c r="AAF169" s="1137"/>
      <c r="AAG169" s="1137"/>
      <c r="AAH169" s="1137"/>
      <c r="AAI169" s="1137"/>
      <c r="AAJ169" s="1137"/>
      <c r="AAK169" s="1137"/>
      <c r="AAL169" s="1137"/>
      <c r="AAM169" s="1137"/>
      <c r="AAN169" s="1137"/>
      <c r="AAO169" s="1137"/>
      <c r="AAP169" s="1137"/>
      <c r="AAQ169" s="1137"/>
      <c r="AAR169" s="1137"/>
      <c r="AAS169" s="1137"/>
      <c r="AAT169" s="1007"/>
      <c r="AAU169" s="962"/>
      <c r="AAV169" s="1059"/>
      <c r="AAW169" s="1059"/>
      <c r="AAX169" s="1059"/>
      <c r="AAY169" s="1059"/>
      <c r="AAZ169" s="1059"/>
      <c r="ABA169" s="1059"/>
      <c r="ABB169" s="963"/>
      <c r="ABC169" s="162"/>
      <c r="ABD169" s="158"/>
      <c r="ABE169" s="158"/>
      <c r="ABF169" s="158"/>
      <c r="ABG169" s="158"/>
      <c r="ABH169" s="158"/>
      <c r="ABI169" s="158"/>
      <c r="ABJ169" s="158"/>
      <c r="ABK169" s="158"/>
      <c r="ABL169" s="158"/>
      <c r="ABM169" s="158"/>
      <c r="ABN169" s="158"/>
      <c r="ABO169" s="158"/>
      <c r="ABP169" s="163"/>
      <c r="ABQ169" s="653"/>
      <c r="ABR169" s="653"/>
      <c r="ABS169" s="162"/>
      <c r="ABT169" s="158"/>
      <c r="ABU169" s="158"/>
      <c r="ABV169" s="158"/>
      <c r="ABW169" s="158"/>
      <c r="ABX169" s="158"/>
      <c r="ABY169" s="158"/>
      <c r="ABZ169" s="158"/>
      <c r="ACA169" s="158"/>
      <c r="ACB169" s="158"/>
      <c r="ACC169" s="158"/>
      <c r="ACD169" s="158"/>
      <c r="ACE169" s="158"/>
      <c r="ACF169" s="158"/>
      <c r="ACG169" s="158"/>
      <c r="ACH169" s="163"/>
      <c r="ACJ169" s="759">
        <v>-3.125E-2</v>
      </c>
      <c r="ACK169" s="760"/>
      <c r="ACL169" s="759">
        <v>1</v>
      </c>
      <c r="ACM169" s="760"/>
      <c r="ACN169" s="591">
        <v>16</v>
      </c>
      <c r="ACO169" s="759">
        <f t="shared" si="194"/>
        <v>0.996</v>
      </c>
      <c r="ACP169" s="760"/>
      <c r="ACQ169" s="757">
        <f t="shared" si="195"/>
        <v>0.128</v>
      </c>
      <c r="ACR169" s="758"/>
      <c r="ACT169" s="759">
        <v>-3.125E-2</v>
      </c>
      <c r="ACU169" s="760"/>
      <c r="ACV169" s="759">
        <v>1</v>
      </c>
      <c r="ACW169" s="760"/>
      <c r="ACX169" s="591">
        <v>66</v>
      </c>
      <c r="ACY169" s="759">
        <f t="shared" si="196"/>
        <v>0.98350000000000004</v>
      </c>
      <c r="ACZ169" s="760"/>
      <c r="ADA169" s="757">
        <f t="shared" si="197"/>
        <v>0.52800000000000002</v>
      </c>
      <c r="ADB169" s="758"/>
      <c r="ADD169" s="759">
        <v>-8.3333333333333398E-2</v>
      </c>
      <c r="ADE169" s="760"/>
      <c r="ADF169" s="759">
        <v>1.0416666666666701</v>
      </c>
      <c r="ADG169" s="760"/>
      <c r="ADH169" s="592">
        <v>116</v>
      </c>
      <c r="ADI169" s="759">
        <f t="shared" si="198"/>
        <v>0.96433333333333671</v>
      </c>
      <c r="ADJ169" s="760"/>
      <c r="ADK169" s="757">
        <f t="shared" si="199"/>
        <v>0.92800000000000005</v>
      </c>
      <c r="ADL169" s="758"/>
      <c r="ADN169" s="759">
        <v>-0.14285714285714299</v>
      </c>
      <c r="ADO169" s="760"/>
      <c r="ADP169" s="759">
        <v>1.1071428571428601</v>
      </c>
      <c r="ADQ169" s="760"/>
      <c r="ADR169" s="592">
        <v>166</v>
      </c>
      <c r="ADS169" s="759">
        <f t="shared" si="200"/>
        <v>0.91742857142857415</v>
      </c>
      <c r="ADT169" s="760"/>
      <c r="ADU169" s="757">
        <f t="shared" si="201"/>
        <v>1.3280000000000001</v>
      </c>
      <c r="ADV169" s="758"/>
      <c r="ADX169" s="759">
        <v>-0.33333333333333259</v>
      </c>
      <c r="ADY169" s="760"/>
      <c r="ADZ169" s="759">
        <v>1.4166666666666654</v>
      </c>
      <c r="AEA169" s="760"/>
      <c r="AEB169" s="592">
        <v>216</v>
      </c>
      <c r="AEC169" s="759">
        <f t="shared" si="202"/>
        <v>0.84066666666666667</v>
      </c>
      <c r="AED169" s="760"/>
      <c r="AEE169" s="757">
        <f t="shared" si="203"/>
        <v>1.728</v>
      </c>
      <c r="AEF169" s="758"/>
      <c r="AEH169" s="759">
        <v>-0.33333333333333298</v>
      </c>
      <c r="AEI169" s="760"/>
      <c r="AEJ169" s="759">
        <v>1.4166666666666701</v>
      </c>
      <c r="AEK169" s="760"/>
      <c r="AEL169" s="592">
        <v>266</v>
      </c>
      <c r="AEM169" s="759">
        <f t="shared" si="204"/>
        <v>0.70733333333333748</v>
      </c>
      <c r="AEN169" s="760"/>
      <c r="AEO169" s="757">
        <f t="shared" si="205"/>
        <v>2.1280000000000001</v>
      </c>
      <c r="AEP169" s="758"/>
      <c r="AER169" s="759">
        <v>-0.249999999999999</v>
      </c>
      <c r="AES169" s="760"/>
      <c r="AET169" s="759">
        <v>1.2250000000000001</v>
      </c>
      <c r="AEU169" s="760"/>
      <c r="AEV169" s="592">
        <v>316</v>
      </c>
      <c r="AEW169" s="759">
        <f t="shared" si="206"/>
        <v>0.59300000000000264</v>
      </c>
      <c r="AEX169" s="760"/>
      <c r="AEY169" s="757">
        <f t="shared" si="207"/>
        <v>2.528</v>
      </c>
      <c r="AEZ169" s="758"/>
      <c r="AFB169" s="759">
        <v>-0.1</v>
      </c>
      <c r="AFC169" s="760"/>
      <c r="AFD169" s="759">
        <v>0.82</v>
      </c>
      <c r="AFE169" s="760"/>
      <c r="AFF169" s="591">
        <v>366</v>
      </c>
      <c r="AFG169" s="759">
        <f t="shared" si="208"/>
        <v>0.52719999999999989</v>
      </c>
      <c r="AFH169" s="760"/>
      <c r="AFI169" s="757">
        <f t="shared" si="209"/>
        <v>2.9279999999999999</v>
      </c>
      <c r="AFJ169" s="758"/>
      <c r="AFK169" s="653"/>
      <c r="AFL169" s="759">
        <v>-0.25</v>
      </c>
      <c r="AFM169" s="760"/>
      <c r="AFN169" s="759">
        <v>1.3</v>
      </c>
      <c r="AFO169" s="760"/>
      <c r="AFP169" s="592">
        <v>416</v>
      </c>
      <c r="AFQ169" s="759">
        <f t="shared" si="210"/>
        <v>0.46799999999999997</v>
      </c>
      <c r="AFR169" s="760"/>
      <c r="AFS169" s="757">
        <f t="shared" si="211"/>
        <v>3.3280000000000003</v>
      </c>
      <c r="AFT169" s="758"/>
      <c r="AFU169" s="653"/>
      <c r="AFV169" s="759">
        <v>-0.125</v>
      </c>
      <c r="AFW169" s="760"/>
      <c r="AFX169" s="759">
        <v>0.875</v>
      </c>
      <c r="AFY169" s="760"/>
      <c r="AFZ169" s="591">
        <v>466</v>
      </c>
      <c r="AGA169" s="759">
        <f t="shared" si="212"/>
        <v>0.40899999999999997</v>
      </c>
      <c r="AGB169" s="760"/>
      <c r="AGC169" s="757">
        <f t="shared" si="213"/>
        <v>3.7280000000000002</v>
      </c>
      <c r="AGD169" s="758"/>
      <c r="AGL169" s="1052"/>
      <c r="AGM169" s="1407" t="s">
        <v>1322</v>
      </c>
      <c r="AGN169" s="1407"/>
      <c r="AGO169" s="761">
        <f>$ND$129</f>
        <v>1</v>
      </c>
      <c r="AGP169" s="761"/>
      <c r="AGQ169" s="447" t="s">
        <v>1069</v>
      </c>
      <c r="AGR169" s="937">
        <f>$CI$79</f>
        <v>0.95799999999999996</v>
      </c>
      <c r="AGS169" s="937"/>
      <c r="AGT169" s="823"/>
      <c r="AGU169" s="824"/>
      <c r="AGV169" s="824"/>
      <c r="AGW169" s="824"/>
      <c r="AGX169" s="824"/>
      <c r="AGY169" s="824"/>
      <c r="AGZ169" s="1049"/>
      <c r="AHA169" s="837"/>
      <c r="AHB169" s="838"/>
      <c r="AHC169" s="1355"/>
      <c r="AHD169" s="1356"/>
      <c r="AHE169" s="1067"/>
      <c r="AHF169" s="1173"/>
      <c r="AHG169" s="1175"/>
      <c r="AHH169" s="848"/>
      <c r="AHI169" s="1052"/>
      <c r="AHJ169" s="1052"/>
      <c r="AHK169" s="1052"/>
      <c r="AHL169" s="1052"/>
      <c r="AHM169" s="1052"/>
      <c r="AHN169" s="1052"/>
      <c r="AHO169" s="1052"/>
      <c r="AHP169" s="1052"/>
      <c r="AHQ169" s="1052"/>
      <c r="AHR169" s="1052"/>
      <c r="AHS169" s="1052"/>
      <c r="AHT169" s="1052"/>
      <c r="AHU169" s="1052"/>
      <c r="AHV169" s="1052"/>
      <c r="AHW169" s="1052"/>
      <c r="AHX169" s="1052"/>
      <c r="AIJ169" s="130"/>
      <c r="AIK169" s="130"/>
      <c r="AIL169" s="130"/>
      <c r="AIM169" s="130"/>
      <c r="AIN169" s="130"/>
      <c r="AIO169" s="130"/>
      <c r="AIP169" s="130"/>
      <c r="AIQ169" s="130"/>
      <c r="AIR169" s="130"/>
      <c r="AIS169" s="130"/>
      <c r="AIT169" s="130"/>
      <c r="AIU169" s="130"/>
      <c r="AIV169" s="130"/>
      <c r="AIW169" s="130"/>
      <c r="AIX169" s="130"/>
      <c r="AIY169" s="130"/>
      <c r="AIZ169" s="130"/>
      <c r="ARU169" s="197" t="s">
        <v>849</v>
      </c>
      <c r="ARV169" s="852" t="s">
        <v>416</v>
      </c>
      <c r="ARW169" s="853"/>
      <c r="ARX169" s="142"/>
      <c r="ARY169" s="78"/>
      <c r="ARZ169" s="78"/>
      <c r="ASA169" s="78"/>
      <c r="ASB169" s="78"/>
      <c r="ASC169" s="78"/>
      <c r="ASD169" s="78"/>
      <c r="ASE169" s="142"/>
      <c r="ASF169" s="76" t="s">
        <v>441</v>
      </c>
      <c r="ASG169" s="854" t="s">
        <v>435</v>
      </c>
      <c r="ASH169" s="855"/>
      <c r="ASI169" s="920" t="s">
        <v>111</v>
      </c>
      <c r="ASJ169" s="921"/>
      <c r="ASK169" s="916" t="s">
        <v>704</v>
      </c>
      <c r="ASL169" s="917"/>
      <c r="ASM169" s="906" t="s">
        <v>447</v>
      </c>
      <c r="ASN169" s="907"/>
      <c r="ASO169" s="907"/>
      <c r="ASP169" s="908"/>
    </row>
    <row r="170" spans="249:948 1165:1221" ht="48" customHeight="1" thickBot="1">
      <c r="MB170" s="897" t="s">
        <v>973</v>
      </c>
      <c r="MC170" s="898"/>
      <c r="MD170" s="899"/>
      <c r="ME170" s="76" t="s">
        <v>1654</v>
      </c>
      <c r="MF170" s="852" t="s">
        <v>416</v>
      </c>
      <c r="MG170" s="853"/>
      <c r="MH170" s="344"/>
      <c r="MI170" s="78"/>
      <c r="MJ170" s="78"/>
      <c r="MK170" s="78"/>
      <c r="ML170" s="78"/>
      <c r="MM170" s="78"/>
      <c r="MN170" s="78"/>
      <c r="MO170" s="344"/>
      <c r="MP170" s="76" t="s">
        <v>441</v>
      </c>
      <c r="MQ170" s="854" t="s">
        <v>435</v>
      </c>
      <c r="MR170" s="855"/>
      <c r="MS170" s="920" t="s">
        <v>111</v>
      </c>
      <c r="MT170" s="921"/>
      <c r="MU170" s="916" t="s">
        <v>704</v>
      </c>
      <c r="MV170" s="917"/>
      <c r="MW170" s="906" t="s">
        <v>447</v>
      </c>
      <c r="MX170" s="907"/>
      <c r="MY170" s="907"/>
      <c r="MZ170" s="908"/>
      <c r="NA170" s="906" t="s">
        <v>436</v>
      </c>
      <c r="NB170" s="907"/>
      <c r="NC170" s="908"/>
      <c r="ND170" s="130"/>
      <c r="NE170" s="130"/>
      <c r="NF170" s="130"/>
      <c r="NG170" s="130"/>
      <c r="PN170" s="466"/>
      <c r="PO170" s="852" t="s">
        <v>1519</v>
      </c>
      <c r="PP170" s="923"/>
      <c r="PQ170" s="466"/>
      <c r="PR170" s="1069" t="s">
        <v>121</v>
      </c>
      <c r="PS170" s="1070"/>
      <c r="PT170" s="1070"/>
      <c r="PU170" s="1070"/>
      <c r="PV170" s="1070"/>
      <c r="PW170" s="1070"/>
      <c r="PX170" s="1070"/>
      <c r="PY170" s="1070"/>
      <c r="PZ170" s="1070"/>
      <c r="QA170" s="1070"/>
      <c r="QB170" s="1071"/>
      <c r="QC170" s="466"/>
      <c r="QL170" s="130"/>
      <c r="QM170" s="130"/>
      <c r="QN170" s="130"/>
      <c r="QO170" s="130"/>
      <c r="QP170" s="130"/>
      <c r="QQ170" s="130"/>
      <c r="QR170" s="130"/>
      <c r="QS170" s="130"/>
      <c r="QT170" s="130"/>
      <c r="QU170" s="130"/>
      <c r="QV170" s="130"/>
      <c r="QW170" s="130"/>
      <c r="WE170" s="752">
        <v>21</v>
      </c>
      <c r="WF170" s="753"/>
      <c r="WG170" s="800" t="s">
        <v>1345</v>
      </c>
      <c r="WH170" s="982"/>
      <c r="WI170" s="982"/>
      <c r="WJ170" s="801"/>
      <c r="WK170" s="761">
        <f>$GP$57</f>
        <v>1.5</v>
      </c>
      <c r="WL170" s="761"/>
      <c r="WM170" s="696" t="s">
        <v>1019</v>
      </c>
      <c r="WN170" s="890">
        <f>$GM$24</f>
        <v>1.4419426086956524E-2</v>
      </c>
      <c r="WO170" s="890"/>
      <c r="WP170" s="168"/>
      <c r="WQ170" s="168"/>
      <c r="WR170" s="168"/>
      <c r="WS170" s="168"/>
      <c r="WT170" s="168"/>
      <c r="WU170" s="168"/>
      <c r="WV170" s="168"/>
      <c r="WW170" s="168"/>
      <c r="WX170" s="168"/>
      <c r="WY170" s="171"/>
      <c r="WZ170" s="1044" t="s">
        <v>45</v>
      </c>
      <c r="XA170" s="1044"/>
      <c r="XB170" s="167"/>
      <c r="XC170" s="168"/>
      <c r="XD170" s="168"/>
      <c r="XE170" s="168"/>
      <c r="XF170" s="171"/>
      <c r="XG170" s="1020">
        <f>($WN$170*1000-$WK$170)*(1-XG166)</f>
        <v>0.5145060506114143</v>
      </c>
      <c r="XH170" s="1020">
        <f t="shared" ref="XH170:ZS170" si="242">($WN$170*1000-$WK$170)*(1-XH166)</f>
        <v>0.56436696066576209</v>
      </c>
      <c r="XI170" s="1020">
        <f t="shared" si="242"/>
        <v>0.61422787072010987</v>
      </c>
      <c r="XJ170" s="1020">
        <f t="shared" si="242"/>
        <v>0.66408878077445777</v>
      </c>
      <c r="XK170" s="1020">
        <f t="shared" si="242"/>
        <v>0.70148446331521785</v>
      </c>
      <c r="XL170" s="1020">
        <f t="shared" si="242"/>
        <v>0.75134537336956564</v>
      </c>
      <c r="XM170" s="1020">
        <f t="shared" si="242"/>
        <v>0.78874105591032728</v>
      </c>
      <c r="XN170" s="1020">
        <f t="shared" si="242"/>
        <v>0.82613673845108737</v>
      </c>
      <c r="XO170" s="1020">
        <f t="shared" si="242"/>
        <v>0.86353242099184901</v>
      </c>
      <c r="XP170" s="1020">
        <f t="shared" si="242"/>
        <v>0.9009281035326091</v>
      </c>
      <c r="XQ170" s="1020">
        <f t="shared" si="242"/>
        <v>0.93832378607337075</v>
      </c>
      <c r="XR170" s="1020">
        <f t="shared" si="242"/>
        <v>0.97571946861413084</v>
      </c>
      <c r="XS170" s="1020">
        <f t="shared" si="242"/>
        <v>1.0131151511548924</v>
      </c>
      <c r="XT170" s="1020">
        <f t="shared" si="242"/>
        <v>1.0380456061820664</v>
      </c>
      <c r="XU170" s="1020">
        <f t="shared" si="242"/>
        <v>1.0754412887228264</v>
      </c>
      <c r="XV170" s="1020">
        <f t="shared" si="242"/>
        <v>1.1003717437500005</v>
      </c>
      <c r="XW170" s="1020">
        <f t="shared" si="242"/>
        <v>1.137767426290762</v>
      </c>
      <c r="XX170" s="1020">
        <f t="shared" si="242"/>
        <v>1.1626978813179358</v>
      </c>
      <c r="XY170" s="1020">
        <f t="shared" si="242"/>
        <v>1.1876283363451099</v>
      </c>
      <c r="XZ170" s="1020">
        <f t="shared" si="242"/>
        <v>1.2125587913722837</v>
      </c>
      <c r="YA170" s="1020">
        <f t="shared" si="242"/>
        <v>1.2250240188858699</v>
      </c>
      <c r="YB170" s="1020">
        <f t="shared" si="242"/>
        <v>1.2499544739130439</v>
      </c>
      <c r="YC170" s="1020">
        <f t="shared" si="242"/>
        <v>1.2748849289402178</v>
      </c>
      <c r="YD170" s="1020">
        <f t="shared" si="242"/>
        <v>1.2873501564538055</v>
      </c>
      <c r="YE170" s="1020">
        <f t="shared" si="242"/>
        <v>1.3420053847826083</v>
      </c>
      <c r="YF170" s="1020">
        <f t="shared" si="242"/>
        <v>1.3726890217391303</v>
      </c>
      <c r="YG170" s="1020">
        <f t="shared" si="242"/>
        <v>1.4033726586956521</v>
      </c>
      <c r="YH170" s="1020">
        <f t="shared" si="242"/>
        <v>1.4340562956521741</v>
      </c>
      <c r="YI170" s="1020">
        <f t="shared" si="242"/>
        <v>1.4647399326086961</v>
      </c>
      <c r="YJ170" s="1020">
        <f t="shared" si="242"/>
        <v>1.495423569565218</v>
      </c>
      <c r="YK170" s="1020">
        <f t="shared" si="242"/>
        <v>1.5261072065217385</v>
      </c>
      <c r="YL170" s="1020">
        <f t="shared" si="242"/>
        <v>1.5261072065217385</v>
      </c>
      <c r="YM170" s="1020">
        <f t="shared" si="242"/>
        <v>1.5567908434782605</v>
      </c>
      <c r="YN170" s="1020">
        <f t="shared" si="242"/>
        <v>1.5874744804347825</v>
      </c>
      <c r="YO170" s="1020">
        <f t="shared" si="242"/>
        <v>1.5874744804347825</v>
      </c>
      <c r="YP170" s="1020">
        <f t="shared" si="242"/>
        <v>1.6181581173913044</v>
      </c>
      <c r="YQ170" s="1020">
        <f t="shared" si="242"/>
        <v>1.6181581173913044</v>
      </c>
      <c r="YR170" s="1020">
        <f t="shared" si="242"/>
        <v>1.6181581173913044</v>
      </c>
      <c r="YS170" s="1020">
        <f t="shared" si="242"/>
        <v>1.6488417543478264</v>
      </c>
      <c r="YT170" s="1020">
        <f t="shared" si="242"/>
        <v>1.6488417543478264</v>
      </c>
      <c r="YU170" s="1020">
        <f t="shared" si="242"/>
        <v>1.6488417543478264</v>
      </c>
      <c r="YV170" s="1020">
        <f t="shared" si="242"/>
        <v>1.6795253913043469</v>
      </c>
      <c r="YW170" s="1020">
        <f t="shared" si="242"/>
        <v>1.6795253913043469</v>
      </c>
      <c r="YX170" s="1020">
        <f t="shared" si="242"/>
        <v>1.6795253913043469</v>
      </c>
      <c r="YY170" s="1020">
        <f t="shared" si="242"/>
        <v>1.6795253913043469</v>
      </c>
      <c r="YZ170" s="1020">
        <f t="shared" si="242"/>
        <v>1.7102090282608688</v>
      </c>
      <c r="ZA170" s="1020">
        <f t="shared" si="242"/>
        <v>1.7102090282608688</v>
      </c>
      <c r="ZB170" s="1020">
        <f t="shared" si="242"/>
        <v>1.7102090282608688</v>
      </c>
      <c r="ZC170" s="1020">
        <f t="shared" si="242"/>
        <v>1.7102090282608688</v>
      </c>
      <c r="ZD170" s="1020">
        <f t="shared" si="242"/>
        <v>1.7102090282608688</v>
      </c>
      <c r="ZE170" s="1020">
        <f t="shared" si="242"/>
        <v>1.7408926652173908</v>
      </c>
      <c r="ZF170" s="1020">
        <f t="shared" si="242"/>
        <v>1.7408926652173908</v>
      </c>
      <c r="ZG170" s="1020">
        <f t="shared" si="242"/>
        <v>1.7408926652173908</v>
      </c>
      <c r="ZH170" s="1020">
        <f t="shared" si="242"/>
        <v>1.7408926652173908</v>
      </c>
      <c r="ZI170" s="1020">
        <f t="shared" si="242"/>
        <v>1.7408926652173908</v>
      </c>
      <c r="ZJ170" s="1020">
        <f t="shared" si="242"/>
        <v>1.7408926652173908</v>
      </c>
      <c r="ZK170" s="1020">
        <f t="shared" si="242"/>
        <v>1.7408926652173908</v>
      </c>
      <c r="ZL170" s="1020">
        <f t="shared" si="242"/>
        <v>1.7715763021739128</v>
      </c>
      <c r="ZM170" s="1020">
        <f t="shared" si="242"/>
        <v>1.7715763021739128</v>
      </c>
      <c r="ZN170" s="1020">
        <f t="shared" si="242"/>
        <v>1.7715763021739128</v>
      </c>
      <c r="ZO170" s="1020">
        <f t="shared" si="242"/>
        <v>1.7715763021739128</v>
      </c>
      <c r="ZP170" s="1020">
        <f t="shared" si="242"/>
        <v>1.7715763021739128</v>
      </c>
      <c r="ZQ170" s="1020">
        <f t="shared" si="242"/>
        <v>1.7715763021739128</v>
      </c>
      <c r="ZR170" s="1020">
        <f t="shared" si="242"/>
        <v>1.7715763021739128</v>
      </c>
      <c r="ZS170" s="1020">
        <f t="shared" si="242"/>
        <v>1.7715763021739128</v>
      </c>
      <c r="ZT170" s="1020">
        <f t="shared" ref="ZT170:AAS170" si="243">($WN$170*1000-$WK$170)*(1-ZT166)</f>
        <v>1.7715763021739128</v>
      </c>
      <c r="ZU170" s="1020">
        <f t="shared" si="243"/>
        <v>1.7715763021739128</v>
      </c>
      <c r="ZV170" s="1020">
        <f t="shared" si="243"/>
        <v>1.7715763021739128</v>
      </c>
      <c r="ZW170" s="1020">
        <f t="shared" si="243"/>
        <v>1.7715763021739128</v>
      </c>
      <c r="ZX170" s="1020">
        <f t="shared" si="243"/>
        <v>1.7715763021739128</v>
      </c>
      <c r="ZY170" s="1020">
        <f t="shared" si="243"/>
        <v>1.8022599391304348</v>
      </c>
      <c r="ZZ170" s="1020">
        <f t="shared" si="243"/>
        <v>1.8022599391304348</v>
      </c>
      <c r="AAA170" s="1020">
        <f t="shared" si="243"/>
        <v>1.8022599391304348</v>
      </c>
      <c r="AAB170" s="1020">
        <f t="shared" si="243"/>
        <v>1.8022599391304348</v>
      </c>
      <c r="AAC170" s="1020">
        <f t="shared" si="243"/>
        <v>1.8022599391304348</v>
      </c>
      <c r="AAD170" s="1020">
        <f t="shared" si="243"/>
        <v>1.8022599391304348</v>
      </c>
      <c r="AAE170" s="1020">
        <f t="shared" si="243"/>
        <v>1.8022599391304348</v>
      </c>
      <c r="AAF170" s="1020">
        <f t="shared" si="243"/>
        <v>1.8022599391304348</v>
      </c>
      <c r="AAG170" s="1020">
        <f t="shared" si="243"/>
        <v>1.8022599391304348</v>
      </c>
      <c r="AAH170" s="1020">
        <f t="shared" si="243"/>
        <v>1.8022599391304348</v>
      </c>
      <c r="AAI170" s="1020">
        <f t="shared" si="243"/>
        <v>1.8022599391304348</v>
      </c>
      <c r="AAJ170" s="1020">
        <f t="shared" si="243"/>
        <v>1.8022599391304348</v>
      </c>
      <c r="AAK170" s="1020">
        <f t="shared" si="243"/>
        <v>1.8022599391304348</v>
      </c>
      <c r="AAL170" s="1020">
        <f t="shared" si="243"/>
        <v>1.8022599391304348</v>
      </c>
      <c r="AAM170" s="1020">
        <f t="shared" si="243"/>
        <v>1.8022599391304348</v>
      </c>
      <c r="AAN170" s="1020">
        <f t="shared" si="243"/>
        <v>1.8022599391304348</v>
      </c>
      <c r="AAO170" s="1020">
        <f t="shared" si="243"/>
        <v>1.8022599391304348</v>
      </c>
      <c r="AAP170" s="1020">
        <f t="shared" si="243"/>
        <v>1.8022599391304348</v>
      </c>
      <c r="AAQ170" s="1020">
        <f t="shared" si="243"/>
        <v>1.8022599391304348</v>
      </c>
      <c r="AAR170" s="1020">
        <f t="shared" si="243"/>
        <v>1.8022599391304348</v>
      </c>
      <c r="AAS170" s="1020">
        <f t="shared" si="243"/>
        <v>1.8022599391304348</v>
      </c>
      <c r="AAT170" s="1005">
        <v>21</v>
      </c>
      <c r="AAU170" s="167"/>
      <c r="AAV170" s="168"/>
      <c r="AAW170" s="168"/>
      <c r="AAX170" s="168"/>
      <c r="AAY170" s="168"/>
      <c r="AAZ170" s="168"/>
      <c r="ABA170" s="168"/>
      <c r="ABB170" s="171"/>
      <c r="ABC170" s="162"/>
      <c r="ABD170" s="158"/>
      <c r="ABE170" s="158"/>
      <c r="ABF170" s="158"/>
      <c r="ABG170" s="158"/>
      <c r="ABH170" s="158"/>
      <c r="ABI170" s="158"/>
      <c r="ABJ170" s="158"/>
      <c r="ABK170" s="158"/>
      <c r="ABL170" s="158"/>
      <c r="ABM170" s="158"/>
      <c r="ABN170" s="158"/>
      <c r="ABO170" s="158"/>
      <c r="ABP170" s="163"/>
      <c r="ABQ170" s="653"/>
      <c r="ABR170" s="653"/>
      <c r="ABS170" s="162"/>
      <c r="ABT170" s="158"/>
      <c r="ABU170" s="158"/>
      <c r="ABV170" s="158"/>
      <c r="ABW170" s="158"/>
      <c r="ABX170" s="158"/>
      <c r="ABY170" s="158"/>
      <c r="ABZ170" s="158"/>
      <c r="ACA170" s="158"/>
      <c r="ACB170" s="158"/>
      <c r="ACC170" s="158"/>
      <c r="ACD170" s="158"/>
      <c r="ACE170" s="158"/>
      <c r="ACF170" s="158"/>
      <c r="ACG170" s="158"/>
      <c r="ACH170" s="163"/>
      <c r="ACJ170" s="759">
        <v>-3.125E-2</v>
      </c>
      <c r="ACK170" s="760"/>
      <c r="ACL170" s="759">
        <v>1</v>
      </c>
      <c r="ACM170" s="760"/>
      <c r="ACN170" s="591">
        <v>17</v>
      </c>
      <c r="ACO170" s="759">
        <f t="shared" si="194"/>
        <v>0.99575000000000002</v>
      </c>
      <c r="ACP170" s="760"/>
      <c r="ACQ170" s="757">
        <f t="shared" si="195"/>
        <v>0.13600000000000001</v>
      </c>
      <c r="ACR170" s="758"/>
      <c r="ACT170" s="759">
        <v>-3.125E-2</v>
      </c>
      <c r="ACU170" s="760"/>
      <c r="ACV170" s="759">
        <v>1</v>
      </c>
      <c r="ACW170" s="760"/>
      <c r="ACX170" s="591">
        <v>67</v>
      </c>
      <c r="ACY170" s="759">
        <f t="shared" si="196"/>
        <v>0.98324999999999996</v>
      </c>
      <c r="ACZ170" s="760"/>
      <c r="ADA170" s="757">
        <f t="shared" si="197"/>
        <v>0.53600000000000003</v>
      </c>
      <c r="ADB170" s="758"/>
      <c r="ADD170" s="759">
        <v>-8.3333333333333398E-2</v>
      </c>
      <c r="ADE170" s="760"/>
      <c r="ADF170" s="759">
        <v>1.0416666666666701</v>
      </c>
      <c r="ADG170" s="760"/>
      <c r="ADH170" s="592">
        <v>117</v>
      </c>
      <c r="ADI170" s="759">
        <f t="shared" si="198"/>
        <v>0.96366666666667</v>
      </c>
      <c r="ADJ170" s="760"/>
      <c r="ADK170" s="757">
        <f t="shared" si="199"/>
        <v>0.93600000000000005</v>
      </c>
      <c r="ADL170" s="758"/>
      <c r="ADN170" s="759">
        <v>-0.14285714285714299</v>
      </c>
      <c r="ADO170" s="760"/>
      <c r="ADP170" s="759">
        <v>1.1071428571428601</v>
      </c>
      <c r="ADQ170" s="760"/>
      <c r="ADR170" s="592">
        <v>167</v>
      </c>
      <c r="ADS170" s="759">
        <f t="shared" si="200"/>
        <v>0.91628571428571703</v>
      </c>
      <c r="ADT170" s="760"/>
      <c r="ADU170" s="757">
        <f t="shared" si="201"/>
        <v>1.3360000000000001</v>
      </c>
      <c r="ADV170" s="758"/>
      <c r="ADX170" s="759">
        <v>-0.33333333333333259</v>
      </c>
      <c r="ADY170" s="760"/>
      <c r="ADZ170" s="759">
        <v>1.4166666666666654</v>
      </c>
      <c r="AEA170" s="760"/>
      <c r="AEB170" s="592">
        <v>217</v>
      </c>
      <c r="AEC170" s="759">
        <f t="shared" si="202"/>
        <v>0.83800000000000008</v>
      </c>
      <c r="AED170" s="760"/>
      <c r="AEE170" s="757">
        <f t="shared" si="203"/>
        <v>1.736</v>
      </c>
      <c r="AEF170" s="758"/>
      <c r="AEH170" s="759">
        <v>-0.33333333333333298</v>
      </c>
      <c r="AEI170" s="760"/>
      <c r="AEJ170" s="759">
        <v>1.4166666666666701</v>
      </c>
      <c r="AEK170" s="760"/>
      <c r="AEL170" s="592">
        <v>267</v>
      </c>
      <c r="AEM170" s="759">
        <f t="shared" si="204"/>
        <v>0.70466666666667077</v>
      </c>
      <c r="AEN170" s="760"/>
      <c r="AEO170" s="757">
        <f t="shared" si="205"/>
        <v>2.1360000000000001</v>
      </c>
      <c r="AEP170" s="758"/>
      <c r="AER170" s="759">
        <v>-0.249999999999999</v>
      </c>
      <c r="AES170" s="760"/>
      <c r="AET170" s="759">
        <v>1.2250000000000001</v>
      </c>
      <c r="AEU170" s="760"/>
      <c r="AEV170" s="592">
        <v>317</v>
      </c>
      <c r="AEW170" s="759">
        <f t="shared" si="206"/>
        <v>0.59100000000000263</v>
      </c>
      <c r="AEX170" s="760"/>
      <c r="AEY170" s="757">
        <f t="shared" si="207"/>
        <v>2.536</v>
      </c>
      <c r="AEZ170" s="758"/>
      <c r="AFB170" s="759">
        <v>-0.1</v>
      </c>
      <c r="AFC170" s="760"/>
      <c r="AFD170" s="759">
        <v>0.82</v>
      </c>
      <c r="AFE170" s="760"/>
      <c r="AFF170" s="591">
        <v>367</v>
      </c>
      <c r="AFG170" s="759">
        <f t="shared" si="208"/>
        <v>0.52639999999999998</v>
      </c>
      <c r="AFH170" s="760"/>
      <c r="AFI170" s="757">
        <f t="shared" si="209"/>
        <v>2.9359999999999999</v>
      </c>
      <c r="AFJ170" s="758"/>
      <c r="AFL170" s="759">
        <v>-0.25</v>
      </c>
      <c r="AFM170" s="760"/>
      <c r="AFN170" s="759">
        <v>1.3</v>
      </c>
      <c r="AFO170" s="760"/>
      <c r="AFP170" s="592">
        <v>417</v>
      </c>
      <c r="AFQ170" s="759">
        <f t="shared" si="210"/>
        <v>0.46600000000000008</v>
      </c>
      <c r="AFR170" s="760"/>
      <c r="AFS170" s="757">
        <f t="shared" si="211"/>
        <v>3.3359999999999999</v>
      </c>
      <c r="AFT170" s="758"/>
      <c r="AFV170" s="759">
        <v>-0.125</v>
      </c>
      <c r="AFW170" s="760"/>
      <c r="AFX170" s="759">
        <v>0.875</v>
      </c>
      <c r="AFY170" s="760"/>
      <c r="AFZ170" s="591">
        <v>467</v>
      </c>
      <c r="AGA170" s="759">
        <f t="shared" si="212"/>
        <v>0.40799999999999997</v>
      </c>
      <c r="AGB170" s="760"/>
      <c r="AGC170" s="757">
        <f t="shared" si="213"/>
        <v>3.7360000000000002</v>
      </c>
      <c r="AGD170" s="758"/>
      <c r="AGL170" s="1053"/>
      <c r="AGM170" s="1163" t="s">
        <v>1485</v>
      </c>
      <c r="AGN170" s="1163"/>
      <c r="AGO170" s="1187">
        <f>$AHC$162</f>
        <v>1</v>
      </c>
      <c r="AGP170" s="1187"/>
      <c r="AGQ170" s="446" t="s">
        <v>1493</v>
      </c>
      <c r="AGR170" s="774">
        <f>$CL$87</f>
        <v>1</v>
      </c>
      <c r="AGS170" s="774"/>
      <c r="AGT170" s="794"/>
      <c r="AGU170" s="795"/>
      <c r="AGV170" s="795"/>
      <c r="AGW170" s="795"/>
      <c r="AGX170" s="795"/>
      <c r="AGY170" s="795"/>
      <c r="AGZ170" s="796"/>
      <c r="AHA170" s="456" t="s">
        <v>1106</v>
      </c>
      <c r="AHB170" s="1479">
        <f>$CO$28</f>
        <v>48</v>
      </c>
      <c r="AHC170" s="1479"/>
      <c r="AHD170" s="457" t="s">
        <v>1070</v>
      </c>
      <c r="AHE170" s="1573">
        <f>$GU$16</f>
        <v>46</v>
      </c>
      <c r="AHF170" s="1573"/>
      <c r="AHG170" s="205"/>
      <c r="AHH170" s="390"/>
      <c r="AHI170" s="1053"/>
      <c r="AHJ170" s="1053"/>
      <c r="AHK170" s="1053"/>
      <c r="AHL170" s="1053"/>
      <c r="AHM170" s="1053"/>
      <c r="AHN170" s="1053"/>
      <c r="AHO170" s="1053"/>
      <c r="AHP170" s="1053"/>
      <c r="AHQ170" s="1053"/>
      <c r="AHR170" s="1053"/>
      <c r="AHS170" s="1053"/>
      <c r="AHT170" s="1053"/>
      <c r="AHU170" s="1053"/>
      <c r="AHV170" s="1053"/>
      <c r="AHW170" s="1053"/>
      <c r="AHX170" s="1053"/>
      <c r="AIC170" s="130"/>
      <c r="AID170" s="130"/>
      <c r="AIE170" s="130"/>
      <c r="AIF170" s="130"/>
      <c r="AIG170" s="130"/>
      <c r="AIJ170" s="130"/>
      <c r="AIK170" s="130"/>
      <c r="AIL170" s="130"/>
      <c r="AIM170" s="130"/>
      <c r="AIN170" s="130"/>
      <c r="AIO170" s="130"/>
      <c r="AIP170" s="130"/>
      <c r="AIQ170" s="130"/>
      <c r="AIR170" s="130"/>
      <c r="AIS170" s="130"/>
      <c r="AIT170" s="130"/>
      <c r="AIU170" s="130"/>
      <c r="AIV170" s="130"/>
      <c r="AIW170" s="130"/>
      <c r="AIX170" s="130"/>
      <c r="AIY170" s="130"/>
      <c r="AIZ170" s="130"/>
      <c r="ARU170" s="849"/>
      <c r="ARV170" s="957" t="s">
        <v>932</v>
      </c>
      <c r="ARW170" s="957"/>
      <c r="ARX170" s="957"/>
      <c r="ARY170" s="957"/>
      <c r="ARZ170" s="957"/>
      <c r="ASA170" s="957"/>
      <c r="ASB170" s="957"/>
      <c r="ASC170" s="957"/>
      <c r="ASD170" s="957"/>
      <c r="ASE170" s="957"/>
      <c r="ASF170" s="957"/>
      <c r="ASG170" s="957"/>
      <c r="ASH170" s="957"/>
      <c r="ASI170" s="835" t="e">
        <f>ASI187*ASM62/(1100*ATW131)</f>
        <v>#REF!</v>
      </c>
      <c r="ASJ170" s="836"/>
      <c r="ASK170" s="839"/>
      <c r="ASL170" s="840"/>
      <c r="ASM170" s="841"/>
      <c r="ASN170" s="843" t="s">
        <v>416</v>
      </c>
      <c r="ASO170" s="844"/>
      <c r="ASP170" s="847"/>
    </row>
    <row r="171" spans="249:948 1165:1221" ht="48" customHeight="1" thickBot="1">
      <c r="MB171" s="900"/>
      <c r="MC171" s="901"/>
      <c r="MD171" s="902"/>
      <c r="ME171" s="849"/>
      <c r="MF171" s="791" t="s">
        <v>1311</v>
      </c>
      <c r="MG171" s="792"/>
      <c r="MH171" s="792"/>
      <c r="MI171" s="792"/>
      <c r="MJ171" s="792"/>
      <c r="MK171" s="792"/>
      <c r="ML171" s="792"/>
      <c r="MM171" s="792"/>
      <c r="MN171" s="792"/>
      <c r="MO171" s="792"/>
      <c r="MP171" s="792"/>
      <c r="MQ171" s="792"/>
      <c r="MR171" s="793"/>
      <c r="MS171" s="835">
        <f>1.42</f>
        <v>1.42</v>
      </c>
      <c r="MT171" s="836"/>
      <c r="MU171" s="1183" t="s">
        <v>729</v>
      </c>
      <c r="MV171" s="1184"/>
      <c r="MW171" s="1066"/>
      <c r="MX171" s="893" t="s">
        <v>1274</v>
      </c>
      <c r="MY171" s="894"/>
      <c r="MZ171" s="847"/>
      <c r="NA171" s="1203" t="s">
        <v>1678</v>
      </c>
      <c r="NB171" s="1275"/>
      <c r="NC171" s="1204"/>
      <c r="ND171" s="130"/>
      <c r="NE171" s="387" t="s">
        <v>425</v>
      </c>
      <c r="NF171" s="890">
        <f>$ML$111</f>
        <v>1</v>
      </c>
      <c r="NG171" s="890"/>
      <c r="NH171" s="130"/>
      <c r="NI171" s="130"/>
      <c r="NJ171" s="130"/>
      <c r="NK171" s="130"/>
      <c r="QN171" s="130"/>
      <c r="QO171" s="130"/>
      <c r="QP171" s="130"/>
      <c r="QQ171" s="130"/>
      <c r="QR171" s="130"/>
      <c r="QS171" s="130"/>
      <c r="QT171" s="130"/>
      <c r="QU171" s="130"/>
      <c r="QV171" s="130"/>
      <c r="WE171" s="754"/>
      <c r="WF171" s="755"/>
      <c r="WG171" s="169"/>
      <c r="WH171" s="170"/>
      <c r="WI171" s="170"/>
      <c r="WJ171" s="170"/>
      <c r="WK171" s="170"/>
      <c r="WL171" s="170"/>
      <c r="WM171" s="170"/>
      <c r="WN171" s="170"/>
      <c r="WO171" s="170"/>
      <c r="WP171" s="170"/>
      <c r="WQ171" s="170"/>
      <c r="WR171" s="170"/>
      <c r="WS171" s="170"/>
      <c r="WT171" s="170"/>
      <c r="WU171" s="170"/>
      <c r="WV171" s="170"/>
      <c r="WW171" s="170"/>
      <c r="WX171" s="170"/>
      <c r="WY171" s="172"/>
      <c r="WZ171" s="1044"/>
      <c r="XA171" s="1044"/>
      <c r="XB171" s="169"/>
      <c r="XC171" s="170"/>
      <c r="XD171" s="170"/>
      <c r="XE171" s="170"/>
      <c r="XF171" s="172"/>
      <c r="XG171" s="1022"/>
      <c r="XH171" s="1022"/>
      <c r="XI171" s="1022"/>
      <c r="XJ171" s="1022"/>
      <c r="XK171" s="1022"/>
      <c r="XL171" s="1022"/>
      <c r="XM171" s="1022"/>
      <c r="XN171" s="1022"/>
      <c r="XO171" s="1022"/>
      <c r="XP171" s="1022"/>
      <c r="XQ171" s="1022"/>
      <c r="XR171" s="1022"/>
      <c r="XS171" s="1022"/>
      <c r="XT171" s="1022"/>
      <c r="XU171" s="1022"/>
      <c r="XV171" s="1022"/>
      <c r="XW171" s="1022"/>
      <c r="XX171" s="1022"/>
      <c r="XY171" s="1022"/>
      <c r="XZ171" s="1022"/>
      <c r="YA171" s="1022"/>
      <c r="YB171" s="1022"/>
      <c r="YC171" s="1022"/>
      <c r="YD171" s="1022"/>
      <c r="YE171" s="1022"/>
      <c r="YF171" s="1022"/>
      <c r="YG171" s="1022"/>
      <c r="YH171" s="1022"/>
      <c r="YI171" s="1022"/>
      <c r="YJ171" s="1022"/>
      <c r="YK171" s="1022"/>
      <c r="YL171" s="1022"/>
      <c r="YM171" s="1022"/>
      <c r="YN171" s="1022"/>
      <c r="YO171" s="1022"/>
      <c r="YP171" s="1022"/>
      <c r="YQ171" s="1022"/>
      <c r="YR171" s="1022"/>
      <c r="YS171" s="1022"/>
      <c r="YT171" s="1022"/>
      <c r="YU171" s="1022"/>
      <c r="YV171" s="1022"/>
      <c r="YW171" s="1022"/>
      <c r="YX171" s="1022"/>
      <c r="YY171" s="1022"/>
      <c r="YZ171" s="1022"/>
      <c r="ZA171" s="1022"/>
      <c r="ZB171" s="1022"/>
      <c r="ZC171" s="1022"/>
      <c r="ZD171" s="1022"/>
      <c r="ZE171" s="1022"/>
      <c r="ZF171" s="1022"/>
      <c r="ZG171" s="1022"/>
      <c r="ZH171" s="1022"/>
      <c r="ZI171" s="1022"/>
      <c r="ZJ171" s="1022"/>
      <c r="ZK171" s="1022"/>
      <c r="ZL171" s="1022"/>
      <c r="ZM171" s="1022"/>
      <c r="ZN171" s="1022"/>
      <c r="ZO171" s="1022"/>
      <c r="ZP171" s="1022"/>
      <c r="ZQ171" s="1022"/>
      <c r="ZR171" s="1022"/>
      <c r="ZS171" s="1022"/>
      <c r="ZT171" s="1022"/>
      <c r="ZU171" s="1022"/>
      <c r="ZV171" s="1022"/>
      <c r="ZW171" s="1022"/>
      <c r="ZX171" s="1022"/>
      <c r="ZY171" s="1022"/>
      <c r="ZZ171" s="1022"/>
      <c r="AAA171" s="1022"/>
      <c r="AAB171" s="1022"/>
      <c r="AAC171" s="1022"/>
      <c r="AAD171" s="1022"/>
      <c r="AAE171" s="1022"/>
      <c r="AAF171" s="1022"/>
      <c r="AAG171" s="1022"/>
      <c r="AAH171" s="1022"/>
      <c r="AAI171" s="1022"/>
      <c r="AAJ171" s="1022"/>
      <c r="AAK171" s="1022"/>
      <c r="AAL171" s="1022"/>
      <c r="AAM171" s="1022"/>
      <c r="AAN171" s="1022"/>
      <c r="AAO171" s="1022"/>
      <c r="AAP171" s="1022"/>
      <c r="AAQ171" s="1022"/>
      <c r="AAR171" s="1022"/>
      <c r="AAS171" s="1022"/>
      <c r="AAT171" s="1007"/>
      <c r="AAU171" s="175"/>
      <c r="AAV171" s="173"/>
      <c r="AAW171" s="173"/>
      <c r="AAX171" s="173"/>
      <c r="AAY171" s="173"/>
      <c r="AAZ171" s="173"/>
      <c r="ABA171" s="173"/>
      <c r="ABB171" s="174"/>
      <c r="ABC171" s="158"/>
      <c r="ABD171" s="158"/>
      <c r="ABE171" s="158"/>
      <c r="ABF171" s="158"/>
      <c r="ABG171" s="158"/>
      <c r="ABH171" s="158"/>
      <c r="ABI171" s="158"/>
      <c r="ABJ171" s="158"/>
      <c r="ABK171" s="158"/>
      <c r="ABL171" s="158"/>
      <c r="ABM171" s="158"/>
      <c r="ABN171" s="158"/>
      <c r="ABO171" s="158"/>
      <c r="ABP171" s="163"/>
      <c r="ABQ171" s="653"/>
      <c r="ABR171" s="653"/>
      <c r="ABS171" s="162"/>
      <c r="ABT171" s="158"/>
      <c r="ABU171" s="158"/>
      <c r="ABV171" s="158"/>
      <c r="ABW171" s="158"/>
      <c r="ABX171" s="158"/>
      <c r="ABY171" s="158"/>
      <c r="ABZ171" s="158"/>
      <c r="ACA171" s="158"/>
      <c r="ACB171" s="158"/>
      <c r="ACC171" s="158"/>
      <c r="ACD171" s="158"/>
      <c r="ACE171" s="158"/>
      <c r="ACF171" s="158"/>
      <c r="ACG171" s="158"/>
      <c r="ACH171" s="163"/>
      <c r="ACJ171" s="759">
        <v>-3.125E-2</v>
      </c>
      <c r="ACK171" s="760"/>
      <c r="ACL171" s="759">
        <v>1</v>
      </c>
      <c r="ACM171" s="760"/>
      <c r="ACN171" s="591">
        <v>18</v>
      </c>
      <c r="ACO171" s="759">
        <f t="shared" si="194"/>
        <v>0.99550000000000005</v>
      </c>
      <c r="ACP171" s="760"/>
      <c r="ACQ171" s="757">
        <f t="shared" si="195"/>
        <v>0.14400000000000002</v>
      </c>
      <c r="ACR171" s="758"/>
      <c r="ACT171" s="759">
        <v>-3.125E-2</v>
      </c>
      <c r="ACU171" s="760"/>
      <c r="ACV171" s="759">
        <v>1</v>
      </c>
      <c r="ACW171" s="760"/>
      <c r="ACX171" s="591">
        <v>68</v>
      </c>
      <c r="ACY171" s="759">
        <f t="shared" si="196"/>
        <v>0.98299999999999998</v>
      </c>
      <c r="ACZ171" s="760"/>
      <c r="ADA171" s="757">
        <f t="shared" si="197"/>
        <v>0.54400000000000004</v>
      </c>
      <c r="ADB171" s="758"/>
      <c r="ADD171" s="759">
        <v>-8.3333333333333398E-2</v>
      </c>
      <c r="ADE171" s="760"/>
      <c r="ADF171" s="759">
        <v>1.0416666666666701</v>
      </c>
      <c r="ADG171" s="760"/>
      <c r="ADH171" s="592">
        <v>118</v>
      </c>
      <c r="ADI171" s="759">
        <f t="shared" si="198"/>
        <v>0.9630000000000033</v>
      </c>
      <c r="ADJ171" s="760"/>
      <c r="ADK171" s="757">
        <f t="shared" si="199"/>
        <v>0.94400000000000006</v>
      </c>
      <c r="ADL171" s="758"/>
      <c r="ADN171" s="759">
        <v>-0.14285714285714299</v>
      </c>
      <c r="ADO171" s="760"/>
      <c r="ADP171" s="759">
        <v>1.1071428571428601</v>
      </c>
      <c r="ADQ171" s="760"/>
      <c r="ADR171" s="592">
        <v>168</v>
      </c>
      <c r="ADS171" s="759">
        <f t="shared" si="200"/>
        <v>0.91514285714285992</v>
      </c>
      <c r="ADT171" s="760"/>
      <c r="ADU171" s="757">
        <f t="shared" si="201"/>
        <v>1.3440000000000001</v>
      </c>
      <c r="ADV171" s="758"/>
      <c r="ADX171" s="759">
        <v>-0.33333333333333259</v>
      </c>
      <c r="ADY171" s="760"/>
      <c r="ADZ171" s="759">
        <v>1.4166666666666654</v>
      </c>
      <c r="AEA171" s="760"/>
      <c r="AEB171" s="592">
        <v>218</v>
      </c>
      <c r="AEC171" s="759">
        <f t="shared" si="202"/>
        <v>0.83533333333333337</v>
      </c>
      <c r="AED171" s="760"/>
      <c r="AEE171" s="757">
        <f t="shared" si="203"/>
        <v>1.744</v>
      </c>
      <c r="AEF171" s="758"/>
      <c r="AEH171" s="759">
        <v>-0.33333333333333298</v>
      </c>
      <c r="AEI171" s="760"/>
      <c r="AEJ171" s="759">
        <v>1.4166666666666701</v>
      </c>
      <c r="AEK171" s="760"/>
      <c r="AEL171" s="592">
        <v>268</v>
      </c>
      <c r="AEM171" s="759">
        <f t="shared" si="204"/>
        <v>0.70200000000000407</v>
      </c>
      <c r="AEN171" s="760"/>
      <c r="AEO171" s="757">
        <f t="shared" si="205"/>
        <v>2.1440000000000001</v>
      </c>
      <c r="AEP171" s="758"/>
      <c r="AER171" s="759">
        <v>-0.249999999999999</v>
      </c>
      <c r="AES171" s="760"/>
      <c r="AET171" s="759">
        <v>1.2250000000000001</v>
      </c>
      <c r="AEU171" s="760"/>
      <c r="AEV171" s="592">
        <v>318</v>
      </c>
      <c r="AEW171" s="759">
        <f t="shared" si="206"/>
        <v>0.58900000000000263</v>
      </c>
      <c r="AEX171" s="760"/>
      <c r="AEY171" s="757">
        <f t="shared" si="207"/>
        <v>2.544</v>
      </c>
      <c r="AEZ171" s="758"/>
      <c r="AFB171" s="759">
        <v>-0.1</v>
      </c>
      <c r="AFC171" s="760"/>
      <c r="AFD171" s="759">
        <v>0.82</v>
      </c>
      <c r="AFE171" s="760"/>
      <c r="AFF171" s="591">
        <v>368</v>
      </c>
      <c r="AFG171" s="759">
        <f t="shared" si="208"/>
        <v>0.52559999999999996</v>
      </c>
      <c r="AFH171" s="760"/>
      <c r="AFI171" s="757">
        <f t="shared" si="209"/>
        <v>2.944</v>
      </c>
      <c r="AFJ171" s="758"/>
      <c r="AFL171" s="759">
        <v>-0.25</v>
      </c>
      <c r="AFM171" s="760"/>
      <c r="AFN171" s="759">
        <v>1.3</v>
      </c>
      <c r="AFO171" s="760"/>
      <c r="AFP171" s="592">
        <v>418</v>
      </c>
      <c r="AFQ171" s="759">
        <f t="shared" si="210"/>
        <v>0.46400000000000008</v>
      </c>
      <c r="AFR171" s="760"/>
      <c r="AFS171" s="757">
        <f t="shared" si="211"/>
        <v>3.3439999999999999</v>
      </c>
      <c r="AFT171" s="758"/>
      <c r="AFV171" s="759">
        <v>-0.125</v>
      </c>
      <c r="AFW171" s="760"/>
      <c r="AFX171" s="759">
        <v>0.875</v>
      </c>
      <c r="AFY171" s="760"/>
      <c r="AFZ171" s="591">
        <v>468</v>
      </c>
      <c r="AGA171" s="759">
        <f t="shared" si="212"/>
        <v>0.40699999999999997</v>
      </c>
      <c r="AGB171" s="760"/>
      <c r="AGC171" s="757">
        <f t="shared" si="213"/>
        <v>3.7440000000000002</v>
      </c>
      <c r="AGD171" s="758"/>
      <c r="AIC171" s="130"/>
      <c r="AID171" s="130"/>
      <c r="AIE171" s="130"/>
      <c r="AIF171" s="130"/>
      <c r="AIG171" s="130"/>
      <c r="AIJ171" s="130"/>
      <c r="AIK171" s="130"/>
      <c r="AIL171" s="130"/>
      <c r="AIM171" s="130"/>
      <c r="AIN171" s="130"/>
      <c r="AIO171" s="130"/>
      <c r="AIP171" s="130"/>
      <c r="AIQ171" s="130"/>
      <c r="AIR171" s="130"/>
      <c r="AIS171" s="130"/>
      <c r="AIT171" s="130"/>
      <c r="AIU171" s="130"/>
      <c r="AIV171" s="130"/>
      <c r="AIW171" s="130"/>
      <c r="AIX171" s="130"/>
      <c r="AIY171" s="130"/>
      <c r="AIZ171" s="130"/>
      <c r="ARU171" s="851"/>
      <c r="ARV171" s="1147"/>
      <c r="ARW171" s="1147"/>
      <c r="ARX171" s="1147"/>
      <c r="ARY171" s="1147"/>
      <c r="ARZ171" s="1147"/>
      <c r="ASA171" s="1147"/>
      <c r="ASB171" s="1147"/>
      <c r="ASC171" s="1147"/>
      <c r="ASD171" s="1147"/>
      <c r="ASE171" s="1147"/>
      <c r="ASF171" s="1147"/>
      <c r="ASG171" s="1147"/>
      <c r="ASH171" s="1147"/>
      <c r="ASI171" s="837"/>
      <c r="ASJ171" s="838"/>
      <c r="ASK171" s="777"/>
      <c r="ASL171" s="799"/>
      <c r="ASM171" s="842"/>
      <c r="ASN171" s="845"/>
      <c r="ASO171" s="846"/>
      <c r="ASP171" s="848"/>
    </row>
    <row r="172" spans="249:948 1165:1221" ht="48" customHeight="1" thickBot="1">
      <c r="MB172" s="903"/>
      <c r="MC172" s="904"/>
      <c r="MD172" s="905"/>
      <c r="ME172" s="851"/>
      <c r="MF172" s="794"/>
      <c r="MG172" s="795"/>
      <c r="MH172" s="795"/>
      <c r="MI172" s="795"/>
      <c r="MJ172" s="795"/>
      <c r="MK172" s="795"/>
      <c r="ML172" s="795"/>
      <c r="MM172" s="795"/>
      <c r="MN172" s="795"/>
      <c r="MO172" s="795"/>
      <c r="MP172" s="795"/>
      <c r="MQ172" s="795"/>
      <c r="MR172" s="796"/>
      <c r="MS172" s="837"/>
      <c r="MT172" s="838"/>
      <c r="MU172" s="1185"/>
      <c r="MV172" s="1186"/>
      <c r="MW172" s="1067"/>
      <c r="MX172" s="918"/>
      <c r="MY172" s="919"/>
      <c r="MZ172" s="848"/>
      <c r="NA172" s="1276"/>
      <c r="NB172" s="1277"/>
      <c r="NC172" s="1278"/>
      <c r="ND172" s="130"/>
      <c r="NE172" s="391" t="s">
        <v>1019</v>
      </c>
      <c r="NF172" s="1192">
        <f>$GM$24</f>
        <v>1.4419426086956524E-2</v>
      </c>
      <c r="NG172" s="1192"/>
      <c r="NH172" s="130"/>
      <c r="NI172" s="130"/>
      <c r="NJ172" s="130"/>
      <c r="NK172" s="130"/>
      <c r="PL172" s="849"/>
      <c r="PM172" s="1257" t="s">
        <v>416</v>
      </c>
      <c r="PN172" s="1257"/>
      <c r="PO172" s="629"/>
      <c r="PP172" s="78"/>
      <c r="PQ172" s="78"/>
      <c r="PR172" s="78"/>
      <c r="PS172" s="78"/>
      <c r="PT172" s="78"/>
      <c r="PU172" s="78"/>
      <c r="PV172" s="629"/>
      <c r="PW172" s="76" t="s">
        <v>441</v>
      </c>
      <c r="PX172" s="854" t="s">
        <v>435</v>
      </c>
      <c r="PY172" s="855"/>
      <c r="PZ172" s="920" t="s">
        <v>111</v>
      </c>
      <c r="QA172" s="921"/>
      <c r="QB172" s="916" t="s">
        <v>704</v>
      </c>
      <c r="QC172" s="917"/>
      <c r="QD172" s="906" t="s">
        <v>447</v>
      </c>
      <c r="QE172" s="907"/>
      <c r="QF172" s="907"/>
      <c r="QG172" s="907"/>
      <c r="QH172" s="908"/>
      <c r="QI172" s="1051" t="s">
        <v>436</v>
      </c>
      <c r="QJ172" s="1051"/>
      <c r="QK172" s="1051"/>
      <c r="QL172" s="1051"/>
      <c r="QM172" s="1051"/>
      <c r="QN172" s="130"/>
      <c r="QO172" s="130"/>
      <c r="QP172" s="130"/>
      <c r="QQ172" s="130"/>
      <c r="QR172" s="130"/>
      <c r="QS172" s="130"/>
      <c r="QT172" s="130"/>
      <c r="QU172" s="130"/>
      <c r="QV172" s="130"/>
      <c r="WE172" s="752">
        <v>22</v>
      </c>
      <c r="WF172" s="753"/>
      <c r="WG172" s="861" t="s">
        <v>1061</v>
      </c>
      <c r="WH172" s="861"/>
      <c r="WI172" s="861"/>
      <c r="WJ172" s="861"/>
      <c r="WK172" s="761">
        <f>$EQ$45</f>
        <v>4</v>
      </c>
      <c r="WL172" s="761"/>
      <c r="WM172" s="861" t="s">
        <v>1508</v>
      </c>
      <c r="WN172" s="861"/>
      <c r="WO172" s="861"/>
      <c r="WP172" s="861"/>
      <c r="WQ172" s="761">
        <f>$EQ$41</f>
        <v>1</v>
      </c>
      <c r="WR172" s="761"/>
      <c r="WS172" s="861" t="s">
        <v>1507</v>
      </c>
      <c r="WT172" s="861"/>
      <c r="WU172" s="861"/>
      <c r="WV172" s="861"/>
      <c r="WW172" s="890">
        <f>$AGZ$203</f>
        <v>2.460047089222364</v>
      </c>
      <c r="WX172" s="890"/>
      <c r="WY172" s="171"/>
      <c r="WZ172" s="998" t="s">
        <v>1719</v>
      </c>
      <c r="XA172" s="999"/>
      <c r="XB172" s="167"/>
      <c r="XC172" s="168"/>
      <c r="XD172" s="168"/>
      <c r="XE172" s="168"/>
      <c r="XF172" s="171"/>
      <c r="XG172" s="1020">
        <f>(($WQ$172 + $WH$173*$WW$172)/$WK$172)*(XG168/(XG168+1.5))</f>
        <v>0.12651134383150298</v>
      </c>
      <c r="XH172" s="1020">
        <f t="shared" ref="XH172:ZS172" si="244">(($WQ$172 + $WH$173*$WW$172)/$WK$172)*(XH168/(XH168+1.5))</f>
        <v>0.1360228590621371</v>
      </c>
      <c r="XI172" s="1020">
        <f t="shared" si="244"/>
        <v>0.14516489245115904</v>
      </c>
      <c r="XJ172" s="1020">
        <f t="shared" si="244"/>
        <v>0.15395856299993638</v>
      </c>
      <c r="XK172" s="1020">
        <f t="shared" si="244"/>
        <v>0.16033701228050351</v>
      </c>
      <c r="XL172" s="1020">
        <f t="shared" si="244"/>
        <v>0.16856719707180595</v>
      </c>
      <c r="XM172" s="1020">
        <f t="shared" si="244"/>
        <v>0.17454338244272893</v>
      </c>
      <c r="XN172" s="1020">
        <f t="shared" si="244"/>
        <v>0.18035873232758276</v>
      </c>
      <c r="XO172" s="1020">
        <f t="shared" si="244"/>
        <v>0.18601965330108292</v>
      </c>
      <c r="XP172" s="1020">
        <f t="shared" si="244"/>
        <v>0.19153221613834917</v>
      </c>
      <c r="XQ172" s="1020">
        <f t="shared" si="244"/>
        <v>0.19690217753144321</v>
      </c>
      <c r="XR172" s="1020">
        <f t="shared" si="244"/>
        <v>0.20213500014210337</v>
      </c>
      <c r="XS172" s="1020">
        <f t="shared" si="244"/>
        <v>0.20723587113752459</v>
      </c>
      <c r="XT172" s="1020">
        <f t="shared" si="244"/>
        <v>0.2105655894792636</v>
      </c>
      <c r="XU172" s="1020">
        <f t="shared" si="244"/>
        <v>0.21545737370701742</v>
      </c>
      <c r="XV172" s="1020">
        <f t="shared" si="244"/>
        <v>0.21865199276024821</v>
      </c>
      <c r="XW172" s="1020">
        <f t="shared" si="244"/>
        <v>0.22334728758534475</v>
      </c>
      <c r="XX172" s="1020">
        <f t="shared" si="244"/>
        <v>0.22641486587520374</v>
      </c>
      <c r="XY172" s="1020">
        <f t="shared" si="244"/>
        <v>0.2294337413897633</v>
      </c>
      <c r="XZ172" s="1020">
        <f t="shared" si="244"/>
        <v>0.2324050648474594</v>
      </c>
      <c r="YA172" s="1020">
        <f t="shared" si="244"/>
        <v>0.2338732442809206</v>
      </c>
      <c r="YB172" s="1020">
        <f t="shared" si="244"/>
        <v>0.23677531895348358</v>
      </c>
      <c r="YC172" s="1020">
        <f t="shared" si="244"/>
        <v>0.23963256403791217</v>
      </c>
      <c r="YD172" s="1020">
        <f t="shared" si="244"/>
        <v>0.24104469884602536</v>
      </c>
      <c r="YE172" s="1020">
        <f t="shared" si="244"/>
        <v>0.24711023634019977</v>
      </c>
      <c r="YF172" s="1020">
        <f t="shared" si="244"/>
        <v>0.25042806811891588</v>
      </c>
      <c r="YG172" s="1020">
        <f t="shared" si="244"/>
        <v>0.25368523541585442</v>
      </c>
      <c r="YH172" s="1020">
        <f t="shared" si="244"/>
        <v>0.25688338697611601</v>
      </c>
      <c r="YI172" s="1020">
        <f t="shared" si="244"/>
        <v>0.26002411233486955</v>
      </c>
      <c r="YJ172" s="1020">
        <f t="shared" si="244"/>
        <v>0.26310894445164351</v>
      </c>
      <c r="YK172" s="1020">
        <f t="shared" si="244"/>
        <v>0.26613936220521683</v>
      </c>
      <c r="YL172" s="1020">
        <f t="shared" si="244"/>
        <v>0.26613936220521683</v>
      </c>
      <c r="YM172" s="1020">
        <f t="shared" si="244"/>
        <v>0.26911679275763933</v>
      </c>
      <c r="YN172" s="1020">
        <f t="shared" si="244"/>
        <v>0.27204261379532085</v>
      </c>
      <c r="YO172" s="1020">
        <f t="shared" si="244"/>
        <v>0.27204261379532085</v>
      </c>
      <c r="YP172" s="1020">
        <f t="shared" si="244"/>
        <v>0.27491815565458388</v>
      </c>
      <c r="YQ172" s="1020">
        <f t="shared" si="244"/>
        <v>0.27491815565458388</v>
      </c>
      <c r="YR172" s="1020">
        <f t="shared" si="244"/>
        <v>0.27491815565458388</v>
      </c>
      <c r="YS172" s="1020">
        <f t="shared" si="244"/>
        <v>0.27774470333856904</v>
      </c>
      <c r="YT172" s="1020">
        <f t="shared" si="244"/>
        <v>0.27774470333856904</v>
      </c>
      <c r="YU172" s="1020">
        <f t="shared" si="244"/>
        <v>0.27774470333856904</v>
      </c>
      <c r="YV172" s="1020">
        <f t="shared" si="244"/>
        <v>0.28052349843191804</v>
      </c>
      <c r="YW172" s="1020">
        <f t="shared" si="244"/>
        <v>0.28052349843191804</v>
      </c>
      <c r="YX172" s="1020">
        <f t="shared" si="244"/>
        <v>0.28052349843191804</v>
      </c>
      <c r="YY172" s="1020">
        <f t="shared" si="244"/>
        <v>0.28052349843191804</v>
      </c>
      <c r="YZ172" s="1020">
        <f t="shared" si="244"/>
        <v>0.28325574091922745</v>
      </c>
      <c r="ZA172" s="1020">
        <f t="shared" si="244"/>
        <v>0.28325574091922745</v>
      </c>
      <c r="ZB172" s="1020">
        <f t="shared" si="244"/>
        <v>0.28325574091922745</v>
      </c>
      <c r="ZC172" s="1020">
        <f t="shared" si="244"/>
        <v>0.28325574091922745</v>
      </c>
      <c r="ZD172" s="1020">
        <f t="shared" si="244"/>
        <v>0.28325574091922745</v>
      </c>
      <c r="ZE172" s="1020">
        <f t="shared" si="244"/>
        <v>0.28594259091286911</v>
      </c>
      <c r="ZF172" s="1020">
        <f t="shared" si="244"/>
        <v>0.28594259091286911</v>
      </c>
      <c r="ZG172" s="1020">
        <f t="shared" si="244"/>
        <v>0.28594259091286911</v>
      </c>
      <c r="ZH172" s="1020">
        <f t="shared" si="244"/>
        <v>0.28594259091286911</v>
      </c>
      <c r="ZI172" s="1020">
        <f t="shared" si="244"/>
        <v>0.28594259091286911</v>
      </c>
      <c r="ZJ172" s="1020">
        <f t="shared" si="244"/>
        <v>0.28594259091286911</v>
      </c>
      <c r="ZK172" s="1020">
        <f t="shared" si="244"/>
        <v>0.28594259091286911</v>
      </c>
      <c r="ZL172" s="1020">
        <f t="shared" si="244"/>
        <v>0.28858517029540381</v>
      </c>
      <c r="ZM172" s="1020">
        <f t="shared" si="244"/>
        <v>0.28858517029540381</v>
      </c>
      <c r="ZN172" s="1020">
        <f t="shared" si="244"/>
        <v>0.28858517029540381</v>
      </c>
      <c r="ZO172" s="1020">
        <f t="shared" si="244"/>
        <v>0.28858517029540381</v>
      </c>
      <c r="ZP172" s="1020">
        <f t="shared" si="244"/>
        <v>0.28858517029540381</v>
      </c>
      <c r="ZQ172" s="1020">
        <f t="shared" si="244"/>
        <v>0.28858517029540381</v>
      </c>
      <c r="ZR172" s="1020">
        <f t="shared" si="244"/>
        <v>0.28858517029540381</v>
      </c>
      <c r="ZS172" s="1020">
        <f t="shared" si="244"/>
        <v>0.28858517029540381</v>
      </c>
      <c r="ZT172" s="1020">
        <f t="shared" ref="ZT172:AAS172" si="245">(($WQ$172 + $WH$173*$WW$172)/$WK$172)*(ZT168/(ZT168+1.5))</f>
        <v>0.28858517029540381</v>
      </c>
      <c r="ZU172" s="1020">
        <f t="shared" si="245"/>
        <v>0.28858517029540381</v>
      </c>
      <c r="ZV172" s="1020">
        <f t="shared" si="245"/>
        <v>0.28858517029540381</v>
      </c>
      <c r="ZW172" s="1020">
        <f t="shared" si="245"/>
        <v>0.28858517029540381</v>
      </c>
      <c r="ZX172" s="1020">
        <f t="shared" si="245"/>
        <v>0.28858517029540381</v>
      </c>
      <c r="ZY172" s="1020">
        <f t="shared" si="245"/>
        <v>0.2911845642814736</v>
      </c>
      <c r="ZZ172" s="1020">
        <f t="shared" si="245"/>
        <v>0.2911845642814736</v>
      </c>
      <c r="AAA172" s="1020">
        <f t="shared" si="245"/>
        <v>0.2911845642814736</v>
      </c>
      <c r="AAB172" s="1020">
        <f t="shared" si="245"/>
        <v>0.2911845642814736</v>
      </c>
      <c r="AAC172" s="1020">
        <f t="shared" si="245"/>
        <v>0.2911845642814736</v>
      </c>
      <c r="AAD172" s="1020">
        <f t="shared" si="245"/>
        <v>0.2911845642814736</v>
      </c>
      <c r="AAE172" s="1020">
        <f t="shared" si="245"/>
        <v>0.2911845642814736</v>
      </c>
      <c r="AAF172" s="1020">
        <f t="shared" si="245"/>
        <v>0.2911845642814736</v>
      </c>
      <c r="AAG172" s="1020">
        <f t="shared" si="245"/>
        <v>0.2911845642814736</v>
      </c>
      <c r="AAH172" s="1020">
        <f t="shared" si="245"/>
        <v>0.2911845642814736</v>
      </c>
      <c r="AAI172" s="1020">
        <f t="shared" si="245"/>
        <v>0.2911845642814736</v>
      </c>
      <c r="AAJ172" s="1020">
        <f t="shared" si="245"/>
        <v>0.2911845642814736</v>
      </c>
      <c r="AAK172" s="1020">
        <f t="shared" si="245"/>
        <v>0.2911845642814736</v>
      </c>
      <c r="AAL172" s="1020">
        <f t="shared" si="245"/>
        <v>0.2911845642814736</v>
      </c>
      <c r="AAM172" s="1020">
        <f t="shared" si="245"/>
        <v>0.2911845642814736</v>
      </c>
      <c r="AAN172" s="1020">
        <f t="shared" si="245"/>
        <v>0.2911845642814736</v>
      </c>
      <c r="AAO172" s="1020">
        <f t="shared" si="245"/>
        <v>0.2911845642814736</v>
      </c>
      <c r="AAP172" s="1020">
        <f t="shared" si="245"/>
        <v>0.2911845642814736</v>
      </c>
      <c r="AAQ172" s="1020">
        <f t="shared" si="245"/>
        <v>0.2911845642814736</v>
      </c>
      <c r="AAR172" s="1020">
        <f t="shared" si="245"/>
        <v>0.2911845642814736</v>
      </c>
      <c r="AAS172" s="1020">
        <f t="shared" si="245"/>
        <v>0.2911845642814736</v>
      </c>
      <c r="AAT172" s="1005">
        <v>22</v>
      </c>
      <c r="AAU172" s="167"/>
      <c r="AAV172" s="168"/>
      <c r="AAW172" s="168"/>
      <c r="AAX172" s="168"/>
      <c r="AAY172" s="168"/>
      <c r="AAZ172" s="168"/>
      <c r="ABA172" s="168"/>
      <c r="ABB172" s="168"/>
      <c r="ABC172" s="168"/>
      <c r="ABD172" s="168"/>
      <c r="ABE172" s="171"/>
      <c r="ABF172" s="158"/>
      <c r="ABG172" s="158"/>
      <c r="ABH172" s="158"/>
      <c r="ABI172" s="158"/>
      <c r="ABJ172" s="158"/>
      <c r="ABK172" s="158"/>
      <c r="ABL172" s="158"/>
      <c r="ABM172" s="158"/>
      <c r="ABN172" s="158"/>
      <c r="ABO172" s="158"/>
      <c r="ABP172" s="163"/>
      <c r="ABQ172" s="653"/>
      <c r="ABR172" s="653"/>
      <c r="ABS172" s="162"/>
      <c r="ABT172" s="158"/>
      <c r="ABU172" s="158"/>
      <c r="ABV172" s="158"/>
      <c r="ABW172" s="158"/>
      <c r="ABX172" s="158"/>
      <c r="ABY172" s="158"/>
      <c r="ABZ172" s="158"/>
      <c r="ACA172" s="158"/>
      <c r="ACB172" s="158"/>
      <c r="ACC172" s="158"/>
      <c r="ACD172" s="158"/>
      <c r="ACE172" s="158"/>
      <c r="ACF172" s="158"/>
      <c r="ACG172" s="158"/>
      <c r="ACH172" s="163"/>
      <c r="ACJ172" s="759">
        <v>-3.125E-2</v>
      </c>
      <c r="ACK172" s="760"/>
      <c r="ACL172" s="759">
        <v>1</v>
      </c>
      <c r="ACM172" s="760"/>
      <c r="ACN172" s="591">
        <v>19</v>
      </c>
      <c r="ACO172" s="759">
        <f>ACJ172*ACQ172+ACL172</f>
        <v>0.99524999999999997</v>
      </c>
      <c r="ACP172" s="760"/>
      <c r="ACQ172" s="757">
        <f t="shared" si="195"/>
        <v>0.152</v>
      </c>
      <c r="ACR172" s="758"/>
      <c r="ACT172" s="759">
        <v>-3.125E-2</v>
      </c>
      <c r="ACU172" s="760"/>
      <c r="ACV172" s="759">
        <v>1</v>
      </c>
      <c r="ACW172" s="760"/>
      <c r="ACX172" s="591">
        <v>69</v>
      </c>
      <c r="ACY172" s="759">
        <f t="shared" si="196"/>
        <v>0.98275000000000001</v>
      </c>
      <c r="ACZ172" s="760"/>
      <c r="ADA172" s="757">
        <f t="shared" si="197"/>
        <v>0.55200000000000005</v>
      </c>
      <c r="ADB172" s="758"/>
      <c r="ADD172" s="759">
        <v>-8.3333333333333398E-2</v>
      </c>
      <c r="ADE172" s="760"/>
      <c r="ADF172" s="759">
        <v>1.0416666666666701</v>
      </c>
      <c r="ADG172" s="760"/>
      <c r="ADH172" s="592">
        <v>119</v>
      </c>
      <c r="ADI172" s="759">
        <f t="shared" si="198"/>
        <v>0.9623333333333367</v>
      </c>
      <c r="ADJ172" s="760"/>
      <c r="ADK172" s="757">
        <f t="shared" si="199"/>
        <v>0.95200000000000007</v>
      </c>
      <c r="ADL172" s="758"/>
      <c r="ADN172" s="759">
        <v>-0.14285714285714299</v>
      </c>
      <c r="ADO172" s="760"/>
      <c r="ADP172" s="759">
        <v>1.1071428571428601</v>
      </c>
      <c r="ADQ172" s="760"/>
      <c r="ADR172" s="592">
        <v>169</v>
      </c>
      <c r="ADS172" s="759">
        <f t="shared" si="200"/>
        <v>0.91400000000000281</v>
      </c>
      <c r="ADT172" s="760"/>
      <c r="ADU172" s="757">
        <f t="shared" si="201"/>
        <v>1.3520000000000001</v>
      </c>
      <c r="ADV172" s="758"/>
      <c r="ADX172" s="759">
        <v>-0.33333333333333259</v>
      </c>
      <c r="ADY172" s="760"/>
      <c r="ADZ172" s="759">
        <v>1.4166666666666654</v>
      </c>
      <c r="AEA172" s="760"/>
      <c r="AEB172" s="592">
        <v>219</v>
      </c>
      <c r="AEC172" s="759">
        <f t="shared" si="202"/>
        <v>0.83266666666666667</v>
      </c>
      <c r="AED172" s="760"/>
      <c r="AEE172" s="757">
        <f t="shared" si="203"/>
        <v>1.752</v>
      </c>
      <c r="AEF172" s="758"/>
      <c r="AEH172" s="759">
        <v>-0.33333333333333298</v>
      </c>
      <c r="AEI172" s="760"/>
      <c r="AEJ172" s="759">
        <v>1.4166666666666701</v>
      </c>
      <c r="AEK172" s="760"/>
      <c r="AEL172" s="592">
        <v>269</v>
      </c>
      <c r="AEM172" s="759">
        <f t="shared" si="204"/>
        <v>0.69933333333333747</v>
      </c>
      <c r="AEN172" s="760"/>
      <c r="AEO172" s="757">
        <f t="shared" si="205"/>
        <v>2.1520000000000001</v>
      </c>
      <c r="AEP172" s="758"/>
      <c r="AER172" s="759">
        <v>-0.249999999999999</v>
      </c>
      <c r="AES172" s="760"/>
      <c r="AET172" s="759">
        <v>1.2250000000000001</v>
      </c>
      <c r="AEU172" s="760"/>
      <c r="AEV172" s="592">
        <v>319</v>
      </c>
      <c r="AEW172" s="759">
        <f t="shared" si="206"/>
        <v>0.58700000000000263</v>
      </c>
      <c r="AEX172" s="760"/>
      <c r="AEY172" s="757">
        <f t="shared" si="207"/>
        <v>2.552</v>
      </c>
      <c r="AEZ172" s="758"/>
      <c r="AFB172" s="759">
        <v>-0.1</v>
      </c>
      <c r="AFC172" s="760"/>
      <c r="AFD172" s="759">
        <v>0.82</v>
      </c>
      <c r="AFE172" s="760"/>
      <c r="AFF172" s="591">
        <v>369</v>
      </c>
      <c r="AFG172" s="759">
        <f t="shared" si="208"/>
        <v>0.52479999999999993</v>
      </c>
      <c r="AFH172" s="760"/>
      <c r="AFI172" s="757">
        <f t="shared" si="209"/>
        <v>2.952</v>
      </c>
      <c r="AFJ172" s="758"/>
      <c r="AFL172" s="759">
        <v>-0.25</v>
      </c>
      <c r="AFM172" s="760"/>
      <c r="AFN172" s="759">
        <v>1.3</v>
      </c>
      <c r="AFO172" s="760"/>
      <c r="AFP172" s="592">
        <v>419</v>
      </c>
      <c r="AFQ172" s="759">
        <f t="shared" si="210"/>
        <v>0.46200000000000008</v>
      </c>
      <c r="AFR172" s="760"/>
      <c r="AFS172" s="757">
        <f t="shared" si="211"/>
        <v>3.3519999999999999</v>
      </c>
      <c r="AFT172" s="758"/>
      <c r="AFV172" s="759">
        <v>-0.125</v>
      </c>
      <c r="AFW172" s="760"/>
      <c r="AFX172" s="759">
        <v>0.875</v>
      </c>
      <c r="AFY172" s="760"/>
      <c r="AFZ172" s="591">
        <v>469</v>
      </c>
      <c r="AGA172" s="759">
        <f t="shared" si="212"/>
        <v>0.40599999999999997</v>
      </c>
      <c r="AGB172" s="760"/>
      <c r="AGC172" s="757">
        <f t="shared" si="213"/>
        <v>3.7520000000000002</v>
      </c>
      <c r="AGD172" s="758"/>
      <c r="AGN172" s="224"/>
      <c r="AGO172" s="852" t="s">
        <v>1743</v>
      </c>
      <c r="AGP172" s="923"/>
      <c r="AGQ172" s="224"/>
      <c r="AGR172" s="1069" t="s">
        <v>1035</v>
      </c>
      <c r="AGS172" s="1070"/>
      <c r="AGT172" s="1070"/>
      <c r="AGU172" s="1070"/>
      <c r="AGV172" s="1070"/>
      <c r="AGW172" s="1070"/>
      <c r="AGX172" s="1070"/>
      <c r="AGY172" s="1070"/>
      <c r="AGZ172" s="1070"/>
      <c r="AHA172" s="1070"/>
      <c r="AHB172" s="1071"/>
      <c r="AHC172" s="224"/>
      <c r="AHO172" s="130"/>
      <c r="AHP172" s="130"/>
      <c r="AHQ172" s="130"/>
      <c r="AHR172" s="130"/>
      <c r="AHS172" s="130"/>
      <c r="AHT172" s="130"/>
      <c r="AHU172" s="130"/>
      <c r="AHV172" s="130"/>
      <c r="AHW172" s="130"/>
      <c r="AHX172" s="130"/>
      <c r="AIC172" s="130"/>
      <c r="AID172" s="130"/>
      <c r="AIE172" s="130"/>
      <c r="AIF172" s="130"/>
      <c r="AIG172" s="130"/>
      <c r="AIJ172" s="130"/>
      <c r="AIK172" s="130"/>
      <c r="AIL172" s="130"/>
      <c r="AIM172" s="130"/>
      <c r="AIN172" s="130"/>
      <c r="AIO172" s="130"/>
      <c r="AIP172" s="130"/>
      <c r="AIQ172" s="130"/>
      <c r="AIR172" s="130"/>
      <c r="AIS172" s="130"/>
      <c r="AIT172" s="130"/>
      <c r="AIU172" s="130"/>
      <c r="AIV172" s="130"/>
      <c r="AIW172" s="130"/>
      <c r="AIX172" s="130"/>
      <c r="AIY172" s="130"/>
      <c r="AIZ172" s="130"/>
    </row>
    <row r="173" spans="249:948 1165:1221" ht="48" customHeight="1" thickBot="1">
      <c r="MZ173" s="653"/>
      <c r="NA173" s="653"/>
      <c r="NB173" s="653"/>
      <c r="NC173" s="653"/>
      <c r="ND173" s="653"/>
      <c r="NE173" s="653"/>
      <c r="NJ173" s="130"/>
      <c r="PL173" s="850"/>
      <c r="PM173" s="800" t="s">
        <v>1586</v>
      </c>
      <c r="PN173" s="801"/>
      <c r="PO173" s="883">
        <f>$AP$5</f>
        <v>30000</v>
      </c>
      <c r="PP173" s="1252"/>
      <c r="PQ173" s="884"/>
      <c r="PR173" s="797" t="s">
        <v>121</v>
      </c>
      <c r="PS173" s="797"/>
      <c r="PT173" s="797"/>
      <c r="PU173" s="797"/>
      <c r="PV173" s="797"/>
      <c r="PW173" s="797"/>
      <c r="PX173" s="797"/>
      <c r="PY173" s="798"/>
      <c r="PZ173" s="835">
        <f>0.005*(PO173/PO174)</f>
        <v>170.45454545454544</v>
      </c>
      <c r="QA173" s="836"/>
      <c r="QB173" s="1075" t="s">
        <v>3</v>
      </c>
      <c r="QC173" s="1076"/>
      <c r="QD173" s="841"/>
      <c r="QE173" s="1170" t="s">
        <v>1535</v>
      </c>
      <c r="QF173" s="1171"/>
      <c r="QG173" s="1172"/>
      <c r="QH173" s="847"/>
      <c r="QI173" s="1052"/>
      <c r="QJ173" s="1052"/>
      <c r="QK173" s="1052"/>
      <c r="QL173" s="1052"/>
      <c r="QM173" s="1052"/>
      <c r="QN173" s="130"/>
      <c r="QO173" s="130"/>
      <c r="QP173" s="130"/>
      <c r="QQ173" s="130"/>
      <c r="QR173" s="130"/>
      <c r="QS173" s="130"/>
      <c r="QT173" s="130"/>
      <c r="QU173" s="130"/>
      <c r="QV173" s="130"/>
      <c r="WE173" s="996"/>
      <c r="WF173" s="997"/>
      <c r="WG173" s="697" t="s">
        <v>1718</v>
      </c>
      <c r="WH173" s="890">
        <v>0.57999999999999996</v>
      </c>
      <c r="WI173" s="890"/>
      <c r="WJ173" s="173"/>
      <c r="WK173" s="173"/>
      <c r="WL173" s="173"/>
      <c r="WM173" s="173"/>
      <c r="WN173" s="173"/>
      <c r="WO173" s="173"/>
      <c r="WP173" s="173"/>
      <c r="WQ173" s="173"/>
      <c r="WR173" s="173"/>
      <c r="WS173" s="173"/>
      <c r="WT173" s="173"/>
      <c r="WU173" s="173"/>
      <c r="WV173" s="173"/>
      <c r="WW173" s="173"/>
      <c r="WX173" s="173"/>
      <c r="WY173" s="174"/>
      <c r="WZ173" s="1000"/>
      <c r="XA173" s="1001"/>
      <c r="XB173" s="175"/>
      <c r="XC173" s="173"/>
      <c r="XD173" s="173"/>
      <c r="XE173" s="173"/>
      <c r="XF173" s="174"/>
      <c r="XG173" s="1021"/>
      <c r="XH173" s="1021"/>
      <c r="XI173" s="1021"/>
      <c r="XJ173" s="1021"/>
      <c r="XK173" s="1021"/>
      <c r="XL173" s="1021"/>
      <c r="XM173" s="1021"/>
      <c r="XN173" s="1021"/>
      <c r="XO173" s="1021"/>
      <c r="XP173" s="1021"/>
      <c r="XQ173" s="1021"/>
      <c r="XR173" s="1021"/>
      <c r="XS173" s="1021"/>
      <c r="XT173" s="1021"/>
      <c r="XU173" s="1021"/>
      <c r="XV173" s="1021"/>
      <c r="XW173" s="1021"/>
      <c r="XX173" s="1021"/>
      <c r="XY173" s="1021"/>
      <c r="XZ173" s="1021"/>
      <c r="YA173" s="1021"/>
      <c r="YB173" s="1021"/>
      <c r="YC173" s="1021"/>
      <c r="YD173" s="1021"/>
      <c r="YE173" s="1021"/>
      <c r="YF173" s="1021"/>
      <c r="YG173" s="1021"/>
      <c r="YH173" s="1021"/>
      <c r="YI173" s="1021"/>
      <c r="YJ173" s="1021"/>
      <c r="YK173" s="1021"/>
      <c r="YL173" s="1021"/>
      <c r="YM173" s="1021"/>
      <c r="YN173" s="1021"/>
      <c r="YO173" s="1021"/>
      <c r="YP173" s="1021"/>
      <c r="YQ173" s="1021"/>
      <c r="YR173" s="1021"/>
      <c r="YS173" s="1021"/>
      <c r="YT173" s="1021"/>
      <c r="YU173" s="1021"/>
      <c r="YV173" s="1021"/>
      <c r="YW173" s="1021"/>
      <c r="YX173" s="1021"/>
      <c r="YY173" s="1021"/>
      <c r="YZ173" s="1021"/>
      <c r="ZA173" s="1021"/>
      <c r="ZB173" s="1021"/>
      <c r="ZC173" s="1021"/>
      <c r="ZD173" s="1021"/>
      <c r="ZE173" s="1021"/>
      <c r="ZF173" s="1021"/>
      <c r="ZG173" s="1021"/>
      <c r="ZH173" s="1021"/>
      <c r="ZI173" s="1021"/>
      <c r="ZJ173" s="1021"/>
      <c r="ZK173" s="1021"/>
      <c r="ZL173" s="1021"/>
      <c r="ZM173" s="1021"/>
      <c r="ZN173" s="1021"/>
      <c r="ZO173" s="1021"/>
      <c r="ZP173" s="1021"/>
      <c r="ZQ173" s="1021"/>
      <c r="ZR173" s="1021"/>
      <c r="ZS173" s="1021"/>
      <c r="ZT173" s="1021"/>
      <c r="ZU173" s="1021"/>
      <c r="ZV173" s="1021"/>
      <c r="ZW173" s="1021"/>
      <c r="ZX173" s="1021"/>
      <c r="ZY173" s="1021"/>
      <c r="ZZ173" s="1021"/>
      <c r="AAA173" s="1021"/>
      <c r="AAB173" s="1021"/>
      <c r="AAC173" s="1021"/>
      <c r="AAD173" s="1021"/>
      <c r="AAE173" s="1021"/>
      <c r="AAF173" s="1021"/>
      <c r="AAG173" s="1021"/>
      <c r="AAH173" s="1021"/>
      <c r="AAI173" s="1021"/>
      <c r="AAJ173" s="1021"/>
      <c r="AAK173" s="1021"/>
      <c r="AAL173" s="1021"/>
      <c r="AAM173" s="1021"/>
      <c r="AAN173" s="1021"/>
      <c r="AAO173" s="1021"/>
      <c r="AAP173" s="1021"/>
      <c r="AAQ173" s="1021"/>
      <c r="AAR173" s="1021"/>
      <c r="AAS173" s="1021"/>
      <c r="AAT173" s="1006"/>
      <c r="AAU173" s="175"/>
      <c r="AAV173" s="173"/>
      <c r="AAW173" s="173"/>
      <c r="AAX173" s="173"/>
      <c r="AAY173" s="173"/>
      <c r="AAZ173" s="173"/>
      <c r="ABA173" s="173"/>
      <c r="ABB173" s="173"/>
      <c r="ABC173" s="173"/>
      <c r="ABD173" s="173"/>
      <c r="ABE173" s="174"/>
      <c r="ABF173" s="158"/>
      <c r="ABG173" s="158"/>
      <c r="ABH173" s="158"/>
      <c r="ABI173" s="158"/>
      <c r="ABJ173" s="158"/>
      <c r="ABK173" s="158"/>
      <c r="ABL173" s="158"/>
      <c r="ABM173" s="158"/>
      <c r="ABN173" s="158"/>
      <c r="ABO173" s="158"/>
      <c r="ABP173" s="163"/>
      <c r="ABQ173" s="653"/>
      <c r="ABR173" s="653"/>
      <c r="ABS173" s="162"/>
      <c r="ABT173" s="158"/>
      <c r="ABU173" s="158"/>
      <c r="ABV173" s="158"/>
      <c r="ABW173" s="158"/>
      <c r="ABX173" s="158"/>
      <c r="ABY173" s="158"/>
      <c r="ABZ173" s="158"/>
      <c r="ACA173" s="158"/>
      <c r="ACB173" s="158"/>
      <c r="ACC173" s="158"/>
      <c r="ACD173" s="158"/>
      <c r="ACE173" s="158"/>
      <c r="ACF173" s="158"/>
      <c r="ACG173" s="158"/>
      <c r="ACH173" s="163"/>
      <c r="ACJ173" s="759">
        <v>-3.125E-2</v>
      </c>
      <c r="ACK173" s="760"/>
      <c r="ACL173" s="759">
        <v>1</v>
      </c>
      <c r="ACM173" s="760"/>
      <c r="ACN173" s="591">
        <v>20</v>
      </c>
      <c r="ACO173" s="759">
        <f>ACJ173*ACQ173+ACL173</f>
        <v>0.995</v>
      </c>
      <c r="ACP173" s="760"/>
      <c r="ACQ173" s="757">
        <f t="shared" si="195"/>
        <v>0.16</v>
      </c>
      <c r="ACR173" s="758"/>
      <c r="ACT173" s="759">
        <v>-3.125E-2</v>
      </c>
      <c r="ACU173" s="760"/>
      <c r="ACV173" s="759">
        <v>1</v>
      </c>
      <c r="ACW173" s="760"/>
      <c r="ACX173" s="591">
        <v>70</v>
      </c>
      <c r="ACY173" s="759">
        <f t="shared" si="196"/>
        <v>0.98250000000000004</v>
      </c>
      <c r="ACZ173" s="760"/>
      <c r="ADA173" s="757">
        <f t="shared" si="197"/>
        <v>0.56000000000000005</v>
      </c>
      <c r="ADB173" s="758"/>
      <c r="ADD173" s="759">
        <v>-8.3333333333333398E-2</v>
      </c>
      <c r="ADE173" s="760"/>
      <c r="ADF173" s="759">
        <v>1.0416666666666701</v>
      </c>
      <c r="ADG173" s="760"/>
      <c r="ADH173" s="592">
        <v>120</v>
      </c>
      <c r="ADI173" s="759">
        <f t="shared" si="198"/>
        <v>0.96166666666667</v>
      </c>
      <c r="ADJ173" s="760"/>
      <c r="ADK173" s="757">
        <f t="shared" si="199"/>
        <v>0.96</v>
      </c>
      <c r="ADL173" s="758"/>
      <c r="ADN173" s="759">
        <v>-0.14285714285714299</v>
      </c>
      <c r="ADO173" s="760"/>
      <c r="ADP173" s="759">
        <v>1.1071428571428601</v>
      </c>
      <c r="ADQ173" s="760"/>
      <c r="ADR173" s="592">
        <v>170</v>
      </c>
      <c r="ADS173" s="759">
        <f t="shared" si="200"/>
        <v>0.91285714285714559</v>
      </c>
      <c r="ADT173" s="760"/>
      <c r="ADU173" s="757">
        <f t="shared" si="201"/>
        <v>1.36</v>
      </c>
      <c r="ADV173" s="758"/>
      <c r="ADX173" s="759">
        <v>-0.33333333333333259</v>
      </c>
      <c r="ADY173" s="760"/>
      <c r="ADZ173" s="759">
        <v>1.4166666666666654</v>
      </c>
      <c r="AEA173" s="760"/>
      <c r="AEB173" s="592">
        <v>220</v>
      </c>
      <c r="AEC173" s="759">
        <f t="shared" si="202"/>
        <v>0.83000000000000007</v>
      </c>
      <c r="AED173" s="760"/>
      <c r="AEE173" s="757">
        <f t="shared" si="203"/>
        <v>1.76</v>
      </c>
      <c r="AEF173" s="758"/>
      <c r="AEH173" s="759">
        <v>-0.33333333333333298</v>
      </c>
      <c r="AEI173" s="760"/>
      <c r="AEJ173" s="759">
        <v>1.4166666666666701</v>
      </c>
      <c r="AEK173" s="760"/>
      <c r="AEL173" s="592">
        <v>270</v>
      </c>
      <c r="AEM173" s="759">
        <f t="shared" si="204"/>
        <v>0.69666666666667076</v>
      </c>
      <c r="AEN173" s="760"/>
      <c r="AEO173" s="757">
        <f t="shared" si="205"/>
        <v>2.16</v>
      </c>
      <c r="AEP173" s="758"/>
      <c r="AER173" s="759">
        <v>-0.249999999999999</v>
      </c>
      <c r="AES173" s="760"/>
      <c r="AET173" s="759">
        <v>1.2250000000000001</v>
      </c>
      <c r="AEU173" s="760"/>
      <c r="AEV173" s="592">
        <v>320</v>
      </c>
      <c r="AEW173" s="759">
        <f t="shared" si="206"/>
        <v>0.58500000000000263</v>
      </c>
      <c r="AEX173" s="760"/>
      <c r="AEY173" s="757">
        <f t="shared" si="207"/>
        <v>2.56</v>
      </c>
      <c r="AEZ173" s="758"/>
      <c r="AFB173" s="759">
        <v>-0.1</v>
      </c>
      <c r="AFC173" s="760"/>
      <c r="AFD173" s="759">
        <v>0.82</v>
      </c>
      <c r="AFE173" s="760"/>
      <c r="AFF173" s="591">
        <v>370</v>
      </c>
      <c r="AFG173" s="759">
        <f t="shared" si="208"/>
        <v>0.52400000000000002</v>
      </c>
      <c r="AFH173" s="760"/>
      <c r="AFI173" s="757">
        <f t="shared" si="209"/>
        <v>2.96</v>
      </c>
      <c r="AFJ173" s="758"/>
      <c r="AFL173" s="759">
        <v>-0.25</v>
      </c>
      <c r="AFM173" s="760"/>
      <c r="AFN173" s="759">
        <v>1.3</v>
      </c>
      <c r="AFO173" s="760"/>
      <c r="AFP173" s="592">
        <v>420</v>
      </c>
      <c r="AFQ173" s="759">
        <f t="shared" si="210"/>
        <v>0.46000000000000008</v>
      </c>
      <c r="AFR173" s="760"/>
      <c r="AFS173" s="757">
        <f t="shared" si="211"/>
        <v>3.36</v>
      </c>
      <c r="AFT173" s="758"/>
      <c r="AFV173" s="759">
        <v>-0.125</v>
      </c>
      <c r="AFW173" s="760"/>
      <c r="AFX173" s="759">
        <v>0.875</v>
      </c>
      <c r="AFY173" s="760"/>
      <c r="AFZ173" s="591">
        <v>470</v>
      </c>
      <c r="AGA173" s="759">
        <f t="shared" si="212"/>
        <v>0.40499999999999997</v>
      </c>
      <c r="AGB173" s="760"/>
      <c r="AGC173" s="757">
        <f t="shared" si="213"/>
        <v>3.7600000000000002</v>
      </c>
      <c r="AGD173" s="758"/>
      <c r="AHS173" s="130"/>
      <c r="AHT173" s="130"/>
      <c r="AHU173" s="130"/>
      <c r="AHV173" s="130"/>
      <c r="AHW173" s="130"/>
      <c r="AHX173" s="130"/>
      <c r="AIC173" s="130"/>
      <c r="AID173" s="130"/>
      <c r="AIE173" s="130"/>
      <c r="AIF173" s="130"/>
      <c r="AIG173" s="130"/>
      <c r="AIJ173" s="130"/>
      <c r="AIK173" s="130"/>
      <c r="AIL173" s="130"/>
      <c r="AIM173" s="130"/>
      <c r="AIN173" s="130"/>
      <c r="AIO173" s="130"/>
      <c r="AIP173" s="130"/>
      <c r="AIQ173" s="130"/>
      <c r="AIR173" s="130"/>
      <c r="AIS173" s="130"/>
      <c r="AIT173" s="130"/>
      <c r="AIU173" s="130"/>
      <c r="AIV173" s="130"/>
      <c r="AIW173" s="130"/>
      <c r="AIX173" s="130"/>
      <c r="AIY173" s="130"/>
      <c r="AIZ173" s="130"/>
      <c r="ARU173" s="849"/>
      <c r="ARV173" s="852" t="s">
        <v>416</v>
      </c>
      <c r="ARW173" s="853"/>
      <c r="ARX173" s="199"/>
      <c r="ARY173" s="78"/>
      <c r="ARZ173" s="78"/>
      <c r="ASA173" s="78"/>
      <c r="ASB173" s="78"/>
      <c r="ASC173" s="78"/>
      <c r="ASD173" s="78"/>
      <c r="ASE173" s="199"/>
      <c r="ASF173" s="76" t="s">
        <v>441</v>
      </c>
      <c r="ASG173" s="854" t="s">
        <v>435</v>
      </c>
      <c r="ASH173" s="1111"/>
      <c r="ASI173" s="920" t="s">
        <v>111</v>
      </c>
      <c r="ASJ173" s="921"/>
      <c r="ASK173" s="916" t="s">
        <v>704</v>
      </c>
      <c r="ASL173" s="917"/>
      <c r="ASM173" s="906" t="s">
        <v>447</v>
      </c>
      <c r="ASN173" s="907"/>
      <c r="ASO173" s="907"/>
      <c r="ASP173" s="908"/>
      <c r="ASQ173" s="906" t="s">
        <v>863</v>
      </c>
      <c r="ASR173" s="907"/>
      <c r="ASS173" s="908"/>
    </row>
    <row r="174" spans="249:948 1165:1221" ht="48" customHeight="1" thickBot="1">
      <c r="MB174" s="957" t="s">
        <v>1329</v>
      </c>
      <c r="MC174" s="957"/>
      <c r="MD174" s="957"/>
      <c r="ME174" s="1069" t="s">
        <v>1294</v>
      </c>
      <c r="MF174" s="1070"/>
      <c r="MG174" s="1071"/>
      <c r="MH174" s="856" t="s">
        <v>1324</v>
      </c>
      <c r="MI174" s="856"/>
      <c r="MJ174" s="856"/>
      <c r="MK174" s="856" t="s">
        <v>1325</v>
      </c>
      <c r="ML174" s="856"/>
      <c r="MM174" s="856"/>
      <c r="MN174" s="856" t="s">
        <v>1326</v>
      </c>
      <c r="MO174" s="856"/>
      <c r="MP174" s="856"/>
      <c r="MQ174" s="856" t="s">
        <v>1327</v>
      </c>
      <c r="MR174" s="856"/>
      <c r="MS174" s="856"/>
      <c r="MT174" s="856" t="s">
        <v>1328</v>
      </c>
      <c r="MU174" s="856"/>
      <c r="MV174" s="856"/>
      <c r="MW174" s="856" t="s">
        <v>1296</v>
      </c>
      <c r="MX174" s="856"/>
      <c r="MY174" s="856"/>
      <c r="MZ174" s="653"/>
      <c r="NA174" s="653"/>
      <c r="NB174" s="653"/>
      <c r="NC174" s="653"/>
      <c r="ND174" s="653"/>
      <c r="NE174" s="653"/>
      <c r="NK174" s="130"/>
      <c r="PL174" s="851"/>
      <c r="PM174" s="1163" t="s">
        <v>428</v>
      </c>
      <c r="PN174" s="1163"/>
      <c r="PO174" s="804">
        <f>$AX$62</f>
        <v>0.88</v>
      </c>
      <c r="PP174" s="804"/>
      <c r="PQ174" s="804"/>
      <c r="PR174" s="778"/>
      <c r="PS174" s="778"/>
      <c r="PT174" s="778"/>
      <c r="PU174" s="778"/>
      <c r="PV174" s="778"/>
      <c r="PW174" s="778"/>
      <c r="PX174" s="778"/>
      <c r="PY174" s="799"/>
      <c r="PZ174" s="837"/>
      <c r="QA174" s="838"/>
      <c r="QB174" s="1077"/>
      <c r="QC174" s="1078"/>
      <c r="QD174" s="842"/>
      <c r="QE174" s="1173"/>
      <c r="QF174" s="1174"/>
      <c r="QG174" s="1175"/>
      <c r="QH174" s="848"/>
      <c r="QI174" s="1053"/>
      <c r="QJ174" s="1053"/>
      <c r="QK174" s="1053"/>
      <c r="QL174" s="1053"/>
      <c r="QM174" s="1053"/>
      <c r="QN174" s="130"/>
      <c r="QO174" s="130"/>
      <c r="QP174" s="130"/>
      <c r="QQ174" s="130"/>
      <c r="QR174" s="130"/>
      <c r="QS174" s="130"/>
      <c r="QT174" s="130"/>
      <c r="QU174" s="130"/>
      <c r="QV174" s="130"/>
      <c r="WE174" s="754"/>
      <c r="WF174" s="755"/>
      <c r="WG174" s="169"/>
      <c r="WH174" s="170"/>
      <c r="WI174" s="170"/>
      <c r="WJ174" s="170"/>
      <c r="WK174" s="170"/>
      <c r="WL174" s="170"/>
      <c r="WM174" s="170"/>
      <c r="WN174" s="170"/>
      <c r="WO174" s="170"/>
      <c r="WP174" s="170"/>
      <c r="WQ174" s="170"/>
      <c r="WR174" s="170"/>
      <c r="WS174" s="170"/>
      <c r="WT174" s="170"/>
      <c r="WU174" s="170"/>
      <c r="WV174" s="170"/>
      <c r="WW174" s="170"/>
      <c r="WX174" s="170"/>
      <c r="WY174" s="172"/>
      <c r="WZ174" s="1002"/>
      <c r="XA174" s="1003"/>
      <c r="XB174" s="169"/>
      <c r="XC174" s="170"/>
      <c r="XD174" s="170"/>
      <c r="XE174" s="170"/>
      <c r="XF174" s="172"/>
      <c r="XG174" s="1022"/>
      <c r="XH174" s="1022"/>
      <c r="XI174" s="1022"/>
      <c r="XJ174" s="1022"/>
      <c r="XK174" s="1022"/>
      <c r="XL174" s="1022"/>
      <c r="XM174" s="1022"/>
      <c r="XN174" s="1022"/>
      <c r="XO174" s="1022"/>
      <c r="XP174" s="1022"/>
      <c r="XQ174" s="1022"/>
      <c r="XR174" s="1022"/>
      <c r="XS174" s="1022"/>
      <c r="XT174" s="1022"/>
      <c r="XU174" s="1022"/>
      <c r="XV174" s="1022"/>
      <c r="XW174" s="1022"/>
      <c r="XX174" s="1022"/>
      <c r="XY174" s="1022"/>
      <c r="XZ174" s="1022"/>
      <c r="YA174" s="1022"/>
      <c r="YB174" s="1022"/>
      <c r="YC174" s="1022"/>
      <c r="YD174" s="1022"/>
      <c r="YE174" s="1022"/>
      <c r="YF174" s="1022"/>
      <c r="YG174" s="1022"/>
      <c r="YH174" s="1022"/>
      <c r="YI174" s="1022"/>
      <c r="YJ174" s="1022"/>
      <c r="YK174" s="1022"/>
      <c r="YL174" s="1022"/>
      <c r="YM174" s="1022"/>
      <c r="YN174" s="1022"/>
      <c r="YO174" s="1022"/>
      <c r="YP174" s="1022"/>
      <c r="YQ174" s="1022"/>
      <c r="YR174" s="1022"/>
      <c r="YS174" s="1022"/>
      <c r="YT174" s="1022"/>
      <c r="YU174" s="1022"/>
      <c r="YV174" s="1022"/>
      <c r="YW174" s="1022"/>
      <c r="YX174" s="1022"/>
      <c r="YY174" s="1022"/>
      <c r="YZ174" s="1022"/>
      <c r="ZA174" s="1022"/>
      <c r="ZB174" s="1022"/>
      <c r="ZC174" s="1022"/>
      <c r="ZD174" s="1022"/>
      <c r="ZE174" s="1022"/>
      <c r="ZF174" s="1022"/>
      <c r="ZG174" s="1022"/>
      <c r="ZH174" s="1022"/>
      <c r="ZI174" s="1022"/>
      <c r="ZJ174" s="1022"/>
      <c r="ZK174" s="1022"/>
      <c r="ZL174" s="1022"/>
      <c r="ZM174" s="1022"/>
      <c r="ZN174" s="1022"/>
      <c r="ZO174" s="1022"/>
      <c r="ZP174" s="1022"/>
      <c r="ZQ174" s="1022"/>
      <c r="ZR174" s="1022"/>
      <c r="ZS174" s="1022"/>
      <c r="ZT174" s="1022"/>
      <c r="ZU174" s="1022"/>
      <c r="ZV174" s="1022"/>
      <c r="ZW174" s="1022"/>
      <c r="ZX174" s="1022"/>
      <c r="ZY174" s="1022"/>
      <c r="ZZ174" s="1022"/>
      <c r="AAA174" s="1022"/>
      <c r="AAB174" s="1022"/>
      <c r="AAC174" s="1022"/>
      <c r="AAD174" s="1022"/>
      <c r="AAE174" s="1022"/>
      <c r="AAF174" s="1022"/>
      <c r="AAG174" s="1022"/>
      <c r="AAH174" s="1022"/>
      <c r="AAI174" s="1022"/>
      <c r="AAJ174" s="1022"/>
      <c r="AAK174" s="1022"/>
      <c r="AAL174" s="1022"/>
      <c r="AAM174" s="1022"/>
      <c r="AAN174" s="1022"/>
      <c r="AAO174" s="1022"/>
      <c r="AAP174" s="1022"/>
      <c r="AAQ174" s="1022"/>
      <c r="AAR174" s="1022"/>
      <c r="AAS174" s="1022"/>
      <c r="AAT174" s="1007"/>
      <c r="AAU174" s="169"/>
      <c r="AAV174" s="170"/>
      <c r="AAW174" s="170"/>
      <c r="AAX174" s="170"/>
      <c r="AAY174" s="170"/>
      <c r="AAZ174" s="170"/>
      <c r="ABA174" s="170"/>
      <c r="ABB174" s="170"/>
      <c r="ABC174" s="170"/>
      <c r="ABD174" s="170"/>
      <c r="ABE174" s="172"/>
      <c r="ABF174" s="158"/>
      <c r="ABG174" s="158"/>
      <c r="ABH174" s="158"/>
      <c r="ABI174" s="158"/>
      <c r="ABJ174" s="158"/>
      <c r="ABK174" s="158"/>
      <c r="ABL174" s="158"/>
      <c r="ABM174" s="158"/>
      <c r="ABN174" s="158"/>
      <c r="ABO174" s="158"/>
      <c r="ABP174" s="163"/>
      <c r="ABQ174" s="653"/>
      <c r="ABR174" s="653"/>
      <c r="ABS174" s="162"/>
      <c r="ABT174" s="158"/>
      <c r="ABU174" s="158"/>
      <c r="ABV174" s="158"/>
      <c r="ABW174" s="158"/>
      <c r="ABX174" s="158"/>
      <c r="ABY174" s="158"/>
      <c r="ABZ174" s="158"/>
      <c r="ACA174" s="158"/>
      <c r="ACB174" s="158"/>
      <c r="ACC174" s="158"/>
      <c r="ACD174" s="158"/>
      <c r="ACE174" s="158"/>
      <c r="ACF174" s="158"/>
      <c r="ACG174" s="158"/>
      <c r="ACH174" s="163"/>
      <c r="ACJ174" s="759">
        <v>-3.125E-2</v>
      </c>
      <c r="ACK174" s="760"/>
      <c r="ACL174" s="759">
        <v>1</v>
      </c>
      <c r="ACM174" s="760"/>
      <c r="ACN174" s="591">
        <v>21</v>
      </c>
      <c r="ACO174" s="759">
        <f>ACJ174*ACQ174+ACL174</f>
        <v>0.99475000000000002</v>
      </c>
      <c r="ACP174" s="760"/>
      <c r="ACQ174" s="757">
        <f t="shared" si="195"/>
        <v>0.16800000000000001</v>
      </c>
      <c r="ACR174" s="758"/>
      <c r="ACT174" s="759">
        <v>-3.125E-2</v>
      </c>
      <c r="ACU174" s="760"/>
      <c r="ACV174" s="759">
        <v>1</v>
      </c>
      <c r="ACW174" s="760"/>
      <c r="ACX174" s="591">
        <v>71</v>
      </c>
      <c r="ACY174" s="759">
        <f t="shared" si="196"/>
        <v>0.98224999999999996</v>
      </c>
      <c r="ACZ174" s="760"/>
      <c r="ADA174" s="757">
        <f t="shared" si="197"/>
        <v>0.56800000000000006</v>
      </c>
      <c r="ADB174" s="758"/>
      <c r="ADD174" s="759">
        <v>-8.3333333333333398E-2</v>
      </c>
      <c r="ADE174" s="760"/>
      <c r="ADF174" s="759">
        <v>1.0416666666666701</v>
      </c>
      <c r="ADG174" s="760"/>
      <c r="ADH174" s="592">
        <v>121</v>
      </c>
      <c r="ADI174" s="759">
        <f t="shared" si="198"/>
        <v>0.9610000000000033</v>
      </c>
      <c r="ADJ174" s="760"/>
      <c r="ADK174" s="757">
        <f t="shared" si="199"/>
        <v>0.96799999999999997</v>
      </c>
      <c r="ADL174" s="758"/>
      <c r="ADN174" s="759">
        <v>-0.14285714285714299</v>
      </c>
      <c r="ADO174" s="760"/>
      <c r="ADP174" s="759">
        <v>1.1071428571428601</v>
      </c>
      <c r="ADQ174" s="760"/>
      <c r="ADR174" s="592">
        <v>171</v>
      </c>
      <c r="ADS174" s="759">
        <f t="shared" si="200"/>
        <v>0.91171428571428847</v>
      </c>
      <c r="ADT174" s="760"/>
      <c r="ADU174" s="757">
        <f t="shared" si="201"/>
        <v>1.3680000000000001</v>
      </c>
      <c r="ADV174" s="758"/>
      <c r="ADX174" s="759">
        <v>-0.33333333333333259</v>
      </c>
      <c r="ADY174" s="760"/>
      <c r="ADZ174" s="759">
        <v>1.4166666666666654</v>
      </c>
      <c r="AEA174" s="760"/>
      <c r="AEB174" s="592">
        <v>221</v>
      </c>
      <c r="AEC174" s="759">
        <f t="shared" si="202"/>
        <v>0.82733333333333337</v>
      </c>
      <c r="AED174" s="760"/>
      <c r="AEE174" s="757">
        <f t="shared" si="203"/>
        <v>1.768</v>
      </c>
      <c r="AEF174" s="758"/>
      <c r="AEH174" s="759">
        <v>-0.33333333333333298</v>
      </c>
      <c r="AEI174" s="760"/>
      <c r="AEJ174" s="759">
        <v>1.4166666666666701</v>
      </c>
      <c r="AEK174" s="760"/>
      <c r="AEL174" s="592">
        <v>271</v>
      </c>
      <c r="AEM174" s="759">
        <f t="shared" si="204"/>
        <v>0.69400000000000417</v>
      </c>
      <c r="AEN174" s="760"/>
      <c r="AEO174" s="757">
        <f t="shared" si="205"/>
        <v>2.1680000000000001</v>
      </c>
      <c r="AEP174" s="758"/>
      <c r="AER174" s="759">
        <v>-0.249999999999999</v>
      </c>
      <c r="AES174" s="760"/>
      <c r="AET174" s="759">
        <v>1.2250000000000001</v>
      </c>
      <c r="AEU174" s="760"/>
      <c r="AEV174" s="592">
        <v>321</v>
      </c>
      <c r="AEW174" s="759">
        <f t="shared" si="206"/>
        <v>0.58300000000000263</v>
      </c>
      <c r="AEX174" s="760"/>
      <c r="AEY174" s="757">
        <f t="shared" si="207"/>
        <v>2.5680000000000001</v>
      </c>
      <c r="AEZ174" s="758"/>
      <c r="AFB174" s="759">
        <v>-0.1</v>
      </c>
      <c r="AFC174" s="760"/>
      <c r="AFD174" s="759">
        <v>0.82</v>
      </c>
      <c r="AFE174" s="760"/>
      <c r="AFF174" s="591">
        <v>371</v>
      </c>
      <c r="AFG174" s="759">
        <f t="shared" si="208"/>
        <v>0.52319999999999989</v>
      </c>
      <c r="AFH174" s="760"/>
      <c r="AFI174" s="757">
        <f t="shared" si="209"/>
        <v>2.968</v>
      </c>
      <c r="AFJ174" s="758"/>
      <c r="AFL174" s="759">
        <v>-0.25</v>
      </c>
      <c r="AFM174" s="760"/>
      <c r="AFN174" s="759">
        <v>1.3</v>
      </c>
      <c r="AFO174" s="760"/>
      <c r="AFP174" s="592">
        <v>421</v>
      </c>
      <c r="AFQ174" s="759">
        <f t="shared" si="210"/>
        <v>0.45800000000000007</v>
      </c>
      <c r="AFR174" s="760"/>
      <c r="AFS174" s="757">
        <f t="shared" si="211"/>
        <v>3.3679999999999999</v>
      </c>
      <c r="AFT174" s="758"/>
      <c r="AFV174" s="759">
        <v>-0.125</v>
      </c>
      <c r="AFW174" s="760"/>
      <c r="AFX174" s="759">
        <v>0.875</v>
      </c>
      <c r="AFY174" s="760"/>
      <c r="AFZ174" s="591">
        <v>471</v>
      </c>
      <c r="AGA174" s="759">
        <f t="shared" si="212"/>
        <v>0.40399999999999997</v>
      </c>
      <c r="AGB174" s="760"/>
      <c r="AGC174" s="757">
        <f t="shared" si="213"/>
        <v>3.7680000000000002</v>
      </c>
      <c r="AGD174" s="758"/>
      <c r="AGL174" s="1052"/>
      <c r="AGM174" s="852" t="s">
        <v>416</v>
      </c>
      <c r="AGN174" s="853"/>
      <c r="AGO174" s="691"/>
      <c r="AGP174" s="78"/>
      <c r="AGQ174" s="78"/>
      <c r="AGR174" s="78"/>
      <c r="AGS174" s="78"/>
      <c r="AGT174" s="78"/>
      <c r="AGU174" s="78"/>
      <c r="AGV174" s="422"/>
      <c r="AGW174" s="76" t="s">
        <v>441</v>
      </c>
      <c r="AGX174" s="854" t="s">
        <v>435</v>
      </c>
      <c r="AGY174" s="855"/>
      <c r="AGZ174" s="924" t="s">
        <v>111</v>
      </c>
      <c r="AHA174" s="925"/>
      <c r="AHB174" s="916" t="s">
        <v>704</v>
      </c>
      <c r="AHC174" s="917"/>
      <c r="AHD174" s="906" t="s">
        <v>447</v>
      </c>
      <c r="AHE174" s="907"/>
      <c r="AHF174" s="907"/>
      <c r="AHG174" s="907"/>
      <c r="AHH174" s="1051" t="s">
        <v>436</v>
      </c>
      <c r="AHI174" s="1051"/>
      <c r="AHJ174" s="1051"/>
      <c r="AHK174" s="1051"/>
      <c r="AHL174" s="1051"/>
      <c r="AHM174" s="1051"/>
      <c r="AHN174" s="1051"/>
      <c r="AHO174" s="1051"/>
      <c r="AHV174" s="130"/>
      <c r="AHW174" s="130"/>
      <c r="AHX174" s="130"/>
      <c r="AIC174" s="130"/>
      <c r="AID174" s="130"/>
      <c r="AIE174" s="130"/>
      <c r="AIF174" s="130"/>
      <c r="AIG174" s="130"/>
      <c r="AIJ174" s="130"/>
      <c r="AIK174" s="130"/>
      <c r="AIL174" s="130"/>
      <c r="AIM174" s="130"/>
      <c r="AIN174" s="130"/>
      <c r="AIO174" s="130"/>
      <c r="AIP174" s="130"/>
      <c r="AIQ174" s="130"/>
      <c r="AIR174" s="130"/>
      <c r="AIS174" s="130"/>
      <c r="AIT174" s="130"/>
      <c r="AIU174" s="130"/>
      <c r="AIV174" s="130"/>
      <c r="AIW174" s="130"/>
      <c r="AIX174" s="130"/>
      <c r="AIY174" s="130"/>
      <c r="AIZ174" s="130"/>
      <c r="ARU174" s="850"/>
      <c r="ARV174" s="809"/>
      <c r="ARW174" s="797"/>
      <c r="ARX174" s="797"/>
      <c r="ARY174" s="797"/>
      <c r="ARZ174" s="797"/>
      <c r="ASA174" s="797"/>
      <c r="ASB174" s="797"/>
      <c r="ASC174" s="797"/>
      <c r="ASD174" s="797"/>
      <c r="ASE174" s="797"/>
      <c r="ASF174" s="797"/>
      <c r="ASG174" s="797"/>
      <c r="ASH174" s="797"/>
      <c r="ASI174" s="835"/>
      <c r="ASJ174" s="836"/>
      <c r="ASK174" s="809"/>
      <c r="ASL174" s="797"/>
      <c r="ASM174" s="1066"/>
      <c r="ASN174" s="843" t="s">
        <v>416</v>
      </c>
      <c r="ASO174" s="844"/>
      <c r="ASP174" s="847"/>
      <c r="ASQ174" s="1203" t="s">
        <v>862</v>
      </c>
      <c r="ASR174" s="1275"/>
      <c r="ASS174" s="1204"/>
    </row>
    <row r="175" spans="249:948 1165:1221" ht="48" customHeight="1" thickBot="1">
      <c r="IS175" s="130"/>
      <c r="IT175" s="130"/>
      <c r="IU175" s="130"/>
      <c r="IV175" s="130"/>
      <c r="IW175" s="130"/>
      <c r="IX175" s="130"/>
      <c r="IY175" s="130"/>
      <c r="IZ175" s="130"/>
      <c r="JA175" s="130"/>
      <c r="JB175" s="130"/>
      <c r="JC175" s="130"/>
      <c r="JD175" s="130"/>
      <c r="JE175" s="130"/>
      <c r="JF175" s="130"/>
      <c r="JG175" s="130"/>
      <c r="JH175" s="130"/>
      <c r="JI175" s="130"/>
      <c r="JJ175" s="130"/>
      <c r="JK175" s="130"/>
      <c r="JL175" s="130"/>
      <c r="MB175" s="957"/>
      <c r="MC175" s="957"/>
      <c r="MD175" s="957"/>
      <c r="ME175" s="1401">
        <v>0</v>
      </c>
      <c r="MF175" s="1402"/>
      <c r="MG175" s="1403"/>
      <c r="MH175" s="1282">
        <v>0.25</v>
      </c>
      <c r="MI175" s="1282"/>
      <c r="MJ175" s="1282"/>
      <c r="MK175" s="1282">
        <v>0.5</v>
      </c>
      <c r="ML175" s="1282"/>
      <c r="MM175" s="1282"/>
      <c r="MN175" s="1282">
        <v>0.75</v>
      </c>
      <c r="MO175" s="1282"/>
      <c r="MP175" s="1282"/>
      <c r="MQ175" s="1282">
        <v>1</v>
      </c>
      <c r="MR175" s="1282"/>
      <c r="MS175" s="1282"/>
      <c r="MT175" s="1282">
        <v>1.25</v>
      </c>
      <c r="MU175" s="1282"/>
      <c r="MV175" s="1282"/>
      <c r="MW175" s="1282">
        <v>1.5</v>
      </c>
      <c r="MX175" s="1282"/>
      <c r="MY175" s="1282"/>
      <c r="MZ175" s="653"/>
      <c r="NA175" s="653"/>
      <c r="NB175" s="653"/>
      <c r="NC175" s="653"/>
      <c r="ND175" s="653"/>
      <c r="NE175" s="653"/>
      <c r="NK175" s="130"/>
      <c r="PJ175" s="130"/>
      <c r="PK175" s="130"/>
      <c r="PL175" s="130"/>
      <c r="PM175" s="130"/>
      <c r="PN175" s="130"/>
      <c r="PO175" s="130"/>
      <c r="PP175" s="130"/>
      <c r="PQ175" s="130"/>
      <c r="PR175" s="130"/>
      <c r="PS175" s="130"/>
      <c r="PT175" s="130"/>
      <c r="PU175" s="130"/>
      <c r="PV175" s="130"/>
      <c r="PW175" s="130"/>
      <c r="PX175" s="130"/>
      <c r="PY175" s="130"/>
      <c r="PZ175" s="130"/>
      <c r="QA175" s="130"/>
      <c r="QB175" s="130"/>
      <c r="QC175" s="130"/>
      <c r="QD175" s="130"/>
      <c r="QE175" s="130"/>
      <c r="QF175" s="130"/>
      <c r="QG175" s="130"/>
      <c r="QH175" s="130"/>
      <c r="QI175" s="130"/>
      <c r="QJ175" s="130"/>
      <c r="QK175" s="130"/>
      <c r="QL175" s="130"/>
      <c r="QM175" s="130"/>
      <c r="QN175" s="130"/>
      <c r="QO175" s="130"/>
      <c r="QP175" s="130"/>
      <c r="QQ175" s="130"/>
      <c r="QR175" s="130"/>
      <c r="QS175" s="130"/>
      <c r="QT175" s="130"/>
      <c r="QU175" s="130"/>
      <c r="QV175" s="130"/>
      <c r="WE175" s="752">
        <v>23</v>
      </c>
      <c r="WF175" s="753"/>
      <c r="WG175" s="861" t="s">
        <v>1345</v>
      </c>
      <c r="WH175" s="861"/>
      <c r="WI175" s="861"/>
      <c r="WJ175" s="861"/>
      <c r="WK175" s="761">
        <f>$GP$57</f>
        <v>1.5</v>
      </c>
      <c r="WL175" s="761"/>
      <c r="WM175" s="861" t="s">
        <v>1080</v>
      </c>
      <c r="WN175" s="861"/>
      <c r="WO175" s="861"/>
      <c r="WP175" s="861"/>
      <c r="WQ175" s="761">
        <f>$GW$61</f>
        <v>0.7</v>
      </c>
      <c r="WR175" s="761"/>
      <c r="WS175" s="168"/>
      <c r="WT175" s="168"/>
      <c r="WU175" s="168"/>
      <c r="WV175" s="168"/>
      <c r="WW175" s="168"/>
      <c r="WX175" s="168"/>
      <c r="WY175" s="171"/>
      <c r="WZ175" s="998" t="s">
        <v>1719</v>
      </c>
      <c r="XA175" s="999"/>
      <c r="XB175" s="167"/>
      <c r="XC175" s="168"/>
      <c r="XD175" s="168"/>
      <c r="XE175" s="168"/>
      <c r="XF175" s="171"/>
      <c r="XG175" s="1017">
        <f>($WQ$175/$WK$175)*(XG170/($WK$175 + XG170))</f>
        <v>0.11918694587479017</v>
      </c>
      <c r="XH175" s="1017">
        <f t="shared" ref="XH175:ZS175" si="246">($WQ$175/$WK$175)*(XH170/($WK$175 + XH170))</f>
        <v>0.12757966646867436</v>
      </c>
      <c r="XI175" s="1017">
        <f t="shared" si="246"/>
        <v>0.1355765274748213</v>
      </c>
      <c r="XJ175" s="1017">
        <f t="shared" si="246"/>
        <v>0.14320489087505953</v>
      </c>
      <c r="XK175" s="1017">
        <f t="shared" si="246"/>
        <v>0.1486993988232819</v>
      </c>
      <c r="XL175" s="1017">
        <f t="shared" si="246"/>
        <v>0.15574147132344077</v>
      </c>
      <c r="XM175" s="1017">
        <f t="shared" si="246"/>
        <v>0.16082167026903749</v>
      </c>
      <c r="XN175" s="1017">
        <f t="shared" si="246"/>
        <v>0.16573852756418578</v>
      </c>
      <c r="XO175" s="1017">
        <f t="shared" si="246"/>
        <v>0.17049979635724766</v>
      </c>
      <c r="XP175" s="1017">
        <f t="shared" si="246"/>
        <v>0.17511274675958824</v>
      </c>
      <c r="XQ175" s="1017">
        <f t="shared" si="246"/>
        <v>0.17958420288638813</v>
      </c>
      <c r="XR175" s="1017">
        <f t="shared" si="246"/>
        <v>0.1839205765404501</v>
      </c>
      <c r="XS175" s="1017">
        <f t="shared" si="246"/>
        <v>0.18812789788867504</v>
      </c>
      <c r="XT175" s="1017">
        <f t="shared" si="246"/>
        <v>0.19086390004380965</v>
      </c>
      <c r="XU175" s="1017">
        <f t="shared" si="246"/>
        <v>0.19486858566784357</v>
      </c>
      <c r="XV175" s="1017">
        <f t="shared" si="246"/>
        <v>0.19747438610814591</v>
      </c>
      <c r="XW175" s="1017">
        <f t="shared" si="246"/>
        <v>0.20129073055377647</v>
      </c>
      <c r="XX175" s="1017">
        <f t="shared" si="246"/>
        <v>0.2037754070493622</v>
      </c>
      <c r="XY175" s="1017">
        <f t="shared" si="246"/>
        <v>0.20621398779964517</v>
      </c>
      <c r="XZ175" s="1017">
        <f t="shared" si="246"/>
        <v>0.20860774376830987</v>
      </c>
      <c r="YA175" s="1017">
        <f t="shared" si="246"/>
        <v>0.20978819691791337</v>
      </c>
      <c r="YB175" s="1017">
        <f t="shared" si="246"/>
        <v>0.21211699806654036</v>
      </c>
      <c r="YC175" s="1017">
        <f t="shared" si="246"/>
        <v>0.21440395382424851</v>
      </c>
      <c r="YD175" s="1017">
        <f t="shared" si="246"/>
        <v>0.21553209056067354</v>
      </c>
      <c r="YE175" s="1017">
        <f t="shared" si="246"/>
        <v>0.2203617146253655</v>
      </c>
      <c r="YF175" s="1017">
        <f t="shared" si="246"/>
        <v>0.22299253601669503</v>
      </c>
      <c r="YG175" s="1017">
        <f t="shared" si="246"/>
        <v>0.22556775092690184</v>
      </c>
      <c r="YH175" s="1017">
        <f t="shared" si="246"/>
        <v>0.22808910391257306</v>
      </c>
      <c r="YI175" s="1017">
        <f t="shared" si="246"/>
        <v>0.23055826730899856</v>
      </c>
      <c r="YJ175" s="1017">
        <f t="shared" si="246"/>
        <v>0.23297684492916723</v>
      </c>
      <c r="YK175" s="1017">
        <f t="shared" si="246"/>
        <v>0.235346375537724</v>
      </c>
      <c r="YL175" s="1017">
        <f t="shared" si="246"/>
        <v>0.235346375537724</v>
      </c>
      <c r="YM175" s="1017">
        <f t="shared" si="246"/>
        <v>0.23766833611570093</v>
      </c>
      <c r="YN175" s="1017">
        <f t="shared" si="246"/>
        <v>0.23994414493057603</v>
      </c>
      <c r="YO175" s="1017">
        <f t="shared" si="246"/>
        <v>0.23994414493057603</v>
      </c>
      <c r="YP175" s="1017">
        <f t="shared" si="246"/>
        <v>0.24217516442507087</v>
      </c>
      <c r="YQ175" s="1017">
        <f t="shared" si="246"/>
        <v>0.24217516442507087</v>
      </c>
      <c r="YR175" s="1017">
        <f t="shared" si="246"/>
        <v>0.24217516442507087</v>
      </c>
      <c r="YS175" s="1017">
        <f t="shared" si="246"/>
        <v>0.24436270393704995</v>
      </c>
      <c r="YT175" s="1017">
        <f t="shared" si="246"/>
        <v>0.24436270393704995</v>
      </c>
      <c r="YU175" s="1017">
        <f t="shared" si="246"/>
        <v>0.24436270393704995</v>
      </c>
      <c r="YV175" s="1017">
        <f t="shared" si="246"/>
        <v>0.2465080222619315</v>
      </c>
      <c r="YW175" s="1017">
        <f t="shared" si="246"/>
        <v>0.2465080222619315</v>
      </c>
      <c r="YX175" s="1017">
        <f t="shared" si="246"/>
        <v>0.2465080222619315</v>
      </c>
      <c r="YY175" s="1017">
        <f t="shared" si="246"/>
        <v>0.2465080222619315</v>
      </c>
      <c r="YZ175" s="1017">
        <f t="shared" si="246"/>
        <v>0.24861233006814765</v>
      </c>
      <c r="ZA175" s="1017">
        <f t="shared" si="246"/>
        <v>0.24861233006814765</v>
      </c>
      <c r="ZB175" s="1017">
        <f t="shared" si="246"/>
        <v>0.24861233006814765</v>
      </c>
      <c r="ZC175" s="1017">
        <f t="shared" si="246"/>
        <v>0.24861233006814765</v>
      </c>
      <c r="ZD175" s="1017">
        <f t="shared" si="246"/>
        <v>0.24861233006814765</v>
      </c>
      <c r="ZE175" s="1017">
        <f t="shared" si="246"/>
        <v>0.25067679217539102</v>
      </c>
      <c r="ZF175" s="1017">
        <f t="shared" si="246"/>
        <v>0.25067679217539102</v>
      </c>
      <c r="ZG175" s="1017">
        <f t="shared" si="246"/>
        <v>0.25067679217539102</v>
      </c>
      <c r="ZH175" s="1017">
        <f t="shared" si="246"/>
        <v>0.25067679217539102</v>
      </c>
      <c r="ZI175" s="1017">
        <f t="shared" si="246"/>
        <v>0.25067679217539102</v>
      </c>
      <c r="ZJ175" s="1017">
        <f t="shared" si="246"/>
        <v>0.25067679217539102</v>
      </c>
      <c r="ZK175" s="1017">
        <f t="shared" si="246"/>
        <v>0.25067679217539102</v>
      </c>
      <c r="ZL175" s="1017">
        <f t="shared" si="246"/>
        <v>0.25270252970465823</v>
      </c>
      <c r="ZM175" s="1017">
        <f t="shared" si="246"/>
        <v>0.25270252970465823</v>
      </c>
      <c r="ZN175" s="1017">
        <f t="shared" si="246"/>
        <v>0.25270252970465823</v>
      </c>
      <c r="ZO175" s="1017">
        <f t="shared" si="246"/>
        <v>0.25270252970465823</v>
      </c>
      <c r="ZP175" s="1017">
        <f t="shared" si="246"/>
        <v>0.25270252970465823</v>
      </c>
      <c r="ZQ175" s="1017">
        <f t="shared" si="246"/>
        <v>0.25270252970465823</v>
      </c>
      <c r="ZR175" s="1017">
        <f t="shared" si="246"/>
        <v>0.25270252970465823</v>
      </c>
      <c r="ZS175" s="1017">
        <f t="shared" si="246"/>
        <v>0.25270252970465823</v>
      </c>
      <c r="ZT175" s="1017">
        <f t="shared" ref="ZT175:AAS175" si="247">($WQ$175/$WK$175)*(ZT170/($WK$175 + ZT170))</f>
        <v>0.25270252970465823</v>
      </c>
      <c r="ZU175" s="1017">
        <f t="shared" si="247"/>
        <v>0.25270252970465823</v>
      </c>
      <c r="ZV175" s="1017">
        <f t="shared" si="247"/>
        <v>0.25270252970465823</v>
      </c>
      <c r="ZW175" s="1017">
        <f t="shared" si="247"/>
        <v>0.25270252970465823</v>
      </c>
      <c r="ZX175" s="1017">
        <f t="shared" si="247"/>
        <v>0.25270252970465823</v>
      </c>
      <c r="ZY175" s="1017">
        <f t="shared" si="247"/>
        <v>0.2546906221084278</v>
      </c>
      <c r="ZZ175" s="1017">
        <f t="shared" si="247"/>
        <v>0.2546906221084278</v>
      </c>
      <c r="AAA175" s="1017">
        <f t="shared" si="247"/>
        <v>0.2546906221084278</v>
      </c>
      <c r="AAB175" s="1017">
        <f t="shared" si="247"/>
        <v>0.2546906221084278</v>
      </c>
      <c r="AAC175" s="1017">
        <f t="shared" si="247"/>
        <v>0.2546906221084278</v>
      </c>
      <c r="AAD175" s="1017">
        <f t="shared" si="247"/>
        <v>0.2546906221084278</v>
      </c>
      <c r="AAE175" s="1017">
        <f t="shared" si="247"/>
        <v>0.2546906221084278</v>
      </c>
      <c r="AAF175" s="1017">
        <f t="shared" si="247"/>
        <v>0.2546906221084278</v>
      </c>
      <c r="AAG175" s="1017">
        <f t="shared" si="247"/>
        <v>0.2546906221084278</v>
      </c>
      <c r="AAH175" s="1017">
        <f t="shared" si="247"/>
        <v>0.2546906221084278</v>
      </c>
      <c r="AAI175" s="1017">
        <f t="shared" si="247"/>
        <v>0.2546906221084278</v>
      </c>
      <c r="AAJ175" s="1017">
        <f t="shared" si="247"/>
        <v>0.2546906221084278</v>
      </c>
      <c r="AAK175" s="1017">
        <f t="shared" si="247"/>
        <v>0.2546906221084278</v>
      </c>
      <c r="AAL175" s="1017">
        <f t="shared" si="247"/>
        <v>0.2546906221084278</v>
      </c>
      <c r="AAM175" s="1017">
        <f t="shared" si="247"/>
        <v>0.2546906221084278</v>
      </c>
      <c r="AAN175" s="1017">
        <f t="shared" si="247"/>
        <v>0.2546906221084278</v>
      </c>
      <c r="AAO175" s="1017">
        <f t="shared" si="247"/>
        <v>0.2546906221084278</v>
      </c>
      <c r="AAP175" s="1017">
        <f t="shared" si="247"/>
        <v>0.2546906221084278</v>
      </c>
      <c r="AAQ175" s="1017">
        <f t="shared" si="247"/>
        <v>0.2546906221084278</v>
      </c>
      <c r="AAR175" s="1017">
        <f t="shared" si="247"/>
        <v>0.2546906221084278</v>
      </c>
      <c r="AAS175" s="1017">
        <f t="shared" si="247"/>
        <v>0.2546906221084278</v>
      </c>
      <c r="AAT175" s="1005">
        <v>23</v>
      </c>
      <c r="AAU175" s="167"/>
      <c r="AAV175" s="168"/>
      <c r="AAW175" s="168"/>
      <c r="AAX175" s="168"/>
      <c r="AAY175" s="168"/>
      <c r="AAZ175" s="168"/>
      <c r="ABA175" s="168"/>
      <c r="ABB175" s="168"/>
      <c r="ABC175" s="168"/>
      <c r="ABD175" s="168"/>
      <c r="ABE175" s="171"/>
      <c r="ABF175" s="158"/>
      <c r="ABG175" s="158"/>
      <c r="ABH175" s="158"/>
      <c r="ABI175" s="158"/>
      <c r="ABJ175" s="158"/>
      <c r="ABK175" s="158"/>
      <c r="ABL175" s="158"/>
      <c r="ABM175" s="158"/>
      <c r="ABN175" s="158"/>
      <c r="ABO175" s="158"/>
      <c r="ABP175" s="163"/>
      <c r="ABQ175" s="653"/>
      <c r="ABR175" s="653"/>
      <c r="ABS175" s="162"/>
      <c r="ABT175" s="158"/>
      <c r="ABU175" s="158"/>
      <c r="ABV175" s="158"/>
      <c r="ABW175" s="158"/>
      <c r="ABX175" s="158"/>
      <c r="ABY175" s="158"/>
      <c r="ABZ175" s="158"/>
      <c r="ACA175" s="158"/>
      <c r="ACB175" s="158"/>
      <c r="ACC175" s="158"/>
      <c r="ACD175" s="158"/>
      <c r="ACE175" s="158"/>
      <c r="ACF175" s="158"/>
      <c r="ACG175" s="158"/>
      <c r="ACH175" s="163"/>
      <c r="ACJ175" s="759">
        <v>-3.125E-2</v>
      </c>
      <c r="ACK175" s="760"/>
      <c r="ACL175" s="759">
        <v>1</v>
      </c>
      <c r="ACM175" s="760"/>
      <c r="ACN175" s="591">
        <v>22</v>
      </c>
      <c r="ACO175" s="759">
        <f>ACJ175*ACQ175+ACL175</f>
        <v>0.99450000000000005</v>
      </c>
      <c r="ACP175" s="760"/>
      <c r="ACQ175" s="757">
        <f t="shared" si="195"/>
        <v>0.17599999999999999</v>
      </c>
      <c r="ACR175" s="758"/>
      <c r="ACT175" s="759">
        <v>-3.125E-2</v>
      </c>
      <c r="ACU175" s="760"/>
      <c r="ACV175" s="759">
        <v>1</v>
      </c>
      <c r="ACW175" s="760"/>
      <c r="ACX175" s="591">
        <v>72</v>
      </c>
      <c r="ACY175" s="759">
        <f t="shared" si="196"/>
        <v>0.98199999999999998</v>
      </c>
      <c r="ACZ175" s="760"/>
      <c r="ADA175" s="757">
        <f t="shared" si="197"/>
        <v>0.57600000000000007</v>
      </c>
      <c r="ADB175" s="758"/>
      <c r="ADD175" s="759">
        <v>-8.3333333333333398E-2</v>
      </c>
      <c r="ADE175" s="760"/>
      <c r="ADF175" s="759">
        <v>1.0416666666666701</v>
      </c>
      <c r="ADG175" s="760"/>
      <c r="ADH175" s="592">
        <v>122</v>
      </c>
      <c r="ADI175" s="759">
        <f t="shared" si="198"/>
        <v>0.9603333333333367</v>
      </c>
      <c r="ADJ175" s="760"/>
      <c r="ADK175" s="757">
        <f t="shared" si="199"/>
        <v>0.97599999999999998</v>
      </c>
      <c r="ADL175" s="758"/>
      <c r="ADN175" s="759">
        <v>-0.14285714285714299</v>
      </c>
      <c r="ADO175" s="760"/>
      <c r="ADP175" s="759">
        <v>1.1071428571428601</v>
      </c>
      <c r="ADQ175" s="760"/>
      <c r="ADR175" s="592">
        <v>172</v>
      </c>
      <c r="ADS175" s="759">
        <f t="shared" si="200"/>
        <v>0.91057142857143136</v>
      </c>
      <c r="ADT175" s="760"/>
      <c r="ADU175" s="757">
        <f t="shared" si="201"/>
        <v>1.3760000000000001</v>
      </c>
      <c r="ADV175" s="758"/>
      <c r="ADX175" s="759">
        <v>-0.33333333333333259</v>
      </c>
      <c r="ADY175" s="760"/>
      <c r="ADZ175" s="759">
        <v>1.4166666666666654</v>
      </c>
      <c r="AEA175" s="760"/>
      <c r="AEB175" s="592">
        <v>222</v>
      </c>
      <c r="AEC175" s="759">
        <f t="shared" si="202"/>
        <v>0.82466666666666677</v>
      </c>
      <c r="AED175" s="760"/>
      <c r="AEE175" s="757">
        <f t="shared" si="203"/>
        <v>1.776</v>
      </c>
      <c r="AEF175" s="758"/>
      <c r="AEH175" s="759">
        <v>-0.33333333333333298</v>
      </c>
      <c r="AEI175" s="760"/>
      <c r="AEJ175" s="759">
        <v>1.4166666666666701</v>
      </c>
      <c r="AEK175" s="760"/>
      <c r="AEL175" s="592">
        <v>272</v>
      </c>
      <c r="AEM175" s="759">
        <f t="shared" si="204"/>
        <v>0.69133333333333746</v>
      </c>
      <c r="AEN175" s="760"/>
      <c r="AEO175" s="757">
        <f t="shared" si="205"/>
        <v>2.1760000000000002</v>
      </c>
      <c r="AEP175" s="758"/>
      <c r="AER175" s="759">
        <v>-0.249999999999999</v>
      </c>
      <c r="AES175" s="760"/>
      <c r="AET175" s="759">
        <v>1.2250000000000001</v>
      </c>
      <c r="AEU175" s="760"/>
      <c r="AEV175" s="592">
        <v>322</v>
      </c>
      <c r="AEW175" s="759">
        <f t="shared" si="206"/>
        <v>0.58100000000000263</v>
      </c>
      <c r="AEX175" s="760"/>
      <c r="AEY175" s="757">
        <f t="shared" si="207"/>
        <v>2.5760000000000001</v>
      </c>
      <c r="AEZ175" s="758"/>
      <c r="AFB175" s="759">
        <v>-0.1</v>
      </c>
      <c r="AFC175" s="760"/>
      <c r="AFD175" s="759">
        <v>0.82</v>
      </c>
      <c r="AFE175" s="760"/>
      <c r="AFF175" s="591">
        <v>372</v>
      </c>
      <c r="AFG175" s="759">
        <f t="shared" si="208"/>
        <v>0.52239999999999998</v>
      </c>
      <c r="AFH175" s="760"/>
      <c r="AFI175" s="757">
        <f t="shared" si="209"/>
        <v>2.976</v>
      </c>
      <c r="AFJ175" s="758"/>
      <c r="AFL175" s="759">
        <v>-0.25</v>
      </c>
      <c r="AFM175" s="760"/>
      <c r="AFN175" s="759">
        <v>1.3</v>
      </c>
      <c r="AFO175" s="760"/>
      <c r="AFP175" s="592">
        <v>422</v>
      </c>
      <c r="AFQ175" s="759">
        <f t="shared" si="210"/>
        <v>0.45600000000000007</v>
      </c>
      <c r="AFR175" s="760"/>
      <c r="AFS175" s="757">
        <f t="shared" si="211"/>
        <v>3.3759999999999999</v>
      </c>
      <c r="AFT175" s="758"/>
      <c r="AFV175" s="759">
        <v>-0.125</v>
      </c>
      <c r="AFW175" s="760"/>
      <c r="AFX175" s="759">
        <v>0.875</v>
      </c>
      <c r="AFY175" s="760"/>
      <c r="AFZ175" s="591">
        <v>472</v>
      </c>
      <c r="AGA175" s="759">
        <f t="shared" si="212"/>
        <v>0.40299999999999997</v>
      </c>
      <c r="AGB175" s="760"/>
      <c r="AGC175" s="757">
        <f t="shared" si="213"/>
        <v>3.7760000000000002</v>
      </c>
      <c r="AGD175" s="758"/>
      <c r="AGL175" s="1052"/>
      <c r="AGM175" s="861" t="s">
        <v>725</v>
      </c>
      <c r="AGN175" s="861"/>
      <c r="AGO175" s="761">
        <f>$GU$12</f>
        <v>0.8</v>
      </c>
      <c r="AGP175" s="761"/>
      <c r="AGQ175" s="792" t="s">
        <v>1709</v>
      </c>
      <c r="AGR175" s="792"/>
      <c r="AGS175" s="792"/>
      <c r="AGT175" s="792"/>
      <c r="AGU175" s="792"/>
      <c r="AGV175" s="792"/>
      <c r="AGW175" s="792"/>
      <c r="AGX175" s="792"/>
      <c r="AGY175" s="793"/>
      <c r="AGZ175" s="835">
        <f>(AHA168/(1.6*GU12*AGZ180))/(10^3)</f>
        <v>4.9483406222879935</v>
      </c>
      <c r="AHA175" s="836"/>
      <c r="AHB175" s="1477" t="s">
        <v>17</v>
      </c>
      <c r="AHC175" s="1208"/>
      <c r="AHD175" s="1066"/>
      <c r="AHE175" s="843" t="s">
        <v>1509</v>
      </c>
      <c r="AHF175" s="844"/>
      <c r="AHG175" s="1255"/>
      <c r="AHH175" s="1052"/>
      <c r="AHI175" s="1052"/>
      <c r="AHJ175" s="1052"/>
      <c r="AHK175" s="1052"/>
      <c r="AHL175" s="1052"/>
      <c r="AHM175" s="1052"/>
      <c r="AHN175" s="1052"/>
      <c r="AHO175" s="1052"/>
      <c r="AIC175" s="130"/>
      <c r="AID175" s="130"/>
      <c r="AIE175" s="130"/>
      <c r="AIF175" s="130"/>
      <c r="AIG175" s="130"/>
      <c r="AIJ175" s="130"/>
      <c r="AIK175" s="130"/>
      <c r="AIL175" s="130"/>
      <c r="AIM175" s="130"/>
      <c r="AIN175" s="130"/>
      <c r="AIO175" s="130"/>
      <c r="AIP175" s="130"/>
      <c r="AIQ175" s="130"/>
      <c r="AIR175" s="130"/>
      <c r="AIS175" s="130"/>
      <c r="AIT175" s="130"/>
      <c r="AIU175" s="130"/>
      <c r="AIV175" s="130"/>
      <c r="AIW175" s="130"/>
      <c r="AIX175" s="130"/>
      <c r="AIY175" s="130"/>
      <c r="AIZ175" s="130"/>
      <c r="ARU175" s="851"/>
      <c r="ARV175" s="777"/>
      <c r="ARW175" s="778"/>
      <c r="ARX175" s="778"/>
      <c r="ARY175" s="778"/>
      <c r="ARZ175" s="778"/>
      <c r="ASA175" s="778"/>
      <c r="ASB175" s="778"/>
      <c r="ASC175" s="778"/>
      <c r="ASD175" s="778"/>
      <c r="ASE175" s="778"/>
      <c r="ASF175" s="778"/>
      <c r="ASG175" s="778"/>
      <c r="ASH175" s="778"/>
      <c r="ASI175" s="837"/>
      <c r="ASJ175" s="838"/>
      <c r="ASK175" s="777"/>
      <c r="ASL175" s="778"/>
      <c r="ASM175" s="1067"/>
      <c r="ASN175" s="845"/>
      <c r="ASO175" s="846"/>
      <c r="ASP175" s="848"/>
      <c r="ASQ175" s="1276"/>
      <c r="ASR175" s="1277"/>
      <c r="ASS175" s="1278"/>
      <c r="ASY175" s="130"/>
      <c r="ASZ175" s="130"/>
      <c r="ATA175" s="130"/>
      <c r="ATB175" s="130"/>
      <c r="ATC175" s="130"/>
      <c r="ATD175" s="130"/>
      <c r="ATE175" s="130"/>
      <c r="ATF175" s="130"/>
      <c r="ATG175" s="130"/>
      <c r="ATH175" s="130"/>
    </row>
    <row r="176" spans="249:948 1165:1221" ht="48" customHeight="1" thickBot="1">
      <c r="MB176" s="897" t="s">
        <v>929</v>
      </c>
      <c r="MC176" s="898"/>
      <c r="MD176" s="899"/>
      <c r="ME176" s="849"/>
      <c r="MF176" s="852" t="s">
        <v>416</v>
      </c>
      <c r="MG176" s="853"/>
      <c r="MH176" s="344"/>
      <c r="MI176" s="779" t="s">
        <v>1858</v>
      </c>
      <c r="MJ176" s="780"/>
      <c r="MK176" s="781"/>
      <c r="ML176" s="75" t="s">
        <v>702</v>
      </c>
      <c r="MM176" s="386"/>
      <c r="MN176" s="76" t="s">
        <v>441</v>
      </c>
      <c r="MO176" s="854" t="s">
        <v>435</v>
      </c>
      <c r="MP176" s="891"/>
      <c r="MQ176" s="1415" t="s">
        <v>111</v>
      </c>
      <c r="MR176" s="1416"/>
      <c r="MS176" s="921"/>
      <c r="MT176" s="916" t="s">
        <v>704</v>
      </c>
      <c r="MU176" s="917"/>
      <c r="MV176" s="906" t="s">
        <v>447</v>
      </c>
      <c r="MW176" s="907"/>
      <c r="MX176" s="907"/>
      <c r="MY176" s="908"/>
      <c r="MZ176" s="653"/>
      <c r="NA176" s="653"/>
      <c r="NB176" s="653"/>
      <c r="NC176" s="653"/>
      <c r="ND176" s="653"/>
      <c r="NE176" s="653"/>
      <c r="NK176" s="130"/>
      <c r="PJ176" s="130"/>
      <c r="PK176" s="130"/>
      <c r="PL176" s="130"/>
      <c r="PM176" s="130"/>
      <c r="PN176" s="130"/>
      <c r="PO176" s="130"/>
      <c r="PP176" s="130"/>
      <c r="PQ176" s="130"/>
      <c r="PR176" s="130"/>
      <c r="PS176" s="130"/>
      <c r="PT176" s="130"/>
      <c r="PU176" s="130"/>
      <c r="PV176" s="130"/>
      <c r="PW176" s="130"/>
      <c r="PX176" s="130"/>
      <c r="PY176" s="130"/>
      <c r="PZ176" s="130"/>
      <c r="QA176" s="130"/>
      <c r="QB176" s="130"/>
      <c r="QC176" s="130"/>
      <c r="QD176" s="130"/>
      <c r="QE176" s="130"/>
      <c r="WE176" s="996"/>
      <c r="WF176" s="997"/>
      <c r="WG176" s="175"/>
      <c r="WH176" s="173"/>
      <c r="WI176" s="173"/>
      <c r="WJ176" s="173"/>
      <c r="WK176" s="173"/>
      <c r="WL176" s="173"/>
      <c r="WM176" s="173"/>
      <c r="WN176" s="173"/>
      <c r="WO176" s="173"/>
      <c r="WP176" s="173"/>
      <c r="WQ176" s="173"/>
      <c r="WR176" s="173"/>
      <c r="WS176" s="173"/>
      <c r="WT176" s="173"/>
      <c r="WU176" s="173"/>
      <c r="WV176" s="173"/>
      <c r="WW176" s="173"/>
      <c r="WX176" s="173"/>
      <c r="WY176" s="174"/>
      <c r="WZ176" s="1000"/>
      <c r="XA176" s="1001"/>
      <c r="XB176" s="175"/>
      <c r="XC176" s="173"/>
      <c r="XD176" s="173"/>
      <c r="XE176" s="173"/>
      <c r="XF176" s="174"/>
      <c r="XG176" s="1018"/>
      <c r="XH176" s="1018"/>
      <c r="XI176" s="1018"/>
      <c r="XJ176" s="1018"/>
      <c r="XK176" s="1018"/>
      <c r="XL176" s="1018"/>
      <c r="XM176" s="1018"/>
      <c r="XN176" s="1018"/>
      <c r="XO176" s="1018"/>
      <c r="XP176" s="1018"/>
      <c r="XQ176" s="1018"/>
      <c r="XR176" s="1018"/>
      <c r="XS176" s="1018"/>
      <c r="XT176" s="1018"/>
      <c r="XU176" s="1018"/>
      <c r="XV176" s="1018"/>
      <c r="XW176" s="1018"/>
      <c r="XX176" s="1018"/>
      <c r="XY176" s="1018"/>
      <c r="XZ176" s="1018"/>
      <c r="YA176" s="1018"/>
      <c r="YB176" s="1018"/>
      <c r="YC176" s="1018"/>
      <c r="YD176" s="1018"/>
      <c r="YE176" s="1018"/>
      <c r="YF176" s="1018"/>
      <c r="YG176" s="1018"/>
      <c r="YH176" s="1018"/>
      <c r="YI176" s="1018"/>
      <c r="YJ176" s="1018"/>
      <c r="YK176" s="1018"/>
      <c r="YL176" s="1018"/>
      <c r="YM176" s="1018"/>
      <c r="YN176" s="1018"/>
      <c r="YO176" s="1018"/>
      <c r="YP176" s="1018"/>
      <c r="YQ176" s="1018"/>
      <c r="YR176" s="1018"/>
      <c r="YS176" s="1018"/>
      <c r="YT176" s="1018"/>
      <c r="YU176" s="1018"/>
      <c r="YV176" s="1018"/>
      <c r="YW176" s="1018"/>
      <c r="YX176" s="1018"/>
      <c r="YY176" s="1018"/>
      <c r="YZ176" s="1018"/>
      <c r="ZA176" s="1018"/>
      <c r="ZB176" s="1018"/>
      <c r="ZC176" s="1018"/>
      <c r="ZD176" s="1018"/>
      <c r="ZE176" s="1018"/>
      <c r="ZF176" s="1018"/>
      <c r="ZG176" s="1018"/>
      <c r="ZH176" s="1018"/>
      <c r="ZI176" s="1018"/>
      <c r="ZJ176" s="1018"/>
      <c r="ZK176" s="1018"/>
      <c r="ZL176" s="1018"/>
      <c r="ZM176" s="1018"/>
      <c r="ZN176" s="1018"/>
      <c r="ZO176" s="1018"/>
      <c r="ZP176" s="1018"/>
      <c r="ZQ176" s="1018"/>
      <c r="ZR176" s="1018"/>
      <c r="ZS176" s="1018"/>
      <c r="ZT176" s="1018"/>
      <c r="ZU176" s="1018"/>
      <c r="ZV176" s="1018"/>
      <c r="ZW176" s="1018"/>
      <c r="ZX176" s="1018"/>
      <c r="ZY176" s="1018"/>
      <c r="ZZ176" s="1018"/>
      <c r="AAA176" s="1018"/>
      <c r="AAB176" s="1018"/>
      <c r="AAC176" s="1018"/>
      <c r="AAD176" s="1018"/>
      <c r="AAE176" s="1018"/>
      <c r="AAF176" s="1018"/>
      <c r="AAG176" s="1018"/>
      <c r="AAH176" s="1018"/>
      <c r="AAI176" s="1018"/>
      <c r="AAJ176" s="1018"/>
      <c r="AAK176" s="1018"/>
      <c r="AAL176" s="1018"/>
      <c r="AAM176" s="1018"/>
      <c r="AAN176" s="1018"/>
      <c r="AAO176" s="1018"/>
      <c r="AAP176" s="1018"/>
      <c r="AAQ176" s="1018"/>
      <c r="AAR176" s="1018"/>
      <c r="AAS176" s="1018"/>
      <c r="AAT176" s="1006"/>
      <c r="AAU176" s="175"/>
      <c r="AAV176" s="173"/>
      <c r="AAW176" s="173"/>
      <c r="AAX176" s="173"/>
      <c r="AAY176" s="173"/>
      <c r="AAZ176" s="173"/>
      <c r="ABA176" s="173"/>
      <c r="ABB176" s="173"/>
      <c r="ABC176" s="173"/>
      <c r="ABD176" s="173"/>
      <c r="ABE176" s="174"/>
      <c r="ABF176" s="158"/>
      <c r="ABG176" s="158"/>
      <c r="ABH176" s="158"/>
      <c r="ABI176" s="158"/>
      <c r="ABJ176" s="158"/>
      <c r="ABK176" s="158"/>
      <c r="ABL176" s="158"/>
      <c r="ABM176" s="158"/>
      <c r="ABN176" s="158"/>
      <c r="ABO176" s="158"/>
      <c r="ABP176" s="163"/>
      <c r="ABQ176" s="653"/>
      <c r="ABR176" s="653"/>
      <c r="ABS176" s="162"/>
      <c r="ABT176" s="158"/>
      <c r="ABU176" s="158"/>
      <c r="ABV176" s="158"/>
      <c r="ABW176" s="158"/>
      <c r="ABX176" s="158"/>
      <c r="ABY176" s="158"/>
      <c r="ABZ176" s="158"/>
      <c r="ACA176" s="158"/>
      <c r="ACB176" s="158"/>
      <c r="ACC176" s="158"/>
      <c r="ACD176" s="158"/>
      <c r="ACE176" s="158"/>
      <c r="ACF176" s="158"/>
      <c r="ACG176" s="158"/>
      <c r="ACH176" s="163"/>
      <c r="ACJ176" s="759">
        <v>-3.125E-2</v>
      </c>
      <c r="ACK176" s="760"/>
      <c r="ACL176" s="759">
        <v>1</v>
      </c>
      <c r="ACM176" s="760"/>
      <c r="ACN176" s="591">
        <v>23</v>
      </c>
      <c r="ACO176" s="759">
        <f>ACJ176*ACQ176+ACL176</f>
        <v>0.99424999999999997</v>
      </c>
      <c r="ACP176" s="760"/>
      <c r="ACQ176" s="757">
        <f t="shared" si="195"/>
        <v>0.184</v>
      </c>
      <c r="ACR176" s="758"/>
      <c r="ACT176" s="759">
        <v>-3.125E-2</v>
      </c>
      <c r="ACU176" s="760"/>
      <c r="ACV176" s="759">
        <v>1</v>
      </c>
      <c r="ACW176" s="760"/>
      <c r="ACX176" s="591">
        <v>73</v>
      </c>
      <c r="ACY176" s="759">
        <f t="shared" si="196"/>
        <v>0.98175000000000001</v>
      </c>
      <c r="ACZ176" s="760"/>
      <c r="ADA176" s="757">
        <f t="shared" si="197"/>
        <v>0.58399999999999996</v>
      </c>
      <c r="ADB176" s="758"/>
      <c r="ADD176" s="759">
        <v>-8.3333333333333398E-2</v>
      </c>
      <c r="ADE176" s="760"/>
      <c r="ADF176" s="759">
        <v>1.0416666666666701</v>
      </c>
      <c r="ADG176" s="760"/>
      <c r="ADH176" s="592">
        <v>123</v>
      </c>
      <c r="ADI176" s="759">
        <f t="shared" si="198"/>
        <v>0.95966666666667</v>
      </c>
      <c r="ADJ176" s="760"/>
      <c r="ADK176" s="757">
        <f t="shared" si="199"/>
        <v>0.98399999999999999</v>
      </c>
      <c r="ADL176" s="758"/>
      <c r="ADN176" s="759">
        <v>-0.14285714285714299</v>
      </c>
      <c r="ADO176" s="760"/>
      <c r="ADP176" s="759">
        <v>1.1071428571428601</v>
      </c>
      <c r="ADQ176" s="760"/>
      <c r="ADR176" s="592">
        <v>173</v>
      </c>
      <c r="ADS176" s="759">
        <f t="shared" si="200"/>
        <v>0.90942857142857414</v>
      </c>
      <c r="ADT176" s="760"/>
      <c r="ADU176" s="757">
        <f t="shared" si="201"/>
        <v>1.3840000000000001</v>
      </c>
      <c r="ADV176" s="758"/>
      <c r="ADX176" s="759">
        <v>-0.33333333333333259</v>
      </c>
      <c r="ADY176" s="760"/>
      <c r="ADZ176" s="759">
        <v>1.4166666666666654</v>
      </c>
      <c r="AEA176" s="760"/>
      <c r="AEB176" s="592">
        <v>223</v>
      </c>
      <c r="AEC176" s="759">
        <f t="shared" si="202"/>
        <v>0.82200000000000006</v>
      </c>
      <c r="AED176" s="760"/>
      <c r="AEE176" s="757">
        <f t="shared" si="203"/>
        <v>1.784</v>
      </c>
      <c r="AEF176" s="758"/>
      <c r="AEH176" s="759">
        <v>-0.33333333333333298</v>
      </c>
      <c r="AEI176" s="760"/>
      <c r="AEJ176" s="759">
        <v>1.4166666666666701</v>
      </c>
      <c r="AEK176" s="760"/>
      <c r="AEL176" s="592">
        <v>273</v>
      </c>
      <c r="AEM176" s="759">
        <f t="shared" si="204"/>
        <v>0.68866666666667076</v>
      </c>
      <c r="AEN176" s="760"/>
      <c r="AEO176" s="757">
        <f t="shared" si="205"/>
        <v>2.1840000000000002</v>
      </c>
      <c r="AEP176" s="758"/>
      <c r="AER176" s="759">
        <v>-0.249999999999999</v>
      </c>
      <c r="AES176" s="760"/>
      <c r="AET176" s="759">
        <v>1.2250000000000001</v>
      </c>
      <c r="AEU176" s="760"/>
      <c r="AEV176" s="592">
        <v>323</v>
      </c>
      <c r="AEW176" s="759">
        <f t="shared" si="206"/>
        <v>0.57900000000000262</v>
      </c>
      <c r="AEX176" s="760"/>
      <c r="AEY176" s="757">
        <f t="shared" si="207"/>
        <v>2.5840000000000001</v>
      </c>
      <c r="AEZ176" s="758"/>
      <c r="AFB176" s="759">
        <v>-0.1</v>
      </c>
      <c r="AFC176" s="760"/>
      <c r="AFD176" s="759">
        <v>0.82</v>
      </c>
      <c r="AFE176" s="760"/>
      <c r="AFF176" s="591">
        <v>373</v>
      </c>
      <c r="AFG176" s="759">
        <f t="shared" si="208"/>
        <v>0.52159999999999995</v>
      </c>
      <c r="AFH176" s="760"/>
      <c r="AFI176" s="757">
        <f t="shared" si="209"/>
        <v>2.984</v>
      </c>
      <c r="AFJ176" s="758"/>
      <c r="AFL176" s="759">
        <v>-0.25</v>
      </c>
      <c r="AFM176" s="760"/>
      <c r="AFN176" s="759">
        <v>1.3</v>
      </c>
      <c r="AFO176" s="760"/>
      <c r="AFP176" s="592">
        <v>423</v>
      </c>
      <c r="AFQ176" s="759">
        <f t="shared" si="210"/>
        <v>0.45400000000000007</v>
      </c>
      <c r="AFR176" s="760"/>
      <c r="AFS176" s="757">
        <f t="shared" si="211"/>
        <v>3.3839999999999999</v>
      </c>
      <c r="AFT176" s="758"/>
      <c r="AFV176" s="759">
        <v>-0.125</v>
      </c>
      <c r="AFW176" s="760"/>
      <c r="AFX176" s="759">
        <v>0.875</v>
      </c>
      <c r="AFY176" s="760"/>
      <c r="AFZ176" s="591">
        <v>473</v>
      </c>
      <c r="AGA176" s="759">
        <f t="shared" si="212"/>
        <v>0.40199999999999997</v>
      </c>
      <c r="AGB176" s="760"/>
      <c r="AGC176" s="757">
        <f t="shared" si="213"/>
        <v>3.7840000000000003</v>
      </c>
      <c r="AGD176" s="758"/>
      <c r="AGL176" s="1052"/>
      <c r="AGM176" s="861" t="s">
        <v>1710</v>
      </c>
      <c r="AGN176" s="861"/>
      <c r="AGO176" s="761">
        <f>$AGZ$180</f>
        <v>1.0600145352014647</v>
      </c>
      <c r="AGP176" s="761"/>
      <c r="AGQ176" s="824"/>
      <c r="AGR176" s="824"/>
      <c r="AGS176" s="824"/>
      <c r="AGT176" s="824"/>
      <c r="AGU176" s="824"/>
      <c r="AGV176" s="824"/>
      <c r="AGW176" s="824"/>
      <c r="AGX176" s="824"/>
      <c r="AGY176" s="1049"/>
      <c r="AGZ176" s="837"/>
      <c r="AHA176" s="838"/>
      <c r="AHB176" s="1478"/>
      <c r="AHC176" s="1210"/>
      <c r="AHD176" s="1067"/>
      <c r="AHE176" s="845"/>
      <c r="AHF176" s="846"/>
      <c r="AHG176" s="1256"/>
      <c r="AHH176" s="1052"/>
      <c r="AHI176" s="1052"/>
      <c r="AHJ176" s="1052"/>
      <c r="AHK176" s="1052"/>
      <c r="AHL176" s="1052"/>
      <c r="AHM176" s="1052"/>
      <c r="AHN176" s="1052"/>
      <c r="AHO176" s="1052"/>
      <c r="AHX176" s="130"/>
      <c r="AIC176" s="130"/>
      <c r="AID176" s="130"/>
      <c r="AIE176" s="130"/>
      <c r="AIF176" s="130"/>
      <c r="AIG176" s="130"/>
      <c r="AIJ176" s="130"/>
      <c r="AIK176" s="130"/>
      <c r="AIL176" s="130"/>
      <c r="AIM176" s="130"/>
      <c r="AIN176" s="130"/>
      <c r="AIO176" s="130"/>
      <c r="AIP176" s="130"/>
      <c r="AIQ176" s="130"/>
      <c r="AIR176" s="130"/>
      <c r="AIS176" s="130"/>
      <c r="AIT176" s="130"/>
      <c r="AIU176" s="130"/>
      <c r="AIV176" s="130"/>
      <c r="AIW176" s="130"/>
      <c r="AIX176" s="130"/>
      <c r="AIY176" s="130"/>
      <c r="AIZ176" s="130"/>
      <c r="ASY176" s="130"/>
      <c r="ASZ176" s="130"/>
      <c r="ATA176" s="130"/>
      <c r="ATB176" s="130"/>
      <c r="ATC176" s="130"/>
      <c r="ATD176" s="130"/>
      <c r="ATE176" s="130"/>
      <c r="ATF176" s="130"/>
      <c r="ATG176" s="130"/>
      <c r="ATH176" s="130"/>
    </row>
    <row r="177" spans="340:936 1165:1204" ht="48" customHeight="1" thickBot="1">
      <c r="MB177" s="900"/>
      <c r="MC177" s="901"/>
      <c r="MD177" s="902"/>
      <c r="ME177" s="850"/>
      <c r="MF177" s="809" t="s">
        <v>1316</v>
      </c>
      <c r="MG177" s="797"/>
      <c r="MH177" s="797"/>
      <c r="MI177" s="797"/>
      <c r="MJ177" s="797"/>
      <c r="MK177" s="797"/>
      <c r="ML177" s="797"/>
      <c r="MM177" s="797"/>
      <c r="MN177" s="797"/>
      <c r="MO177" s="797"/>
      <c r="MP177" s="797"/>
      <c r="MQ177" s="1417">
        <f>ME175</f>
        <v>0</v>
      </c>
      <c r="MR177" s="1418"/>
      <c r="MS177" s="1419"/>
      <c r="MT177" s="1183" t="s">
        <v>729</v>
      </c>
      <c r="MU177" s="1184"/>
      <c r="MV177" s="1066"/>
      <c r="MW177" s="893" t="s">
        <v>1312</v>
      </c>
      <c r="MX177" s="894"/>
      <c r="MY177" s="847"/>
      <c r="MZ177" s="653"/>
      <c r="NA177" s="653"/>
      <c r="NB177" s="653"/>
      <c r="NC177" s="653"/>
      <c r="ND177" s="653"/>
      <c r="NE177" s="653"/>
      <c r="OY177" s="130"/>
      <c r="OZ177" s="130"/>
      <c r="PA177" s="130"/>
      <c r="PB177" s="130"/>
      <c r="PC177" s="130"/>
      <c r="PN177" s="466"/>
      <c r="PO177" s="852" t="s">
        <v>1520</v>
      </c>
      <c r="PP177" s="923"/>
      <c r="PQ177" s="466"/>
      <c r="PR177" s="1069" t="s">
        <v>122</v>
      </c>
      <c r="PS177" s="1070"/>
      <c r="PT177" s="1070"/>
      <c r="PU177" s="1070"/>
      <c r="PV177" s="1070"/>
      <c r="PW177" s="1070"/>
      <c r="PX177" s="1070"/>
      <c r="PY177" s="1070"/>
      <c r="PZ177" s="1070"/>
      <c r="QA177" s="1070"/>
      <c r="QB177" s="1071"/>
      <c r="QC177" s="466"/>
      <c r="WE177" s="754"/>
      <c r="WF177" s="755"/>
      <c r="WG177" s="169"/>
      <c r="WH177" s="170"/>
      <c r="WI177" s="170"/>
      <c r="WJ177" s="170"/>
      <c r="WK177" s="170"/>
      <c r="WL177" s="170"/>
      <c r="WM177" s="170"/>
      <c r="WN177" s="170"/>
      <c r="WO177" s="170"/>
      <c r="WP177" s="170"/>
      <c r="WQ177" s="170"/>
      <c r="WR177" s="170"/>
      <c r="WS177" s="170"/>
      <c r="WT177" s="170"/>
      <c r="WU177" s="170"/>
      <c r="WV177" s="170"/>
      <c r="WW177" s="170"/>
      <c r="WX177" s="170"/>
      <c r="WY177" s="172"/>
      <c r="WZ177" s="1002"/>
      <c r="XA177" s="1003"/>
      <c r="XB177" s="175"/>
      <c r="XC177" s="173"/>
      <c r="XD177" s="173"/>
      <c r="XE177" s="173"/>
      <c r="XF177" s="174"/>
      <c r="XG177" s="1019"/>
      <c r="XH177" s="1019"/>
      <c r="XI177" s="1019"/>
      <c r="XJ177" s="1019"/>
      <c r="XK177" s="1019"/>
      <c r="XL177" s="1019"/>
      <c r="XM177" s="1019"/>
      <c r="XN177" s="1019"/>
      <c r="XO177" s="1019"/>
      <c r="XP177" s="1019"/>
      <c r="XQ177" s="1019"/>
      <c r="XR177" s="1019"/>
      <c r="XS177" s="1019"/>
      <c r="XT177" s="1019"/>
      <c r="XU177" s="1019"/>
      <c r="XV177" s="1019"/>
      <c r="XW177" s="1019"/>
      <c r="XX177" s="1019"/>
      <c r="XY177" s="1019"/>
      <c r="XZ177" s="1019"/>
      <c r="YA177" s="1019"/>
      <c r="YB177" s="1019"/>
      <c r="YC177" s="1019"/>
      <c r="YD177" s="1019"/>
      <c r="YE177" s="1019"/>
      <c r="YF177" s="1019"/>
      <c r="YG177" s="1019"/>
      <c r="YH177" s="1019"/>
      <c r="YI177" s="1019"/>
      <c r="YJ177" s="1019"/>
      <c r="YK177" s="1019"/>
      <c r="YL177" s="1019"/>
      <c r="YM177" s="1019"/>
      <c r="YN177" s="1019"/>
      <c r="YO177" s="1019"/>
      <c r="YP177" s="1019"/>
      <c r="YQ177" s="1019"/>
      <c r="YR177" s="1019"/>
      <c r="YS177" s="1019"/>
      <c r="YT177" s="1019"/>
      <c r="YU177" s="1019"/>
      <c r="YV177" s="1019"/>
      <c r="YW177" s="1019"/>
      <c r="YX177" s="1019"/>
      <c r="YY177" s="1019"/>
      <c r="YZ177" s="1019"/>
      <c r="ZA177" s="1019"/>
      <c r="ZB177" s="1019"/>
      <c r="ZC177" s="1019"/>
      <c r="ZD177" s="1019"/>
      <c r="ZE177" s="1019"/>
      <c r="ZF177" s="1019"/>
      <c r="ZG177" s="1019"/>
      <c r="ZH177" s="1019"/>
      <c r="ZI177" s="1019"/>
      <c r="ZJ177" s="1019"/>
      <c r="ZK177" s="1019"/>
      <c r="ZL177" s="1019"/>
      <c r="ZM177" s="1019"/>
      <c r="ZN177" s="1019"/>
      <c r="ZO177" s="1019"/>
      <c r="ZP177" s="1019"/>
      <c r="ZQ177" s="1019"/>
      <c r="ZR177" s="1019"/>
      <c r="ZS177" s="1019"/>
      <c r="ZT177" s="1019"/>
      <c r="ZU177" s="1019"/>
      <c r="ZV177" s="1019"/>
      <c r="ZW177" s="1019"/>
      <c r="ZX177" s="1019"/>
      <c r="ZY177" s="1019"/>
      <c r="ZZ177" s="1019"/>
      <c r="AAA177" s="1019"/>
      <c r="AAB177" s="1019"/>
      <c r="AAC177" s="1019"/>
      <c r="AAD177" s="1019"/>
      <c r="AAE177" s="1019"/>
      <c r="AAF177" s="1019"/>
      <c r="AAG177" s="1019"/>
      <c r="AAH177" s="1019"/>
      <c r="AAI177" s="1019"/>
      <c r="AAJ177" s="1019"/>
      <c r="AAK177" s="1019"/>
      <c r="AAL177" s="1019"/>
      <c r="AAM177" s="1019"/>
      <c r="AAN177" s="1019"/>
      <c r="AAO177" s="1019"/>
      <c r="AAP177" s="1019"/>
      <c r="AAQ177" s="1019"/>
      <c r="AAR177" s="1019"/>
      <c r="AAS177" s="1019"/>
      <c r="AAT177" s="1007"/>
      <c r="AAU177" s="169"/>
      <c r="AAV177" s="170"/>
      <c r="AAW177" s="170"/>
      <c r="AAX177" s="170"/>
      <c r="AAY177" s="170"/>
      <c r="AAZ177" s="170"/>
      <c r="ABA177" s="170"/>
      <c r="ABB177" s="170"/>
      <c r="ABC177" s="170"/>
      <c r="ABD177" s="170"/>
      <c r="ABE177" s="172"/>
      <c r="ABF177" s="158"/>
      <c r="ABG177" s="158"/>
      <c r="ABH177" s="158"/>
      <c r="ABI177" s="158"/>
      <c r="ABJ177" s="158"/>
      <c r="ABK177" s="158"/>
      <c r="ABL177" s="158"/>
      <c r="ABM177" s="158"/>
      <c r="ABN177" s="158"/>
      <c r="ABO177" s="158"/>
      <c r="ABP177" s="163"/>
      <c r="ABQ177" s="653"/>
      <c r="ABR177" s="653"/>
      <c r="ABS177" s="162"/>
      <c r="ABT177" s="158"/>
      <c r="ABU177" s="158"/>
      <c r="ABV177" s="158"/>
      <c r="ABW177" s="158"/>
      <c r="ABX177" s="158"/>
      <c r="ABY177" s="158"/>
      <c r="ABZ177" s="158"/>
      <c r="ACA177" s="158"/>
      <c r="ACB177" s="158"/>
      <c r="ACC177" s="158"/>
      <c r="ACD177" s="158"/>
      <c r="ACE177" s="158"/>
      <c r="ACF177" s="158"/>
      <c r="ACG177" s="158"/>
      <c r="ACH177" s="163"/>
      <c r="ACJ177" s="759">
        <v>-3.125E-2</v>
      </c>
      <c r="ACK177" s="760"/>
      <c r="ACL177" s="759">
        <v>1</v>
      </c>
      <c r="ACM177" s="760"/>
      <c r="ACN177" s="591">
        <v>24</v>
      </c>
      <c r="ACO177" s="759">
        <f t="shared" ref="ACO177:ACO203" si="248">ACJ177*ACQ177+ACL177</f>
        <v>0.99399999999999999</v>
      </c>
      <c r="ACP177" s="760"/>
      <c r="ACQ177" s="757">
        <f t="shared" si="195"/>
        <v>0.192</v>
      </c>
      <c r="ACR177" s="758"/>
      <c r="ACT177" s="759">
        <v>-3.125E-2</v>
      </c>
      <c r="ACU177" s="760"/>
      <c r="ACV177" s="759">
        <v>1</v>
      </c>
      <c r="ACW177" s="760"/>
      <c r="ACX177" s="591">
        <v>74</v>
      </c>
      <c r="ACY177" s="759">
        <f t="shared" si="196"/>
        <v>0.98150000000000004</v>
      </c>
      <c r="ACZ177" s="760"/>
      <c r="ADA177" s="757">
        <f t="shared" si="197"/>
        <v>0.59199999999999997</v>
      </c>
      <c r="ADB177" s="758"/>
      <c r="ADD177" s="759">
        <v>-8.3333333333333398E-2</v>
      </c>
      <c r="ADE177" s="760"/>
      <c r="ADF177" s="759">
        <v>1.0416666666666701</v>
      </c>
      <c r="ADG177" s="760"/>
      <c r="ADH177" s="592">
        <v>124</v>
      </c>
      <c r="ADI177" s="759">
        <f t="shared" si="198"/>
        <v>0.95900000000000329</v>
      </c>
      <c r="ADJ177" s="760"/>
      <c r="ADK177" s="757">
        <f t="shared" si="199"/>
        <v>0.99199999999999999</v>
      </c>
      <c r="ADL177" s="758"/>
      <c r="ADN177" s="759">
        <v>-0.14285714285714299</v>
      </c>
      <c r="ADO177" s="760"/>
      <c r="ADP177" s="759">
        <v>1.1071428571428601</v>
      </c>
      <c r="ADQ177" s="760"/>
      <c r="ADR177" s="592">
        <v>174</v>
      </c>
      <c r="ADS177" s="759">
        <f t="shared" si="200"/>
        <v>0.90828571428571703</v>
      </c>
      <c r="ADT177" s="760"/>
      <c r="ADU177" s="757">
        <f t="shared" si="201"/>
        <v>1.3920000000000001</v>
      </c>
      <c r="ADV177" s="758"/>
      <c r="ADX177" s="759">
        <v>-0.33333333333333259</v>
      </c>
      <c r="ADY177" s="760"/>
      <c r="ADZ177" s="759">
        <v>1.4166666666666654</v>
      </c>
      <c r="AEA177" s="760"/>
      <c r="AEB177" s="592">
        <v>224</v>
      </c>
      <c r="AEC177" s="759">
        <f t="shared" si="202"/>
        <v>0.81933333333333336</v>
      </c>
      <c r="AED177" s="760"/>
      <c r="AEE177" s="757">
        <f t="shared" si="203"/>
        <v>1.792</v>
      </c>
      <c r="AEF177" s="758"/>
      <c r="AEH177" s="759">
        <v>-0.33333333333333298</v>
      </c>
      <c r="AEI177" s="760"/>
      <c r="AEJ177" s="759">
        <v>1.4166666666666701</v>
      </c>
      <c r="AEK177" s="760"/>
      <c r="AEL177" s="592">
        <v>274</v>
      </c>
      <c r="AEM177" s="759">
        <f t="shared" si="204"/>
        <v>0.68600000000000416</v>
      </c>
      <c r="AEN177" s="760"/>
      <c r="AEO177" s="757">
        <f t="shared" si="205"/>
        <v>2.1920000000000002</v>
      </c>
      <c r="AEP177" s="758"/>
      <c r="AER177" s="759">
        <v>-0.249999999999999</v>
      </c>
      <c r="AES177" s="760"/>
      <c r="AET177" s="759">
        <v>1.2250000000000001</v>
      </c>
      <c r="AEU177" s="760"/>
      <c r="AEV177" s="592">
        <v>324</v>
      </c>
      <c r="AEW177" s="759">
        <f t="shared" si="206"/>
        <v>0.57700000000000262</v>
      </c>
      <c r="AEX177" s="760"/>
      <c r="AEY177" s="757">
        <f t="shared" si="207"/>
        <v>2.5920000000000001</v>
      </c>
      <c r="AEZ177" s="758"/>
      <c r="AFB177" s="759">
        <v>-0.1</v>
      </c>
      <c r="AFC177" s="760"/>
      <c r="AFD177" s="759">
        <v>0.82</v>
      </c>
      <c r="AFE177" s="760"/>
      <c r="AFF177" s="591">
        <v>374</v>
      </c>
      <c r="AFG177" s="759">
        <f t="shared" si="208"/>
        <v>0.52079999999999993</v>
      </c>
      <c r="AFH177" s="760"/>
      <c r="AFI177" s="757">
        <f t="shared" si="209"/>
        <v>2.992</v>
      </c>
      <c r="AFJ177" s="758"/>
      <c r="AFL177" s="759">
        <v>-0.25</v>
      </c>
      <c r="AFM177" s="760"/>
      <c r="AFN177" s="759">
        <v>1.3</v>
      </c>
      <c r="AFO177" s="760"/>
      <c r="AFP177" s="592">
        <v>424</v>
      </c>
      <c r="AFQ177" s="759">
        <f t="shared" si="210"/>
        <v>0.45200000000000007</v>
      </c>
      <c r="AFR177" s="760"/>
      <c r="AFS177" s="757">
        <f t="shared" si="211"/>
        <v>3.3919999999999999</v>
      </c>
      <c r="AFT177" s="758"/>
      <c r="AFV177" s="759">
        <v>-0.125</v>
      </c>
      <c r="AFW177" s="760"/>
      <c r="AFX177" s="759">
        <v>0.875</v>
      </c>
      <c r="AFY177" s="760"/>
      <c r="AFZ177" s="591">
        <v>474</v>
      </c>
      <c r="AGA177" s="759">
        <f t="shared" si="212"/>
        <v>0.40099999999999997</v>
      </c>
      <c r="AGB177" s="760"/>
      <c r="AGC177" s="757">
        <f t="shared" si="213"/>
        <v>3.7920000000000003</v>
      </c>
      <c r="AGD177" s="758"/>
      <c r="AGL177" s="1053"/>
      <c r="AGM177" s="1586" t="s">
        <v>1714</v>
      </c>
      <c r="AGN177" s="1163"/>
      <c r="AGO177" s="804">
        <f>$AHA$168</f>
        <v>6714.0006204840129</v>
      </c>
      <c r="AGP177" s="804"/>
      <c r="AGQ177" s="795"/>
      <c r="AGR177" s="795"/>
      <c r="AGS177" s="795"/>
      <c r="AGT177" s="795"/>
      <c r="AGU177" s="795"/>
      <c r="AGV177" s="795"/>
      <c r="AGW177" s="795"/>
      <c r="AGX177" s="795"/>
      <c r="AGY177" s="796"/>
      <c r="AGZ177" s="812"/>
      <c r="AHA177" s="813"/>
      <c r="AHB177" s="813"/>
      <c r="AHC177" s="813"/>
      <c r="AHD177" s="813"/>
      <c r="AHE177" s="813"/>
      <c r="AHF177" s="813"/>
      <c r="AHG177" s="814"/>
      <c r="AHH177" s="1053"/>
      <c r="AHI177" s="1053"/>
      <c r="AHJ177" s="1053"/>
      <c r="AHK177" s="1053"/>
      <c r="AHL177" s="1053"/>
      <c r="AHM177" s="1053"/>
      <c r="AHN177" s="1053"/>
      <c r="AHO177" s="1053"/>
      <c r="AHS177" s="130"/>
      <c r="AHT177" s="130"/>
      <c r="AHU177" s="130"/>
      <c r="AHV177" s="130"/>
      <c r="AHW177" s="130"/>
      <c r="AHX177" s="130"/>
      <c r="AIW177" s="130"/>
      <c r="AIX177" s="130"/>
      <c r="AIY177" s="130"/>
      <c r="AIZ177" s="130"/>
      <c r="ARU177" s="197" t="s">
        <v>849</v>
      </c>
      <c r="ARV177" s="852" t="s">
        <v>416</v>
      </c>
      <c r="ARW177" s="853"/>
      <c r="ARX177" s="142"/>
      <c r="ARY177" s="78"/>
      <c r="ARZ177" s="78"/>
      <c r="ASA177" s="78"/>
      <c r="ASB177" s="78"/>
      <c r="ASC177" s="78"/>
      <c r="ASD177" s="78"/>
      <c r="ASE177" s="142"/>
      <c r="ASF177" s="76" t="s">
        <v>441</v>
      </c>
      <c r="ASG177" s="854" t="s">
        <v>435</v>
      </c>
      <c r="ASH177" s="855"/>
      <c r="ASI177" s="1504" t="s">
        <v>911</v>
      </c>
      <c r="ASJ177" s="1505"/>
      <c r="ASK177" s="1506"/>
      <c r="ASL177" s="906" t="s">
        <v>447</v>
      </c>
      <c r="ASM177" s="907"/>
      <c r="ASN177" s="907"/>
      <c r="ASO177" s="908"/>
      <c r="ATC177" s="130"/>
      <c r="ATD177" s="130"/>
      <c r="ATE177" s="130"/>
      <c r="ATF177" s="130"/>
      <c r="ATG177" s="130"/>
      <c r="ATH177" s="130"/>
    </row>
    <row r="178" spans="340:936 1165:1204" ht="48" customHeight="1" thickBot="1">
      <c r="MB178" s="903"/>
      <c r="MC178" s="904"/>
      <c r="MD178" s="905"/>
      <c r="ME178" s="851"/>
      <c r="MF178" s="777"/>
      <c r="MG178" s="778"/>
      <c r="MH178" s="778"/>
      <c r="MI178" s="778"/>
      <c r="MJ178" s="778"/>
      <c r="MK178" s="778"/>
      <c r="ML178" s="778"/>
      <c r="MM178" s="778"/>
      <c r="MN178" s="778"/>
      <c r="MO178" s="778"/>
      <c r="MP178" s="778"/>
      <c r="MQ178" s="1420"/>
      <c r="MR178" s="1421"/>
      <c r="MS178" s="1422"/>
      <c r="MT178" s="1185"/>
      <c r="MU178" s="1186"/>
      <c r="MV178" s="1067"/>
      <c r="MW178" s="918"/>
      <c r="MX178" s="919"/>
      <c r="MY178" s="848"/>
      <c r="MZ178" s="653"/>
      <c r="NA178" s="653"/>
      <c r="NB178" s="653"/>
      <c r="NC178" s="653"/>
      <c r="ND178" s="653"/>
      <c r="NE178" s="653"/>
      <c r="NJ178" s="130"/>
      <c r="OE178" s="130"/>
      <c r="OF178" s="130"/>
      <c r="OG178" s="130"/>
      <c r="OH178" s="130"/>
      <c r="OI178" s="130"/>
      <c r="OJ178" s="130"/>
      <c r="OK178" s="130"/>
      <c r="OY178" s="130"/>
      <c r="OZ178" s="130"/>
      <c r="PA178" s="130"/>
      <c r="PB178" s="130"/>
      <c r="PD178" s="130"/>
      <c r="PE178" s="130"/>
      <c r="PF178" s="130"/>
      <c r="PG178" s="130"/>
      <c r="PH178" s="130"/>
      <c r="WE178" s="752">
        <v>24</v>
      </c>
      <c r="WF178" s="753"/>
      <c r="WG178" s="800" t="s">
        <v>1247</v>
      </c>
      <c r="WH178" s="982"/>
      <c r="WI178" s="937">
        <f>$MS$171</f>
        <v>1.42</v>
      </c>
      <c r="WJ178" s="937"/>
      <c r="WK178" s="168"/>
      <c r="WL178" s="168"/>
      <c r="WM178" s="168"/>
      <c r="WN178" s="168"/>
      <c r="WO178" s="168"/>
      <c r="WP178" s="168"/>
      <c r="WQ178" s="168"/>
      <c r="WR178" s="168"/>
      <c r="WS178" s="168"/>
      <c r="WT178" s="168"/>
      <c r="WU178" s="168"/>
      <c r="WV178" s="168"/>
      <c r="WW178" s="168"/>
      <c r="WX178" s="168"/>
      <c r="WY178" s="171"/>
      <c r="WZ178" s="1135" t="s">
        <v>1720</v>
      </c>
      <c r="XA178" s="1135"/>
      <c r="XB178" s="167"/>
      <c r="XC178" s="168"/>
      <c r="XD178" s="168"/>
      <c r="XE178" s="168"/>
      <c r="XF178" s="171"/>
      <c r="XG178" s="1008">
        <f>$WI$178-XG172</f>
        <v>1.2934886561684968</v>
      </c>
      <c r="XH178" s="1008">
        <f t="shared" ref="XH178:ZS178" si="249">$WI$178-XH172</f>
        <v>1.2839771409378629</v>
      </c>
      <c r="XI178" s="1008">
        <f t="shared" si="249"/>
        <v>1.2748351075488409</v>
      </c>
      <c r="XJ178" s="1008">
        <f t="shared" si="249"/>
        <v>1.2660414370000637</v>
      </c>
      <c r="XK178" s="1008">
        <f t="shared" si="249"/>
        <v>1.2596629877194965</v>
      </c>
      <c r="XL178" s="1008">
        <f t="shared" si="249"/>
        <v>1.251432802928194</v>
      </c>
      <c r="XM178" s="1008">
        <f t="shared" si="249"/>
        <v>1.245456617557271</v>
      </c>
      <c r="XN178" s="1008">
        <f t="shared" si="249"/>
        <v>1.2396412676724171</v>
      </c>
      <c r="XO178" s="1008">
        <f t="shared" si="249"/>
        <v>1.233980346698917</v>
      </c>
      <c r="XP178" s="1008">
        <f t="shared" si="249"/>
        <v>1.2284677838616507</v>
      </c>
      <c r="XQ178" s="1008">
        <f t="shared" si="249"/>
        <v>1.2230978224685567</v>
      </c>
      <c r="XR178" s="1008">
        <f t="shared" si="249"/>
        <v>1.2178649998578965</v>
      </c>
      <c r="XS178" s="1008">
        <f t="shared" si="249"/>
        <v>1.2127641288624753</v>
      </c>
      <c r="XT178" s="1008">
        <f t="shared" si="249"/>
        <v>1.2094344105207364</v>
      </c>
      <c r="XU178" s="1008">
        <f t="shared" si="249"/>
        <v>1.2045426262929826</v>
      </c>
      <c r="XV178" s="1008">
        <f t="shared" si="249"/>
        <v>1.2013480072397518</v>
      </c>
      <c r="XW178" s="1008">
        <f t="shared" si="249"/>
        <v>1.1966527124146551</v>
      </c>
      <c r="XX178" s="1008">
        <f t="shared" si="249"/>
        <v>1.1935851341247963</v>
      </c>
      <c r="XY178" s="1008">
        <f t="shared" si="249"/>
        <v>1.1905662586102366</v>
      </c>
      <c r="XZ178" s="1008">
        <f t="shared" si="249"/>
        <v>1.1875949351525406</v>
      </c>
      <c r="YA178" s="1008">
        <f t="shared" si="249"/>
        <v>1.1861267557190793</v>
      </c>
      <c r="YB178" s="1008">
        <f t="shared" si="249"/>
        <v>1.1832246810465163</v>
      </c>
      <c r="YC178" s="1008">
        <f t="shared" si="249"/>
        <v>1.1803674359620877</v>
      </c>
      <c r="YD178" s="1008">
        <f t="shared" si="249"/>
        <v>1.1789553011539746</v>
      </c>
      <c r="YE178" s="1008">
        <f t="shared" si="249"/>
        <v>1.1728897636598001</v>
      </c>
      <c r="YF178" s="1008">
        <f t="shared" si="249"/>
        <v>1.169571931881084</v>
      </c>
      <c r="YG178" s="1008">
        <f t="shared" si="249"/>
        <v>1.1663147645841456</v>
      </c>
      <c r="YH178" s="1008">
        <f t="shared" si="249"/>
        <v>1.1631166130238839</v>
      </c>
      <c r="YI178" s="1008">
        <f t="shared" si="249"/>
        <v>1.1599758876651305</v>
      </c>
      <c r="YJ178" s="1008">
        <f t="shared" si="249"/>
        <v>1.1568910555483565</v>
      </c>
      <c r="YK178" s="1008">
        <f t="shared" si="249"/>
        <v>1.1538606377947831</v>
      </c>
      <c r="YL178" s="1008">
        <f t="shared" si="249"/>
        <v>1.1538606377947831</v>
      </c>
      <c r="YM178" s="1008">
        <f t="shared" si="249"/>
        <v>1.1508832072423605</v>
      </c>
      <c r="YN178" s="1008">
        <f t="shared" si="249"/>
        <v>1.147957386204679</v>
      </c>
      <c r="YO178" s="1008">
        <f t="shared" si="249"/>
        <v>1.147957386204679</v>
      </c>
      <c r="YP178" s="1008">
        <f t="shared" si="249"/>
        <v>1.145081844345416</v>
      </c>
      <c r="YQ178" s="1008">
        <f t="shared" si="249"/>
        <v>1.145081844345416</v>
      </c>
      <c r="YR178" s="1008">
        <f t="shared" si="249"/>
        <v>1.145081844345416</v>
      </c>
      <c r="YS178" s="1008">
        <f t="shared" si="249"/>
        <v>1.142255296661431</v>
      </c>
      <c r="YT178" s="1008">
        <f t="shared" si="249"/>
        <v>1.142255296661431</v>
      </c>
      <c r="YU178" s="1008">
        <f t="shared" si="249"/>
        <v>1.142255296661431</v>
      </c>
      <c r="YV178" s="1008">
        <f t="shared" si="249"/>
        <v>1.1394765015680819</v>
      </c>
      <c r="YW178" s="1008">
        <f t="shared" si="249"/>
        <v>1.1394765015680819</v>
      </c>
      <c r="YX178" s="1008">
        <f t="shared" si="249"/>
        <v>1.1394765015680819</v>
      </c>
      <c r="YY178" s="1008">
        <f t="shared" si="249"/>
        <v>1.1394765015680819</v>
      </c>
      <c r="YZ178" s="1008">
        <f t="shared" si="249"/>
        <v>1.1367442590807726</v>
      </c>
      <c r="ZA178" s="1008">
        <f t="shared" si="249"/>
        <v>1.1367442590807726</v>
      </c>
      <c r="ZB178" s="1008">
        <f t="shared" si="249"/>
        <v>1.1367442590807726</v>
      </c>
      <c r="ZC178" s="1008">
        <f t="shared" si="249"/>
        <v>1.1367442590807726</v>
      </c>
      <c r="ZD178" s="1008">
        <f t="shared" si="249"/>
        <v>1.1367442590807726</v>
      </c>
      <c r="ZE178" s="1008">
        <f t="shared" si="249"/>
        <v>1.1340574090871307</v>
      </c>
      <c r="ZF178" s="1008">
        <f t="shared" si="249"/>
        <v>1.1340574090871307</v>
      </c>
      <c r="ZG178" s="1008">
        <f t="shared" si="249"/>
        <v>1.1340574090871307</v>
      </c>
      <c r="ZH178" s="1008">
        <f t="shared" si="249"/>
        <v>1.1340574090871307</v>
      </c>
      <c r="ZI178" s="1008">
        <f t="shared" si="249"/>
        <v>1.1340574090871307</v>
      </c>
      <c r="ZJ178" s="1008">
        <f t="shared" si="249"/>
        <v>1.1340574090871307</v>
      </c>
      <c r="ZK178" s="1008">
        <f t="shared" si="249"/>
        <v>1.1340574090871307</v>
      </c>
      <c r="ZL178" s="1008">
        <f t="shared" si="249"/>
        <v>1.1314148297045961</v>
      </c>
      <c r="ZM178" s="1008">
        <f t="shared" si="249"/>
        <v>1.1314148297045961</v>
      </c>
      <c r="ZN178" s="1008">
        <f t="shared" si="249"/>
        <v>1.1314148297045961</v>
      </c>
      <c r="ZO178" s="1008">
        <f t="shared" si="249"/>
        <v>1.1314148297045961</v>
      </c>
      <c r="ZP178" s="1008">
        <f t="shared" si="249"/>
        <v>1.1314148297045961</v>
      </c>
      <c r="ZQ178" s="1008">
        <f t="shared" si="249"/>
        <v>1.1314148297045961</v>
      </c>
      <c r="ZR178" s="1008">
        <f t="shared" si="249"/>
        <v>1.1314148297045961</v>
      </c>
      <c r="ZS178" s="1008">
        <f t="shared" si="249"/>
        <v>1.1314148297045961</v>
      </c>
      <c r="ZT178" s="1008">
        <f t="shared" ref="ZT178:AAR178" si="250">$WI$178-ZT172</f>
        <v>1.1314148297045961</v>
      </c>
      <c r="ZU178" s="1008">
        <f t="shared" si="250"/>
        <v>1.1314148297045961</v>
      </c>
      <c r="ZV178" s="1008">
        <f t="shared" si="250"/>
        <v>1.1314148297045961</v>
      </c>
      <c r="ZW178" s="1008">
        <f t="shared" si="250"/>
        <v>1.1314148297045961</v>
      </c>
      <c r="ZX178" s="1008">
        <f t="shared" si="250"/>
        <v>1.1314148297045961</v>
      </c>
      <c r="ZY178" s="1008">
        <f t="shared" si="250"/>
        <v>1.1288154357185263</v>
      </c>
      <c r="ZZ178" s="1008">
        <f t="shared" si="250"/>
        <v>1.1288154357185263</v>
      </c>
      <c r="AAA178" s="1008">
        <f t="shared" si="250"/>
        <v>1.1288154357185263</v>
      </c>
      <c r="AAB178" s="1008">
        <f t="shared" si="250"/>
        <v>1.1288154357185263</v>
      </c>
      <c r="AAC178" s="1008">
        <f t="shared" si="250"/>
        <v>1.1288154357185263</v>
      </c>
      <c r="AAD178" s="1008">
        <f t="shared" si="250"/>
        <v>1.1288154357185263</v>
      </c>
      <c r="AAE178" s="1008">
        <f t="shared" si="250"/>
        <v>1.1288154357185263</v>
      </c>
      <c r="AAF178" s="1008">
        <f t="shared" si="250"/>
        <v>1.1288154357185263</v>
      </c>
      <c r="AAG178" s="1008">
        <f t="shared" si="250"/>
        <v>1.1288154357185263</v>
      </c>
      <c r="AAH178" s="1008">
        <f t="shared" si="250"/>
        <v>1.1288154357185263</v>
      </c>
      <c r="AAI178" s="1008">
        <f t="shared" si="250"/>
        <v>1.1288154357185263</v>
      </c>
      <c r="AAJ178" s="1008">
        <f t="shared" si="250"/>
        <v>1.1288154357185263</v>
      </c>
      <c r="AAK178" s="1008">
        <f t="shared" si="250"/>
        <v>1.1288154357185263</v>
      </c>
      <c r="AAL178" s="1008">
        <f t="shared" si="250"/>
        <v>1.1288154357185263</v>
      </c>
      <c r="AAM178" s="1008">
        <f t="shared" si="250"/>
        <v>1.1288154357185263</v>
      </c>
      <c r="AAN178" s="1008">
        <f t="shared" si="250"/>
        <v>1.1288154357185263</v>
      </c>
      <c r="AAO178" s="1008">
        <f t="shared" si="250"/>
        <v>1.1288154357185263</v>
      </c>
      <c r="AAP178" s="1008">
        <f t="shared" si="250"/>
        <v>1.1288154357185263</v>
      </c>
      <c r="AAQ178" s="1008">
        <f t="shared" si="250"/>
        <v>1.1288154357185263</v>
      </c>
      <c r="AAR178" s="1008">
        <f t="shared" si="250"/>
        <v>1.1288154357185263</v>
      </c>
      <c r="AAS178" s="1008">
        <f>$WI$178-AAS172</f>
        <v>1.1288154357185263</v>
      </c>
      <c r="AAT178" s="1005">
        <v>24</v>
      </c>
      <c r="AAU178" s="167"/>
      <c r="AAV178" s="168"/>
      <c r="AAW178" s="168"/>
      <c r="AAX178" s="168"/>
      <c r="AAY178" s="168"/>
      <c r="AAZ178" s="168"/>
      <c r="ABA178" s="168"/>
      <c r="ABB178" s="171"/>
      <c r="ABC178" s="158"/>
      <c r="ABD178" s="158"/>
      <c r="ABE178" s="158"/>
      <c r="ABF178" s="158"/>
      <c r="ABG178" s="158"/>
      <c r="ABH178" s="158"/>
      <c r="ABI178" s="158"/>
      <c r="ABJ178" s="158"/>
      <c r="ABK178" s="158"/>
      <c r="ABL178" s="158"/>
      <c r="ABM178" s="158"/>
      <c r="ABN178" s="158"/>
      <c r="ABO178" s="158"/>
      <c r="ABP178" s="163"/>
      <c r="ABQ178" s="653"/>
      <c r="ABR178" s="653"/>
      <c r="ABS178" s="164"/>
      <c r="ABT178" s="165"/>
      <c r="ABU178" s="165"/>
      <c r="ABV178" s="165"/>
      <c r="ABW178" s="165"/>
      <c r="ABX178" s="165"/>
      <c r="ABY178" s="165"/>
      <c r="ABZ178" s="165"/>
      <c r="ACA178" s="165"/>
      <c r="ACB178" s="165"/>
      <c r="ACC178" s="165"/>
      <c r="ACD178" s="165"/>
      <c r="ACE178" s="165"/>
      <c r="ACF178" s="165"/>
      <c r="ACG178" s="165"/>
      <c r="ACH178" s="166"/>
      <c r="ACJ178" s="759">
        <v>-3.125E-2</v>
      </c>
      <c r="ACK178" s="760"/>
      <c r="ACL178" s="759">
        <v>1</v>
      </c>
      <c r="ACM178" s="760"/>
      <c r="ACN178" s="591">
        <v>25</v>
      </c>
      <c r="ACO178" s="759">
        <f t="shared" si="248"/>
        <v>0.99375000000000002</v>
      </c>
      <c r="ACP178" s="760"/>
      <c r="ACQ178" s="757">
        <f t="shared" si="195"/>
        <v>0.2</v>
      </c>
      <c r="ACR178" s="758"/>
      <c r="ACT178" s="759">
        <v>-3.125E-2</v>
      </c>
      <c r="ACU178" s="760"/>
      <c r="ACV178" s="759">
        <v>1</v>
      </c>
      <c r="ACW178" s="760"/>
      <c r="ACX178" s="591">
        <v>75</v>
      </c>
      <c r="ACY178" s="759">
        <f t="shared" si="196"/>
        <v>0.98124999999999996</v>
      </c>
      <c r="ACZ178" s="760"/>
      <c r="ADA178" s="757">
        <f t="shared" si="197"/>
        <v>0.6</v>
      </c>
      <c r="ADB178" s="758"/>
      <c r="ADD178" s="759">
        <v>-8.3333333333333398E-2</v>
      </c>
      <c r="ADE178" s="760"/>
      <c r="ADF178" s="759">
        <v>1.0416666666666701</v>
      </c>
      <c r="ADG178" s="760"/>
      <c r="ADH178" s="592">
        <v>125</v>
      </c>
      <c r="ADI178" s="759">
        <f t="shared" si="198"/>
        <v>0.9583333333333367</v>
      </c>
      <c r="ADJ178" s="760"/>
      <c r="ADK178" s="757">
        <f t="shared" si="199"/>
        <v>1</v>
      </c>
      <c r="ADL178" s="758"/>
      <c r="ADN178" s="759">
        <v>-0.14285714285714299</v>
      </c>
      <c r="ADO178" s="760"/>
      <c r="ADP178" s="759">
        <v>1.1071428571428601</v>
      </c>
      <c r="ADQ178" s="760"/>
      <c r="ADR178" s="592">
        <v>175</v>
      </c>
      <c r="ADS178" s="759">
        <f t="shared" si="200"/>
        <v>0.90714285714285992</v>
      </c>
      <c r="ADT178" s="760"/>
      <c r="ADU178" s="757">
        <f t="shared" si="201"/>
        <v>1.4000000000000001</v>
      </c>
      <c r="ADV178" s="758"/>
      <c r="ADX178" s="759">
        <v>-0.33333333333333259</v>
      </c>
      <c r="ADY178" s="760"/>
      <c r="ADZ178" s="759">
        <v>1.4166666666666654</v>
      </c>
      <c r="AEA178" s="760"/>
      <c r="AEB178" s="592">
        <v>225</v>
      </c>
      <c r="AEC178" s="759">
        <f t="shared" si="202"/>
        <v>0.81666666666666676</v>
      </c>
      <c r="AED178" s="760"/>
      <c r="AEE178" s="757">
        <f t="shared" si="203"/>
        <v>1.8</v>
      </c>
      <c r="AEF178" s="758"/>
      <c r="AEH178" s="759">
        <v>-0.33333333333333298</v>
      </c>
      <c r="AEI178" s="760"/>
      <c r="AEJ178" s="759">
        <v>1.4166666666666701</v>
      </c>
      <c r="AEK178" s="760"/>
      <c r="AEL178" s="592">
        <v>275</v>
      </c>
      <c r="AEM178" s="759">
        <f t="shared" si="204"/>
        <v>0.68333333333333746</v>
      </c>
      <c r="AEN178" s="760"/>
      <c r="AEO178" s="757">
        <f t="shared" si="205"/>
        <v>2.2000000000000002</v>
      </c>
      <c r="AEP178" s="758"/>
      <c r="AER178" s="759">
        <v>-0.249999999999999</v>
      </c>
      <c r="AES178" s="760"/>
      <c r="AET178" s="759">
        <v>1.2250000000000001</v>
      </c>
      <c r="AEU178" s="760"/>
      <c r="AEV178" s="592">
        <v>325</v>
      </c>
      <c r="AEW178" s="759">
        <f t="shared" si="206"/>
        <v>0.57500000000000262</v>
      </c>
      <c r="AEX178" s="760"/>
      <c r="AEY178" s="757">
        <f t="shared" si="207"/>
        <v>2.6</v>
      </c>
      <c r="AEZ178" s="758"/>
      <c r="AFB178" s="759">
        <v>-0.1</v>
      </c>
      <c r="AFC178" s="760"/>
      <c r="AFD178" s="759">
        <v>0.82</v>
      </c>
      <c r="AFE178" s="760"/>
      <c r="AFF178" s="591">
        <v>375</v>
      </c>
      <c r="AFG178" s="759">
        <f t="shared" si="208"/>
        <v>0.51999999999999991</v>
      </c>
      <c r="AFH178" s="760"/>
      <c r="AFI178" s="757">
        <f t="shared" si="209"/>
        <v>3</v>
      </c>
      <c r="AFJ178" s="758"/>
      <c r="AFL178" s="759">
        <v>-0.25</v>
      </c>
      <c r="AFM178" s="760"/>
      <c r="AFN178" s="759">
        <v>1.3</v>
      </c>
      <c r="AFO178" s="760"/>
      <c r="AFP178" s="592">
        <v>425</v>
      </c>
      <c r="AFQ178" s="759">
        <f t="shared" si="210"/>
        <v>0.45000000000000007</v>
      </c>
      <c r="AFR178" s="760"/>
      <c r="AFS178" s="757">
        <f t="shared" si="211"/>
        <v>3.4</v>
      </c>
      <c r="AFT178" s="758"/>
      <c r="AFV178" s="759">
        <v>-0.125</v>
      </c>
      <c r="AFW178" s="760"/>
      <c r="AFX178" s="759">
        <v>0.875</v>
      </c>
      <c r="AFY178" s="760"/>
      <c r="AFZ178" s="591">
        <v>475</v>
      </c>
      <c r="AGA178" s="759">
        <f t="shared" si="212"/>
        <v>0.39999999999999997</v>
      </c>
      <c r="AGB178" s="760"/>
      <c r="AGC178" s="757">
        <f t="shared" si="213"/>
        <v>3.8000000000000003</v>
      </c>
      <c r="AGD178" s="758"/>
      <c r="AHS178" s="130"/>
      <c r="AHT178" s="130"/>
      <c r="AHU178" s="130"/>
      <c r="AHV178" s="130"/>
      <c r="AHW178" s="130"/>
      <c r="AHX178" s="130"/>
      <c r="ARU178" s="849"/>
      <c r="ARV178" s="792" t="s">
        <v>921</v>
      </c>
      <c r="ARW178" s="792"/>
      <c r="ARX178" s="792"/>
      <c r="ARY178" s="792"/>
      <c r="ARZ178" s="792"/>
      <c r="ASA178" s="792"/>
      <c r="ASB178" s="792"/>
      <c r="ASC178" s="792"/>
      <c r="ASD178" s="792"/>
      <c r="ASE178" s="792"/>
      <c r="ASF178" s="792"/>
      <c r="ASG178" s="792"/>
      <c r="ASH178" s="792"/>
      <c r="ASI178" s="1507"/>
      <c r="ASJ178" s="1508"/>
      <c r="ASK178" s="1509"/>
      <c r="ASL178" s="841"/>
      <c r="ASM178" s="893" t="s">
        <v>924</v>
      </c>
      <c r="ASN178" s="894"/>
      <c r="ASO178" s="847"/>
    </row>
    <row r="179" spans="340:936 1165:1204" ht="48" customHeight="1" thickBot="1">
      <c r="MZ179" s="653"/>
      <c r="NA179" s="653"/>
      <c r="NB179" s="653"/>
      <c r="NC179" s="653"/>
      <c r="ND179" s="653"/>
      <c r="NE179" s="653"/>
      <c r="NJ179" s="130"/>
      <c r="OE179" s="130"/>
      <c r="OF179" s="130"/>
      <c r="OG179" s="130"/>
      <c r="OH179" s="130"/>
      <c r="OI179" s="130"/>
      <c r="OJ179" s="130"/>
      <c r="OK179" s="130"/>
      <c r="OY179" s="130"/>
      <c r="OZ179" s="130"/>
      <c r="PA179" s="130"/>
      <c r="PB179" s="130"/>
      <c r="PC179" s="130"/>
      <c r="PF179" s="130"/>
      <c r="PG179" s="130"/>
      <c r="PH179" s="130"/>
      <c r="PL179" s="849"/>
      <c r="PM179" s="1257" t="s">
        <v>416</v>
      </c>
      <c r="PN179" s="1257"/>
      <c r="PO179" s="466"/>
      <c r="PP179" s="78"/>
      <c r="PQ179" s="78"/>
      <c r="PR179" s="78"/>
      <c r="PS179" s="724"/>
      <c r="PT179" s="76" t="s">
        <v>441</v>
      </c>
      <c r="PU179" s="854" t="s">
        <v>435</v>
      </c>
      <c r="PV179" s="1111"/>
      <c r="PW179" s="920" t="s">
        <v>111</v>
      </c>
      <c r="PX179" s="921"/>
      <c r="PY179" s="916" t="s">
        <v>704</v>
      </c>
      <c r="PZ179" s="917"/>
      <c r="QA179" s="906" t="s">
        <v>447</v>
      </c>
      <c r="QB179" s="907"/>
      <c r="QC179" s="907"/>
      <c r="QD179" s="908"/>
      <c r="QE179" s="1051" t="s">
        <v>436</v>
      </c>
      <c r="QF179" s="1051"/>
      <c r="QG179" s="1051"/>
      <c r="QH179" s="1051"/>
      <c r="QI179" s="1051"/>
      <c r="WE179" s="754"/>
      <c r="WF179" s="755"/>
      <c r="WG179" s="169"/>
      <c r="WH179" s="170"/>
      <c r="WI179" s="170"/>
      <c r="WJ179" s="170"/>
      <c r="WK179" s="170"/>
      <c r="WL179" s="170"/>
      <c r="WM179" s="170"/>
      <c r="WN179" s="170"/>
      <c r="WO179" s="170"/>
      <c r="WP179" s="170"/>
      <c r="WQ179" s="170"/>
      <c r="WR179" s="170"/>
      <c r="WS179" s="170"/>
      <c r="WT179" s="170"/>
      <c r="WU179" s="170"/>
      <c r="WV179" s="170"/>
      <c r="WW179" s="170"/>
      <c r="WX179" s="170"/>
      <c r="WY179" s="172"/>
      <c r="WZ179" s="1135"/>
      <c r="XA179" s="1135"/>
      <c r="XB179" s="169"/>
      <c r="XC179" s="170"/>
      <c r="XD179" s="170"/>
      <c r="XE179" s="170"/>
      <c r="XF179" s="172"/>
      <c r="XG179" s="1008"/>
      <c r="XH179" s="1008"/>
      <c r="XI179" s="1008"/>
      <c r="XJ179" s="1008"/>
      <c r="XK179" s="1008"/>
      <c r="XL179" s="1008"/>
      <c r="XM179" s="1008"/>
      <c r="XN179" s="1008"/>
      <c r="XO179" s="1008"/>
      <c r="XP179" s="1008"/>
      <c r="XQ179" s="1008"/>
      <c r="XR179" s="1008"/>
      <c r="XS179" s="1008"/>
      <c r="XT179" s="1008"/>
      <c r="XU179" s="1008"/>
      <c r="XV179" s="1008"/>
      <c r="XW179" s="1008"/>
      <c r="XX179" s="1008"/>
      <c r="XY179" s="1008"/>
      <c r="XZ179" s="1008"/>
      <c r="YA179" s="1008"/>
      <c r="YB179" s="1008"/>
      <c r="YC179" s="1008"/>
      <c r="YD179" s="1008"/>
      <c r="YE179" s="1008"/>
      <c r="YF179" s="1008"/>
      <c r="YG179" s="1008"/>
      <c r="YH179" s="1008"/>
      <c r="YI179" s="1008"/>
      <c r="YJ179" s="1008"/>
      <c r="YK179" s="1008"/>
      <c r="YL179" s="1008"/>
      <c r="YM179" s="1008"/>
      <c r="YN179" s="1008"/>
      <c r="YO179" s="1008"/>
      <c r="YP179" s="1008"/>
      <c r="YQ179" s="1008"/>
      <c r="YR179" s="1008"/>
      <c r="YS179" s="1008"/>
      <c r="YT179" s="1008"/>
      <c r="YU179" s="1008"/>
      <c r="YV179" s="1008"/>
      <c r="YW179" s="1008"/>
      <c r="YX179" s="1008"/>
      <c r="YY179" s="1008"/>
      <c r="YZ179" s="1008"/>
      <c r="ZA179" s="1008"/>
      <c r="ZB179" s="1008"/>
      <c r="ZC179" s="1008"/>
      <c r="ZD179" s="1008"/>
      <c r="ZE179" s="1008"/>
      <c r="ZF179" s="1008"/>
      <c r="ZG179" s="1008"/>
      <c r="ZH179" s="1008"/>
      <c r="ZI179" s="1008"/>
      <c r="ZJ179" s="1008"/>
      <c r="ZK179" s="1008"/>
      <c r="ZL179" s="1008"/>
      <c r="ZM179" s="1008"/>
      <c r="ZN179" s="1008"/>
      <c r="ZO179" s="1008"/>
      <c r="ZP179" s="1008"/>
      <c r="ZQ179" s="1008"/>
      <c r="ZR179" s="1008"/>
      <c r="ZS179" s="1008"/>
      <c r="ZT179" s="1008"/>
      <c r="ZU179" s="1008"/>
      <c r="ZV179" s="1008"/>
      <c r="ZW179" s="1008"/>
      <c r="ZX179" s="1008"/>
      <c r="ZY179" s="1008"/>
      <c r="ZZ179" s="1008"/>
      <c r="AAA179" s="1008"/>
      <c r="AAB179" s="1008"/>
      <c r="AAC179" s="1008"/>
      <c r="AAD179" s="1008"/>
      <c r="AAE179" s="1008"/>
      <c r="AAF179" s="1008"/>
      <c r="AAG179" s="1008"/>
      <c r="AAH179" s="1008"/>
      <c r="AAI179" s="1008"/>
      <c r="AAJ179" s="1008"/>
      <c r="AAK179" s="1008"/>
      <c r="AAL179" s="1008"/>
      <c r="AAM179" s="1008"/>
      <c r="AAN179" s="1008"/>
      <c r="AAO179" s="1008"/>
      <c r="AAP179" s="1008"/>
      <c r="AAQ179" s="1008"/>
      <c r="AAR179" s="1008"/>
      <c r="AAS179" s="1008"/>
      <c r="AAT179" s="1007"/>
      <c r="AAU179" s="169"/>
      <c r="AAV179" s="170"/>
      <c r="AAW179" s="170"/>
      <c r="AAX179" s="170"/>
      <c r="AAY179" s="170"/>
      <c r="AAZ179" s="170"/>
      <c r="ABA179" s="170"/>
      <c r="ABB179" s="172"/>
      <c r="ABC179" s="158"/>
      <c r="ABD179" s="158"/>
      <c r="ABE179" s="158"/>
      <c r="ABF179" s="158"/>
      <c r="ABG179" s="158"/>
      <c r="ABH179" s="158"/>
      <c r="ABI179" s="158"/>
      <c r="ABJ179" s="158"/>
      <c r="ABK179" s="158"/>
      <c r="ABL179" s="158"/>
      <c r="ABM179" s="158"/>
      <c r="ABN179" s="158"/>
      <c r="ABO179" s="158"/>
      <c r="ABP179" s="163"/>
      <c r="ABQ179" s="653"/>
      <c r="ABR179" s="653"/>
      <c r="ABS179" s="653"/>
      <c r="ABT179" s="653"/>
      <c r="ABU179" s="653"/>
      <c r="ABV179" s="653"/>
      <c r="ABW179" s="653"/>
      <c r="ABX179" s="653"/>
      <c r="ABY179" s="653"/>
      <c r="ABZ179" s="653"/>
      <c r="ACA179" s="653"/>
      <c r="ACB179" s="653"/>
      <c r="ACC179" s="653"/>
      <c r="ACD179" s="653"/>
      <c r="ACE179" s="653"/>
      <c r="ACF179" s="653"/>
      <c r="ACG179" s="653"/>
      <c r="ACH179" s="653"/>
      <c r="ACI179" s="703"/>
      <c r="ACJ179" s="759">
        <v>-3.125E-2</v>
      </c>
      <c r="ACK179" s="760"/>
      <c r="ACL179" s="759">
        <v>1</v>
      </c>
      <c r="ACM179" s="760"/>
      <c r="ACN179" s="591">
        <v>26</v>
      </c>
      <c r="ACO179" s="759">
        <f t="shared" si="248"/>
        <v>0.99350000000000005</v>
      </c>
      <c r="ACP179" s="760"/>
      <c r="ACQ179" s="757">
        <f t="shared" si="195"/>
        <v>0.20800000000000002</v>
      </c>
      <c r="ACR179" s="758"/>
      <c r="ACT179" s="759">
        <v>-3.125E-2</v>
      </c>
      <c r="ACU179" s="760"/>
      <c r="ACV179" s="759">
        <v>1</v>
      </c>
      <c r="ACW179" s="760"/>
      <c r="ACX179" s="591">
        <v>76</v>
      </c>
      <c r="ACY179" s="759">
        <f t="shared" si="196"/>
        <v>0.98099999999999998</v>
      </c>
      <c r="ACZ179" s="760"/>
      <c r="ADA179" s="757">
        <f t="shared" si="197"/>
        <v>0.60799999999999998</v>
      </c>
      <c r="ADB179" s="758"/>
      <c r="ADD179" s="759">
        <v>-8.3333333333333398E-2</v>
      </c>
      <c r="ADE179" s="760"/>
      <c r="ADF179" s="759">
        <v>1.0416666666666701</v>
      </c>
      <c r="ADG179" s="760"/>
      <c r="ADH179" s="592">
        <v>126</v>
      </c>
      <c r="ADI179" s="759">
        <f t="shared" si="198"/>
        <v>0.95766666666667</v>
      </c>
      <c r="ADJ179" s="760"/>
      <c r="ADK179" s="757">
        <f t="shared" si="199"/>
        <v>1.008</v>
      </c>
      <c r="ADL179" s="758"/>
      <c r="ADN179" s="759">
        <v>-0.14285714285714299</v>
      </c>
      <c r="ADO179" s="760"/>
      <c r="ADP179" s="759">
        <v>1.1071428571428601</v>
      </c>
      <c r="ADQ179" s="760"/>
      <c r="ADR179" s="592">
        <v>176</v>
      </c>
      <c r="ADS179" s="759">
        <f t="shared" si="200"/>
        <v>0.9060000000000028</v>
      </c>
      <c r="ADT179" s="760"/>
      <c r="ADU179" s="757">
        <f t="shared" si="201"/>
        <v>1.4079999999999999</v>
      </c>
      <c r="ADV179" s="758"/>
      <c r="ADX179" s="759">
        <v>-0.33333333333333259</v>
      </c>
      <c r="ADY179" s="760"/>
      <c r="ADZ179" s="759">
        <v>1.4166666666666654</v>
      </c>
      <c r="AEA179" s="760"/>
      <c r="AEB179" s="592">
        <v>226</v>
      </c>
      <c r="AEC179" s="759">
        <f t="shared" si="202"/>
        <v>0.81400000000000006</v>
      </c>
      <c r="AED179" s="760"/>
      <c r="AEE179" s="757">
        <f t="shared" si="203"/>
        <v>1.8080000000000001</v>
      </c>
      <c r="AEF179" s="758"/>
      <c r="AEH179" s="759">
        <v>-0.33333333333333298</v>
      </c>
      <c r="AEI179" s="760"/>
      <c r="AEJ179" s="759">
        <v>1.4166666666666701</v>
      </c>
      <c r="AEK179" s="760"/>
      <c r="AEL179" s="592">
        <v>276</v>
      </c>
      <c r="AEM179" s="759">
        <f t="shared" si="204"/>
        <v>0.68066666666667075</v>
      </c>
      <c r="AEN179" s="760"/>
      <c r="AEO179" s="757">
        <f t="shared" si="205"/>
        <v>2.2080000000000002</v>
      </c>
      <c r="AEP179" s="758"/>
      <c r="AER179" s="759">
        <v>-0.249999999999999</v>
      </c>
      <c r="AES179" s="760"/>
      <c r="AET179" s="759">
        <v>1.2250000000000001</v>
      </c>
      <c r="AEU179" s="760"/>
      <c r="AEV179" s="592">
        <v>326</v>
      </c>
      <c r="AEW179" s="759">
        <f t="shared" si="206"/>
        <v>0.57300000000000262</v>
      </c>
      <c r="AEX179" s="760"/>
      <c r="AEY179" s="757">
        <f t="shared" si="207"/>
        <v>2.6080000000000001</v>
      </c>
      <c r="AEZ179" s="758"/>
      <c r="AFB179" s="759">
        <v>-0.1</v>
      </c>
      <c r="AFC179" s="760"/>
      <c r="AFD179" s="759">
        <v>0.82</v>
      </c>
      <c r="AFE179" s="760"/>
      <c r="AFF179" s="591">
        <v>376</v>
      </c>
      <c r="AFG179" s="759">
        <f t="shared" si="208"/>
        <v>0.51919999999999988</v>
      </c>
      <c r="AFH179" s="760"/>
      <c r="AFI179" s="757">
        <f t="shared" si="209"/>
        <v>3.008</v>
      </c>
      <c r="AFJ179" s="758"/>
      <c r="AFL179" s="759">
        <v>-0.125</v>
      </c>
      <c r="AFM179" s="760"/>
      <c r="AFN179" s="759">
        <v>0.875</v>
      </c>
      <c r="AFO179" s="760"/>
      <c r="AFP179" s="591">
        <v>426</v>
      </c>
      <c r="AFQ179" s="759">
        <f t="shared" si="210"/>
        <v>0.44900000000000001</v>
      </c>
      <c r="AFR179" s="760"/>
      <c r="AFS179" s="757">
        <f t="shared" si="211"/>
        <v>3.4079999999999999</v>
      </c>
      <c r="AFT179" s="758"/>
      <c r="AFV179" s="759">
        <v>-6.25E-2</v>
      </c>
      <c r="AFW179" s="760"/>
      <c r="AFX179" s="759">
        <v>0.63749999999999996</v>
      </c>
      <c r="AFY179" s="760"/>
      <c r="AFZ179" s="592">
        <v>476</v>
      </c>
      <c r="AGA179" s="759">
        <f t="shared" si="212"/>
        <v>0.39949999999999997</v>
      </c>
      <c r="AGB179" s="760"/>
      <c r="AGC179" s="757">
        <f t="shared" si="213"/>
        <v>3.8080000000000003</v>
      </c>
      <c r="AGD179" s="758"/>
      <c r="AGL179" s="849"/>
      <c r="AGM179" s="852" t="s">
        <v>416</v>
      </c>
      <c r="AGN179" s="853"/>
      <c r="AGO179" s="422"/>
      <c r="AGP179" s="78"/>
      <c r="AGQ179" s="78"/>
      <c r="AGR179" s="78"/>
      <c r="AGS179" s="78"/>
      <c r="AGT179" s="78"/>
      <c r="AGU179" s="78"/>
      <c r="AGV179" s="422"/>
      <c r="AGW179" s="76" t="s">
        <v>441</v>
      </c>
      <c r="AGX179" s="854" t="s">
        <v>435</v>
      </c>
      <c r="AGY179" s="1111"/>
      <c r="AGZ179" s="1072" t="s">
        <v>111</v>
      </c>
      <c r="AHA179" s="1074"/>
      <c r="AHB179" s="916" t="s">
        <v>704</v>
      </c>
      <c r="AHC179" s="917"/>
      <c r="AHD179" s="906" t="s">
        <v>447</v>
      </c>
      <c r="AHE179" s="907"/>
      <c r="AHF179" s="907"/>
      <c r="AHG179" s="908"/>
      <c r="AHH179" s="1051" t="s">
        <v>436</v>
      </c>
      <c r="AHI179" s="1051"/>
      <c r="AHJ179" s="1051"/>
      <c r="AHK179" s="1051"/>
      <c r="AHL179" s="1051"/>
      <c r="AHM179" s="1051"/>
      <c r="AHN179" s="1051"/>
      <c r="AHO179" s="1051"/>
      <c r="AHS179" s="130"/>
      <c r="AHT179" s="130"/>
      <c r="AHU179" s="130"/>
      <c r="ARU179" s="850"/>
      <c r="ARV179" s="824"/>
      <c r="ARW179" s="824"/>
      <c r="ARX179" s="824"/>
      <c r="ARY179" s="824"/>
      <c r="ARZ179" s="824"/>
      <c r="ASA179" s="824"/>
      <c r="ASB179" s="824"/>
      <c r="ASC179" s="824"/>
      <c r="ASD179" s="824"/>
      <c r="ASE179" s="824"/>
      <c r="ASF179" s="824"/>
      <c r="ASG179" s="824"/>
      <c r="ASH179" s="824"/>
      <c r="ASI179" s="1507"/>
      <c r="ASJ179" s="1508"/>
      <c r="ASK179" s="1509"/>
      <c r="ASL179" s="842"/>
      <c r="ASM179" s="918"/>
      <c r="ASN179" s="919"/>
      <c r="ASO179" s="848"/>
    </row>
    <row r="180" spans="340:936 1165:1204" ht="48" customHeight="1" thickBot="1">
      <c r="MB180" s="897" t="s">
        <v>974</v>
      </c>
      <c r="MC180" s="898"/>
      <c r="MD180" s="899"/>
      <c r="ME180" s="849"/>
      <c r="MF180" s="852" t="s">
        <v>416</v>
      </c>
      <c r="MG180" s="853"/>
      <c r="MH180" s="386"/>
      <c r="MI180" s="779" t="s">
        <v>1858</v>
      </c>
      <c r="MJ180" s="780"/>
      <c r="MK180" s="781"/>
      <c r="ML180" s="75" t="s">
        <v>702</v>
      </c>
      <c r="MM180" s="386"/>
      <c r="MN180" s="76" t="s">
        <v>441</v>
      </c>
      <c r="MO180" s="854" t="s">
        <v>435</v>
      </c>
      <c r="MP180" s="855"/>
      <c r="MQ180" s="920" t="s">
        <v>111</v>
      </c>
      <c r="MR180" s="921"/>
      <c r="MS180" s="916" t="s">
        <v>704</v>
      </c>
      <c r="MT180" s="917"/>
      <c r="MU180" s="906" t="s">
        <v>447</v>
      </c>
      <c r="MV180" s="907"/>
      <c r="MW180" s="907"/>
      <c r="MX180" s="908"/>
      <c r="MZ180" s="653"/>
      <c r="NA180" s="653"/>
      <c r="NB180" s="653"/>
      <c r="NC180" s="653"/>
      <c r="ND180" s="653"/>
      <c r="NE180" s="653"/>
      <c r="OE180" s="130"/>
      <c r="OF180" s="130"/>
      <c r="OG180" s="130"/>
      <c r="OH180" s="130"/>
      <c r="OI180" s="130"/>
      <c r="OJ180" s="130"/>
      <c r="OK180" s="130"/>
      <c r="OY180" s="130"/>
      <c r="OZ180" s="130"/>
      <c r="PA180" s="130"/>
      <c r="PB180" s="130"/>
      <c r="PD180" s="130"/>
      <c r="PE180" s="130"/>
      <c r="PF180" s="130"/>
      <c r="PG180" s="130"/>
      <c r="PH180" s="130"/>
      <c r="PL180" s="850"/>
      <c r="PM180" s="800" t="s">
        <v>1179</v>
      </c>
      <c r="PN180" s="801"/>
      <c r="PO180" s="761">
        <f>$KL$99</f>
        <v>16.250799463770147</v>
      </c>
      <c r="PP180" s="761"/>
      <c r="PQ180" s="809" t="s">
        <v>122</v>
      </c>
      <c r="PR180" s="797"/>
      <c r="PS180" s="797"/>
      <c r="PT180" s="797"/>
      <c r="PU180" s="797"/>
      <c r="PV180" s="797"/>
      <c r="PW180" s="835">
        <f>(PO181^2+PO180^2)^0.5</f>
        <v>16.294910965115349</v>
      </c>
      <c r="PX180" s="836"/>
      <c r="PY180" s="1341" t="s">
        <v>1715</v>
      </c>
      <c r="PZ180" s="1342"/>
      <c r="QA180" s="1066"/>
      <c r="QB180" s="1170" t="s">
        <v>1576</v>
      </c>
      <c r="QC180" s="1172"/>
      <c r="QD180" s="847"/>
      <c r="QE180" s="1052"/>
      <c r="QF180" s="1052"/>
      <c r="QG180" s="1052"/>
      <c r="QH180" s="1052"/>
      <c r="QI180" s="1052"/>
      <c r="WE180" s="752">
        <v>25</v>
      </c>
      <c r="WF180" s="753"/>
      <c r="WG180" s="1105" t="s">
        <v>1264</v>
      </c>
      <c r="WH180" s="1106"/>
      <c r="WI180" s="1120">
        <f>$MQ$212</f>
        <v>2.5479278737632125</v>
      </c>
      <c r="WJ180" s="1120"/>
      <c r="WK180" s="168"/>
      <c r="WL180" s="168"/>
      <c r="WM180" s="168"/>
      <c r="WN180" s="168"/>
      <c r="WO180" s="168"/>
      <c r="WP180" s="168"/>
      <c r="WQ180" s="168"/>
      <c r="WR180" s="168"/>
      <c r="WS180" s="168"/>
      <c r="WT180" s="168"/>
      <c r="WU180" s="168"/>
      <c r="WV180" s="168"/>
      <c r="WW180" s="168"/>
      <c r="WX180" s="168"/>
      <c r="WY180" s="171"/>
      <c r="WZ180" s="1135" t="s">
        <v>1719</v>
      </c>
      <c r="XA180" s="1135"/>
      <c r="XB180" s="167"/>
      <c r="XC180" s="168"/>
      <c r="XD180" s="168"/>
      <c r="XE180" s="168"/>
      <c r="XF180" s="171"/>
      <c r="XG180" s="1008">
        <f>$WI$180-XG175</f>
        <v>2.4287409278884224</v>
      </c>
      <c r="XH180" s="1008">
        <f t="shared" ref="XH180:ZS180" si="251">$WI$180-XH175</f>
        <v>2.4203482072945381</v>
      </c>
      <c r="XI180" s="1008">
        <f t="shared" si="251"/>
        <v>2.412351346288391</v>
      </c>
      <c r="XJ180" s="1008">
        <f t="shared" si="251"/>
        <v>2.4047229828881531</v>
      </c>
      <c r="XK180" s="1008">
        <f t="shared" si="251"/>
        <v>2.3992284749399304</v>
      </c>
      <c r="XL180" s="1008">
        <f t="shared" si="251"/>
        <v>2.3921864024397719</v>
      </c>
      <c r="XM180" s="1008">
        <f t="shared" si="251"/>
        <v>2.387106203494175</v>
      </c>
      <c r="XN180" s="1008">
        <f t="shared" si="251"/>
        <v>2.3821893461990267</v>
      </c>
      <c r="XO180" s="1008">
        <f t="shared" si="251"/>
        <v>2.3774280774059648</v>
      </c>
      <c r="XP180" s="1008">
        <f t="shared" si="251"/>
        <v>2.3728151270036242</v>
      </c>
      <c r="XQ180" s="1008">
        <f t="shared" si="251"/>
        <v>2.3683436708768242</v>
      </c>
      <c r="XR180" s="1008">
        <f t="shared" si="251"/>
        <v>2.3640072972227624</v>
      </c>
      <c r="XS180" s="1008">
        <f t="shared" si="251"/>
        <v>2.3597999758745374</v>
      </c>
      <c r="XT180" s="1008">
        <f t="shared" si="251"/>
        <v>2.357063973719403</v>
      </c>
      <c r="XU180" s="1008">
        <f t="shared" si="251"/>
        <v>2.3530592880953689</v>
      </c>
      <c r="XV180" s="1008">
        <f t="shared" si="251"/>
        <v>2.3504534876550665</v>
      </c>
      <c r="XW180" s="1008">
        <f t="shared" si="251"/>
        <v>2.3466371432094362</v>
      </c>
      <c r="XX180" s="1008">
        <f t="shared" si="251"/>
        <v>2.3441524667138505</v>
      </c>
      <c r="XY180" s="1008">
        <f t="shared" si="251"/>
        <v>2.3417138859635673</v>
      </c>
      <c r="XZ180" s="1008">
        <f t="shared" si="251"/>
        <v>2.3393201299949027</v>
      </c>
      <c r="YA180" s="1008">
        <f t="shared" si="251"/>
        <v>2.3381396768452993</v>
      </c>
      <c r="YB180" s="1008">
        <f t="shared" si="251"/>
        <v>2.335810875696672</v>
      </c>
      <c r="YC180" s="1008">
        <f t="shared" si="251"/>
        <v>2.3335239199389641</v>
      </c>
      <c r="YD180" s="1008">
        <f t="shared" si="251"/>
        <v>2.3323957832025388</v>
      </c>
      <c r="YE180" s="1008">
        <f t="shared" si="251"/>
        <v>2.3275661591378469</v>
      </c>
      <c r="YF180" s="1008">
        <f t="shared" si="251"/>
        <v>2.3249353377465174</v>
      </c>
      <c r="YG180" s="1008">
        <f t="shared" si="251"/>
        <v>2.3223601228363107</v>
      </c>
      <c r="YH180" s="1008">
        <f t="shared" si="251"/>
        <v>2.3198387698506395</v>
      </c>
      <c r="YI180" s="1008">
        <f t="shared" si="251"/>
        <v>2.3173696064542137</v>
      </c>
      <c r="YJ180" s="1008">
        <f t="shared" si="251"/>
        <v>2.3149510288340451</v>
      </c>
      <c r="YK180" s="1008">
        <f t="shared" si="251"/>
        <v>2.3125814982254886</v>
      </c>
      <c r="YL180" s="1008">
        <f t="shared" si="251"/>
        <v>2.3125814982254886</v>
      </c>
      <c r="YM180" s="1008">
        <f t="shared" si="251"/>
        <v>2.3102595376475117</v>
      </c>
      <c r="YN180" s="1008">
        <f t="shared" si="251"/>
        <v>2.3079837288326366</v>
      </c>
      <c r="YO180" s="1008">
        <f t="shared" si="251"/>
        <v>2.3079837288326366</v>
      </c>
      <c r="YP180" s="1008">
        <f t="shared" si="251"/>
        <v>2.3057527093381416</v>
      </c>
      <c r="YQ180" s="1008">
        <f t="shared" si="251"/>
        <v>2.3057527093381416</v>
      </c>
      <c r="YR180" s="1008">
        <f t="shared" si="251"/>
        <v>2.3057527093381416</v>
      </c>
      <c r="YS180" s="1008">
        <f t="shared" si="251"/>
        <v>2.3035651698261628</v>
      </c>
      <c r="YT180" s="1008">
        <f t="shared" si="251"/>
        <v>2.3035651698261628</v>
      </c>
      <c r="YU180" s="1008">
        <f t="shared" si="251"/>
        <v>2.3035651698261628</v>
      </c>
      <c r="YV180" s="1008">
        <f t="shared" si="251"/>
        <v>2.3014198515012811</v>
      </c>
      <c r="YW180" s="1008">
        <f t="shared" si="251"/>
        <v>2.3014198515012811</v>
      </c>
      <c r="YX180" s="1008">
        <f t="shared" si="251"/>
        <v>2.3014198515012811</v>
      </c>
      <c r="YY180" s="1008">
        <f t="shared" si="251"/>
        <v>2.3014198515012811</v>
      </c>
      <c r="YZ180" s="1008">
        <f t="shared" si="251"/>
        <v>2.299315543695065</v>
      </c>
      <c r="ZA180" s="1008">
        <f t="shared" si="251"/>
        <v>2.299315543695065</v>
      </c>
      <c r="ZB180" s="1008">
        <f t="shared" si="251"/>
        <v>2.299315543695065</v>
      </c>
      <c r="ZC180" s="1008">
        <f t="shared" si="251"/>
        <v>2.299315543695065</v>
      </c>
      <c r="ZD180" s="1008">
        <f t="shared" si="251"/>
        <v>2.299315543695065</v>
      </c>
      <c r="ZE180" s="1008">
        <f t="shared" si="251"/>
        <v>2.2972510815878215</v>
      </c>
      <c r="ZF180" s="1008">
        <f t="shared" si="251"/>
        <v>2.2972510815878215</v>
      </c>
      <c r="ZG180" s="1008">
        <f t="shared" si="251"/>
        <v>2.2972510815878215</v>
      </c>
      <c r="ZH180" s="1008">
        <f t="shared" si="251"/>
        <v>2.2972510815878215</v>
      </c>
      <c r="ZI180" s="1008">
        <f t="shared" si="251"/>
        <v>2.2972510815878215</v>
      </c>
      <c r="ZJ180" s="1008">
        <f t="shared" si="251"/>
        <v>2.2972510815878215</v>
      </c>
      <c r="ZK180" s="1008">
        <f t="shared" si="251"/>
        <v>2.2972510815878215</v>
      </c>
      <c r="ZL180" s="1008">
        <f t="shared" si="251"/>
        <v>2.2952253440585544</v>
      </c>
      <c r="ZM180" s="1008">
        <f t="shared" si="251"/>
        <v>2.2952253440585544</v>
      </c>
      <c r="ZN180" s="1008">
        <f t="shared" si="251"/>
        <v>2.2952253440585544</v>
      </c>
      <c r="ZO180" s="1008">
        <f t="shared" si="251"/>
        <v>2.2952253440585544</v>
      </c>
      <c r="ZP180" s="1008">
        <f t="shared" si="251"/>
        <v>2.2952253440585544</v>
      </c>
      <c r="ZQ180" s="1008">
        <f t="shared" si="251"/>
        <v>2.2952253440585544</v>
      </c>
      <c r="ZR180" s="1008">
        <f t="shared" si="251"/>
        <v>2.2952253440585544</v>
      </c>
      <c r="ZS180" s="1008">
        <f t="shared" si="251"/>
        <v>2.2952253440585544</v>
      </c>
      <c r="ZT180" s="1008">
        <f t="shared" ref="ZT180:AAS180" si="252">$WI$180-ZT175</f>
        <v>2.2952253440585544</v>
      </c>
      <c r="ZU180" s="1008">
        <f t="shared" si="252"/>
        <v>2.2952253440585544</v>
      </c>
      <c r="ZV180" s="1008">
        <f t="shared" si="252"/>
        <v>2.2952253440585544</v>
      </c>
      <c r="ZW180" s="1008">
        <f t="shared" si="252"/>
        <v>2.2952253440585544</v>
      </c>
      <c r="ZX180" s="1008">
        <f t="shared" si="252"/>
        <v>2.2952253440585544</v>
      </c>
      <c r="ZY180" s="1008">
        <f t="shared" si="252"/>
        <v>2.2932372516547845</v>
      </c>
      <c r="ZZ180" s="1008">
        <f t="shared" si="252"/>
        <v>2.2932372516547845</v>
      </c>
      <c r="AAA180" s="1008">
        <f t="shared" si="252"/>
        <v>2.2932372516547845</v>
      </c>
      <c r="AAB180" s="1008">
        <f t="shared" si="252"/>
        <v>2.2932372516547845</v>
      </c>
      <c r="AAC180" s="1008">
        <f t="shared" si="252"/>
        <v>2.2932372516547845</v>
      </c>
      <c r="AAD180" s="1008">
        <f t="shared" si="252"/>
        <v>2.2932372516547845</v>
      </c>
      <c r="AAE180" s="1008">
        <f t="shared" si="252"/>
        <v>2.2932372516547845</v>
      </c>
      <c r="AAF180" s="1008">
        <f t="shared" si="252"/>
        <v>2.2932372516547845</v>
      </c>
      <c r="AAG180" s="1008">
        <f t="shared" si="252"/>
        <v>2.2932372516547845</v>
      </c>
      <c r="AAH180" s="1008">
        <f t="shared" si="252"/>
        <v>2.2932372516547845</v>
      </c>
      <c r="AAI180" s="1008">
        <f t="shared" si="252"/>
        <v>2.2932372516547845</v>
      </c>
      <c r="AAJ180" s="1008">
        <f t="shared" si="252"/>
        <v>2.2932372516547845</v>
      </c>
      <c r="AAK180" s="1008">
        <f t="shared" si="252"/>
        <v>2.2932372516547845</v>
      </c>
      <c r="AAL180" s="1008">
        <f t="shared" si="252"/>
        <v>2.2932372516547845</v>
      </c>
      <c r="AAM180" s="1008">
        <f t="shared" si="252"/>
        <v>2.2932372516547845</v>
      </c>
      <c r="AAN180" s="1008">
        <f t="shared" si="252"/>
        <v>2.2932372516547845</v>
      </c>
      <c r="AAO180" s="1008">
        <f t="shared" si="252"/>
        <v>2.2932372516547845</v>
      </c>
      <c r="AAP180" s="1008">
        <f t="shared" si="252"/>
        <v>2.2932372516547845</v>
      </c>
      <c r="AAQ180" s="1008">
        <f t="shared" si="252"/>
        <v>2.2932372516547845</v>
      </c>
      <c r="AAR180" s="1008">
        <f t="shared" si="252"/>
        <v>2.2932372516547845</v>
      </c>
      <c r="AAS180" s="1008">
        <f t="shared" si="252"/>
        <v>2.2932372516547845</v>
      </c>
      <c r="AAT180" s="1005">
        <v>25</v>
      </c>
      <c r="AAU180" s="167"/>
      <c r="AAV180" s="168"/>
      <c r="AAW180" s="168"/>
      <c r="AAX180" s="168"/>
      <c r="AAY180" s="168"/>
      <c r="AAZ180" s="168"/>
      <c r="ABA180" s="168"/>
      <c r="ABB180" s="171"/>
      <c r="ABC180" s="158"/>
      <c r="ABD180" s="158"/>
      <c r="ABE180" s="158"/>
      <c r="ABF180" s="158"/>
      <c r="ABG180" s="158"/>
      <c r="ABH180" s="158"/>
      <c r="ABI180" s="158"/>
      <c r="ABJ180" s="158"/>
      <c r="ABK180" s="158"/>
      <c r="ABL180" s="158"/>
      <c r="ABM180" s="158"/>
      <c r="ABN180" s="158"/>
      <c r="ABO180" s="158"/>
      <c r="ABP180" s="163"/>
      <c r="ABQ180" s="653"/>
      <c r="ABR180" s="653"/>
      <c r="ABS180" s="653"/>
      <c r="ABT180" s="653"/>
      <c r="ABU180" s="1121" t="s">
        <v>1694</v>
      </c>
      <c r="ABV180" s="1122"/>
      <c r="ABW180" s="1122"/>
      <c r="ABX180" s="1122"/>
      <c r="ABY180" s="1122"/>
      <c r="ABZ180" s="1122"/>
      <c r="ACA180" s="1122"/>
      <c r="ACB180" s="1122"/>
      <c r="ACC180" s="1122"/>
      <c r="ACD180" s="1122"/>
      <c r="ACE180" s="1122"/>
      <c r="ACF180" s="1122"/>
      <c r="ACG180" s="1122"/>
      <c r="ACH180" s="1123"/>
      <c r="ACI180" s="703"/>
      <c r="ACJ180" s="759">
        <v>-3.125E-2</v>
      </c>
      <c r="ACK180" s="760"/>
      <c r="ACL180" s="759">
        <v>1</v>
      </c>
      <c r="ACM180" s="760"/>
      <c r="ACN180" s="591">
        <v>27</v>
      </c>
      <c r="ACO180" s="759">
        <f t="shared" si="248"/>
        <v>0.99324999999999997</v>
      </c>
      <c r="ACP180" s="760"/>
      <c r="ACQ180" s="757">
        <f t="shared" si="195"/>
        <v>0.216</v>
      </c>
      <c r="ACR180" s="758"/>
      <c r="ACT180" s="759">
        <v>-3.125E-2</v>
      </c>
      <c r="ACU180" s="760"/>
      <c r="ACV180" s="759">
        <v>1</v>
      </c>
      <c r="ACW180" s="760"/>
      <c r="ACX180" s="591">
        <v>77</v>
      </c>
      <c r="ACY180" s="759">
        <f t="shared" si="196"/>
        <v>0.98075000000000001</v>
      </c>
      <c r="ACZ180" s="760"/>
      <c r="ADA180" s="757">
        <f t="shared" si="197"/>
        <v>0.61599999999999999</v>
      </c>
      <c r="ADB180" s="758"/>
      <c r="ADD180" s="759">
        <v>-8.3333333333333398E-2</v>
      </c>
      <c r="ADE180" s="760"/>
      <c r="ADF180" s="759">
        <v>1.0416666666666701</v>
      </c>
      <c r="ADG180" s="760"/>
      <c r="ADH180" s="592">
        <v>127</v>
      </c>
      <c r="ADI180" s="759">
        <f t="shared" si="198"/>
        <v>0.95700000000000329</v>
      </c>
      <c r="ADJ180" s="760"/>
      <c r="ADK180" s="757">
        <f t="shared" si="199"/>
        <v>1.016</v>
      </c>
      <c r="ADL180" s="758"/>
      <c r="ADN180" s="759">
        <v>-0.14285714285714299</v>
      </c>
      <c r="ADO180" s="760"/>
      <c r="ADP180" s="759">
        <v>1.1071428571428601</v>
      </c>
      <c r="ADQ180" s="760"/>
      <c r="ADR180" s="592">
        <v>177</v>
      </c>
      <c r="ADS180" s="759">
        <f t="shared" si="200"/>
        <v>0.90485714285714569</v>
      </c>
      <c r="ADT180" s="760"/>
      <c r="ADU180" s="757">
        <f t="shared" si="201"/>
        <v>1.4159999999999999</v>
      </c>
      <c r="ADV180" s="758"/>
      <c r="ADX180" s="759">
        <v>-0.33333333333333259</v>
      </c>
      <c r="ADY180" s="760"/>
      <c r="ADZ180" s="759">
        <v>1.4166666666666654</v>
      </c>
      <c r="AEA180" s="760"/>
      <c r="AEB180" s="592">
        <v>227</v>
      </c>
      <c r="AEC180" s="759">
        <f t="shared" si="202"/>
        <v>0.81133333333333335</v>
      </c>
      <c r="AED180" s="760"/>
      <c r="AEE180" s="757">
        <f t="shared" si="203"/>
        <v>1.8160000000000001</v>
      </c>
      <c r="AEF180" s="758"/>
      <c r="AEH180" s="759">
        <v>-0.33333333333333298</v>
      </c>
      <c r="AEI180" s="760"/>
      <c r="AEJ180" s="759">
        <v>1.4166666666666701</v>
      </c>
      <c r="AEK180" s="760"/>
      <c r="AEL180" s="592">
        <v>277</v>
      </c>
      <c r="AEM180" s="759">
        <f t="shared" si="204"/>
        <v>0.67800000000000415</v>
      </c>
      <c r="AEN180" s="760"/>
      <c r="AEO180" s="757">
        <f t="shared" si="205"/>
        <v>2.2160000000000002</v>
      </c>
      <c r="AEP180" s="758"/>
      <c r="AER180" s="759">
        <v>-0.249999999999999</v>
      </c>
      <c r="AES180" s="760"/>
      <c r="AET180" s="759">
        <v>1.2250000000000001</v>
      </c>
      <c r="AEU180" s="760"/>
      <c r="AEV180" s="592">
        <v>327</v>
      </c>
      <c r="AEW180" s="759">
        <f t="shared" si="206"/>
        <v>0.57100000000000273</v>
      </c>
      <c r="AEX180" s="760"/>
      <c r="AEY180" s="757">
        <f t="shared" si="207"/>
        <v>2.6160000000000001</v>
      </c>
      <c r="AEZ180" s="758"/>
      <c r="AFB180" s="759">
        <v>-0.1</v>
      </c>
      <c r="AFC180" s="760"/>
      <c r="AFD180" s="759">
        <v>0.82</v>
      </c>
      <c r="AFE180" s="760"/>
      <c r="AFF180" s="591">
        <v>377</v>
      </c>
      <c r="AFG180" s="759">
        <f t="shared" si="208"/>
        <v>0.51839999999999997</v>
      </c>
      <c r="AFH180" s="760"/>
      <c r="AFI180" s="757">
        <f t="shared" si="209"/>
        <v>3.016</v>
      </c>
      <c r="AFJ180" s="758"/>
      <c r="AFL180" s="759">
        <v>-0.125</v>
      </c>
      <c r="AFM180" s="760"/>
      <c r="AFN180" s="759">
        <v>0.875</v>
      </c>
      <c r="AFO180" s="760"/>
      <c r="AFP180" s="591">
        <v>427</v>
      </c>
      <c r="AFQ180" s="759">
        <f t="shared" si="210"/>
        <v>0.44800000000000001</v>
      </c>
      <c r="AFR180" s="760"/>
      <c r="AFS180" s="757">
        <f t="shared" si="211"/>
        <v>3.4159999999999999</v>
      </c>
      <c r="AFT180" s="758"/>
      <c r="AFV180" s="759">
        <v>-6.25E-2</v>
      </c>
      <c r="AFW180" s="760"/>
      <c r="AFX180" s="759">
        <v>0.63749999999999996</v>
      </c>
      <c r="AFY180" s="760"/>
      <c r="AFZ180" s="592">
        <v>477</v>
      </c>
      <c r="AGA180" s="759">
        <f t="shared" si="212"/>
        <v>0.39899999999999991</v>
      </c>
      <c r="AGB180" s="760"/>
      <c r="AGC180" s="757">
        <f t="shared" si="213"/>
        <v>3.8160000000000003</v>
      </c>
      <c r="AGD180" s="758"/>
      <c r="AGE180" s="653"/>
      <c r="AGF180" s="653"/>
      <c r="AGG180" s="653"/>
      <c r="AGH180" s="653"/>
      <c r="AGI180" s="653"/>
      <c r="AGJ180" s="653"/>
      <c r="AGL180" s="850"/>
      <c r="AGM180" s="441" t="s">
        <v>725</v>
      </c>
      <c r="AGN180" s="761">
        <f>$GU$12</f>
        <v>0.8</v>
      </c>
      <c r="AGO180" s="761"/>
      <c r="AGP180" s="809" t="s">
        <v>1390</v>
      </c>
      <c r="AGQ180" s="797"/>
      <c r="AGR180" s="797"/>
      <c r="AGS180" s="797"/>
      <c r="AGT180" s="797"/>
      <c r="AGU180" s="797"/>
      <c r="AGV180" s="797"/>
      <c r="AGW180" s="797"/>
      <c r="AGX180" s="797"/>
      <c r="AGY180" s="798"/>
      <c r="AGZ180" s="1167">
        <f>0.64+2.5*(GU12/((CL40+GM24)*1000))^0.5</f>
        <v>1.0600145352014647</v>
      </c>
      <c r="AHA180" s="840"/>
      <c r="AHB180" s="1341" t="s">
        <v>729</v>
      </c>
      <c r="AHC180" s="1342"/>
      <c r="AHD180" s="1066"/>
      <c r="AHE180" s="843" t="s">
        <v>1391</v>
      </c>
      <c r="AHF180" s="844"/>
      <c r="AHG180" s="847"/>
      <c r="AHH180" s="1052"/>
      <c r="AHI180" s="1052"/>
      <c r="AHJ180" s="1052"/>
      <c r="AHK180" s="1052"/>
      <c r="AHL180" s="1052"/>
      <c r="AHM180" s="1052"/>
      <c r="AHN180" s="1052"/>
      <c r="AHO180" s="1052"/>
      <c r="AHS180" s="130"/>
      <c r="AHT180" s="130"/>
      <c r="AHU180" s="130"/>
      <c r="AHV180" s="130"/>
      <c r="AHW180" s="130"/>
      <c r="ARU180" s="851"/>
      <c r="ARV180" s="795"/>
      <c r="ARW180" s="795"/>
      <c r="ARX180" s="795"/>
      <c r="ARY180" s="795"/>
      <c r="ARZ180" s="795"/>
      <c r="ASA180" s="795"/>
      <c r="ASB180" s="795"/>
      <c r="ASC180" s="795"/>
      <c r="ASD180" s="795"/>
      <c r="ASE180" s="795"/>
      <c r="ASF180" s="795"/>
      <c r="ASG180" s="795"/>
      <c r="ASH180" s="795"/>
      <c r="ASI180" s="1510"/>
      <c r="ASJ180" s="1511"/>
      <c r="ASK180" s="1512"/>
      <c r="ASL180" s="205"/>
      <c r="ASM180" s="205"/>
      <c r="ASN180" s="205"/>
      <c r="ASO180" s="206"/>
    </row>
    <row r="181" spans="340:936 1165:1204" ht="48" customHeight="1" thickBot="1">
      <c r="MB181" s="900"/>
      <c r="MC181" s="901"/>
      <c r="MD181" s="902"/>
      <c r="ME181" s="850"/>
      <c r="MF181" s="800" t="s">
        <v>1305</v>
      </c>
      <c r="MG181" s="801"/>
      <c r="MH181" s="951">
        <f>$GM$24/$CL$40</f>
        <v>1.0356340341387285</v>
      </c>
      <c r="MI181" s="952"/>
      <c r="MJ181" s="809" t="s">
        <v>1303</v>
      </c>
      <c r="MK181" s="797"/>
      <c r="ML181" s="797"/>
      <c r="MM181" s="797"/>
      <c r="MN181" s="797"/>
      <c r="MO181" s="797"/>
      <c r="MP181" s="877"/>
      <c r="MQ181" s="1193">
        <v>1.25</v>
      </c>
      <c r="MR181" s="1194"/>
      <c r="MS181" s="1183" t="s">
        <v>729</v>
      </c>
      <c r="MT181" s="1184"/>
      <c r="MU181" s="1066"/>
      <c r="MV181" s="843" t="s">
        <v>1313</v>
      </c>
      <c r="MW181" s="844"/>
      <c r="MX181" s="847"/>
      <c r="OE181" s="130"/>
      <c r="OF181" s="130"/>
      <c r="OG181" s="130"/>
      <c r="OH181" s="130"/>
      <c r="OI181" s="130"/>
      <c r="OJ181" s="130"/>
      <c r="OK181" s="130"/>
      <c r="OY181" s="130"/>
      <c r="OZ181" s="130"/>
      <c r="PA181" s="130"/>
      <c r="PB181" s="130"/>
      <c r="PC181" s="130"/>
      <c r="PG181" s="130"/>
      <c r="PH181" s="130"/>
      <c r="PL181" s="851"/>
      <c r="PM181" s="802" t="s">
        <v>1599</v>
      </c>
      <c r="PN181" s="803"/>
      <c r="PO181" s="1333">
        <f>$PW$184</f>
        <v>1.1981820184614456</v>
      </c>
      <c r="PP181" s="1334"/>
      <c r="PQ181" s="777"/>
      <c r="PR181" s="778"/>
      <c r="PS181" s="778"/>
      <c r="PT181" s="778"/>
      <c r="PU181" s="778"/>
      <c r="PV181" s="778"/>
      <c r="PW181" s="837"/>
      <c r="PX181" s="838"/>
      <c r="PY181" s="1355"/>
      <c r="PZ181" s="1356"/>
      <c r="QA181" s="1067"/>
      <c r="QB181" s="1173"/>
      <c r="QC181" s="1175"/>
      <c r="QD181" s="848"/>
      <c r="QE181" s="1053"/>
      <c r="QF181" s="1053"/>
      <c r="QG181" s="1053"/>
      <c r="QH181" s="1053"/>
      <c r="QI181" s="1053"/>
      <c r="WE181" s="754"/>
      <c r="WF181" s="755"/>
      <c r="WG181" s="169"/>
      <c r="WH181" s="170"/>
      <c r="WI181" s="170"/>
      <c r="WJ181" s="170"/>
      <c r="WK181" s="170"/>
      <c r="WL181" s="170"/>
      <c r="WM181" s="170"/>
      <c r="WN181" s="170"/>
      <c r="WO181" s="170"/>
      <c r="WP181" s="170"/>
      <c r="WQ181" s="170"/>
      <c r="WR181" s="170"/>
      <c r="WS181" s="170"/>
      <c r="WT181" s="170"/>
      <c r="WU181" s="170"/>
      <c r="WV181" s="170"/>
      <c r="WW181" s="170"/>
      <c r="WX181" s="170"/>
      <c r="WY181" s="172"/>
      <c r="WZ181" s="1135"/>
      <c r="XA181" s="1135"/>
      <c r="XB181" s="169"/>
      <c r="XC181" s="170"/>
      <c r="XD181" s="170"/>
      <c r="XE181" s="170"/>
      <c r="XF181" s="172"/>
      <c r="XG181" s="1008"/>
      <c r="XH181" s="1008"/>
      <c r="XI181" s="1008"/>
      <c r="XJ181" s="1008"/>
      <c r="XK181" s="1008"/>
      <c r="XL181" s="1008"/>
      <c r="XM181" s="1008"/>
      <c r="XN181" s="1008"/>
      <c r="XO181" s="1008"/>
      <c r="XP181" s="1008"/>
      <c r="XQ181" s="1008"/>
      <c r="XR181" s="1008"/>
      <c r="XS181" s="1008"/>
      <c r="XT181" s="1008"/>
      <c r="XU181" s="1008"/>
      <c r="XV181" s="1008"/>
      <c r="XW181" s="1008"/>
      <c r="XX181" s="1008"/>
      <c r="XY181" s="1008"/>
      <c r="XZ181" s="1008"/>
      <c r="YA181" s="1008"/>
      <c r="YB181" s="1008"/>
      <c r="YC181" s="1008"/>
      <c r="YD181" s="1008"/>
      <c r="YE181" s="1008"/>
      <c r="YF181" s="1008"/>
      <c r="YG181" s="1008"/>
      <c r="YH181" s="1008"/>
      <c r="YI181" s="1008"/>
      <c r="YJ181" s="1008"/>
      <c r="YK181" s="1008"/>
      <c r="YL181" s="1008"/>
      <c r="YM181" s="1008"/>
      <c r="YN181" s="1008"/>
      <c r="YO181" s="1008"/>
      <c r="YP181" s="1008"/>
      <c r="YQ181" s="1008"/>
      <c r="YR181" s="1008"/>
      <c r="YS181" s="1008"/>
      <c r="YT181" s="1008"/>
      <c r="YU181" s="1008"/>
      <c r="YV181" s="1008"/>
      <c r="YW181" s="1008"/>
      <c r="YX181" s="1008"/>
      <c r="YY181" s="1008"/>
      <c r="YZ181" s="1008"/>
      <c r="ZA181" s="1008"/>
      <c r="ZB181" s="1008"/>
      <c r="ZC181" s="1008"/>
      <c r="ZD181" s="1008"/>
      <c r="ZE181" s="1008"/>
      <c r="ZF181" s="1008"/>
      <c r="ZG181" s="1008"/>
      <c r="ZH181" s="1008"/>
      <c r="ZI181" s="1008"/>
      <c r="ZJ181" s="1008"/>
      <c r="ZK181" s="1008"/>
      <c r="ZL181" s="1008"/>
      <c r="ZM181" s="1008"/>
      <c r="ZN181" s="1008"/>
      <c r="ZO181" s="1008"/>
      <c r="ZP181" s="1008"/>
      <c r="ZQ181" s="1008"/>
      <c r="ZR181" s="1008"/>
      <c r="ZS181" s="1008"/>
      <c r="ZT181" s="1008"/>
      <c r="ZU181" s="1008"/>
      <c r="ZV181" s="1008"/>
      <c r="ZW181" s="1008"/>
      <c r="ZX181" s="1008"/>
      <c r="ZY181" s="1008"/>
      <c r="ZZ181" s="1008"/>
      <c r="AAA181" s="1008"/>
      <c r="AAB181" s="1008"/>
      <c r="AAC181" s="1008"/>
      <c r="AAD181" s="1008"/>
      <c r="AAE181" s="1008"/>
      <c r="AAF181" s="1008"/>
      <c r="AAG181" s="1008"/>
      <c r="AAH181" s="1008"/>
      <c r="AAI181" s="1008"/>
      <c r="AAJ181" s="1008"/>
      <c r="AAK181" s="1008"/>
      <c r="AAL181" s="1008"/>
      <c r="AAM181" s="1008"/>
      <c r="AAN181" s="1008"/>
      <c r="AAO181" s="1008"/>
      <c r="AAP181" s="1008"/>
      <c r="AAQ181" s="1008"/>
      <c r="AAR181" s="1008"/>
      <c r="AAS181" s="1008"/>
      <c r="AAT181" s="1007"/>
      <c r="AAU181" s="169"/>
      <c r="AAV181" s="170"/>
      <c r="AAW181" s="170"/>
      <c r="AAX181" s="170"/>
      <c r="AAY181" s="170"/>
      <c r="AAZ181" s="170"/>
      <c r="ABA181" s="170"/>
      <c r="ABB181" s="172"/>
      <c r="ABC181" s="158"/>
      <c r="ABD181" s="158"/>
      <c r="ABE181" s="158"/>
      <c r="ABF181" s="158"/>
      <c r="ABG181" s="158"/>
      <c r="ABH181" s="158"/>
      <c r="ABI181" s="158"/>
      <c r="ABJ181" s="158"/>
      <c r="ABK181" s="158"/>
      <c r="ABL181" s="158"/>
      <c r="ABM181" s="158"/>
      <c r="ABN181" s="158"/>
      <c r="ABO181" s="158"/>
      <c r="ABP181" s="163"/>
      <c r="ABQ181" s="653"/>
      <c r="ABR181" s="653"/>
      <c r="ABS181" s="653"/>
      <c r="ABT181" s="653"/>
      <c r="ABU181" s="1023"/>
      <c r="ABV181" s="1024"/>
      <c r="ABW181" s="1024"/>
      <c r="ABX181" s="1024"/>
      <c r="ABY181" s="1024"/>
      <c r="ABZ181" s="1024"/>
      <c r="ACA181" s="1024"/>
      <c r="ACB181" s="1024"/>
      <c r="ACC181" s="1024"/>
      <c r="ACD181" s="1024"/>
      <c r="ACE181" s="1024"/>
      <c r="ACF181" s="1024"/>
      <c r="ACG181" s="1024"/>
      <c r="ACH181" s="1025"/>
      <c r="ACI181" s="703"/>
      <c r="ACJ181" s="759">
        <v>-3.125E-2</v>
      </c>
      <c r="ACK181" s="760"/>
      <c r="ACL181" s="759">
        <v>1</v>
      </c>
      <c r="ACM181" s="760"/>
      <c r="ACN181" s="591">
        <v>28</v>
      </c>
      <c r="ACO181" s="759">
        <f t="shared" si="248"/>
        <v>0.99299999999999999</v>
      </c>
      <c r="ACP181" s="760"/>
      <c r="ACQ181" s="757">
        <f t="shared" si="195"/>
        <v>0.224</v>
      </c>
      <c r="ACR181" s="758"/>
      <c r="ACT181" s="759">
        <v>-3.125E-2</v>
      </c>
      <c r="ACU181" s="760"/>
      <c r="ACV181" s="759">
        <v>1</v>
      </c>
      <c r="ACW181" s="760"/>
      <c r="ACX181" s="591">
        <v>78</v>
      </c>
      <c r="ACY181" s="759">
        <f t="shared" si="196"/>
        <v>0.98050000000000004</v>
      </c>
      <c r="ACZ181" s="760"/>
      <c r="ADA181" s="757">
        <f t="shared" si="197"/>
        <v>0.624</v>
      </c>
      <c r="ADB181" s="758"/>
      <c r="ADD181" s="759">
        <v>-8.3333333333333398E-2</v>
      </c>
      <c r="ADE181" s="760"/>
      <c r="ADF181" s="759">
        <v>1.0416666666666701</v>
      </c>
      <c r="ADG181" s="760"/>
      <c r="ADH181" s="592">
        <v>128</v>
      </c>
      <c r="ADI181" s="759">
        <f t="shared" si="198"/>
        <v>0.9563333333333367</v>
      </c>
      <c r="ADJ181" s="760"/>
      <c r="ADK181" s="757">
        <f t="shared" si="199"/>
        <v>1.024</v>
      </c>
      <c r="ADL181" s="758"/>
      <c r="ADN181" s="759">
        <v>-0.14285714285714299</v>
      </c>
      <c r="ADO181" s="760"/>
      <c r="ADP181" s="759">
        <v>1.1071428571428601</v>
      </c>
      <c r="ADQ181" s="760"/>
      <c r="ADR181" s="592">
        <v>178</v>
      </c>
      <c r="ADS181" s="759">
        <f t="shared" si="200"/>
        <v>0.90371428571428847</v>
      </c>
      <c r="ADT181" s="760"/>
      <c r="ADU181" s="757">
        <f t="shared" si="201"/>
        <v>1.4239999999999999</v>
      </c>
      <c r="ADV181" s="758"/>
      <c r="ADX181" s="759">
        <v>-0.33333333333333259</v>
      </c>
      <c r="ADY181" s="760"/>
      <c r="ADZ181" s="759">
        <v>1.4166666666666654</v>
      </c>
      <c r="AEA181" s="760"/>
      <c r="AEB181" s="592">
        <v>228</v>
      </c>
      <c r="AEC181" s="759">
        <f t="shared" si="202"/>
        <v>0.80866666666666676</v>
      </c>
      <c r="AED181" s="760"/>
      <c r="AEE181" s="757">
        <f t="shared" si="203"/>
        <v>1.8240000000000001</v>
      </c>
      <c r="AEF181" s="758"/>
      <c r="AEH181" s="759">
        <v>-0.33333333333333298</v>
      </c>
      <c r="AEI181" s="760"/>
      <c r="AEJ181" s="759">
        <v>1.4166666666666701</v>
      </c>
      <c r="AEK181" s="760"/>
      <c r="AEL181" s="592">
        <v>278</v>
      </c>
      <c r="AEM181" s="759">
        <f t="shared" si="204"/>
        <v>0.67533333333333745</v>
      </c>
      <c r="AEN181" s="760"/>
      <c r="AEO181" s="757">
        <f t="shared" si="205"/>
        <v>2.2240000000000002</v>
      </c>
      <c r="AEP181" s="758"/>
      <c r="AER181" s="759">
        <v>-0.249999999999999</v>
      </c>
      <c r="AES181" s="760"/>
      <c r="AET181" s="759">
        <v>1.2250000000000001</v>
      </c>
      <c r="AEU181" s="760"/>
      <c r="AEV181" s="592">
        <v>328</v>
      </c>
      <c r="AEW181" s="759">
        <f t="shared" si="206"/>
        <v>0.56900000000000273</v>
      </c>
      <c r="AEX181" s="760"/>
      <c r="AEY181" s="757">
        <f t="shared" si="207"/>
        <v>2.6240000000000001</v>
      </c>
      <c r="AEZ181" s="758"/>
      <c r="AFB181" s="759">
        <v>-0.1</v>
      </c>
      <c r="AFC181" s="760"/>
      <c r="AFD181" s="759">
        <v>0.82</v>
      </c>
      <c r="AFE181" s="760"/>
      <c r="AFF181" s="591">
        <v>378</v>
      </c>
      <c r="AFG181" s="759">
        <f t="shared" si="208"/>
        <v>0.51759999999999995</v>
      </c>
      <c r="AFH181" s="760"/>
      <c r="AFI181" s="757">
        <f t="shared" si="209"/>
        <v>3.024</v>
      </c>
      <c r="AFJ181" s="758"/>
      <c r="AFK181" s="653"/>
      <c r="AFL181" s="759">
        <v>-0.125</v>
      </c>
      <c r="AFM181" s="760"/>
      <c r="AFN181" s="759">
        <v>0.875</v>
      </c>
      <c r="AFO181" s="760"/>
      <c r="AFP181" s="591">
        <v>428</v>
      </c>
      <c r="AFQ181" s="759">
        <f t="shared" si="210"/>
        <v>0.44700000000000001</v>
      </c>
      <c r="AFR181" s="760"/>
      <c r="AFS181" s="757">
        <f t="shared" si="211"/>
        <v>3.4239999999999999</v>
      </c>
      <c r="AFT181" s="758"/>
      <c r="AFU181" s="653"/>
      <c r="AFV181" s="759">
        <v>-6.25E-2</v>
      </c>
      <c r="AFW181" s="760"/>
      <c r="AFX181" s="759">
        <v>0.63749999999999996</v>
      </c>
      <c r="AFY181" s="760"/>
      <c r="AFZ181" s="592">
        <v>478</v>
      </c>
      <c r="AGA181" s="759">
        <f t="shared" si="212"/>
        <v>0.39849999999999997</v>
      </c>
      <c r="AGB181" s="760"/>
      <c r="AGC181" s="757">
        <f t="shared" si="213"/>
        <v>3.8240000000000003</v>
      </c>
      <c r="AGD181" s="758"/>
      <c r="AGE181" s="653"/>
      <c r="AGF181" s="653"/>
      <c r="AGG181" s="653"/>
      <c r="AGH181" s="653"/>
      <c r="AGI181" s="653"/>
      <c r="AGJ181" s="653"/>
      <c r="AGL181" s="850"/>
      <c r="AGM181" s="439" t="s">
        <v>1015</v>
      </c>
      <c r="AGN181" s="890">
        <f>$CL$40</f>
        <v>1.3923283333333335E-2</v>
      </c>
      <c r="AGO181" s="890"/>
      <c r="AGP181" s="775"/>
      <c r="AGQ181" s="776"/>
      <c r="AGR181" s="776"/>
      <c r="AGS181" s="776"/>
      <c r="AGT181" s="776"/>
      <c r="AGU181" s="776"/>
      <c r="AGV181" s="776"/>
      <c r="AGW181" s="776"/>
      <c r="AGX181" s="776"/>
      <c r="AGY181" s="815"/>
      <c r="AGZ181" s="1169"/>
      <c r="AHA181" s="799"/>
      <c r="AHB181" s="1355"/>
      <c r="AHC181" s="1356"/>
      <c r="AHD181" s="1067"/>
      <c r="AHE181" s="845"/>
      <c r="AHF181" s="846"/>
      <c r="AHG181" s="848"/>
      <c r="AHH181" s="1052"/>
      <c r="AHI181" s="1052"/>
      <c r="AHJ181" s="1052"/>
      <c r="AHK181" s="1052"/>
      <c r="AHL181" s="1052"/>
      <c r="AHM181" s="1052"/>
      <c r="AHN181" s="1052"/>
      <c r="AHO181" s="1052"/>
      <c r="AHS181" s="130"/>
      <c r="AHT181" s="130"/>
      <c r="AHU181" s="130"/>
      <c r="AHV181" s="130"/>
      <c r="AHW181" s="130"/>
      <c r="ASM181" s="130"/>
      <c r="ASN181" s="130"/>
      <c r="ASO181" s="130"/>
      <c r="ASP181" s="130"/>
      <c r="ASQ181" s="130"/>
      <c r="ASR181" s="130"/>
      <c r="ASY181" s="130"/>
      <c r="ASZ181" s="130"/>
      <c r="ATA181" s="130"/>
      <c r="ATB181" s="130"/>
      <c r="ATF181" s="130"/>
      <c r="ATG181" s="130"/>
      <c r="ATH181" s="130"/>
    </row>
    <row r="182" spans="340:936 1165:1204" ht="48" customHeight="1" thickBot="1">
      <c r="MB182" s="903"/>
      <c r="MC182" s="904"/>
      <c r="MD182" s="905"/>
      <c r="ME182" s="851"/>
      <c r="MF182" s="802" t="s">
        <v>1323</v>
      </c>
      <c r="MG182" s="803"/>
      <c r="MH182" s="1333">
        <f>$MQ$177</f>
        <v>0</v>
      </c>
      <c r="MI182" s="1334"/>
      <c r="MJ182" s="777"/>
      <c r="MK182" s="778"/>
      <c r="ML182" s="778"/>
      <c r="MM182" s="778"/>
      <c r="MN182" s="778"/>
      <c r="MO182" s="778"/>
      <c r="MP182" s="878"/>
      <c r="MQ182" s="1195"/>
      <c r="MR182" s="1196"/>
      <c r="MS182" s="1185"/>
      <c r="MT182" s="1186"/>
      <c r="MU182" s="1067"/>
      <c r="MV182" s="845"/>
      <c r="MW182" s="846"/>
      <c r="MX182" s="848"/>
      <c r="NO182" s="130"/>
      <c r="OE182" s="130"/>
      <c r="OF182" s="130"/>
      <c r="OG182" s="130"/>
      <c r="OH182" s="130"/>
      <c r="OI182" s="130"/>
      <c r="OJ182" s="130"/>
      <c r="OK182" s="130"/>
      <c r="OY182" s="130"/>
      <c r="OZ182" s="130"/>
      <c r="PA182" s="130"/>
      <c r="PB182" s="130"/>
      <c r="PC182" s="130"/>
      <c r="PD182" s="130"/>
      <c r="PE182" s="130"/>
      <c r="PF182" s="130"/>
      <c r="PG182" s="130"/>
      <c r="PH182" s="130"/>
      <c r="WE182" s="752">
        <v>26</v>
      </c>
      <c r="WF182" s="753"/>
      <c r="WG182" s="800" t="s">
        <v>1249</v>
      </c>
      <c r="WH182" s="982"/>
      <c r="WI182" s="937">
        <f>$MP$142</f>
        <v>1.8841973697362955</v>
      </c>
      <c r="WJ182" s="937"/>
      <c r="WK182" s="168"/>
      <c r="WL182" s="168"/>
      <c r="WM182" s="168"/>
      <c r="WN182" s="168"/>
      <c r="WO182" s="168"/>
      <c r="WP182" s="168"/>
      <c r="WQ182" s="168"/>
      <c r="WR182" s="168"/>
      <c r="WS182" s="168"/>
      <c r="WT182" s="168"/>
      <c r="WU182" s="168"/>
      <c r="WV182" s="168"/>
      <c r="WW182" s="168"/>
      <c r="WX182" s="168"/>
      <c r="WY182" s="171"/>
      <c r="WZ182" s="1135" t="s">
        <v>1719</v>
      </c>
      <c r="XA182" s="1135"/>
      <c r="XB182" s="167"/>
      <c r="XC182" s="168"/>
      <c r="XD182" s="168"/>
      <c r="XE182" s="168"/>
      <c r="XF182" s="171"/>
      <c r="XG182" s="1008">
        <f>$WI$182*XG166</f>
        <v>1.8091606815157424</v>
      </c>
      <c r="XH182" s="1008">
        <f t="shared" ref="XH182:ZS182" si="253">$WI$182*XH166</f>
        <v>1.8018888572919165</v>
      </c>
      <c r="XI182" s="1008">
        <f t="shared" si="253"/>
        <v>1.7946170330680904</v>
      </c>
      <c r="XJ182" s="1008">
        <f t="shared" si="253"/>
        <v>1.7873452088442645</v>
      </c>
      <c r="XK182" s="1008">
        <f t="shared" si="253"/>
        <v>1.781891340676395</v>
      </c>
      <c r="XL182" s="1008">
        <f t="shared" si="253"/>
        <v>1.7746195164525691</v>
      </c>
      <c r="XM182" s="1008">
        <f t="shared" si="253"/>
        <v>1.7691656482846994</v>
      </c>
      <c r="XN182" s="1008">
        <f t="shared" si="253"/>
        <v>1.7637117801168301</v>
      </c>
      <c r="XO182" s="1008">
        <f t="shared" si="253"/>
        <v>1.7582579119489603</v>
      </c>
      <c r="XP182" s="1008">
        <f t="shared" si="253"/>
        <v>1.752804043781091</v>
      </c>
      <c r="XQ182" s="1008">
        <f t="shared" si="253"/>
        <v>1.7473501756132213</v>
      </c>
      <c r="XR182" s="1008">
        <f t="shared" si="253"/>
        <v>1.741896307445352</v>
      </c>
      <c r="XS182" s="1008">
        <f t="shared" si="253"/>
        <v>1.7364424392774824</v>
      </c>
      <c r="XT182" s="1008">
        <f t="shared" si="253"/>
        <v>1.7328065271655693</v>
      </c>
      <c r="XU182" s="1008">
        <f t="shared" si="253"/>
        <v>1.7273526589977</v>
      </c>
      <c r="XV182" s="1008">
        <f t="shared" si="253"/>
        <v>1.723716746885787</v>
      </c>
      <c r="XW182" s="1008">
        <f t="shared" si="253"/>
        <v>1.7182628787179173</v>
      </c>
      <c r="XX182" s="1008">
        <f t="shared" si="253"/>
        <v>1.7146269666060043</v>
      </c>
      <c r="XY182" s="1008">
        <f t="shared" si="253"/>
        <v>1.7109910544940914</v>
      </c>
      <c r="XZ182" s="1008">
        <f t="shared" si="253"/>
        <v>1.7073551423821782</v>
      </c>
      <c r="YA182" s="1008">
        <f t="shared" si="253"/>
        <v>1.7055371863262219</v>
      </c>
      <c r="YB182" s="1008">
        <f t="shared" si="253"/>
        <v>1.7019012742143089</v>
      </c>
      <c r="YC182" s="1008">
        <f t="shared" si="253"/>
        <v>1.698265362102396</v>
      </c>
      <c r="YD182" s="1008">
        <f t="shared" si="253"/>
        <v>1.6964474060464392</v>
      </c>
      <c r="YE182" s="1008">
        <f t="shared" si="253"/>
        <v>1.6884763679549379</v>
      </c>
      <c r="YF182" s="1008">
        <f t="shared" si="253"/>
        <v>1.6840013992018141</v>
      </c>
      <c r="YG182" s="1008">
        <f t="shared" si="253"/>
        <v>1.6795264304486905</v>
      </c>
      <c r="YH182" s="1008">
        <f t="shared" si="253"/>
        <v>1.6750514616955667</v>
      </c>
      <c r="YI182" s="1008">
        <f t="shared" si="253"/>
        <v>1.6705764929424429</v>
      </c>
      <c r="YJ182" s="1008">
        <f t="shared" si="253"/>
        <v>1.6661015241893193</v>
      </c>
      <c r="YK182" s="1008">
        <f t="shared" si="253"/>
        <v>1.6616265554361958</v>
      </c>
      <c r="YL182" s="1008">
        <f t="shared" si="253"/>
        <v>1.6616265554361958</v>
      </c>
      <c r="YM182" s="1008">
        <f t="shared" si="253"/>
        <v>1.6571515866830719</v>
      </c>
      <c r="YN182" s="1008">
        <f t="shared" si="253"/>
        <v>1.6526766179299484</v>
      </c>
      <c r="YO182" s="1008">
        <f t="shared" si="253"/>
        <v>1.6526766179299484</v>
      </c>
      <c r="YP182" s="1008">
        <f t="shared" si="253"/>
        <v>1.6482016491768245</v>
      </c>
      <c r="YQ182" s="1008">
        <f t="shared" si="253"/>
        <v>1.6482016491768245</v>
      </c>
      <c r="YR182" s="1008">
        <f t="shared" si="253"/>
        <v>1.6482016491768245</v>
      </c>
      <c r="YS182" s="1008">
        <f t="shared" si="253"/>
        <v>1.6437266804237007</v>
      </c>
      <c r="YT182" s="1008">
        <f t="shared" si="253"/>
        <v>1.6437266804237007</v>
      </c>
      <c r="YU182" s="1008">
        <f t="shared" si="253"/>
        <v>1.6437266804237007</v>
      </c>
      <c r="YV182" s="1008">
        <f t="shared" si="253"/>
        <v>1.6392517116705774</v>
      </c>
      <c r="YW182" s="1008">
        <f t="shared" si="253"/>
        <v>1.6392517116705774</v>
      </c>
      <c r="YX182" s="1008">
        <f t="shared" si="253"/>
        <v>1.6392517116705774</v>
      </c>
      <c r="YY182" s="1008">
        <f t="shared" si="253"/>
        <v>1.6392517116705774</v>
      </c>
      <c r="YZ182" s="1008">
        <f t="shared" si="253"/>
        <v>1.6347767429174536</v>
      </c>
      <c r="ZA182" s="1008">
        <f t="shared" si="253"/>
        <v>1.6347767429174536</v>
      </c>
      <c r="ZB182" s="1008">
        <f t="shared" si="253"/>
        <v>1.6347767429174536</v>
      </c>
      <c r="ZC182" s="1008">
        <f t="shared" si="253"/>
        <v>1.6347767429174536</v>
      </c>
      <c r="ZD182" s="1008">
        <f t="shared" si="253"/>
        <v>1.6347767429174536</v>
      </c>
      <c r="ZE182" s="1008">
        <f t="shared" si="253"/>
        <v>1.6303017741643298</v>
      </c>
      <c r="ZF182" s="1008">
        <f t="shared" si="253"/>
        <v>1.6303017741643298</v>
      </c>
      <c r="ZG182" s="1008">
        <f t="shared" si="253"/>
        <v>1.6303017741643298</v>
      </c>
      <c r="ZH182" s="1008">
        <f t="shared" si="253"/>
        <v>1.6303017741643298</v>
      </c>
      <c r="ZI182" s="1008">
        <f t="shared" si="253"/>
        <v>1.6303017741643298</v>
      </c>
      <c r="ZJ182" s="1008">
        <f t="shared" si="253"/>
        <v>1.6303017741643298</v>
      </c>
      <c r="ZK182" s="1008">
        <f t="shared" si="253"/>
        <v>1.6303017741643298</v>
      </c>
      <c r="ZL182" s="1008">
        <f t="shared" si="253"/>
        <v>1.6258268054112062</v>
      </c>
      <c r="ZM182" s="1008">
        <f t="shared" si="253"/>
        <v>1.6258268054112062</v>
      </c>
      <c r="ZN182" s="1008">
        <f t="shared" si="253"/>
        <v>1.6258268054112062</v>
      </c>
      <c r="ZO182" s="1008">
        <f t="shared" si="253"/>
        <v>1.6258268054112062</v>
      </c>
      <c r="ZP182" s="1008">
        <f t="shared" si="253"/>
        <v>1.6258268054112062</v>
      </c>
      <c r="ZQ182" s="1008">
        <f t="shared" si="253"/>
        <v>1.6258268054112062</v>
      </c>
      <c r="ZR182" s="1008">
        <f t="shared" si="253"/>
        <v>1.6258268054112062</v>
      </c>
      <c r="ZS182" s="1008">
        <f t="shared" si="253"/>
        <v>1.6258268054112062</v>
      </c>
      <c r="ZT182" s="1008">
        <f t="shared" ref="ZT182:AAS182" si="254">$WI$182*ZT166</f>
        <v>1.6258268054112062</v>
      </c>
      <c r="ZU182" s="1008">
        <f t="shared" si="254"/>
        <v>1.6258268054112062</v>
      </c>
      <c r="ZV182" s="1008">
        <f t="shared" si="254"/>
        <v>1.6258268054112062</v>
      </c>
      <c r="ZW182" s="1008">
        <f t="shared" si="254"/>
        <v>1.6258268054112062</v>
      </c>
      <c r="ZX182" s="1008">
        <f t="shared" si="254"/>
        <v>1.6258268054112062</v>
      </c>
      <c r="ZY182" s="1008">
        <f t="shared" si="254"/>
        <v>1.6213518366580824</v>
      </c>
      <c r="ZZ182" s="1008">
        <f t="shared" si="254"/>
        <v>1.6213518366580824</v>
      </c>
      <c r="AAA182" s="1008">
        <f t="shared" si="254"/>
        <v>1.6213518366580824</v>
      </c>
      <c r="AAB182" s="1008">
        <f t="shared" si="254"/>
        <v>1.6213518366580824</v>
      </c>
      <c r="AAC182" s="1008">
        <f t="shared" si="254"/>
        <v>1.6213518366580824</v>
      </c>
      <c r="AAD182" s="1008">
        <f t="shared" si="254"/>
        <v>1.6213518366580824</v>
      </c>
      <c r="AAE182" s="1008">
        <f t="shared" si="254"/>
        <v>1.6213518366580824</v>
      </c>
      <c r="AAF182" s="1008">
        <f t="shared" si="254"/>
        <v>1.6213518366580824</v>
      </c>
      <c r="AAG182" s="1008">
        <f t="shared" si="254"/>
        <v>1.6213518366580824</v>
      </c>
      <c r="AAH182" s="1008">
        <f t="shared" si="254"/>
        <v>1.6213518366580824</v>
      </c>
      <c r="AAI182" s="1008">
        <f t="shared" si="254"/>
        <v>1.6213518366580824</v>
      </c>
      <c r="AAJ182" s="1008">
        <f t="shared" si="254"/>
        <v>1.6213518366580824</v>
      </c>
      <c r="AAK182" s="1008">
        <f t="shared" si="254"/>
        <v>1.6213518366580824</v>
      </c>
      <c r="AAL182" s="1008">
        <f t="shared" si="254"/>
        <v>1.6213518366580824</v>
      </c>
      <c r="AAM182" s="1008">
        <f t="shared" si="254"/>
        <v>1.6213518366580824</v>
      </c>
      <c r="AAN182" s="1008">
        <f t="shared" si="254"/>
        <v>1.6213518366580824</v>
      </c>
      <c r="AAO182" s="1008">
        <f t="shared" si="254"/>
        <v>1.6213518366580824</v>
      </c>
      <c r="AAP182" s="1008">
        <f t="shared" si="254"/>
        <v>1.6213518366580824</v>
      </c>
      <c r="AAQ182" s="1008">
        <f t="shared" si="254"/>
        <v>1.6213518366580824</v>
      </c>
      <c r="AAR182" s="1008">
        <f t="shared" si="254"/>
        <v>1.6213518366580824</v>
      </c>
      <c r="AAS182" s="1008">
        <f t="shared" si="254"/>
        <v>1.6213518366580824</v>
      </c>
      <c r="AAT182" s="1005">
        <v>26</v>
      </c>
      <c r="AAU182" s="167"/>
      <c r="AAV182" s="168"/>
      <c r="AAW182" s="168"/>
      <c r="AAX182" s="168"/>
      <c r="AAY182" s="168"/>
      <c r="AAZ182" s="168"/>
      <c r="ABA182" s="168"/>
      <c r="ABB182" s="171"/>
      <c r="ABC182" s="158"/>
      <c r="ABD182" s="158"/>
      <c r="ABE182" s="158"/>
      <c r="ABF182" s="158"/>
      <c r="ABG182" s="158"/>
      <c r="ABH182" s="158"/>
      <c r="ABI182" s="158"/>
      <c r="ABJ182" s="158"/>
      <c r="ABK182" s="158"/>
      <c r="ABL182" s="158"/>
      <c r="ABM182" s="158"/>
      <c r="ABN182" s="158"/>
      <c r="ABO182" s="158"/>
      <c r="ABP182" s="163"/>
      <c r="ABQ182" s="653"/>
      <c r="ABR182" s="653"/>
      <c r="ABS182" s="653"/>
      <c r="ABT182" s="653"/>
      <c r="ABU182" s="1026"/>
      <c r="ABV182" s="1027"/>
      <c r="ABW182" s="1027"/>
      <c r="ABX182" s="1027"/>
      <c r="ABY182" s="1027"/>
      <c r="ABZ182" s="1027"/>
      <c r="ACA182" s="1027"/>
      <c r="ACB182" s="1027"/>
      <c r="ACC182" s="1027"/>
      <c r="ACD182" s="1027"/>
      <c r="ACE182" s="1027"/>
      <c r="ACF182" s="1027"/>
      <c r="ACG182" s="1027"/>
      <c r="ACH182" s="1028"/>
      <c r="ACI182" s="703"/>
      <c r="ACJ182" s="759">
        <v>-3.125E-2</v>
      </c>
      <c r="ACK182" s="760"/>
      <c r="ACL182" s="759">
        <v>1</v>
      </c>
      <c r="ACM182" s="760"/>
      <c r="ACN182" s="591">
        <v>29</v>
      </c>
      <c r="ACO182" s="759">
        <f t="shared" si="248"/>
        <v>0.99275000000000002</v>
      </c>
      <c r="ACP182" s="760"/>
      <c r="ACQ182" s="757">
        <f t="shared" si="195"/>
        <v>0.23200000000000001</v>
      </c>
      <c r="ACR182" s="758"/>
      <c r="ACT182" s="759">
        <v>-3.125E-2</v>
      </c>
      <c r="ACU182" s="760"/>
      <c r="ACV182" s="759">
        <v>1</v>
      </c>
      <c r="ACW182" s="760"/>
      <c r="ACX182" s="591">
        <v>79</v>
      </c>
      <c r="ACY182" s="759">
        <f t="shared" si="196"/>
        <v>0.98024999999999995</v>
      </c>
      <c r="ACZ182" s="760"/>
      <c r="ADA182" s="757">
        <f t="shared" si="197"/>
        <v>0.63200000000000001</v>
      </c>
      <c r="ADB182" s="758"/>
      <c r="ADD182" s="759">
        <v>-8.3333333333333398E-2</v>
      </c>
      <c r="ADE182" s="760"/>
      <c r="ADF182" s="759">
        <v>1.0416666666666701</v>
      </c>
      <c r="ADG182" s="760"/>
      <c r="ADH182" s="592">
        <v>129</v>
      </c>
      <c r="ADI182" s="759">
        <f t="shared" si="198"/>
        <v>0.95566666666666999</v>
      </c>
      <c r="ADJ182" s="760"/>
      <c r="ADK182" s="757">
        <f t="shared" si="199"/>
        <v>1.032</v>
      </c>
      <c r="ADL182" s="758"/>
      <c r="ADN182" s="759">
        <v>-0.14285714285714299</v>
      </c>
      <c r="ADO182" s="760"/>
      <c r="ADP182" s="759">
        <v>1.1071428571428601</v>
      </c>
      <c r="ADQ182" s="760"/>
      <c r="ADR182" s="592">
        <v>179</v>
      </c>
      <c r="ADS182" s="759">
        <f t="shared" si="200"/>
        <v>0.90257142857143136</v>
      </c>
      <c r="ADT182" s="760"/>
      <c r="ADU182" s="757">
        <f t="shared" si="201"/>
        <v>1.4319999999999999</v>
      </c>
      <c r="ADV182" s="758"/>
      <c r="ADX182" s="759">
        <v>-0.33333333333333259</v>
      </c>
      <c r="ADY182" s="760"/>
      <c r="ADZ182" s="759">
        <v>1.4166666666666654</v>
      </c>
      <c r="AEA182" s="760"/>
      <c r="AEB182" s="592">
        <v>229</v>
      </c>
      <c r="AEC182" s="759">
        <f t="shared" si="202"/>
        <v>0.80600000000000005</v>
      </c>
      <c r="AED182" s="760"/>
      <c r="AEE182" s="757">
        <f t="shared" si="203"/>
        <v>1.8320000000000001</v>
      </c>
      <c r="AEF182" s="758"/>
      <c r="AEH182" s="759">
        <v>-0.33333333333333298</v>
      </c>
      <c r="AEI182" s="760"/>
      <c r="AEJ182" s="759">
        <v>1.4166666666666701</v>
      </c>
      <c r="AEK182" s="760"/>
      <c r="AEL182" s="592">
        <v>279</v>
      </c>
      <c r="AEM182" s="759">
        <f t="shared" si="204"/>
        <v>0.67266666666667074</v>
      </c>
      <c r="AEN182" s="760"/>
      <c r="AEO182" s="757">
        <f t="shared" si="205"/>
        <v>2.2320000000000002</v>
      </c>
      <c r="AEP182" s="758"/>
      <c r="AER182" s="759">
        <v>-0.249999999999999</v>
      </c>
      <c r="AES182" s="760"/>
      <c r="AET182" s="759">
        <v>1.2250000000000001</v>
      </c>
      <c r="AEU182" s="760"/>
      <c r="AEV182" s="592">
        <v>329</v>
      </c>
      <c r="AEW182" s="759">
        <f t="shared" si="206"/>
        <v>0.56700000000000272</v>
      </c>
      <c r="AEX182" s="760"/>
      <c r="AEY182" s="757">
        <f t="shared" si="207"/>
        <v>2.6320000000000001</v>
      </c>
      <c r="AEZ182" s="758"/>
      <c r="AFB182" s="759">
        <v>-0.1</v>
      </c>
      <c r="AFC182" s="760"/>
      <c r="AFD182" s="759">
        <v>0.82</v>
      </c>
      <c r="AFE182" s="760"/>
      <c r="AFF182" s="591">
        <v>379</v>
      </c>
      <c r="AFG182" s="759">
        <f t="shared" si="208"/>
        <v>0.51679999999999993</v>
      </c>
      <c r="AFH182" s="760"/>
      <c r="AFI182" s="757">
        <f t="shared" si="209"/>
        <v>3.032</v>
      </c>
      <c r="AFJ182" s="758"/>
      <c r="AFK182" s="653"/>
      <c r="AFL182" s="759">
        <v>-0.125</v>
      </c>
      <c r="AFM182" s="760"/>
      <c r="AFN182" s="759">
        <v>0.875</v>
      </c>
      <c r="AFO182" s="760"/>
      <c r="AFP182" s="591">
        <v>429</v>
      </c>
      <c r="AFQ182" s="759">
        <f t="shared" si="210"/>
        <v>0.44600000000000001</v>
      </c>
      <c r="AFR182" s="760"/>
      <c r="AFS182" s="757">
        <f t="shared" si="211"/>
        <v>3.4319999999999999</v>
      </c>
      <c r="AFT182" s="758"/>
      <c r="AFU182" s="653"/>
      <c r="AFV182" s="759">
        <v>-6.25E-2</v>
      </c>
      <c r="AFW182" s="760"/>
      <c r="AFX182" s="759">
        <v>0.63749999999999996</v>
      </c>
      <c r="AFY182" s="760"/>
      <c r="AFZ182" s="592">
        <v>479</v>
      </c>
      <c r="AGA182" s="759">
        <f t="shared" si="212"/>
        <v>0.39799999999999991</v>
      </c>
      <c r="AGB182" s="760"/>
      <c r="AGC182" s="757">
        <f t="shared" si="213"/>
        <v>3.8320000000000003</v>
      </c>
      <c r="AGD182" s="758"/>
      <c r="AGE182" s="653"/>
      <c r="AGF182" s="653"/>
      <c r="AGG182" s="653"/>
      <c r="AGH182" s="653"/>
      <c r="AGI182" s="653"/>
      <c r="AGJ182" s="653"/>
      <c r="AGL182" s="851"/>
      <c r="AGM182" s="440" t="s">
        <v>1019</v>
      </c>
      <c r="AGN182" s="1187">
        <f>$GM$24</f>
        <v>1.4419426086956524E-2</v>
      </c>
      <c r="AGO182" s="1187"/>
      <c r="AGP182" s="777"/>
      <c r="AGQ182" s="778"/>
      <c r="AGR182" s="778"/>
      <c r="AGS182" s="778"/>
      <c r="AGT182" s="778"/>
      <c r="AGU182" s="778"/>
      <c r="AGV182" s="778"/>
      <c r="AGW182" s="778"/>
      <c r="AGX182" s="778"/>
      <c r="AGY182" s="799"/>
      <c r="AGZ182" s="942"/>
      <c r="AHA182" s="943"/>
      <c r="AHB182" s="943"/>
      <c r="AHC182" s="943"/>
      <c r="AHD182" s="943"/>
      <c r="AHE182" s="943"/>
      <c r="AHF182" s="943"/>
      <c r="AHG182" s="944"/>
      <c r="AHH182" s="1053"/>
      <c r="AHI182" s="1053"/>
      <c r="AHJ182" s="1053"/>
      <c r="AHK182" s="1053"/>
      <c r="AHL182" s="1053"/>
      <c r="AHM182" s="1053"/>
      <c r="AHN182" s="1053"/>
      <c r="AHO182" s="1053"/>
      <c r="AHS182" s="130"/>
      <c r="AHT182" s="130"/>
      <c r="AHU182" s="130"/>
      <c r="AHV182" s="130"/>
      <c r="ARU182" s="897" t="s">
        <v>929</v>
      </c>
      <c r="ARV182" s="898"/>
      <c r="ARW182" s="899"/>
      <c r="ARX182" s="849"/>
      <c r="ARY182" s="852" t="s">
        <v>416</v>
      </c>
      <c r="ARZ182" s="853"/>
      <c r="ASA182" s="202"/>
      <c r="ASB182" s="78"/>
      <c r="ASC182" s="78"/>
      <c r="ASD182" s="78"/>
      <c r="ASE182" s="78"/>
      <c r="ASF182" s="78"/>
      <c r="ASG182" s="78"/>
      <c r="ASH182" s="202"/>
      <c r="ASI182" s="76" t="s">
        <v>441</v>
      </c>
      <c r="ASJ182" s="854" t="s">
        <v>435</v>
      </c>
      <c r="ASK182" s="1111"/>
      <c r="ASL182" s="920" t="s">
        <v>111</v>
      </c>
      <c r="ASM182" s="921"/>
      <c r="ASN182" s="916" t="s">
        <v>704</v>
      </c>
      <c r="ASO182" s="917"/>
      <c r="ASP182" s="906" t="s">
        <v>447</v>
      </c>
      <c r="ASQ182" s="907"/>
      <c r="ASR182" s="907"/>
      <c r="ASS182" s="908"/>
      <c r="AST182" s="906" t="s">
        <v>863</v>
      </c>
      <c r="ASU182" s="907"/>
      <c r="ASV182" s="908"/>
      <c r="ASY182" s="130"/>
      <c r="ASZ182" s="130"/>
      <c r="ATA182" s="130"/>
      <c r="ATB182" s="130"/>
      <c r="ATC182" s="130"/>
      <c r="ATD182" s="130"/>
      <c r="ATE182" s="130"/>
      <c r="ATF182" s="130"/>
      <c r="ATG182" s="130"/>
      <c r="ATH182" s="130"/>
    </row>
    <row r="183" spans="340:936 1165:1204" ht="48" customHeight="1" thickBot="1">
      <c r="NK183" s="130"/>
      <c r="OE183" s="130"/>
      <c r="OF183" s="130"/>
      <c r="OG183" s="130"/>
      <c r="OH183" s="130"/>
      <c r="OI183" s="130"/>
      <c r="OJ183" s="130"/>
      <c r="OK183" s="130"/>
      <c r="OY183" s="130"/>
      <c r="OZ183" s="130"/>
      <c r="PA183" s="130"/>
      <c r="PB183" s="130"/>
      <c r="PC183" s="130"/>
      <c r="PD183" s="130"/>
      <c r="PE183" s="130"/>
      <c r="PF183" s="130"/>
      <c r="PG183" s="130"/>
      <c r="PH183" s="130"/>
      <c r="PL183" s="849"/>
      <c r="PM183" s="1257" t="s">
        <v>416</v>
      </c>
      <c r="PN183" s="1257"/>
      <c r="PO183" s="472"/>
      <c r="PP183" s="332" t="s">
        <v>816</v>
      </c>
      <c r="PQ183" s="766">
        <f>$AP$9</f>
        <v>3</v>
      </c>
      <c r="PR183" s="766"/>
      <c r="PS183" s="472"/>
      <c r="PT183" s="76" t="s">
        <v>441</v>
      </c>
      <c r="PU183" s="854" t="s">
        <v>435</v>
      </c>
      <c r="PV183" s="855"/>
      <c r="PW183" s="920" t="s">
        <v>111</v>
      </c>
      <c r="PX183" s="921"/>
      <c r="PY183" s="916" t="s">
        <v>704</v>
      </c>
      <c r="PZ183" s="917"/>
      <c r="QA183" s="906" t="s">
        <v>447</v>
      </c>
      <c r="QB183" s="907"/>
      <c r="QC183" s="907"/>
      <c r="QD183" s="908"/>
      <c r="QE183" s="1051" t="s">
        <v>436</v>
      </c>
      <c r="QF183" s="1051"/>
      <c r="QG183" s="1051"/>
      <c r="QH183" s="1051"/>
      <c r="QI183" s="1051"/>
      <c r="QJ183" s="1051"/>
      <c r="QK183" s="1051"/>
      <c r="QL183" s="1051"/>
      <c r="QM183" s="1051"/>
      <c r="WE183" s="754"/>
      <c r="WF183" s="755"/>
      <c r="WG183" s="169"/>
      <c r="WH183" s="170"/>
      <c r="WI183" s="170"/>
      <c r="WJ183" s="170"/>
      <c r="WK183" s="170"/>
      <c r="WL183" s="170"/>
      <c r="WM183" s="170"/>
      <c r="WN183" s="170"/>
      <c r="WO183" s="170"/>
      <c r="WP183" s="170"/>
      <c r="WQ183" s="170"/>
      <c r="WR183" s="170"/>
      <c r="WS183" s="170"/>
      <c r="WT183" s="170"/>
      <c r="WU183" s="170"/>
      <c r="WV183" s="170"/>
      <c r="WW183" s="170"/>
      <c r="WX183" s="170"/>
      <c r="WY183" s="172"/>
      <c r="WZ183" s="1135"/>
      <c r="XA183" s="1135"/>
      <c r="XB183" s="169"/>
      <c r="XC183" s="170"/>
      <c r="XD183" s="170"/>
      <c r="XE183" s="170"/>
      <c r="XF183" s="172"/>
      <c r="XG183" s="1008"/>
      <c r="XH183" s="1008"/>
      <c r="XI183" s="1008"/>
      <c r="XJ183" s="1008"/>
      <c r="XK183" s="1008"/>
      <c r="XL183" s="1008"/>
      <c r="XM183" s="1008"/>
      <c r="XN183" s="1008"/>
      <c r="XO183" s="1008"/>
      <c r="XP183" s="1008"/>
      <c r="XQ183" s="1008"/>
      <c r="XR183" s="1008"/>
      <c r="XS183" s="1008"/>
      <c r="XT183" s="1008"/>
      <c r="XU183" s="1008"/>
      <c r="XV183" s="1008"/>
      <c r="XW183" s="1008"/>
      <c r="XX183" s="1008"/>
      <c r="XY183" s="1008"/>
      <c r="XZ183" s="1008"/>
      <c r="YA183" s="1008"/>
      <c r="YB183" s="1008"/>
      <c r="YC183" s="1008"/>
      <c r="YD183" s="1008"/>
      <c r="YE183" s="1008"/>
      <c r="YF183" s="1008"/>
      <c r="YG183" s="1008"/>
      <c r="YH183" s="1008"/>
      <c r="YI183" s="1008"/>
      <c r="YJ183" s="1008"/>
      <c r="YK183" s="1008"/>
      <c r="YL183" s="1008"/>
      <c r="YM183" s="1008"/>
      <c r="YN183" s="1008"/>
      <c r="YO183" s="1008"/>
      <c r="YP183" s="1008"/>
      <c r="YQ183" s="1008"/>
      <c r="YR183" s="1008"/>
      <c r="YS183" s="1008"/>
      <c r="YT183" s="1008"/>
      <c r="YU183" s="1008"/>
      <c r="YV183" s="1008"/>
      <c r="YW183" s="1008"/>
      <c r="YX183" s="1008"/>
      <c r="YY183" s="1008"/>
      <c r="YZ183" s="1008"/>
      <c r="ZA183" s="1008"/>
      <c r="ZB183" s="1008"/>
      <c r="ZC183" s="1008"/>
      <c r="ZD183" s="1008"/>
      <c r="ZE183" s="1008"/>
      <c r="ZF183" s="1008"/>
      <c r="ZG183" s="1008"/>
      <c r="ZH183" s="1008"/>
      <c r="ZI183" s="1008"/>
      <c r="ZJ183" s="1008"/>
      <c r="ZK183" s="1008"/>
      <c r="ZL183" s="1008"/>
      <c r="ZM183" s="1008"/>
      <c r="ZN183" s="1008"/>
      <c r="ZO183" s="1008"/>
      <c r="ZP183" s="1008"/>
      <c r="ZQ183" s="1008"/>
      <c r="ZR183" s="1008"/>
      <c r="ZS183" s="1008"/>
      <c r="ZT183" s="1008"/>
      <c r="ZU183" s="1008"/>
      <c r="ZV183" s="1008"/>
      <c r="ZW183" s="1008"/>
      <c r="ZX183" s="1008"/>
      <c r="ZY183" s="1008"/>
      <c r="ZZ183" s="1008"/>
      <c r="AAA183" s="1008"/>
      <c r="AAB183" s="1008"/>
      <c r="AAC183" s="1008"/>
      <c r="AAD183" s="1008"/>
      <c r="AAE183" s="1008"/>
      <c r="AAF183" s="1008"/>
      <c r="AAG183" s="1008"/>
      <c r="AAH183" s="1008"/>
      <c r="AAI183" s="1008"/>
      <c r="AAJ183" s="1008"/>
      <c r="AAK183" s="1008"/>
      <c r="AAL183" s="1008"/>
      <c r="AAM183" s="1008"/>
      <c r="AAN183" s="1008"/>
      <c r="AAO183" s="1008"/>
      <c r="AAP183" s="1008"/>
      <c r="AAQ183" s="1008"/>
      <c r="AAR183" s="1008"/>
      <c r="AAS183" s="1008"/>
      <c r="AAT183" s="1007"/>
      <c r="AAU183" s="169"/>
      <c r="AAV183" s="170"/>
      <c r="AAW183" s="170"/>
      <c r="AAX183" s="170"/>
      <c r="AAY183" s="170"/>
      <c r="AAZ183" s="170"/>
      <c r="ABA183" s="170"/>
      <c r="ABB183" s="172"/>
      <c r="ABC183" s="158"/>
      <c r="ABD183" s="158"/>
      <c r="ABE183" s="158"/>
      <c r="ABF183" s="158"/>
      <c r="ABG183" s="158"/>
      <c r="ABH183" s="158"/>
      <c r="ABI183" s="158"/>
      <c r="ABJ183" s="158"/>
      <c r="ABK183" s="158"/>
      <c r="ABL183" s="158"/>
      <c r="ABM183" s="158"/>
      <c r="ABN183" s="158"/>
      <c r="ABO183" s="158"/>
      <c r="ABP183" s="163"/>
      <c r="ABQ183" s="653"/>
      <c r="ABR183" s="653"/>
      <c r="ABS183" s="653"/>
      <c r="ABT183" s="653"/>
      <c r="ABU183" s="1026"/>
      <c r="ABV183" s="1027"/>
      <c r="ABW183" s="1027"/>
      <c r="ABX183" s="1027"/>
      <c r="ABY183" s="1027"/>
      <c r="ABZ183" s="1027"/>
      <c r="ACA183" s="1027"/>
      <c r="ACB183" s="1027"/>
      <c r="ACC183" s="1027"/>
      <c r="ACD183" s="1027"/>
      <c r="ACE183" s="1027"/>
      <c r="ACF183" s="1027"/>
      <c r="ACG183" s="1027"/>
      <c r="ACH183" s="1028"/>
      <c r="ACI183" s="703"/>
      <c r="ACJ183" s="759">
        <v>-3.125E-2</v>
      </c>
      <c r="ACK183" s="760"/>
      <c r="ACL183" s="759">
        <v>1</v>
      </c>
      <c r="ACM183" s="760"/>
      <c r="ACN183" s="591">
        <v>30</v>
      </c>
      <c r="ACO183" s="759">
        <f t="shared" si="248"/>
        <v>0.99250000000000005</v>
      </c>
      <c r="ACP183" s="760"/>
      <c r="ACQ183" s="757">
        <f t="shared" si="195"/>
        <v>0.24</v>
      </c>
      <c r="ACR183" s="758"/>
      <c r="ACT183" s="759">
        <v>-3.125E-2</v>
      </c>
      <c r="ACU183" s="760"/>
      <c r="ACV183" s="759">
        <v>1</v>
      </c>
      <c r="ACW183" s="760"/>
      <c r="ACX183" s="591">
        <v>80</v>
      </c>
      <c r="ACY183" s="759">
        <f t="shared" si="196"/>
        <v>0.98</v>
      </c>
      <c r="ACZ183" s="760"/>
      <c r="ADA183" s="757">
        <f t="shared" si="197"/>
        <v>0.64</v>
      </c>
      <c r="ADB183" s="758"/>
      <c r="ADD183" s="759">
        <v>-8.3333333333333398E-2</v>
      </c>
      <c r="ADE183" s="760"/>
      <c r="ADF183" s="759">
        <v>1.0416666666666701</v>
      </c>
      <c r="ADG183" s="760"/>
      <c r="ADH183" s="592">
        <v>130</v>
      </c>
      <c r="ADI183" s="759">
        <f t="shared" si="198"/>
        <v>0.95500000000000329</v>
      </c>
      <c r="ADJ183" s="760"/>
      <c r="ADK183" s="757">
        <f t="shared" si="199"/>
        <v>1.04</v>
      </c>
      <c r="ADL183" s="758"/>
      <c r="ADN183" s="759">
        <v>-0.14285714285714299</v>
      </c>
      <c r="ADO183" s="760"/>
      <c r="ADP183" s="759">
        <v>1.1071428571428601</v>
      </c>
      <c r="ADQ183" s="760"/>
      <c r="ADR183" s="592">
        <v>180</v>
      </c>
      <c r="ADS183" s="759">
        <f t="shared" si="200"/>
        <v>0.90142857142857413</v>
      </c>
      <c r="ADT183" s="760"/>
      <c r="ADU183" s="757">
        <f t="shared" si="201"/>
        <v>1.44</v>
      </c>
      <c r="ADV183" s="758"/>
      <c r="ADX183" s="759">
        <v>-0.33333333333333259</v>
      </c>
      <c r="ADY183" s="760"/>
      <c r="ADZ183" s="759">
        <v>1.4166666666666654</v>
      </c>
      <c r="AEA183" s="760"/>
      <c r="AEB183" s="592">
        <v>230</v>
      </c>
      <c r="AEC183" s="759">
        <f t="shared" si="202"/>
        <v>0.80333333333333345</v>
      </c>
      <c r="AED183" s="760"/>
      <c r="AEE183" s="757">
        <f t="shared" si="203"/>
        <v>1.84</v>
      </c>
      <c r="AEF183" s="758"/>
      <c r="AEH183" s="759">
        <v>-0.33333333333333298</v>
      </c>
      <c r="AEI183" s="760"/>
      <c r="AEJ183" s="759">
        <v>1.4166666666666701</v>
      </c>
      <c r="AEK183" s="760"/>
      <c r="AEL183" s="592">
        <v>280</v>
      </c>
      <c r="AEM183" s="759">
        <f t="shared" si="204"/>
        <v>0.67000000000000415</v>
      </c>
      <c r="AEN183" s="760"/>
      <c r="AEO183" s="757">
        <f t="shared" si="205"/>
        <v>2.2400000000000002</v>
      </c>
      <c r="AEP183" s="758"/>
      <c r="AER183" s="759">
        <v>-0.249999999999999</v>
      </c>
      <c r="AES183" s="760"/>
      <c r="AET183" s="759">
        <v>1.2250000000000001</v>
      </c>
      <c r="AEU183" s="760"/>
      <c r="AEV183" s="592">
        <v>330</v>
      </c>
      <c r="AEW183" s="759">
        <f t="shared" si="206"/>
        <v>0.56500000000000272</v>
      </c>
      <c r="AEX183" s="760"/>
      <c r="AEY183" s="757">
        <f t="shared" si="207"/>
        <v>2.64</v>
      </c>
      <c r="AEZ183" s="758"/>
      <c r="AFB183" s="759">
        <v>-0.1</v>
      </c>
      <c r="AFC183" s="760"/>
      <c r="AFD183" s="759">
        <v>0.82</v>
      </c>
      <c r="AFE183" s="760"/>
      <c r="AFF183" s="591">
        <v>380</v>
      </c>
      <c r="AFG183" s="759">
        <f t="shared" si="208"/>
        <v>0.5159999999999999</v>
      </c>
      <c r="AFH183" s="760"/>
      <c r="AFI183" s="757">
        <f t="shared" si="209"/>
        <v>3.04</v>
      </c>
      <c r="AFJ183" s="758"/>
      <c r="AFK183" s="653"/>
      <c r="AFL183" s="759">
        <v>-0.125</v>
      </c>
      <c r="AFM183" s="760"/>
      <c r="AFN183" s="759">
        <v>0.875</v>
      </c>
      <c r="AFO183" s="760"/>
      <c r="AFP183" s="591">
        <v>430</v>
      </c>
      <c r="AFQ183" s="759">
        <f t="shared" si="210"/>
        <v>0.44500000000000001</v>
      </c>
      <c r="AFR183" s="760"/>
      <c r="AFS183" s="757">
        <f t="shared" si="211"/>
        <v>3.44</v>
      </c>
      <c r="AFT183" s="758"/>
      <c r="AFU183" s="653"/>
      <c r="AFV183" s="759">
        <v>-6.25E-2</v>
      </c>
      <c r="AFW183" s="760"/>
      <c r="AFX183" s="759">
        <v>0.63749999999999996</v>
      </c>
      <c r="AFY183" s="760"/>
      <c r="AFZ183" s="592">
        <v>480</v>
      </c>
      <c r="AGA183" s="759">
        <f t="shared" si="212"/>
        <v>0.39749999999999996</v>
      </c>
      <c r="AGB183" s="760"/>
      <c r="AGC183" s="757">
        <f t="shared" si="213"/>
        <v>3.84</v>
      </c>
      <c r="AGD183" s="758"/>
      <c r="AGE183" s="653"/>
      <c r="AGF183" s="653"/>
      <c r="AGG183" s="653"/>
      <c r="AGH183" s="653"/>
      <c r="AGI183" s="653"/>
      <c r="AGJ183" s="653"/>
      <c r="AHS183" s="130"/>
      <c r="AHT183" s="130"/>
      <c r="AHU183" s="130"/>
      <c r="AHV183" s="130"/>
      <c r="ARU183" s="900"/>
      <c r="ARV183" s="901"/>
      <c r="ARW183" s="902"/>
      <c r="ARX183" s="850"/>
      <c r="ARY183" s="809" t="s">
        <v>925</v>
      </c>
      <c r="ARZ183" s="797"/>
      <c r="ASA183" s="797"/>
      <c r="ASB183" s="797"/>
      <c r="ASC183" s="797"/>
      <c r="ASD183" s="797"/>
      <c r="ASE183" s="797"/>
      <c r="ASF183" s="797"/>
      <c r="ASG183" s="797"/>
      <c r="ASH183" s="797"/>
      <c r="ASI183" s="797"/>
      <c r="ASJ183" s="797"/>
      <c r="ASK183" s="797"/>
      <c r="ASL183" s="1167">
        <v>2.5</v>
      </c>
      <c r="ASM183" s="840"/>
      <c r="ASN183" s="1183" t="s">
        <v>729</v>
      </c>
      <c r="ASO183" s="1184"/>
      <c r="ASP183" s="1066"/>
      <c r="ASQ183" s="893" t="s">
        <v>924</v>
      </c>
      <c r="ASR183" s="894"/>
      <c r="ASS183" s="847"/>
      <c r="AST183" s="1203" t="s">
        <v>862</v>
      </c>
      <c r="ASU183" s="1275"/>
      <c r="ASV183" s="1204"/>
    </row>
    <row r="184" spans="340:936 1165:1204" ht="48" customHeight="1" thickBot="1">
      <c r="MB184" s="897" t="s">
        <v>974</v>
      </c>
      <c r="MC184" s="898"/>
      <c r="MD184" s="898"/>
      <c r="ME184" s="849"/>
      <c r="MF184" s="852" t="s">
        <v>416</v>
      </c>
      <c r="MG184" s="853"/>
      <c r="MH184" s="344"/>
      <c r="MI184" s="779" t="s">
        <v>1858</v>
      </c>
      <c r="MJ184" s="780"/>
      <c r="MK184" s="781"/>
      <c r="ML184" s="75" t="s">
        <v>702</v>
      </c>
      <c r="MM184" s="344"/>
      <c r="MN184" s="76" t="s">
        <v>441</v>
      </c>
      <c r="MO184" s="854" t="s">
        <v>435</v>
      </c>
      <c r="MP184" s="855"/>
      <c r="MQ184" s="924" t="s">
        <v>111</v>
      </c>
      <c r="MR184" s="925"/>
      <c r="MS184" s="916" t="s">
        <v>704</v>
      </c>
      <c r="MT184" s="917"/>
      <c r="MU184" s="906" t="s">
        <v>447</v>
      </c>
      <c r="MV184" s="907"/>
      <c r="MW184" s="907"/>
      <c r="MX184" s="908"/>
      <c r="NL184" s="130"/>
      <c r="NM184" s="130"/>
      <c r="NN184" s="130"/>
      <c r="NO184" s="130"/>
      <c r="NP184" s="130"/>
      <c r="NQ184" s="130"/>
      <c r="NR184" s="130"/>
      <c r="NS184" s="130"/>
      <c r="NT184" s="130"/>
      <c r="NU184" s="130"/>
      <c r="OE184" s="130"/>
      <c r="OF184" s="130"/>
      <c r="OG184" s="130"/>
      <c r="OH184" s="130"/>
      <c r="OI184" s="130"/>
      <c r="OJ184" s="130"/>
      <c r="OK184" s="130"/>
      <c r="OY184" s="130"/>
      <c r="OZ184" s="130"/>
      <c r="PA184" s="130"/>
      <c r="PB184" s="130"/>
      <c r="PC184" s="130"/>
      <c r="PD184" s="130"/>
      <c r="PE184" s="130"/>
      <c r="PF184" s="130"/>
      <c r="PG184" s="130"/>
      <c r="PH184" s="130"/>
      <c r="PL184" s="850"/>
      <c r="PM184" s="861" t="s">
        <v>1601</v>
      </c>
      <c r="PN184" s="861"/>
      <c r="PO184" s="937">
        <f>$PZ$126</f>
        <v>636.19943197840848</v>
      </c>
      <c r="PP184" s="937"/>
      <c r="PQ184" s="809" t="s">
        <v>155</v>
      </c>
      <c r="PR184" s="797"/>
      <c r="PS184" s="797"/>
      <c r="PT184" s="797"/>
      <c r="PU184" s="797"/>
      <c r="PV184" s="797"/>
      <c r="PW184" s="835">
        <f>((PO184+PO185+PO186)/(PQ183*AP7))</f>
        <v>1.1981820184614456</v>
      </c>
      <c r="PX184" s="836"/>
      <c r="PY184" s="1341" t="s">
        <v>1715</v>
      </c>
      <c r="PZ184" s="1342"/>
      <c r="QA184" s="841"/>
      <c r="QB184" s="1170" t="s">
        <v>1577</v>
      </c>
      <c r="QC184" s="1172"/>
      <c r="QD184" s="847"/>
      <c r="QE184" s="1052"/>
      <c r="QF184" s="1052"/>
      <c r="QG184" s="1052"/>
      <c r="QH184" s="1052"/>
      <c r="QI184" s="1052"/>
      <c r="QJ184" s="1052"/>
      <c r="QK184" s="1052"/>
      <c r="QL184" s="1052"/>
      <c r="QM184" s="1052"/>
      <c r="WE184" s="752">
        <v>27</v>
      </c>
      <c r="WF184" s="753"/>
      <c r="WG184" s="800" t="s">
        <v>1266</v>
      </c>
      <c r="WH184" s="982"/>
      <c r="WI184" s="1120">
        <f>$MN$216</f>
        <v>1.2922478994547311</v>
      </c>
      <c r="WJ184" s="1120"/>
      <c r="WK184" s="168"/>
      <c r="WL184" s="168"/>
      <c r="WM184" s="168"/>
      <c r="WN184" s="168"/>
      <c r="WO184" s="168"/>
      <c r="WP184" s="168"/>
      <c r="WQ184" s="168"/>
      <c r="WR184" s="168"/>
      <c r="WS184" s="168"/>
      <c r="WT184" s="168"/>
      <c r="WU184" s="168"/>
      <c r="WV184" s="168"/>
      <c r="WW184" s="168"/>
      <c r="WX184" s="168"/>
      <c r="WY184" s="171"/>
      <c r="WZ184" s="1135" t="s">
        <v>1719</v>
      </c>
      <c r="XA184" s="1135"/>
      <c r="XB184" s="167"/>
      <c r="XC184" s="168"/>
      <c r="XD184" s="168"/>
      <c r="XE184" s="168"/>
      <c r="XF184" s="171"/>
      <c r="XG184" s="1008">
        <f>$WI$184*XG166</f>
        <v>1.2407851364276177</v>
      </c>
      <c r="XH184" s="1008">
        <f t="shared" ref="XH184:ZS184" si="255">$WI$184*XH166</f>
        <v>1.2357978671906595</v>
      </c>
      <c r="XI184" s="1008">
        <f t="shared" si="255"/>
        <v>1.2308105979537016</v>
      </c>
      <c r="XJ184" s="1008">
        <f t="shared" si="255"/>
        <v>1.2258233287167435</v>
      </c>
      <c r="XK184" s="1008">
        <f t="shared" si="255"/>
        <v>1.2220828767890248</v>
      </c>
      <c r="XL184" s="1008">
        <f t="shared" si="255"/>
        <v>1.2170956075520669</v>
      </c>
      <c r="XM184" s="1008">
        <f t="shared" si="255"/>
        <v>1.2133551556243483</v>
      </c>
      <c r="XN184" s="1008">
        <f t="shared" si="255"/>
        <v>1.2096147036966296</v>
      </c>
      <c r="XO184" s="1008">
        <f t="shared" si="255"/>
        <v>1.2058742517689109</v>
      </c>
      <c r="XP184" s="1008">
        <f t="shared" si="255"/>
        <v>1.2021337998411925</v>
      </c>
      <c r="XQ184" s="1008">
        <f t="shared" si="255"/>
        <v>1.1983933479134738</v>
      </c>
      <c r="XR184" s="1008">
        <f t="shared" si="255"/>
        <v>1.1946528959857554</v>
      </c>
      <c r="XS184" s="1008">
        <f t="shared" si="255"/>
        <v>1.1909124440580368</v>
      </c>
      <c r="XT184" s="1008">
        <f t="shared" si="255"/>
        <v>1.1884188094395576</v>
      </c>
      <c r="XU184" s="1008">
        <f t="shared" si="255"/>
        <v>1.1846783575118391</v>
      </c>
      <c r="XV184" s="1008">
        <f t="shared" si="255"/>
        <v>1.1821847228933602</v>
      </c>
      <c r="XW184" s="1008">
        <f t="shared" si="255"/>
        <v>1.1784442709656415</v>
      </c>
      <c r="XX184" s="1008">
        <f t="shared" si="255"/>
        <v>1.1759506363471623</v>
      </c>
      <c r="XY184" s="1008">
        <f t="shared" si="255"/>
        <v>1.1734570017286834</v>
      </c>
      <c r="XZ184" s="1008">
        <f t="shared" si="255"/>
        <v>1.1709633671102044</v>
      </c>
      <c r="YA184" s="1008">
        <f t="shared" si="255"/>
        <v>1.169716549800965</v>
      </c>
      <c r="YB184" s="1008">
        <f t="shared" si="255"/>
        <v>1.1672229151824858</v>
      </c>
      <c r="YC184" s="1008">
        <f t="shared" si="255"/>
        <v>1.1647292805640068</v>
      </c>
      <c r="YD184" s="1008">
        <f t="shared" si="255"/>
        <v>1.1634824632547671</v>
      </c>
      <c r="YE184" s="1008">
        <f t="shared" si="255"/>
        <v>1.1580156488988709</v>
      </c>
      <c r="YF184" s="1008">
        <f t="shared" si="255"/>
        <v>1.1549465601376661</v>
      </c>
      <c r="YG184" s="1008">
        <f t="shared" si="255"/>
        <v>1.151877471376461</v>
      </c>
      <c r="YH184" s="1008">
        <f t="shared" si="255"/>
        <v>1.148808382615256</v>
      </c>
      <c r="YI184" s="1008">
        <f t="shared" si="255"/>
        <v>1.1457392938540509</v>
      </c>
      <c r="YJ184" s="1008">
        <f t="shared" si="255"/>
        <v>1.1426702050928459</v>
      </c>
      <c r="YK184" s="1008">
        <f t="shared" si="255"/>
        <v>1.1396011163316411</v>
      </c>
      <c r="YL184" s="1008">
        <f t="shared" si="255"/>
        <v>1.1396011163316411</v>
      </c>
      <c r="YM184" s="1008">
        <f t="shared" si="255"/>
        <v>1.136532027570436</v>
      </c>
      <c r="YN184" s="1008">
        <f t="shared" si="255"/>
        <v>1.133462938809231</v>
      </c>
      <c r="YO184" s="1008">
        <f t="shared" si="255"/>
        <v>1.133462938809231</v>
      </c>
      <c r="YP184" s="1008">
        <f t="shared" si="255"/>
        <v>1.1303938500480259</v>
      </c>
      <c r="YQ184" s="1008">
        <f t="shared" si="255"/>
        <v>1.1303938500480259</v>
      </c>
      <c r="YR184" s="1008">
        <f t="shared" si="255"/>
        <v>1.1303938500480259</v>
      </c>
      <c r="YS184" s="1008">
        <f t="shared" si="255"/>
        <v>1.1273247612868211</v>
      </c>
      <c r="YT184" s="1008">
        <f t="shared" si="255"/>
        <v>1.1273247612868211</v>
      </c>
      <c r="YU184" s="1008">
        <f t="shared" si="255"/>
        <v>1.1273247612868211</v>
      </c>
      <c r="YV184" s="1008">
        <f t="shared" si="255"/>
        <v>1.1242556725256161</v>
      </c>
      <c r="YW184" s="1008">
        <f t="shared" si="255"/>
        <v>1.1242556725256161</v>
      </c>
      <c r="YX184" s="1008">
        <f t="shared" si="255"/>
        <v>1.1242556725256161</v>
      </c>
      <c r="YY184" s="1008">
        <f t="shared" si="255"/>
        <v>1.1242556725256161</v>
      </c>
      <c r="YZ184" s="1008">
        <f t="shared" si="255"/>
        <v>1.121186583764411</v>
      </c>
      <c r="ZA184" s="1008">
        <f t="shared" si="255"/>
        <v>1.121186583764411</v>
      </c>
      <c r="ZB184" s="1008">
        <f t="shared" si="255"/>
        <v>1.121186583764411</v>
      </c>
      <c r="ZC184" s="1008">
        <f t="shared" si="255"/>
        <v>1.121186583764411</v>
      </c>
      <c r="ZD184" s="1008">
        <f t="shared" si="255"/>
        <v>1.121186583764411</v>
      </c>
      <c r="ZE184" s="1008">
        <f t="shared" si="255"/>
        <v>1.1181174950032062</v>
      </c>
      <c r="ZF184" s="1008">
        <f t="shared" si="255"/>
        <v>1.1181174950032062</v>
      </c>
      <c r="ZG184" s="1008">
        <f t="shared" si="255"/>
        <v>1.1181174950032062</v>
      </c>
      <c r="ZH184" s="1008">
        <f t="shared" si="255"/>
        <v>1.1181174950032062</v>
      </c>
      <c r="ZI184" s="1008">
        <f t="shared" si="255"/>
        <v>1.1181174950032062</v>
      </c>
      <c r="ZJ184" s="1008">
        <f t="shared" si="255"/>
        <v>1.1181174950032062</v>
      </c>
      <c r="ZK184" s="1008">
        <f t="shared" si="255"/>
        <v>1.1181174950032062</v>
      </c>
      <c r="ZL184" s="1008">
        <f t="shared" si="255"/>
        <v>1.1150484062420012</v>
      </c>
      <c r="ZM184" s="1008">
        <f t="shared" si="255"/>
        <v>1.1150484062420012</v>
      </c>
      <c r="ZN184" s="1008">
        <f t="shared" si="255"/>
        <v>1.1150484062420012</v>
      </c>
      <c r="ZO184" s="1008">
        <f t="shared" si="255"/>
        <v>1.1150484062420012</v>
      </c>
      <c r="ZP184" s="1008">
        <f t="shared" si="255"/>
        <v>1.1150484062420012</v>
      </c>
      <c r="ZQ184" s="1008">
        <f t="shared" si="255"/>
        <v>1.1150484062420012</v>
      </c>
      <c r="ZR184" s="1008">
        <f t="shared" si="255"/>
        <v>1.1150484062420012</v>
      </c>
      <c r="ZS184" s="1008">
        <f t="shared" si="255"/>
        <v>1.1150484062420012</v>
      </c>
      <c r="ZT184" s="1008">
        <f t="shared" ref="ZT184:AAS184" si="256">$WI$184*ZT166</f>
        <v>1.1150484062420012</v>
      </c>
      <c r="ZU184" s="1008">
        <f t="shared" si="256"/>
        <v>1.1150484062420012</v>
      </c>
      <c r="ZV184" s="1008">
        <f t="shared" si="256"/>
        <v>1.1150484062420012</v>
      </c>
      <c r="ZW184" s="1008">
        <f t="shared" si="256"/>
        <v>1.1150484062420012</v>
      </c>
      <c r="ZX184" s="1008">
        <f t="shared" si="256"/>
        <v>1.1150484062420012</v>
      </c>
      <c r="ZY184" s="1008">
        <f t="shared" si="256"/>
        <v>1.1119793174807961</v>
      </c>
      <c r="ZZ184" s="1008">
        <f t="shared" si="256"/>
        <v>1.1119793174807961</v>
      </c>
      <c r="AAA184" s="1008">
        <f t="shared" si="256"/>
        <v>1.1119793174807961</v>
      </c>
      <c r="AAB184" s="1008">
        <f t="shared" si="256"/>
        <v>1.1119793174807961</v>
      </c>
      <c r="AAC184" s="1008">
        <f t="shared" si="256"/>
        <v>1.1119793174807961</v>
      </c>
      <c r="AAD184" s="1008">
        <f t="shared" si="256"/>
        <v>1.1119793174807961</v>
      </c>
      <c r="AAE184" s="1008">
        <f t="shared" si="256"/>
        <v>1.1119793174807961</v>
      </c>
      <c r="AAF184" s="1008">
        <f t="shared" si="256"/>
        <v>1.1119793174807961</v>
      </c>
      <c r="AAG184" s="1008">
        <f t="shared" si="256"/>
        <v>1.1119793174807961</v>
      </c>
      <c r="AAH184" s="1008">
        <f t="shared" si="256"/>
        <v>1.1119793174807961</v>
      </c>
      <c r="AAI184" s="1008">
        <f t="shared" si="256"/>
        <v>1.1119793174807961</v>
      </c>
      <c r="AAJ184" s="1008">
        <f t="shared" si="256"/>
        <v>1.1119793174807961</v>
      </c>
      <c r="AAK184" s="1008">
        <f t="shared" si="256"/>
        <v>1.1119793174807961</v>
      </c>
      <c r="AAL184" s="1008">
        <f t="shared" si="256"/>
        <v>1.1119793174807961</v>
      </c>
      <c r="AAM184" s="1008">
        <f t="shared" si="256"/>
        <v>1.1119793174807961</v>
      </c>
      <c r="AAN184" s="1008">
        <f t="shared" si="256"/>
        <v>1.1119793174807961</v>
      </c>
      <c r="AAO184" s="1008">
        <f t="shared" si="256"/>
        <v>1.1119793174807961</v>
      </c>
      <c r="AAP184" s="1008">
        <f t="shared" si="256"/>
        <v>1.1119793174807961</v>
      </c>
      <c r="AAQ184" s="1008">
        <f t="shared" si="256"/>
        <v>1.1119793174807961</v>
      </c>
      <c r="AAR184" s="1008">
        <f t="shared" si="256"/>
        <v>1.1119793174807961</v>
      </c>
      <c r="AAS184" s="1008">
        <f t="shared" si="256"/>
        <v>1.1119793174807961</v>
      </c>
      <c r="AAT184" s="1005">
        <v>27</v>
      </c>
      <c r="AAU184" s="167"/>
      <c r="AAV184" s="168"/>
      <c r="AAW184" s="168"/>
      <c r="AAX184" s="168"/>
      <c r="AAY184" s="168"/>
      <c r="AAZ184" s="168"/>
      <c r="ABA184" s="168"/>
      <c r="ABB184" s="171"/>
      <c r="ABC184" s="158"/>
      <c r="ABD184" s="158"/>
      <c r="ABE184" s="158"/>
      <c r="ABF184" s="158"/>
      <c r="ABG184" s="158"/>
      <c r="ABH184" s="158"/>
      <c r="ABI184" s="158"/>
      <c r="ABJ184" s="158"/>
      <c r="ABK184" s="158"/>
      <c r="ABL184" s="158"/>
      <c r="ABM184" s="158"/>
      <c r="ABN184" s="158"/>
      <c r="ABO184" s="158"/>
      <c r="ABP184" s="163"/>
      <c r="ABQ184" s="653"/>
      <c r="ABR184" s="653"/>
      <c r="ABS184" s="653"/>
      <c r="ABT184" s="653"/>
      <c r="ABU184" s="1026"/>
      <c r="ABV184" s="1027"/>
      <c r="ABW184" s="1027"/>
      <c r="ABX184" s="1027"/>
      <c r="ABY184" s="1027"/>
      <c r="ABZ184" s="1027"/>
      <c r="ACA184" s="1027"/>
      <c r="ACB184" s="1027"/>
      <c r="ACC184" s="1027"/>
      <c r="ACD184" s="1027"/>
      <c r="ACE184" s="1027"/>
      <c r="ACF184" s="1027"/>
      <c r="ACG184" s="1027"/>
      <c r="ACH184" s="1028"/>
      <c r="ACI184" s="703"/>
      <c r="ACJ184" s="759">
        <v>-3.125E-2</v>
      </c>
      <c r="ACK184" s="760"/>
      <c r="ACL184" s="759">
        <v>1</v>
      </c>
      <c r="ACM184" s="760"/>
      <c r="ACN184" s="591">
        <v>31</v>
      </c>
      <c r="ACO184" s="759">
        <f t="shared" si="248"/>
        <v>0.99224999999999997</v>
      </c>
      <c r="ACP184" s="760"/>
      <c r="ACQ184" s="757">
        <f t="shared" si="195"/>
        <v>0.248</v>
      </c>
      <c r="ACR184" s="758"/>
      <c r="ACT184" s="759">
        <v>-3.125E-2</v>
      </c>
      <c r="ACU184" s="760"/>
      <c r="ACV184" s="759">
        <v>1</v>
      </c>
      <c r="ACW184" s="760"/>
      <c r="ACX184" s="591">
        <v>81</v>
      </c>
      <c r="ACY184" s="759">
        <f t="shared" si="196"/>
        <v>0.97975000000000001</v>
      </c>
      <c r="ACZ184" s="760"/>
      <c r="ADA184" s="757">
        <f t="shared" si="197"/>
        <v>0.64800000000000002</v>
      </c>
      <c r="ADB184" s="758"/>
      <c r="ADD184" s="759">
        <v>-8.3333333333333398E-2</v>
      </c>
      <c r="ADE184" s="760"/>
      <c r="ADF184" s="759">
        <v>1.0416666666666701</v>
      </c>
      <c r="ADG184" s="760"/>
      <c r="ADH184" s="592">
        <v>131</v>
      </c>
      <c r="ADI184" s="759">
        <f t="shared" si="198"/>
        <v>0.9543333333333367</v>
      </c>
      <c r="ADJ184" s="760"/>
      <c r="ADK184" s="757">
        <f t="shared" si="199"/>
        <v>1.048</v>
      </c>
      <c r="ADL184" s="758"/>
      <c r="ADN184" s="759">
        <v>-0.14285714285714299</v>
      </c>
      <c r="ADO184" s="760"/>
      <c r="ADP184" s="759">
        <v>1.1071428571428601</v>
      </c>
      <c r="ADQ184" s="760"/>
      <c r="ADR184" s="592">
        <v>181</v>
      </c>
      <c r="ADS184" s="759">
        <f t="shared" si="200"/>
        <v>0.90028571428571702</v>
      </c>
      <c r="ADT184" s="760"/>
      <c r="ADU184" s="757">
        <f t="shared" si="201"/>
        <v>1.448</v>
      </c>
      <c r="ADV184" s="758"/>
      <c r="ADX184" s="759">
        <v>-0.33333333333333259</v>
      </c>
      <c r="ADY184" s="760"/>
      <c r="ADZ184" s="759">
        <v>1.4166666666666654</v>
      </c>
      <c r="AEA184" s="760"/>
      <c r="AEB184" s="592">
        <v>231</v>
      </c>
      <c r="AEC184" s="759">
        <f t="shared" si="202"/>
        <v>0.80066666666666675</v>
      </c>
      <c r="AED184" s="760"/>
      <c r="AEE184" s="757">
        <f t="shared" si="203"/>
        <v>1.8480000000000001</v>
      </c>
      <c r="AEF184" s="758"/>
      <c r="AEH184" s="759">
        <v>-0.33333333333333298</v>
      </c>
      <c r="AEI184" s="760"/>
      <c r="AEJ184" s="759">
        <v>1.4166666666666701</v>
      </c>
      <c r="AEK184" s="760"/>
      <c r="AEL184" s="592">
        <v>281</v>
      </c>
      <c r="AEM184" s="759">
        <f t="shared" si="204"/>
        <v>0.66733333333333744</v>
      </c>
      <c r="AEN184" s="760"/>
      <c r="AEO184" s="757">
        <f t="shared" si="205"/>
        <v>2.2480000000000002</v>
      </c>
      <c r="AEP184" s="758"/>
      <c r="AER184" s="759">
        <v>-0.249999999999999</v>
      </c>
      <c r="AES184" s="760"/>
      <c r="AET184" s="759">
        <v>1.2250000000000001</v>
      </c>
      <c r="AEU184" s="760"/>
      <c r="AEV184" s="592">
        <v>331</v>
      </c>
      <c r="AEW184" s="759">
        <f t="shared" si="206"/>
        <v>0.56300000000000272</v>
      </c>
      <c r="AEX184" s="760"/>
      <c r="AEY184" s="757">
        <f t="shared" si="207"/>
        <v>2.6480000000000001</v>
      </c>
      <c r="AEZ184" s="758"/>
      <c r="AFB184" s="759">
        <v>-0.1</v>
      </c>
      <c r="AFC184" s="760"/>
      <c r="AFD184" s="759">
        <v>0.82</v>
      </c>
      <c r="AFE184" s="760"/>
      <c r="AFF184" s="591">
        <v>381</v>
      </c>
      <c r="AFG184" s="759">
        <f t="shared" si="208"/>
        <v>0.51519999999999988</v>
      </c>
      <c r="AFH184" s="760"/>
      <c r="AFI184" s="757">
        <f t="shared" si="209"/>
        <v>3.048</v>
      </c>
      <c r="AFJ184" s="758"/>
      <c r="AFK184" s="653"/>
      <c r="AFL184" s="759">
        <v>-0.125</v>
      </c>
      <c r="AFM184" s="760"/>
      <c r="AFN184" s="759">
        <v>0.875</v>
      </c>
      <c r="AFO184" s="760"/>
      <c r="AFP184" s="591">
        <v>431</v>
      </c>
      <c r="AFQ184" s="759">
        <f t="shared" si="210"/>
        <v>0.44400000000000001</v>
      </c>
      <c r="AFR184" s="760"/>
      <c r="AFS184" s="757">
        <f t="shared" si="211"/>
        <v>3.448</v>
      </c>
      <c r="AFT184" s="758"/>
      <c r="AFU184" s="653"/>
      <c r="AFV184" s="759">
        <v>-6.25E-2</v>
      </c>
      <c r="AFW184" s="760"/>
      <c r="AFX184" s="759">
        <v>0.63749999999999996</v>
      </c>
      <c r="AFY184" s="760"/>
      <c r="AFZ184" s="592">
        <v>481</v>
      </c>
      <c r="AGA184" s="759">
        <f t="shared" si="212"/>
        <v>0.39699999999999996</v>
      </c>
      <c r="AGB184" s="760"/>
      <c r="AGC184" s="757">
        <f t="shared" si="213"/>
        <v>3.8479999999999999</v>
      </c>
      <c r="AGD184" s="758"/>
      <c r="AGE184" s="653"/>
      <c r="AGF184" s="653"/>
      <c r="AGG184" s="653"/>
      <c r="AGH184" s="653"/>
      <c r="AGI184" s="653"/>
      <c r="AGJ184" s="653"/>
      <c r="AGN184" s="136"/>
      <c r="AGO184" s="1257" t="s">
        <v>1744</v>
      </c>
      <c r="AGP184" s="1257"/>
      <c r="AGQ184" s="136"/>
      <c r="AGR184" s="957" t="s">
        <v>1403</v>
      </c>
      <c r="AGS184" s="957"/>
      <c r="AGT184" s="957"/>
      <c r="AGU184" s="957"/>
      <c r="AGV184" s="957"/>
      <c r="AGW184" s="957"/>
      <c r="AGX184" s="957"/>
      <c r="AGY184" s="957"/>
      <c r="AGZ184" s="957"/>
      <c r="AHA184" s="957"/>
      <c r="AHB184" s="957"/>
      <c r="AHC184" s="136"/>
      <c r="AHS184" s="130"/>
      <c r="AHT184" s="130"/>
      <c r="AHU184" s="130"/>
      <c r="AHV184" s="130"/>
      <c r="ARU184" s="903"/>
      <c r="ARV184" s="904"/>
      <c r="ARW184" s="905"/>
      <c r="ARX184" s="851"/>
      <c r="ARY184" s="777"/>
      <c r="ARZ184" s="778"/>
      <c r="ASA184" s="778"/>
      <c r="ASB184" s="778"/>
      <c r="ASC184" s="778"/>
      <c r="ASD184" s="778"/>
      <c r="ASE184" s="778"/>
      <c r="ASF184" s="778"/>
      <c r="ASG184" s="778"/>
      <c r="ASH184" s="778"/>
      <c r="ASI184" s="778"/>
      <c r="ASJ184" s="778"/>
      <c r="ASK184" s="778"/>
      <c r="ASL184" s="1169"/>
      <c r="ASM184" s="799"/>
      <c r="ASN184" s="1185"/>
      <c r="ASO184" s="1186"/>
      <c r="ASP184" s="1067"/>
      <c r="ASQ184" s="918"/>
      <c r="ASR184" s="919"/>
      <c r="ASS184" s="848"/>
      <c r="AST184" s="1276"/>
      <c r="ASU184" s="1277"/>
      <c r="ASV184" s="1278"/>
    </row>
    <row r="185" spans="340:936 1165:1204" ht="48" customHeight="1" thickBot="1">
      <c r="MB185" s="900"/>
      <c r="MC185" s="901"/>
      <c r="MD185" s="901"/>
      <c r="ME185" s="850"/>
      <c r="MF185" s="800" t="s">
        <v>1321</v>
      </c>
      <c r="MG185" s="982"/>
      <c r="MH185" s="801"/>
      <c r="MI185" s="761">
        <f>$EQ$45/$GU$12</f>
        <v>5</v>
      </c>
      <c r="MJ185" s="761"/>
      <c r="MK185" s="809" t="s">
        <v>1317</v>
      </c>
      <c r="ML185" s="797"/>
      <c r="MM185" s="797"/>
      <c r="MN185" s="797"/>
      <c r="MO185" s="797"/>
      <c r="MP185" s="877"/>
      <c r="MQ185" s="1193">
        <v>0</v>
      </c>
      <c r="MR185" s="1194"/>
      <c r="MS185" s="1183" t="s">
        <v>729</v>
      </c>
      <c r="MT185" s="1184"/>
      <c r="MU185" s="1066"/>
      <c r="MV185" s="1424" t="s">
        <v>1315</v>
      </c>
      <c r="MW185" s="1425"/>
      <c r="MX185" s="847"/>
      <c r="NB185" s="130"/>
      <c r="NC185" s="130"/>
      <c r="NL185" s="130"/>
      <c r="NM185" s="130"/>
      <c r="NN185" s="130"/>
      <c r="NO185" s="130"/>
      <c r="NP185" s="130"/>
      <c r="NQ185" s="130"/>
      <c r="NR185" s="130"/>
      <c r="NS185" s="130"/>
      <c r="NT185" s="130"/>
      <c r="NU185" s="130"/>
      <c r="NV185" s="130"/>
      <c r="NW185" s="130"/>
      <c r="NX185" s="130"/>
      <c r="NY185" s="130"/>
      <c r="NZ185" s="130"/>
      <c r="OA185" s="130"/>
      <c r="OB185" s="130"/>
      <c r="OC185" s="130"/>
      <c r="OD185" s="130"/>
      <c r="OE185" s="130"/>
      <c r="OF185" s="130"/>
      <c r="OG185" s="130"/>
      <c r="OH185" s="130"/>
      <c r="OI185" s="130"/>
      <c r="OJ185" s="130"/>
      <c r="OK185" s="130"/>
      <c r="OY185" s="130"/>
      <c r="OZ185" s="130"/>
      <c r="PA185" s="130"/>
      <c r="PB185" s="130"/>
      <c r="PC185" s="130"/>
      <c r="PD185" s="130"/>
      <c r="PE185" s="130"/>
      <c r="PF185" s="130"/>
      <c r="PG185" s="130"/>
      <c r="PH185" s="130"/>
      <c r="PL185" s="850"/>
      <c r="PM185" s="861" t="s">
        <v>1602</v>
      </c>
      <c r="PN185" s="861"/>
      <c r="PO185" s="937">
        <f>$PS$165</f>
        <v>41.237811440369647</v>
      </c>
      <c r="PP185" s="937"/>
      <c r="PQ185" s="775"/>
      <c r="PR185" s="776"/>
      <c r="PS185" s="776"/>
      <c r="PT185" s="776"/>
      <c r="PU185" s="776"/>
      <c r="PV185" s="776"/>
      <c r="PW185" s="837"/>
      <c r="PX185" s="838"/>
      <c r="PY185" s="1355"/>
      <c r="PZ185" s="1356"/>
      <c r="QA185" s="842"/>
      <c r="QB185" s="1173"/>
      <c r="QC185" s="1175"/>
      <c r="QD185" s="848"/>
      <c r="QE185" s="1052"/>
      <c r="QF185" s="1052"/>
      <c r="QG185" s="1052"/>
      <c r="QH185" s="1052"/>
      <c r="QI185" s="1052"/>
      <c r="QJ185" s="1052"/>
      <c r="QK185" s="1052"/>
      <c r="QL185" s="1052"/>
      <c r="QM185" s="1052"/>
      <c r="WE185" s="754"/>
      <c r="WF185" s="755"/>
      <c r="WG185" s="169"/>
      <c r="WH185" s="170"/>
      <c r="WI185" s="170"/>
      <c r="WJ185" s="170"/>
      <c r="WK185" s="170"/>
      <c r="WL185" s="170"/>
      <c r="WM185" s="170"/>
      <c r="WN185" s="170"/>
      <c r="WO185" s="170"/>
      <c r="WP185" s="170"/>
      <c r="WQ185" s="170"/>
      <c r="WR185" s="170"/>
      <c r="WS185" s="170"/>
      <c r="WT185" s="170"/>
      <c r="WU185" s="170"/>
      <c r="WV185" s="170"/>
      <c r="WW185" s="170"/>
      <c r="WX185" s="170"/>
      <c r="WY185" s="172"/>
      <c r="WZ185" s="1135"/>
      <c r="XA185" s="1135"/>
      <c r="XB185" s="169"/>
      <c r="XC185" s="170"/>
      <c r="XD185" s="170"/>
      <c r="XE185" s="170"/>
      <c r="XF185" s="172"/>
      <c r="XG185" s="1008"/>
      <c r="XH185" s="1008"/>
      <c r="XI185" s="1008"/>
      <c r="XJ185" s="1008"/>
      <c r="XK185" s="1008"/>
      <c r="XL185" s="1008"/>
      <c r="XM185" s="1008"/>
      <c r="XN185" s="1008"/>
      <c r="XO185" s="1008"/>
      <c r="XP185" s="1008"/>
      <c r="XQ185" s="1008"/>
      <c r="XR185" s="1008"/>
      <c r="XS185" s="1008"/>
      <c r="XT185" s="1008"/>
      <c r="XU185" s="1008"/>
      <c r="XV185" s="1008"/>
      <c r="XW185" s="1008"/>
      <c r="XX185" s="1008"/>
      <c r="XY185" s="1008"/>
      <c r="XZ185" s="1008"/>
      <c r="YA185" s="1008"/>
      <c r="YB185" s="1008"/>
      <c r="YC185" s="1008"/>
      <c r="YD185" s="1008"/>
      <c r="YE185" s="1008"/>
      <c r="YF185" s="1008"/>
      <c r="YG185" s="1008"/>
      <c r="YH185" s="1008"/>
      <c r="YI185" s="1008"/>
      <c r="YJ185" s="1008"/>
      <c r="YK185" s="1008"/>
      <c r="YL185" s="1008"/>
      <c r="YM185" s="1008"/>
      <c r="YN185" s="1008"/>
      <c r="YO185" s="1008"/>
      <c r="YP185" s="1008"/>
      <c r="YQ185" s="1008"/>
      <c r="YR185" s="1008"/>
      <c r="YS185" s="1008"/>
      <c r="YT185" s="1008"/>
      <c r="YU185" s="1008"/>
      <c r="YV185" s="1008"/>
      <c r="YW185" s="1008"/>
      <c r="YX185" s="1008"/>
      <c r="YY185" s="1008"/>
      <c r="YZ185" s="1008"/>
      <c r="ZA185" s="1008"/>
      <c r="ZB185" s="1008"/>
      <c r="ZC185" s="1008"/>
      <c r="ZD185" s="1008"/>
      <c r="ZE185" s="1008"/>
      <c r="ZF185" s="1008"/>
      <c r="ZG185" s="1008"/>
      <c r="ZH185" s="1008"/>
      <c r="ZI185" s="1008"/>
      <c r="ZJ185" s="1008"/>
      <c r="ZK185" s="1008"/>
      <c r="ZL185" s="1008"/>
      <c r="ZM185" s="1008"/>
      <c r="ZN185" s="1008"/>
      <c r="ZO185" s="1008"/>
      <c r="ZP185" s="1008"/>
      <c r="ZQ185" s="1008"/>
      <c r="ZR185" s="1008"/>
      <c r="ZS185" s="1008"/>
      <c r="ZT185" s="1008"/>
      <c r="ZU185" s="1008"/>
      <c r="ZV185" s="1008"/>
      <c r="ZW185" s="1008"/>
      <c r="ZX185" s="1008"/>
      <c r="ZY185" s="1008"/>
      <c r="ZZ185" s="1008"/>
      <c r="AAA185" s="1008"/>
      <c r="AAB185" s="1008"/>
      <c r="AAC185" s="1008"/>
      <c r="AAD185" s="1008"/>
      <c r="AAE185" s="1008"/>
      <c r="AAF185" s="1008"/>
      <c r="AAG185" s="1008"/>
      <c r="AAH185" s="1008"/>
      <c r="AAI185" s="1008"/>
      <c r="AAJ185" s="1008"/>
      <c r="AAK185" s="1008"/>
      <c r="AAL185" s="1008"/>
      <c r="AAM185" s="1008"/>
      <c r="AAN185" s="1008"/>
      <c r="AAO185" s="1008"/>
      <c r="AAP185" s="1008"/>
      <c r="AAQ185" s="1008"/>
      <c r="AAR185" s="1008"/>
      <c r="AAS185" s="1008"/>
      <c r="AAT185" s="1007"/>
      <c r="AAU185" s="169"/>
      <c r="AAV185" s="170"/>
      <c r="AAW185" s="170"/>
      <c r="AAX185" s="170"/>
      <c r="AAY185" s="170"/>
      <c r="AAZ185" s="170"/>
      <c r="ABA185" s="170"/>
      <c r="ABB185" s="172"/>
      <c r="ABC185" s="158"/>
      <c r="ABD185" s="158"/>
      <c r="ABE185" s="158"/>
      <c r="ABF185" s="158"/>
      <c r="ABG185" s="158"/>
      <c r="ABH185" s="158"/>
      <c r="ABI185" s="158"/>
      <c r="ABJ185" s="158"/>
      <c r="ABK185" s="158"/>
      <c r="ABL185" s="158"/>
      <c r="ABM185" s="158"/>
      <c r="ABN185" s="158"/>
      <c r="ABO185" s="158"/>
      <c r="ABP185" s="163"/>
      <c r="ABQ185" s="653"/>
      <c r="ABR185" s="653"/>
      <c r="ABS185" s="653"/>
      <c r="ABT185" s="653"/>
      <c r="ABU185" s="1026"/>
      <c r="ABV185" s="1027"/>
      <c r="ABW185" s="1027"/>
      <c r="ABX185" s="1027"/>
      <c r="ABY185" s="1027"/>
      <c r="ABZ185" s="1027"/>
      <c r="ACA185" s="1027"/>
      <c r="ACB185" s="1027"/>
      <c r="ACC185" s="1027"/>
      <c r="ACD185" s="1027"/>
      <c r="ACE185" s="1027"/>
      <c r="ACF185" s="1027"/>
      <c r="ACG185" s="1027"/>
      <c r="ACH185" s="1028"/>
      <c r="ACI185" s="703"/>
      <c r="ACJ185" s="759">
        <v>-3.125E-2</v>
      </c>
      <c r="ACK185" s="760"/>
      <c r="ACL185" s="759">
        <v>1</v>
      </c>
      <c r="ACM185" s="760"/>
      <c r="ACN185" s="591">
        <v>32</v>
      </c>
      <c r="ACO185" s="759">
        <f t="shared" si="248"/>
        <v>0.99199999999999999</v>
      </c>
      <c r="ACP185" s="760"/>
      <c r="ACQ185" s="757">
        <f t="shared" si="195"/>
        <v>0.25600000000000001</v>
      </c>
      <c r="ACR185" s="758"/>
      <c r="ACT185" s="759">
        <v>-3.125E-2</v>
      </c>
      <c r="ACU185" s="760"/>
      <c r="ACV185" s="759">
        <v>1</v>
      </c>
      <c r="ACW185" s="760"/>
      <c r="ACX185" s="591">
        <v>82</v>
      </c>
      <c r="ACY185" s="759">
        <f t="shared" si="196"/>
        <v>0.97950000000000004</v>
      </c>
      <c r="ACZ185" s="760"/>
      <c r="ADA185" s="757">
        <f t="shared" si="197"/>
        <v>0.65600000000000003</v>
      </c>
      <c r="ADB185" s="758"/>
      <c r="ADD185" s="759">
        <v>-8.3333333333333398E-2</v>
      </c>
      <c r="ADE185" s="760"/>
      <c r="ADF185" s="759">
        <v>1.0416666666666701</v>
      </c>
      <c r="ADG185" s="760"/>
      <c r="ADH185" s="592">
        <v>132</v>
      </c>
      <c r="ADI185" s="759">
        <f t="shared" si="198"/>
        <v>0.95366666666666999</v>
      </c>
      <c r="ADJ185" s="760"/>
      <c r="ADK185" s="757">
        <f t="shared" si="199"/>
        <v>1.056</v>
      </c>
      <c r="ADL185" s="758"/>
      <c r="ADN185" s="759">
        <v>-0.14285714285714299</v>
      </c>
      <c r="ADO185" s="760"/>
      <c r="ADP185" s="759">
        <v>1.1071428571428601</v>
      </c>
      <c r="ADQ185" s="760"/>
      <c r="ADR185" s="592">
        <v>182</v>
      </c>
      <c r="ADS185" s="759">
        <f t="shared" si="200"/>
        <v>0.89914285714285991</v>
      </c>
      <c r="ADT185" s="760"/>
      <c r="ADU185" s="757">
        <f t="shared" si="201"/>
        <v>1.456</v>
      </c>
      <c r="ADV185" s="758"/>
      <c r="ADX185" s="759">
        <v>-0.33333333333333259</v>
      </c>
      <c r="ADY185" s="760"/>
      <c r="ADZ185" s="759">
        <v>1.4166666666666654</v>
      </c>
      <c r="AEA185" s="760"/>
      <c r="AEB185" s="592">
        <v>232</v>
      </c>
      <c r="AEC185" s="759">
        <f t="shared" si="202"/>
        <v>0.79800000000000004</v>
      </c>
      <c r="AED185" s="760"/>
      <c r="AEE185" s="757">
        <f t="shared" si="203"/>
        <v>1.8560000000000001</v>
      </c>
      <c r="AEF185" s="758"/>
      <c r="AEH185" s="759">
        <v>-0.33333333333333298</v>
      </c>
      <c r="AEI185" s="760"/>
      <c r="AEJ185" s="759">
        <v>1.4166666666666701</v>
      </c>
      <c r="AEK185" s="760"/>
      <c r="AEL185" s="592">
        <v>282</v>
      </c>
      <c r="AEM185" s="759">
        <f t="shared" si="204"/>
        <v>0.66466666666667074</v>
      </c>
      <c r="AEN185" s="760"/>
      <c r="AEO185" s="757">
        <f t="shared" si="205"/>
        <v>2.2560000000000002</v>
      </c>
      <c r="AEP185" s="758"/>
      <c r="AER185" s="759">
        <v>-0.249999999999999</v>
      </c>
      <c r="AES185" s="760"/>
      <c r="AET185" s="759">
        <v>1.2250000000000001</v>
      </c>
      <c r="AEU185" s="760"/>
      <c r="AEV185" s="592">
        <v>332</v>
      </c>
      <c r="AEW185" s="759">
        <f t="shared" si="206"/>
        <v>0.56100000000000272</v>
      </c>
      <c r="AEX185" s="760"/>
      <c r="AEY185" s="757">
        <f t="shared" si="207"/>
        <v>2.6560000000000001</v>
      </c>
      <c r="AEZ185" s="758"/>
      <c r="AFB185" s="759">
        <v>-0.1</v>
      </c>
      <c r="AFC185" s="760"/>
      <c r="AFD185" s="759">
        <v>0.82</v>
      </c>
      <c r="AFE185" s="760"/>
      <c r="AFF185" s="591">
        <v>382</v>
      </c>
      <c r="AFG185" s="759">
        <f t="shared" si="208"/>
        <v>0.51439999999999997</v>
      </c>
      <c r="AFH185" s="760"/>
      <c r="AFI185" s="757">
        <f t="shared" si="209"/>
        <v>3.056</v>
      </c>
      <c r="AFJ185" s="758"/>
      <c r="AFK185" s="653"/>
      <c r="AFL185" s="759">
        <v>-0.125</v>
      </c>
      <c r="AFM185" s="760"/>
      <c r="AFN185" s="759">
        <v>0.875</v>
      </c>
      <c r="AFO185" s="760"/>
      <c r="AFP185" s="591">
        <v>432</v>
      </c>
      <c r="AFQ185" s="759">
        <f t="shared" si="210"/>
        <v>0.443</v>
      </c>
      <c r="AFR185" s="760"/>
      <c r="AFS185" s="757">
        <f t="shared" si="211"/>
        <v>3.456</v>
      </c>
      <c r="AFT185" s="758"/>
      <c r="AFU185" s="653"/>
      <c r="AFV185" s="759">
        <v>-6.25E-2</v>
      </c>
      <c r="AFW185" s="760"/>
      <c r="AFX185" s="759">
        <v>0.63749999999999996</v>
      </c>
      <c r="AFY185" s="760"/>
      <c r="AFZ185" s="592">
        <v>482</v>
      </c>
      <c r="AGA185" s="759">
        <f t="shared" si="212"/>
        <v>0.39649999999999996</v>
      </c>
      <c r="AGB185" s="760"/>
      <c r="AGC185" s="757">
        <f t="shared" si="213"/>
        <v>3.8559999999999999</v>
      </c>
      <c r="AGD185" s="758"/>
      <c r="AGE185" s="653"/>
      <c r="AGF185" s="653"/>
      <c r="AGG185" s="653"/>
      <c r="AGH185" s="653"/>
      <c r="AGI185" s="653"/>
      <c r="AGJ185" s="653"/>
      <c r="AHS185" s="130"/>
      <c r="AHT185" s="130"/>
      <c r="AHU185" s="130"/>
      <c r="AHV185" s="130"/>
      <c r="AHW185" s="130"/>
      <c r="AHX185" s="130"/>
    </row>
    <row r="186" spans="340:936 1165:1204" ht="48" customHeight="1" thickBot="1">
      <c r="MB186" s="900"/>
      <c r="MC186" s="901"/>
      <c r="MD186" s="901"/>
      <c r="ME186" s="850"/>
      <c r="MF186" s="800" t="s">
        <v>1331</v>
      </c>
      <c r="MG186" s="982"/>
      <c r="MH186" s="801"/>
      <c r="MI186" s="883">
        <f>$EQ$45/($CL$40*1000)</f>
        <v>0.28728855861344965</v>
      </c>
      <c r="MJ186" s="884"/>
      <c r="MK186" s="775"/>
      <c r="ML186" s="776"/>
      <c r="MM186" s="776"/>
      <c r="MN186" s="776"/>
      <c r="MO186" s="776"/>
      <c r="MP186" s="1138"/>
      <c r="MQ186" s="1195"/>
      <c r="MR186" s="1196"/>
      <c r="MS186" s="1185"/>
      <c r="MT186" s="1186"/>
      <c r="MU186" s="1067"/>
      <c r="MV186" s="1426"/>
      <c r="MW186" s="1427"/>
      <c r="MX186" s="848"/>
      <c r="MY186" s="653"/>
      <c r="MZ186" s="653"/>
      <c r="NA186" s="653"/>
      <c r="NB186" s="653"/>
      <c r="NC186" s="653"/>
      <c r="ND186" s="653"/>
      <c r="NM186" s="130"/>
      <c r="NN186" s="130"/>
      <c r="NO186" s="130"/>
      <c r="NP186" s="130"/>
      <c r="NQ186" s="130"/>
      <c r="NR186" s="130"/>
      <c r="NS186" s="130"/>
      <c r="NT186" s="130"/>
      <c r="NU186" s="130"/>
      <c r="NV186" s="130"/>
      <c r="NW186" s="130"/>
      <c r="NX186" s="130"/>
      <c r="NY186" s="130"/>
      <c r="NZ186" s="130"/>
      <c r="OA186" s="130"/>
      <c r="OB186" s="130"/>
      <c r="OC186" s="130"/>
      <c r="OD186" s="130"/>
      <c r="OE186" s="130"/>
      <c r="OF186" s="130"/>
      <c r="OG186" s="130"/>
      <c r="OH186" s="130"/>
      <c r="OI186" s="130"/>
      <c r="OJ186" s="130"/>
      <c r="OK186" s="130"/>
      <c r="OY186" s="130"/>
      <c r="OZ186" s="130"/>
      <c r="PA186" s="130"/>
      <c r="PB186" s="130"/>
      <c r="PC186" s="130"/>
      <c r="PD186" s="130"/>
      <c r="PE186" s="130"/>
      <c r="PF186" s="130"/>
      <c r="PG186" s="130"/>
      <c r="PH186" s="130"/>
      <c r="PL186" s="851"/>
      <c r="PM186" s="1163" t="s">
        <v>1603</v>
      </c>
      <c r="PN186" s="1163"/>
      <c r="PO186" s="774">
        <f>$PZ$189</f>
        <v>113.36288876577593</v>
      </c>
      <c r="PP186" s="774"/>
      <c r="PQ186" s="777"/>
      <c r="PR186" s="778"/>
      <c r="PS186" s="778"/>
      <c r="PT186" s="778"/>
      <c r="PU186" s="778"/>
      <c r="PV186" s="778"/>
      <c r="PW186" s="942"/>
      <c r="PX186" s="943"/>
      <c r="PY186" s="943"/>
      <c r="PZ186" s="943"/>
      <c r="QA186" s="943"/>
      <c r="QB186" s="943"/>
      <c r="QC186" s="943"/>
      <c r="QD186" s="943"/>
      <c r="QE186" s="1053"/>
      <c r="QF186" s="1053"/>
      <c r="QG186" s="1053"/>
      <c r="QH186" s="1053"/>
      <c r="QI186" s="1053"/>
      <c r="QJ186" s="1053"/>
      <c r="QK186" s="1053"/>
      <c r="QL186" s="1053"/>
      <c r="QM186" s="1053"/>
      <c r="WE186" s="752">
        <v>28</v>
      </c>
      <c r="WF186" s="753"/>
      <c r="WG186" s="800" t="s">
        <v>1247</v>
      </c>
      <c r="WH186" s="982"/>
      <c r="WI186" s="937">
        <f>$MS$171</f>
        <v>1.42</v>
      </c>
      <c r="WJ186" s="937"/>
      <c r="WK186" s="800" t="s">
        <v>1249</v>
      </c>
      <c r="WL186" s="982"/>
      <c r="WM186" s="937">
        <f>$MP$142</f>
        <v>1.8841973697362955</v>
      </c>
      <c r="WN186" s="937"/>
      <c r="WO186" s="1058"/>
      <c r="WP186" s="1058"/>
      <c r="WQ186" s="1058"/>
      <c r="WR186" s="1058"/>
      <c r="WS186" s="1058"/>
      <c r="WT186" s="1058"/>
      <c r="WU186" s="168"/>
      <c r="WV186" s="168"/>
      <c r="WW186" s="168"/>
      <c r="WX186" s="168"/>
      <c r="WY186" s="171"/>
      <c r="WZ186" s="998" t="s">
        <v>392</v>
      </c>
      <c r="XA186" s="999"/>
      <c r="XB186" s="167"/>
      <c r="XC186" s="168"/>
      <c r="XD186" s="168"/>
      <c r="XE186" s="168"/>
      <c r="XF186" s="171"/>
      <c r="XG186" s="1004">
        <f>$WM$187*(XG178+XG182+$WI$187)/($WI$186+$WM$186+$WI$187)</f>
        <v>0.37174154980463076</v>
      </c>
      <c r="XH186" s="1004">
        <f t="shared" ref="XH186:XT186" si="257">$WM$187*(XH178+XH182+$WI$187)/($WI$186+$WM$186+$WI$187)</f>
        <v>0.37025548581333734</v>
      </c>
      <c r="XI186" s="1004">
        <f t="shared" si="257"/>
        <v>0.36880213722184535</v>
      </c>
      <c r="XJ186" s="1004">
        <f t="shared" si="257"/>
        <v>0.36737963406931962</v>
      </c>
      <c r="XK186" s="1004">
        <f t="shared" si="257"/>
        <v>0.36633195336540569</v>
      </c>
      <c r="XL186" s="1004">
        <f t="shared" si="257"/>
        <v>0.36495934349520681</v>
      </c>
      <c r="XM186" s="1004">
        <f t="shared" si="257"/>
        <v>0.36394728084649236</v>
      </c>
      <c r="XN186" s="1004">
        <f t="shared" si="257"/>
        <v>0.36294945921488991</v>
      </c>
      <c r="XO186" s="1004">
        <f t="shared" si="257"/>
        <v>0.36196531133665472</v>
      </c>
      <c r="XP186" s="1004">
        <f t="shared" si="257"/>
        <v>0.3609942996810806</v>
      </c>
      <c r="XQ186" s="1004">
        <f t="shared" si="257"/>
        <v>0.36003591452763184</v>
      </c>
      <c r="XR186" s="1004">
        <f t="shared" si="257"/>
        <v>0.35908967219039306</v>
      </c>
      <c r="XS186" s="1004">
        <f t="shared" si="257"/>
        <v>0.35815511337683742</v>
      </c>
      <c r="XT186" s="1004">
        <f t="shared" si="257"/>
        <v>0.35753834860115508</v>
      </c>
      <c r="XU186" s="1004">
        <f t="shared" ref="XU186:AAF186" si="258">$WM$187*(XU178+XU182+$WI$187)/($WI$186+$WM$186+$WI$187)</f>
        <v>0.35662230316613958</v>
      </c>
      <c r="XV186" s="1004">
        <f t="shared" si="258"/>
        <v>0.35601750062171922</v>
      </c>
      <c r="XW186" s="1004">
        <f t="shared" si="258"/>
        <v>0.35511885314416919</v>
      </c>
      <c r="XX186" s="1004">
        <f t="shared" si="258"/>
        <v>0.35452529929696946</v>
      </c>
      <c r="XY186" s="1004">
        <f t="shared" si="258"/>
        <v>0.35393605778825538</v>
      </c>
      <c r="XZ186" s="1004">
        <f t="shared" si="258"/>
        <v>0.35335102672881508</v>
      </c>
      <c r="YA186" s="1004">
        <f t="shared" si="258"/>
        <v>0.35306005915143956</v>
      </c>
      <c r="YB186" s="1004">
        <f t="shared" si="258"/>
        <v>0.35248115965635846</v>
      </c>
      <c r="YC186" s="1004">
        <f t="shared" si="258"/>
        <v>0.35190622955228268</v>
      </c>
      <c r="YD186" s="1004">
        <f t="shared" si="258"/>
        <v>0.351620224390156</v>
      </c>
      <c r="YE186" s="1004">
        <f t="shared" si="258"/>
        <v>0.35037736985601864</v>
      </c>
      <c r="YF186" s="1004">
        <f t="shared" si="258"/>
        <v>0.34968736413378898</v>
      </c>
      <c r="YG186" s="1004">
        <f t="shared" si="258"/>
        <v>0.34900272988737119</v>
      </c>
      <c r="YH186" s="1004">
        <f t="shared" si="258"/>
        <v>0.34832332113028053</v>
      </c>
      <c r="YI186" s="1004">
        <f t="shared" si="258"/>
        <v>0.34764899711871688</v>
      </c>
      <c r="YJ186" s="1004">
        <f t="shared" si="258"/>
        <v>0.34697962211831324</v>
      </c>
      <c r="YK186" s="1004">
        <f t="shared" si="258"/>
        <v>0.34631506518322852</v>
      </c>
      <c r="YL186" s="1004">
        <f t="shared" si="258"/>
        <v>0.34631506518322852</v>
      </c>
      <c r="YM186" s="1004">
        <f t="shared" si="258"/>
        <v>0.34565519994682764</v>
      </c>
      <c r="YN186" s="1004">
        <f t="shared" si="258"/>
        <v>0.34499990442324668</v>
      </c>
      <c r="YO186" s="1004">
        <f t="shared" si="258"/>
        <v>0.34499990442324668</v>
      </c>
      <c r="YP186" s="1004">
        <f t="shared" si="258"/>
        <v>0.34434906081918759</v>
      </c>
      <c r="YQ186" s="1004">
        <f t="shared" si="258"/>
        <v>0.34434906081918759</v>
      </c>
      <c r="YR186" s="1004">
        <f t="shared" si="258"/>
        <v>0.34434906081918759</v>
      </c>
      <c r="YS186" s="1004">
        <f t="shared" si="258"/>
        <v>0.34370255535533356</v>
      </c>
      <c r="YT186" s="1004">
        <f t="shared" si="258"/>
        <v>0.34370255535533356</v>
      </c>
      <c r="YU186" s="1004">
        <f t="shared" si="258"/>
        <v>0.34370255535533356</v>
      </c>
      <c r="YV186" s="1004">
        <f t="shared" si="258"/>
        <v>0.34306027809681544</v>
      </c>
      <c r="YW186" s="1004">
        <f t="shared" si="258"/>
        <v>0.34306027809681544</v>
      </c>
      <c r="YX186" s="1004">
        <f t="shared" si="258"/>
        <v>0.34306027809681544</v>
      </c>
      <c r="YY186" s="1004">
        <f t="shared" si="258"/>
        <v>0.34306027809681544</v>
      </c>
      <c r="YZ186" s="1004">
        <f t="shared" si="258"/>
        <v>0.34242212279219841</v>
      </c>
      <c r="ZA186" s="1004">
        <f t="shared" si="258"/>
        <v>0.34242212279219841</v>
      </c>
      <c r="ZB186" s="1004">
        <f t="shared" si="258"/>
        <v>0.34242212279219841</v>
      </c>
      <c r="ZC186" s="1004">
        <f t="shared" si="258"/>
        <v>0.34242212279219841</v>
      </c>
      <c r="ZD186" s="1004">
        <f t="shared" si="258"/>
        <v>0.34242212279219841</v>
      </c>
      <c r="ZE186" s="1004">
        <f t="shared" si="258"/>
        <v>0.3417879867204936</v>
      </c>
      <c r="ZF186" s="1004">
        <f t="shared" si="258"/>
        <v>0.3417879867204936</v>
      </c>
      <c r="ZG186" s="1004">
        <f t="shared" si="258"/>
        <v>0.3417879867204936</v>
      </c>
      <c r="ZH186" s="1004">
        <f t="shared" si="258"/>
        <v>0.3417879867204936</v>
      </c>
      <c r="ZI186" s="1004">
        <f t="shared" si="258"/>
        <v>0.3417879867204936</v>
      </c>
      <c r="ZJ186" s="1004">
        <f t="shared" si="258"/>
        <v>0.3417879867204936</v>
      </c>
      <c r="ZK186" s="1004">
        <f t="shared" si="258"/>
        <v>0.3417879867204936</v>
      </c>
      <c r="ZL186" s="1004">
        <f t="shared" si="258"/>
        <v>0.34115777054573293</v>
      </c>
      <c r="ZM186" s="1004">
        <f t="shared" si="258"/>
        <v>0.34115777054573293</v>
      </c>
      <c r="ZN186" s="1004">
        <f t="shared" si="258"/>
        <v>0.34115777054573293</v>
      </c>
      <c r="ZO186" s="1004">
        <f t="shared" si="258"/>
        <v>0.34115777054573293</v>
      </c>
      <c r="ZP186" s="1004">
        <f t="shared" si="258"/>
        <v>0.34115777054573293</v>
      </c>
      <c r="ZQ186" s="1004">
        <f t="shared" si="258"/>
        <v>0.34115777054573293</v>
      </c>
      <c r="ZR186" s="1004">
        <f t="shared" si="258"/>
        <v>0.34115777054573293</v>
      </c>
      <c r="ZS186" s="1004">
        <f t="shared" si="258"/>
        <v>0.34115777054573293</v>
      </c>
      <c r="ZT186" s="1004">
        <f t="shared" si="258"/>
        <v>0.34115777054573293</v>
      </c>
      <c r="ZU186" s="1004">
        <f t="shared" si="258"/>
        <v>0.34115777054573293</v>
      </c>
      <c r="ZV186" s="1004">
        <f t="shared" si="258"/>
        <v>0.34115777054573293</v>
      </c>
      <c r="ZW186" s="1004">
        <f t="shared" si="258"/>
        <v>0.34115777054573293</v>
      </c>
      <c r="ZX186" s="1004">
        <f t="shared" si="258"/>
        <v>0.34115777054573293</v>
      </c>
      <c r="ZY186" s="1004">
        <f t="shared" si="258"/>
        <v>0.34053137817867218</v>
      </c>
      <c r="ZZ186" s="1004">
        <f t="shared" si="258"/>
        <v>0.34053137817867218</v>
      </c>
      <c r="AAA186" s="1004">
        <f t="shared" si="258"/>
        <v>0.34053137817867218</v>
      </c>
      <c r="AAB186" s="1004">
        <f t="shared" si="258"/>
        <v>0.34053137817867218</v>
      </c>
      <c r="AAC186" s="1004">
        <f t="shared" si="258"/>
        <v>0.34053137817867218</v>
      </c>
      <c r="AAD186" s="1004">
        <f t="shared" si="258"/>
        <v>0.34053137817867218</v>
      </c>
      <c r="AAE186" s="1004">
        <f t="shared" si="258"/>
        <v>0.34053137817867218</v>
      </c>
      <c r="AAF186" s="1004">
        <f t="shared" si="258"/>
        <v>0.34053137817867218</v>
      </c>
      <c r="AAG186" s="1004">
        <f t="shared" ref="AAG186:AAS186" si="259">$WM$187*(AAG178+AAG182+$WI$187)/($WI$186+$WM$186+$WI$187)</f>
        <v>0.34053137817867218</v>
      </c>
      <c r="AAH186" s="1004">
        <f t="shared" si="259"/>
        <v>0.34053137817867218</v>
      </c>
      <c r="AAI186" s="1004">
        <f t="shared" si="259"/>
        <v>0.34053137817867218</v>
      </c>
      <c r="AAJ186" s="1004">
        <f t="shared" si="259"/>
        <v>0.34053137817867218</v>
      </c>
      <c r="AAK186" s="1004">
        <f t="shared" si="259"/>
        <v>0.34053137817867218</v>
      </c>
      <c r="AAL186" s="1004">
        <f t="shared" si="259"/>
        <v>0.34053137817867218</v>
      </c>
      <c r="AAM186" s="1004">
        <f t="shared" si="259"/>
        <v>0.34053137817867218</v>
      </c>
      <c r="AAN186" s="1004">
        <f t="shared" si="259"/>
        <v>0.34053137817867218</v>
      </c>
      <c r="AAO186" s="1004">
        <f t="shared" si="259"/>
        <v>0.34053137817867218</v>
      </c>
      <c r="AAP186" s="1004">
        <f t="shared" si="259"/>
        <v>0.34053137817867218</v>
      </c>
      <c r="AAQ186" s="1004">
        <f t="shared" si="259"/>
        <v>0.34053137817867218</v>
      </c>
      <c r="AAR186" s="1004">
        <f t="shared" si="259"/>
        <v>0.34053137817867218</v>
      </c>
      <c r="AAS186" s="1004">
        <f t="shared" si="259"/>
        <v>0.34053137817867218</v>
      </c>
      <c r="AAT186" s="1005">
        <v>28</v>
      </c>
      <c r="AAU186" s="167"/>
      <c r="AAV186" s="168"/>
      <c r="AAW186" s="168"/>
      <c r="AAX186" s="168"/>
      <c r="AAY186" s="168"/>
      <c r="AAZ186" s="168"/>
      <c r="ABA186" s="168"/>
      <c r="ABB186" s="168"/>
      <c r="ABC186" s="168"/>
      <c r="ABD186" s="168"/>
      <c r="ABE186" s="171"/>
      <c r="ABF186" s="158"/>
      <c r="ABG186" s="158"/>
      <c r="ABH186" s="158"/>
      <c r="ABI186" s="158"/>
      <c r="ABJ186" s="158"/>
      <c r="ABK186" s="158"/>
      <c r="ABL186" s="158"/>
      <c r="ABM186" s="158"/>
      <c r="ABN186" s="158"/>
      <c r="ABO186" s="158"/>
      <c r="ABP186" s="163"/>
      <c r="ABQ186" s="653"/>
      <c r="ABR186" s="653"/>
      <c r="ABS186" s="653"/>
      <c r="ABT186" s="653"/>
      <c r="ABU186" s="1026"/>
      <c r="ABV186" s="1027"/>
      <c r="ABW186" s="1027"/>
      <c r="ABX186" s="1027"/>
      <c r="ABY186" s="1027"/>
      <c r="ABZ186" s="1027"/>
      <c r="ACA186" s="1027"/>
      <c r="ACB186" s="1027"/>
      <c r="ACC186" s="1027"/>
      <c r="ACD186" s="1027"/>
      <c r="ACE186" s="1027"/>
      <c r="ACF186" s="1027"/>
      <c r="ACG186" s="1027"/>
      <c r="ACH186" s="1028"/>
      <c r="ACI186" s="703"/>
      <c r="ACJ186" s="759">
        <v>-3.125E-2</v>
      </c>
      <c r="ACK186" s="760"/>
      <c r="ACL186" s="759">
        <v>1</v>
      </c>
      <c r="ACM186" s="760"/>
      <c r="ACN186" s="591">
        <v>33</v>
      </c>
      <c r="ACO186" s="759">
        <f t="shared" si="248"/>
        <v>0.99175000000000002</v>
      </c>
      <c r="ACP186" s="760"/>
      <c r="ACQ186" s="757">
        <f t="shared" si="195"/>
        <v>0.26400000000000001</v>
      </c>
      <c r="ACR186" s="758"/>
      <c r="ACT186" s="759">
        <v>-3.125E-2</v>
      </c>
      <c r="ACU186" s="760"/>
      <c r="ACV186" s="759">
        <v>1</v>
      </c>
      <c r="ACW186" s="760"/>
      <c r="ACX186" s="591">
        <v>83</v>
      </c>
      <c r="ACY186" s="759">
        <f t="shared" si="196"/>
        <v>0.97924999999999995</v>
      </c>
      <c r="ACZ186" s="760"/>
      <c r="ADA186" s="757">
        <f t="shared" si="197"/>
        <v>0.66400000000000003</v>
      </c>
      <c r="ADB186" s="758"/>
      <c r="ADD186" s="759">
        <v>-8.3333333333333398E-2</v>
      </c>
      <c r="ADE186" s="760"/>
      <c r="ADF186" s="759">
        <v>1.0416666666666701</v>
      </c>
      <c r="ADG186" s="760"/>
      <c r="ADH186" s="592">
        <v>133</v>
      </c>
      <c r="ADI186" s="759">
        <f t="shared" si="198"/>
        <v>0.95300000000000329</v>
      </c>
      <c r="ADJ186" s="760"/>
      <c r="ADK186" s="757">
        <f t="shared" si="199"/>
        <v>1.0640000000000001</v>
      </c>
      <c r="ADL186" s="758"/>
      <c r="ADN186" s="759">
        <v>-0.20000000000000018</v>
      </c>
      <c r="ADO186" s="760"/>
      <c r="ADP186" s="759">
        <v>1.1900000000000004</v>
      </c>
      <c r="ADQ186" s="760"/>
      <c r="ADR186" s="591">
        <v>183</v>
      </c>
      <c r="ADS186" s="759">
        <f t="shared" si="200"/>
        <v>0.89720000000000022</v>
      </c>
      <c r="ADT186" s="760"/>
      <c r="ADU186" s="757">
        <f t="shared" si="201"/>
        <v>1.464</v>
      </c>
      <c r="ADV186" s="758"/>
      <c r="ADX186" s="759">
        <v>-0.33333333333333259</v>
      </c>
      <c r="ADY186" s="760"/>
      <c r="ADZ186" s="759">
        <v>1.4166666666666654</v>
      </c>
      <c r="AEA186" s="760"/>
      <c r="AEB186" s="592">
        <v>233</v>
      </c>
      <c r="AEC186" s="759">
        <f t="shared" si="202"/>
        <v>0.79533333333333345</v>
      </c>
      <c r="AED186" s="760"/>
      <c r="AEE186" s="757">
        <f t="shared" si="203"/>
        <v>1.8640000000000001</v>
      </c>
      <c r="AEF186" s="758"/>
      <c r="AEH186" s="759">
        <v>-0.33333333333333298</v>
      </c>
      <c r="AEI186" s="760"/>
      <c r="AEJ186" s="759">
        <v>1.4166666666666701</v>
      </c>
      <c r="AEK186" s="760"/>
      <c r="AEL186" s="592">
        <v>283</v>
      </c>
      <c r="AEM186" s="759">
        <f t="shared" si="204"/>
        <v>0.66200000000000414</v>
      </c>
      <c r="AEN186" s="760"/>
      <c r="AEO186" s="757">
        <f t="shared" si="205"/>
        <v>2.2640000000000002</v>
      </c>
      <c r="AEP186" s="758"/>
      <c r="AER186" s="759">
        <v>-0.249999999999999</v>
      </c>
      <c r="AES186" s="760"/>
      <c r="AET186" s="759">
        <v>1.2250000000000001</v>
      </c>
      <c r="AEU186" s="760"/>
      <c r="AEV186" s="592">
        <v>333</v>
      </c>
      <c r="AEW186" s="759">
        <f t="shared" si="206"/>
        <v>0.55900000000000272</v>
      </c>
      <c r="AEX186" s="760"/>
      <c r="AEY186" s="757">
        <f t="shared" si="207"/>
        <v>2.6640000000000001</v>
      </c>
      <c r="AEZ186" s="758"/>
      <c r="AFB186" s="759">
        <v>-0.1</v>
      </c>
      <c r="AFC186" s="760"/>
      <c r="AFD186" s="759">
        <v>0.82</v>
      </c>
      <c r="AFE186" s="760"/>
      <c r="AFF186" s="591">
        <v>383</v>
      </c>
      <c r="AFG186" s="759">
        <f t="shared" si="208"/>
        <v>0.51359999999999995</v>
      </c>
      <c r="AFH186" s="760"/>
      <c r="AFI186" s="757">
        <f t="shared" si="209"/>
        <v>3.0640000000000001</v>
      </c>
      <c r="AFJ186" s="758"/>
      <c r="AFK186" s="653"/>
      <c r="AFL186" s="759">
        <v>-0.125</v>
      </c>
      <c r="AFM186" s="760"/>
      <c r="AFN186" s="759">
        <v>0.875</v>
      </c>
      <c r="AFO186" s="760"/>
      <c r="AFP186" s="591">
        <v>433</v>
      </c>
      <c r="AFQ186" s="759">
        <f t="shared" si="210"/>
        <v>0.442</v>
      </c>
      <c r="AFR186" s="760"/>
      <c r="AFS186" s="757">
        <f t="shared" si="211"/>
        <v>3.464</v>
      </c>
      <c r="AFT186" s="758"/>
      <c r="AFU186" s="653"/>
      <c r="AFV186" s="759">
        <v>-6.25E-2</v>
      </c>
      <c r="AFW186" s="760"/>
      <c r="AFX186" s="759">
        <v>0.63749999999999996</v>
      </c>
      <c r="AFY186" s="760"/>
      <c r="AFZ186" s="592">
        <v>483</v>
      </c>
      <c r="AGA186" s="759">
        <f t="shared" si="212"/>
        <v>0.39599999999999996</v>
      </c>
      <c r="AGB186" s="760"/>
      <c r="AGC186" s="757">
        <f t="shared" si="213"/>
        <v>3.8639999999999999</v>
      </c>
      <c r="AGD186" s="758"/>
      <c r="AGE186" s="653"/>
      <c r="AGF186" s="653"/>
      <c r="AGG186" s="653"/>
      <c r="AGH186" s="653"/>
      <c r="AGI186" s="653"/>
      <c r="AGJ186" s="653"/>
      <c r="AHS186" s="130"/>
      <c r="AHT186" s="130"/>
      <c r="AHU186" s="130"/>
      <c r="AHV186" s="130"/>
      <c r="AHW186" s="130"/>
      <c r="AHX186" s="130"/>
      <c r="ARU186" s="849"/>
      <c r="ARV186" s="852" t="s">
        <v>416</v>
      </c>
      <c r="ARW186" s="853"/>
      <c r="ARX186" s="142"/>
      <c r="ARY186" s="78"/>
      <c r="ARZ186" s="78"/>
      <c r="ASA186" s="78"/>
      <c r="ASB186" s="78"/>
      <c r="ASC186" s="78"/>
      <c r="ASD186" s="78"/>
      <c r="ASE186" s="142"/>
      <c r="ASF186" s="76" t="s">
        <v>441</v>
      </c>
      <c r="ASG186" s="854" t="s">
        <v>435</v>
      </c>
      <c r="ASH186" s="1111"/>
      <c r="ASI186" s="924" t="s">
        <v>111</v>
      </c>
      <c r="ASJ186" s="925"/>
      <c r="ASK186" s="916" t="s">
        <v>704</v>
      </c>
      <c r="ASL186" s="917"/>
      <c r="ASM186" s="906" t="s">
        <v>447</v>
      </c>
      <c r="ASN186" s="907"/>
      <c r="ASO186" s="907"/>
      <c r="ASP186" s="908"/>
    </row>
    <row r="187" spans="340:936 1165:1204" ht="48" customHeight="1" thickBot="1">
      <c r="MB187" s="903"/>
      <c r="MC187" s="904"/>
      <c r="MD187" s="904"/>
      <c r="ME187" s="851"/>
      <c r="MF187" s="802" t="s">
        <v>1332</v>
      </c>
      <c r="MG187" s="1116"/>
      <c r="MH187" s="803"/>
      <c r="MI187" s="1333">
        <f>$EQ$45/($GM$24*1000)</f>
        <v>0.2774035510066733</v>
      </c>
      <c r="MJ187" s="1334"/>
      <c r="MK187" s="777"/>
      <c r="ML187" s="778"/>
      <c r="MM187" s="778"/>
      <c r="MN187" s="778"/>
      <c r="MO187" s="778"/>
      <c r="MP187" s="878"/>
      <c r="MQ187" s="942"/>
      <c r="MR187" s="943"/>
      <c r="MS187" s="943"/>
      <c r="MT187" s="943"/>
      <c r="MU187" s="943"/>
      <c r="MV187" s="943"/>
      <c r="MW187" s="943"/>
      <c r="MX187" s="944"/>
      <c r="MY187" s="653"/>
      <c r="MZ187" s="653"/>
      <c r="NA187" s="653"/>
      <c r="NB187" s="653"/>
      <c r="NC187" s="653"/>
      <c r="ND187" s="653"/>
      <c r="NL187" s="130"/>
      <c r="NM187" s="130"/>
      <c r="NN187" s="130"/>
      <c r="NO187" s="130"/>
      <c r="NP187" s="130"/>
      <c r="NQ187" s="130"/>
      <c r="NR187" s="130"/>
      <c r="NS187" s="130"/>
      <c r="NT187" s="130"/>
      <c r="NU187" s="130"/>
      <c r="NV187" s="130"/>
      <c r="NW187" s="130"/>
      <c r="NX187" s="130"/>
      <c r="NY187" s="130"/>
      <c r="NZ187" s="130"/>
      <c r="OA187" s="130"/>
      <c r="OB187" s="130"/>
      <c r="OC187" s="130"/>
      <c r="OD187" s="130"/>
      <c r="OE187" s="130"/>
      <c r="OF187" s="130"/>
      <c r="OG187" s="130"/>
      <c r="OH187" s="130"/>
      <c r="OI187" s="130"/>
      <c r="OJ187" s="130"/>
      <c r="OK187" s="130"/>
      <c r="OY187" s="130"/>
      <c r="OZ187" s="130"/>
      <c r="PA187" s="130"/>
      <c r="PB187" s="130"/>
      <c r="PC187" s="130"/>
      <c r="PD187" s="130"/>
      <c r="PE187" s="130"/>
      <c r="PF187" s="130"/>
      <c r="PG187" s="130"/>
      <c r="PH187" s="130"/>
      <c r="WE187" s="996"/>
      <c r="WF187" s="997"/>
      <c r="WG187" s="800" t="s">
        <v>1248</v>
      </c>
      <c r="WH187" s="982"/>
      <c r="WI187" s="937">
        <f>$MQ$137</f>
        <v>1.0957328694424708</v>
      </c>
      <c r="WJ187" s="937"/>
      <c r="WK187" s="800" t="s">
        <v>1335</v>
      </c>
      <c r="WL187" s="982"/>
      <c r="WM187" s="937">
        <f>$MP$98</f>
        <v>0.38958741854614803</v>
      </c>
      <c r="WN187" s="937"/>
      <c r="WO187" s="1101"/>
      <c r="WP187" s="1101"/>
      <c r="WQ187" s="1101"/>
      <c r="WR187" s="1101"/>
      <c r="WS187" s="1101"/>
      <c r="WT187" s="1101"/>
      <c r="WU187" s="173"/>
      <c r="WV187" s="173"/>
      <c r="WW187" s="173"/>
      <c r="WX187" s="173"/>
      <c r="WY187" s="174"/>
      <c r="WZ187" s="1000"/>
      <c r="XA187" s="1001"/>
      <c r="XB187" s="175"/>
      <c r="XC187" s="173"/>
      <c r="XD187" s="173"/>
      <c r="XE187" s="173"/>
      <c r="XF187" s="17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6"/>
      <c r="AAU187" s="175"/>
      <c r="AAV187" s="173"/>
      <c r="AAW187" s="173"/>
      <c r="AAX187" s="173"/>
      <c r="AAY187" s="173"/>
      <c r="AAZ187" s="173"/>
      <c r="ABA187" s="173"/>
      <c r="ABB187" s="173"/>
      <c r="ABC187" s="173"/>
      <c r="ABD187" s="173"/>
      <c r="ABE187" s="174"/>
      <c r="ABF187" s="158"/>
      <c r="ABG187" s="158"/>
      <c r="ABH187" s="158"/>
      <c r="ABI187" s="158"/>
      <c r="ABJ187" s="158"/>
      <c r="ABK187" s="158"/>
      <c r="ABL187" s="158"/>
      <c r="ABM187" s="158"/>
      <c r="ABN187" s="158"/>
      <c r="ABO187" s="158"/>
      <c r="ABP187" s="163"/>
      <c r="ABQ187" s="653"/>
      <c r="ABR187" s="653"/>
      <c r="ABS187" s="653"/>
      <c r="ABT187" s="653"/>
      <c r="ABU187" s="1026"/>
      <c r="ABV187" s="1027"/>
      <c r="ABW187" s="1027"/>
      <c r="ABX187" s="1027"/>
      <c r="ABY187" s="1027"/>
      <c r="ABZ187" s="1027"/>
      <c r="ACA187" s="1027"/>
      <c r="ACB187" s="1027"/>
      <c r="ACC187" s="1027"/>
      <c r="ACD187" s="1027"/>
      <c r="ACE187" s="1027"/>
      <c r="ACF187" s="1027"/>
      <c r="ACG187" s="1027"/>
      <c r="ACH187" s="1028"/>
      <c r="ACI187" s="703"/>
      <c r="ACJ187" s="759">
        <v>-3.125E-2</v>
      </c>
      <c r="ACK187" s="760"/>
      <c r="ACL187" s="759">
        <v>1</v>
      </c>
      <c r="ACM187" s="760"/>
      <c r="ACN187" s="591">
        <v>34</v>
      </c>
      <c r="ACO187" s="759">
        <f t="shared" si="248"/>
        <v>0.99150000000000005</v>
      </c>
      <c r="ACP187" s="760"/>
      <c r="ACQ187" s="757">
        <f t="shared" si="195"/>
        <v>0.27200000000000002</v>
      </c>
      <c r="ACR187" s="758"/>
      <c r="ACT187" s="759">
        <v>-3.125E-2</v>
      </c>
      <c r="ACU187" s="760"/>
      <c r="ACV187" s="759">
        <v>1</v>
      </c>
      <c r="ACW187" s="760"/>
      <c r="ACX187" s="591">
        <v>84</v>
      </c>
      <c r="ACY187" s="759">
        <f t="shared" si="196"/>
        <v>0.97899999999999998</v>
      </c>
      <c r="ACZ187" s="760"/>
      <c r="ADA187" s="757">
        <f t="shared" si="197"/>
        <v>0.67200000000000004</v>
      </c>
      <c r="ADB187" s="758"/>
      <c r="ADD187" s="759">
        <v>-8.3333333333333398E-2</v>
      </c>
      <c r="ADE187" s="760"/>
      <c r="ADF187" s="759">
        <v>1.0416666666666701</v>
      </c>
      <c r="ADG187" s="760"/>
      <c r="ADH187" s="592">
        <v>134</v>
      </c>
      <c r="ADI187" s="759">
        <f t="shared" si="198"/>
        <v>0.9523333333333367</v>
      </c>
      <c r="ADJ187" s="760"/>
      <c r="ADK187" s="757">
        <f t="shared" si="199"/>
        <v>1.0720000000000001</v>
      </c>
      <c r="ADL187" s="758"/>
      <c r="ADN187" s="759">
        <v>-0.20000000000000018</v>
      </c>
      <c r="ADO187" s="760"/>
      <c r="ADP187" s="759">
        <v>1.1900000000000004</v>
      </c>
      <c r="ADQ187" s="760"/>
      <c r="ADR187" s="591">
        <v>184</v>
      </c>
      <c r="ADS187" s="759">
        <f t="shared" si="200"/>
        <v>0.89560000000000017</v>
      </c>
      <c r="ADT187" s="760"/>
      <c r="ADU187" s="757">
        <f t="shared" si="201"/>
        <v>1.472</v>
      </c>
      <c r="ADV187" s="758"/>
      <c r="ADX187" s="759">
        <v>-0.33333333333333259</v>
      </c>
      <c r="ADY187" s="760"/>
      <c r="ADZ187" s="759">
        <v>1.4166666666666654</v>
      </c>
      <c r="AEA187" s="760"/>
      <c r="AEB187" s="592">
        <v>234</v>
      </c>
      <c r="AEC187" s="759">
        <f t="shared" si="202"/>
        <v>0.79266666666666674</v>
      </c>
      <c r="AED187" s="760"/>
      <c r="AEE187" s="757">
        <f t="shared" si="203"/>
        <v>1.8720000000000001</v>
      </c>
      <c r="AEF187" s="758"/>
      <c r="AEH187" s="759">
        <v>-0.33333333333333298</v>
      </c>
      <c r="AEI187" s="760"/>
      <c r="AEJ187" s="759">
        <v>1.4166666666666701</v>
      </c>
      <c r="AEK187" s="760"/>
      <c r="AEL187" s="592">
        <v>284</v>
      </c>
      <c r="AEM187" s="759">
        <f t="shared" si="204"/>
        <v>0.65933333333333743</v>
      </c>
      <c r="AEN187" s="760"/>
      <c r="AEO187" s="757">
        <f t="shared" si="205"/>
        <v>2.2720000000000002</v>
      </c>
      <c r="AEP187" s="758"/>
      <c r="AER187" s="759">
        <v>-0.249999999999999</v>
      </c>
      <c r="AES187" s="760"/>
      <c r="AET187" s="759">
        <v>1.2250000000000001</v>
      </c>
      <c r="AEU187" s="760"/>
      <c r="AEV187" s="592">
        <v>334</v>
      </c>
      <c r="AEW187" s="759">
        <f t="shared" si="206"/>
        <v>0.55700000000000272</v>
      </c>
      <c r="AEX187" s="760"/>
      <c r="AEY187" s="757">
        <f t="shared" si="207"/>
        <v>2.6720000000000002</v>
      </c>
      <c r="AEZ187" s="758"/>
      <c r="AFB187" s="759">
        <v>-0.1</v>
      </c>
      <c r="AFC187" s="760"/>
      <c r="AFD187" s="759">
        <v>0.82</v>
      </c>
      <c r="AFE187" s="760"/>
      <c r="AFF187" s="591">
        <v>384</v>
      </c>
      <c r="AFG187" s="759">
        <f t="shared" si="208"/>
        <v>0.51279999999999992</v>
      </c>
      <c r="AFH187" s="760"/>
      <c r="AFI187" s="757">
        <f t="shared" si="209"/>
        <v>3.0720000000000001</v>
      </c>
      <c r="AFJ187" s="758"/>
      <c r="AFK187" s="653"/>
      <c r="AFL187" s="759">
        <v>-0.125</v>
      </c>
      <c r="AFM187" s="760"/>
      <c r="AFN187" s="759">
        <v>0.875</v>
      </c>
      <c r="AFO187" s="760"/>
      <c r="AFP187" s="591">
        <v>434</v>
      </c>
      <c r="AFQ187" s="759">
        <f t="shared" si="210"/>
        <v>0.441</v>
      </c>
      <c r="AFR187" s="760"/>
      <c r="AFS187" s="757">
        <f t="shared" si="211"/>
        <v>3.472</v>
      </c>
      <c r="AFT187" s="758"/>
      <c r="AFU187" s="653"/>
      <c r="AFV187" s="759">
        <v>-6.25E-2</v>
      </c>
      <c r="AFW187" s="760"/>
      <c r="AFX187" s="759">
        <v>0.63749999999999996</v>
      </c>
      <c r="AFY187" s="760"/>
      <c r="AFZ187" s="592">
        <v>484</v>
      </c>
      <c r="AGA187" s="759">
        <f t="shared" si="212"/>
        <v>0.39549999999999996</v>
      </c>
      <c r="AGB187" s="760"/>
      <c r="AGC187" s="757">
        <f t="shared" si="213"/>
        <v>3.8719999999999999</v>
      </c>
      <c r="AGD187" s="758"/>
      <c r="AGE187" s="653"/>
      <c r="AGF187" s="653"/>
      <c r="AGG187" s="653"/>
      <c r="AGH187" s="653"/>
      <c r="AGI187" s="653"/>
      <c r="AGJ187" s="653"/>
      <c r="AGL187" s="897" t="s">
        <v>974</v>
      </c>
      <c r="AGM187" s="898"/>
      <c r="AGN187" s="899"/>
      <c r="AGO187" s="849"/>
      <c r="AGP187" s="852" t="s">
        <v>416</v>
      </c>
      <c r="AGQ187" s="853"/>
      <c r="AGR187" s="142"/>
      <c r="AGS187" s="806" t="s">
        <v>1841</v>
      </c>
      <c r="AGT187" s="807"/>
      <c r="AGU187" s="808"/>
      <c r="AGV187" s="75" t="s">
        <v>702</v>
      </c>
      <c r="AGW187" s="142"/>
      <c r="AGX187" s="76" t="s">
        <v>441</v>
      </c>
      <c r="AGY187" s="854" t="s">
        <v>435</v>
      </c>
      <c r="AGZ187" s="855"/>
      <c r="AHA187" s="920" t="s">
        <v>111</v>
      </c>
      <c r="AHB187" s="921"/>
      <c r="AHC187" s="916" t="s">
        <v>704</v>
      </c>
      <c r="AHD187" s="917"/>
      <c r="AHE187" s="906" t="s">
        <v>447</v>
      </c>
      <c r="AHF187" s="907"/>
      <c r="AHG187" s="907"/>
      <c r="AHH187" s="908"/>
      <c r="AHV187" s="130"/>
      <c r="AHW187" s="130"/>
      <c r="AHX187" s="130"/>
      <c r="ARU187" s="850"/>
      <c r="ARV187" s="957" t="s">
        <v>926</v>
      </c>
      <c r="ARW187" s="957"/>
      <c r="ARX187" s="957"/>
      <c r="ARY187" s="957"/>
      <c r="ARZ187" s="957"/>
      <c r="ASA187" s="957"/>
      <c r="ASB187" s="957"/>
      <c r="ASC187" s="957"/>
      <c r="ASD187" s="957"/>
      <c r="ASE187" s="957"/>
      <c r="ASF187" s="957"/>
      <c r="ASG187" s="957"/>
      <c r="ASH187" s="957"/>
      <c r="ASI187" s="835">
        <f>ASL183*((AP6/100)*AX25)^0.5</f>
        <v>5.4169871700051129</v>
      </c>
      <c r="ASJ187" s="836"/>
      <c r="ASK187" s="839"/>
      <c r="ASL187" s="840"/>
      <c r="ASM187" s="1066"/>
      <c r="ASN187" s="843" t="s">
        <v>920</v>
      </c>
      <c r="ASO187" s="844"/>
      <c r="ASP187" s="847"/>
    </row>
    <row r="188" spans="340:936 1165:1204" ht="48" customHeight="1" thickBot="1">
      <c r="MY188" s="653"/>
      <c r="MZ188" s="653"/>
      <c r="NA188" s="653"/>
      <c r="NB188" s="653"/>
      <c r="NC188" s="653"/>
      <c r="ND188" s="653"/>
      <c r="NM188" s="130"/>
      <c r="NN188" s="130"/>
      <c r="NO188" s="130"/>
      <c r="NP188" s="130"/>
      <c r="NQ188" s="130"/>
      <c r="NR188" s="130"/>
      <c r="NS188" s="130"/>
      <c r="NT188" s="130"/>
      <c r="NU188" s="130"/>
      <c r="NV188" s="130"/>
      <c r="NW188" s="130"/>
      <c r="NX188" s="130"/>
      <c r="NY188" s="130"/>
      <c r="NZ188" s="130"/>
      <c r="OA188" s="130"/>
      <c r="OB188" s="130"/>
      <c r="OC188" s="130"/>
      <c r="OD188" s="130"/>
      <c r="OE188" s="130"/>
      <c r="OF188" s="130"/>
      <c r="OG188" s="130"/>
      <c r="OH188" s="130"/>
      <c r="OI188" s="130"/>
      <c r="OJ188" s="130"/>
      <c r="OK188" s="130"/>
      <c r="PD188" s="130"/>
      <c r="PE188" s="130"/>
      <c r="PF188" s="130"/>
      <c r="PG188" s="130"/>
      <c r="PH188" s="130"/>
      <c r="PL188" s="849"/>
      <c r="PM188" s="1257" t="s">
        <v>416</v>
      </c>
      <c r="PN188" s="1257"/>
      <c r="PO188" s="466"/>
      <c r="PP188" s="498" t="s">
        <v>1455</v>
      </c>
      <c r="PQ188" s="1156">
        <f>$MP$23</f>
        <v>0.14308700299628158</v>
      </c>
      <c r="PR188" s="1156"/>
      <c r="PS188" s="78"/>
      <c r="PT188" s="78"/>
      <c r="PU188" s="78"/>
      <c r="PV188" s="466"/>
      <c r="PW188" s="76" t="s">
        <v>441</v>
      </c>
      <c r="PX188" s="854" t="s">
        <v>435</v>
      </c>
      <c r="PY188" s="1111"/>
      <c r="PZ188" s="920" t="s">
        <v>111</v>
      </c>
      <c r="QA188" s="921"/>
      <c r="QB188" s="916" t="s">
        <v>704</v>
      </c>
      <c r="QC188" s="917"/>
      <c r="QD188" s="906" t="s">
        <v>447</v>
      </c>
      <c r="QE188" s="907"/>
      <c r="QF188" s="907"/>
      <c r="QG188" s="908"/>
      <c r="QH188" s="1051" t="s">
        <v>436</v>
      </c>
      <c r="QI188" s="1051"/>
      <c r="QJ188" s="1051"/>
      <c r="QK188" s="1051"/>
      <c r="QL188" s="1051"/>
      <c r="QM188" s="1051"/>
      <c r="WE188" s="754"/>
      <c r="WF188" s="755"/>
      <c r="WG188" s="169"/>
      <c r="WH188" s="170"/>
      <c r="WI188" s="170"/>
      <c r="WJ188" s="170"/>
      <c r="WK188" s="170"/>
      <c r="WL188" s="170"/>
      <c r="WM188" s="170"/>
      <c r="WN188" s="170"/>
      <c r="WO188" s="1059"/>
      <c r="WP188" s="1059"/>
      <c r="WQ188" s="1059"/>
      <c r="WR188" s="1059"/>
      <c r="WS188" s="1059"/>
      <c r="WT188" s="1059"/>
      <c r="WU188" s="170"/>
      <c r="WV188" s="170"/>
      <c r="WW188" s="170"/>
      <c r="WX188" s="170"/>
      <c r="WY188" s="172"/>
      <c r="WZ188" s="1002"/>
      <c r="XA188" s="1003"/>
      <c r="XB188" s="169"/>
      <c r="XC188" s="170"/>
      <c r="XD188" s="170"/>
      <c r="XE188" s="170"/>
      <c r="XF188" s="172"/>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7"/>
      <c r="AAU188" s="169"/>
      <c r="AAV188" s="170"/>
      <c r="AAW188" s="170"/>
      <c r="AAX188" s="170"/>
      <c r="AAY188" s="170"/>
      <c r="AAZ188" s="170"/>
      <c r="ABA188" s="170"/>
      <c r="ABB188" s="170"/>
      <c r="ABC188" s="170"/>
      <c r="ABD188" s="170"/>
      <c r="ABE188" s="172"/>
      <c r="ABF188" s="158"/>
      <c r="ABG188" s="158"/>
      <c r="ABH188" s="158"/>
      <c r="ABI188" s="158"/>
      <c r="ABJ188" s="158"/>
      <c r="ABK188" s="158"/>
      <c r="ABL188" s="158"/>
      <c r="ABM188" s="158"/>
      <c r="ABN188" s="158"/>
      <c r="ABO188" s="158"/>
      <c r="ABP188" s="163"/>
      <c r="ABQ188" s="653"/>
      <c r="ABR188" s="653"/>
      <c r="ABS188" s="653"/>
      <c r="ABT188" s="653"/>
      <c r="ABU188" s="1026"/>
      <c r="ABV188" s="1027"/>
      <c r="ABW188" s="1027"/>
      <c r="ABX188" s="1027"/>
      <c r="ABY188" s="1027"/>
      <c r="ABZ188" s="1027"/>
      <c r="ACA188" s="1027"/>
      <c r="ACB188" s="1027"/>
      <c r="ACC188" s="1027"/>
      <c r="ACD188" s="1027"/>
      <c r="ACE188" s="1027"/>
      <c r="ACF188" s="1027"/>
      <c r="ACG188" s="1027"/>
      <c r="ACH188" s="1028"/>
      <c r="ACI188" s="703"/>
      <c r="ACJ188" s="759">
        <v>-3.125E-2</v>
      </c>
      <c r="ACK188" s="760"/>
      <c r="ACL188" s="759">
        <v>1</v>
      </c>
      <c r="ACM188" s="760"/>
      <c r="ACN188" s="591">
        <v>35</v>
      </c>
      <c r="ACO188" s="759">
        <f t="shared" si="248"/>
        <v>0.99124999999999996</v>
      </c>
      <c r="ACP188" s="760"/>
      <c r="ACQ188" s="757">
        <f t="shared" si="195"/>
        <v>0.28000000000000003</v>
      </c>
      <c r="ACR188" s="758"/>
      <c r="ACT188" s="759">
        <v>-3.125E-2</v>
      </c>
      <c r="ACU188" s="760"/>
      <c r="ACV188" s="759">
        <v>1</v>
      </c>
      <c r="ACW188" s="760"/>
      <c r="ACX188" s="591">
        <v>85</v>
      </c>
      <c r="ACY188" s="759">
        <f t="shared" si="196"/>
        <v>0.97875000000000001</v>
      </c>
      <c r="ACZ188" s="760"/>
      <c r="ADA188" s="757">
        <f t="shared" si="197"/>
        <v>0.68</v>
      </c>
      <c r="ADB188" s="758"/>
      <c r="ADD188" s="759">
        <v>-8.3333333333333398E-2</v>
      </c>
      <c r="ADE188" s="760"/>
      <c r="ADF188" s="759">
        <v>1.0416666666666701</v>
      </c>
      <c r="ADG188" s="760"/>
      <c r="ADH188" s="592">
        <v>135</v>
      </c>
      <c r="ADI188" s="759">
        <f t="shared" si="198"/>
        <v>0.95166666666666999</v>
      </c>
      <c r="ADJ188" s="760"/>
      <c r="ADK188" s="757">
        <f t="shared" si="199"/>
        <v>1.08</v>
      </c>
      <c r="ADL188" s="758"/>
      <c r="ADN188" s="759">
        <v>-0.2</v>
      </c>
      <c r="ADO188" s="760"/>
      <c r="ADP188" s="759">
        <v>1.19</v>
      </c>
      <c r="ADQ188" s="760"/>
      <c r="ADR188" s="591">
        <v>185</v>
      </c>
      <c r="ADS188" s="759">
        <f t="shared" si="200"/>
        <v>0.89399999999999991</v>
      </c>
      <c r="ADT188" s="760"/>
      <c r="ADU188" s="757">
        <f t="shared" si="201"/>
        <v>1.48</v>
      </c>
      <c r="ADV188" s="758"/>
      <c r="ADX188" s="759">
        <v>-0.33333333333333259</v>
      </c>
      <c r="ADY188" s="760"/>
      <c r="ADZ188" s="759">
        <v>1.4166666666666654</v>
      </c>
      <c r="AEA188" s="760"/>
      <c r="AEB188" s="592">
        <v>235</v>
      </c>
      <c r="AEC188" s="759">
        <f t="shared" si="202"/>
        <v>0.79000000000000015</v>
      </c>
      <c r="AED188" s="760"/>
      <c r="AEE188" s="757">
        <f t="shared" si="203"/>
        <v>1.8800000000000001</v>
      </c>
      <c r="AEF188" s="758"/>
      <c r="AEH188" s="759">
        <v>-0.33333333333333298</v>
      </c>
      <c r="AEI188" s="760"/>
      <c r="AEJ188" s="759">
        <v>1.4166666666666701</v>
      </c>
      <c r="AEK188" s="760"/>
      <c r="AEL188" s="592">
        <v>285</v>
      </c>
      <c r="AEM188" s="759">
        <f t="shared" si="204"/>
        <v>0.65666666666667084</v>
      </c>
      <c r="AEN188" s="760"/>
      <c r="AEO188" s="757">
        <f t="shared" si="205"/>
        <v>2.2800000000000002</v>
      </c>
      <c r="AEP188" s="758"/>
      <c r="AER188" s="759">
        <v>-0.249999999999999</v>
      </c>
      <c r="AES188" s="760"/>
      <c r="AET188" s="759">
        <v>1.2250000000000001</v>
      </c>
      <c r="AEU188" s="760"/>
      <c r="AEV188" s="592">
        <v>335</v>
      </c>
      <c r="AEW188" s="759">
        <f t="shared" si="206"/>
        <v>0.55500000000000271</v>
      </c>
      <c r="AEX188" s="760"/>
      <c r="AEY188" s="757">
        <f t="shared" si="207"/>
        <v>2.68</v>
      </c>
      <c r="AEZ188" s="758"/>
      <c r="AFA188" s="653"/>
      <c r="AFB188" s="759">
        <v>-0.1</v>
      </c>
      <c r="AFC188" s="760"/>
      <c r="AFD188" s="759">
        <v>0.82</v>
      </c>
      <c r="AFE188" s="760"/>
      <c r="AFF188" s="591">
        <v>385</v>
      </c>
      <c r="AFG188" s="759">
        <f t="shared" si="208"/>
        <v>0.5119999999999999</v>
      </c>
      <c r="AFH188" s="760"/>
      <c r="AFI188" s="757">
        <f t="shared" si="209"/>
        <v>3.08</v>
      </c>
      <c r="AFJ188" s="758"/>
      <c r="AFK188" s="653"/>
      <c r="AFL188" s="759">
        <v>-0.125</v>
      </c>
      <c r="AFM188" s="760"/>
      <c r="AFN188" s="759">
        <v>0.875</v>
      </c>
      <c r="AFO188" s="760"/>
      <c r="AFP188" s="591">
        <v>435</v>
      </c>
      <c r="AFQ188" s="759">
        <f t="shared" si="210"/>
        <v>0.44</v>
      </c>
      <c r="AFR188" s="760"/>
      <c r="AFS188" s="757">
        <f t="shared" si="211"/>
        <v>3.48</v>
      </c>
      <c r="AFT188" s="758"/>
      <c r="AFU188" s="653"/>
      <c r="AFV188" s="759">
        <v>-6.25E-2</v>
      </c>
      <c r="AFW188" s="760"/>
      <c r="AFX188" s="759">
        <v>0.63749999999999996</v>
      </c>
      <c r="AFY188" s="760"/>
      <c r="AFZ188" s="592">
        <v>485</v>
      </c>
      <c r="AGA188" s="759">
        <f t="shared" si="212"/>
        <v>0.39499999999999996</v>
      </c>
      <c r="AGB188" s="760"/>
      <c r="AGC188" s="757">
        <f t="shared" si="213"/>
        <v>3.88</v>
      </c>
      <c r="AGD188" s="758"/>
      <c r="AGE188" s="653"/>
      <c r="AGF188" s="653"/>
      <c r="AGG188" s="653"/>
      <c r="AGH188" s="653"/>
      <c r="AGI188" s="653"/>
      <c r="AGJ188" s="653"/>
      <c r="AGL188" s="900"/>
      <c r="AGM188" s="901"/>
      <c r="AGN188" s="902"/>
      <c r="AGO188" s="850"/>
      <c r="AGP188" s="791" t="s">
        <v>1404</v>
      </c>
      <c r="AGQ188" s="792"/>
      <c r="AGR188" s="792"/>
      <c r="AGS188" s="792"/>
      <c r="AGT188" s="792"/>
      <c r="AGU188" s="792"/>
      <c r="AGV188" s="792"/>
      <c r="AGW188" s="792"/>
      <c r="AGX188" s="792"/>
      <c r="AGY188" s="792"/>
      <c r="AGZ188" s="792"/>
      <c r="AHA188" s="1054">
        <v>0.45</v>
      </c>
      <c r="AHB188" s="1055"/>
      <c r="AHC188" s="1341" t="s">
        <v>729</v>
      </c>
      <c r="AHD188" s="1342"/>
      <c r="AHE188" s="841"/>
      <c r="AHF188" s="893" t="s">
        <v>1394</v>
      </c>
      <c r="AHG188" s="894"/>
      <c r="AHH188" s="847"/>
      <c r="ARU188" s="851"/>
      <c r="ARV188" s="1147"/>
      <c r="ARW188" s="1147"/>
      <c r="ARX188" s="1147"/>
      <c r="ARY188" s="1147"/>
      <c r="ARZ188" s="1147"/>
      <c r="ASA188" s="1147"/>
      <c r="ASB188" s="1147"/>
      <c r="ASC188" s="1147"/>
      <c r="ASD188" s="1147"/>
      <c r="ASE188" s="1147"/>
      <c r="ASF188" s="1147"/>
      <c r="ASG188" s="1147"/>
      <c r="ASH188" s="1147"/>
      <c r="ASI188" s="837"/>
      <c r="ASJ188" s="838"/>
      <c r="ASK188" s="777"/>
      <c r="ASL188" s="799"/>
      <c r="ASM188" s="1067"/>
      <c r="ASN188" s="845"/>
      <c r="ASO188" s="846"/>
      <c r="ASP188" s="848"/>
    </row>
    <row r="189" spans="340:936 1165:1204" ht="48" customHeight="1" thickBot="1">
      <c r="MY189" s="653"/>
      <c r="MZ189" s="653"/>
      <c r="NA189" s="653"/>
      <c r="NB189" s="653"/>
      <c r="NC189" s="653"/>
      <c r="ND189" s="653"/>
      <c r="NK189" s="130"/>
      <c r="NM189" s="130"/>
      <c r="NN189" s="130"/>
      <c r="NO189" s="130"/>
      <c r="NP189" s="130"/>
      <c r="NQ189" s="130"/>
      <c r="NR189" s="130"/>
      <c r="NS189" s="130"/>
      <c r="NT189" s="130"/>
      <c r="NU189" s="130"/>
      <c r="NV189" s="130"/>
      <c r="NW189" s="130"/>
      <c r="NX189" s="130"/>
      <c r="NY189" s="130"/>
      <c r="NZ189" s="130"/>
      <c r="OA189" s="130"/>
      <c r="OB189" s="130"/>
      <c r="OC189" s="130"/>
      <c r="OD189" s="130"/>
      <c r="OE189" s="130"/>
      <c r="OF189" s="130"/>
      <c r="OG189" s="130"/>
      <c r="OH189" s="130"/>
      <c r="OI189" s="130"/>
      <c r="OJ189" s="130"/>
      <c r="OK189" s="130"/>
      <c r="PL189" s="850"/>
      <c r="PM189" s="498" t="s">
        <v>1179</v>
      </c>
      <c r="PN189" s="761">
        <f>$KL$99</f>
        <v>16.250799463770147</v>
      </c>
      <c r="PO189" s="761"/>
      <c r="PP189" s="809" t="s">
        <v>156</v>
      </c>
      <c r="PQ189" s="797"/>
      <c r="PR189" s="797"/>
      <c r="PS189" s="797"/>
      <c r="PT189" s="797"/>
      <c r="PU189" s="797"/>
      <c r="PV189" s="797"/>
      <c r="PW189" s="797"/>
      <c r="PX189" s="797"/>
      <c r="PY189" s="798"/>
      <c r="PZ189" s="835">
        <f>PN190*(PN189^2)*PQ188</f>
        <v>113.36288876577593</v>
      </c>
      <c r="QA189" s="836"/>
      <c r="QB189" s="1075" t="s">
        <v>3</v>
      </c>
      <c r="QC189" s="1076"/>
      <c r="QD189" s="1066"/>
      <c r="QE189" s="1170" t="s">
        <v>1578</v>
      </c>
      <c r="QF189" s="1172"/>
      <c r="QG189" s="847"/>
      <c r="QH189" s="1052"/>
      <c r="QI189" s="1052"/>
      <c r="QJ189" s="1052"/>
      <c r="QK189" s="1052"/>
      <c r="QL189" s="1052"/>
      <c r="QM189" s="1052"/>
      <c r="WE189" s="752">
        <v>29</v>
      </c>
      <c r="WF189" s="753"/>
      <c r="WG189" s="1105" t="s">
        <v>1264</v>
      </c>
      <c r="WH189" s="1106"/>
      <c r="WI189" s="1120">
        <f>$MQ$212</f>
        <v>2.5479278737632125</v>
      </c>
      <c r="WJ189" s="1120"/>
      <c r="WK189" s="1105" t="s">
        <v>1266</v>
      </c>
      <c r="WL189" s="1106"/>
      <c r="WM189" s="1120">
        <f>$MN$216</f>
        <v>1.2922478994547311</v>
      </c>
      <c r="WN189" s="1120"/>
      <c r="WO189" s="173"/>
      <c r="WP189" s="173"/>
      <c r="WQ189" s="173"/>
      <c r="WR189" s="173"/>
      <c r="WS189" s="173"/>
      <c r="WT189" s="173"/>
      <c r="WU189" s="173"/>
      <c r="WV189" s="173"/>
      <c r="WW189" s="173"/>
      <c r="WX189" s="173"/>
      <c r="WY189" s="173"/>
      <c r="WZ189" s="998" t="s">
        <v>392</v>
      </c>
      <c r="XA189" s="999"/>
      <c r="XB189" s="167"/>
      <c r="XC189" s="168"/>
      <c r="XD189" s="168"/>
      <c r="XE189" s="168"/>
      <c r="XF189" s="171"/>
      <c r="XG189" s="1004">
        <f>$WM$190*(XG180+XG184+$WI$190)/($WI$189+$WM$189+$WI$190)</f>
        <v>0.36303095222788129</v>
      </c>
      <c r="XH189" s="1004">
        <f>$WM$190*(XH180+XH184+$WI$190)/($WI$189+$WM$189+$WI$190)</f>
        <v>0.3618963873385585</v>
      </c>
      <c r="XI189" s="1004">
        <f>$WM$190*(XI180+XI184+$WI$190)/($WI$189+$WM$189+$WI$190)</f>
        <v>0.36079538961894397</v>
      </c>
      <c r="XJ189" s="1004">
        <f t="shared" ref="XJ189:ZU189" si="260">$WM$190*(XJ180+XJ184+$WI$190)/($WI$189+$WM$189+$WI$190)</f>
        <v>0.35972563889209636</v>
      </c>
      <c r="XK189" s="1004">
        <f t="shared" si="260"/>
        <v>0.35894255449801143</v>
      </c>
      <c r="XL189" s="1004">
        <f t="shared" si="260"/>
        <v>0.3579225186871367</v>
      </c>
      <c r="XM189" s="1004">
        <f t="shared" si="260"/>
        <v>0.3571745658928252</v>
      </c>
      <c r="XN189" s="1004">
        <f t="shared" si="260"/>
        <v>0.35644046375938154</v>
      </c>
      <c r="XO189" s="1004">
        <f t="shared" si="260"/>
        <v>0.35571955485357715</v>
      </c>
      <c r="XP189" s="1004">
        <f t="shared" si="260"/>
        <v>0.355011222701618</v>
      </c>
      <c r="XQ189" s="1004">
        <f t="shared" si="260"/>
        <v>0.35431488864824467</v>
      </c>
      <c r="XR189" s="1004">
        <f t="shared" si="260"/>
        <v>0.35363000900049274</v>
      </c>
      <c r="XS189" s="1004">
        <f t="shared" si="260"/>
        <v>0.35295607242646043</v>
      </c>
      <c r="XT189" s="1004">
        <f t="shared" si="260"/>
        <v>0.35251262199471378</v>
      </c>
      <c r="XU189" s="1004">
        <f t="shared" si="260"/>
        <v>0.35185586804794033</v>
      </c>
      <c r="XV189" s="1004">
        <f t="shared" si="260"/>
        <v>0.35142345815479242</v>
      </c>
      <c r="XW189" s="1004">
        <f t="shared" si="260"/>
        <v>0.35078267472002467</v>
      </c>
      <c r="XX189" s="1004">
        <f t="shared" si="260"/>
        <v>0.35036053561008873</v>
      </c>
      <c r="XY189" s="1004">
        <f t="shared" si="260"/>
        <v>0.34994230521868169</v>
      </c>
      <c r="XZ189" s="1004">
        <f t="shared" si="260"/>
        <v>0.34952787577361605</v>
      </c>
      <c r="YA189" s="1004">
        <f t="shared" si="260"/>
        <v>0.34932205380556453</v>
      </c>
      <c r="YB189" s="1004">
        <f t="shared" si="260"/>
        <v>0.34891313224646425</v>
      </c>
      <c r="YC189" s="1004">
        <f t="shared" si="260"/>
        <v>0.34850775899434455</v>
      </c>
      <c r="YD189" s="1004">
        <f t="shared" si="260"/>
        <v>0.34830637323037672</v>
      </c>
      <c r="YE189" s="1004">
        <f t="shared" si="260"/>
        <v>0.34743328007673729</v>
      </c>
      <c r="YF189" s="1004">
        <f t="shared" si="260"/>
        <v>0.3469499525097422</v>
      </c>
      <c r="YG189" s="1004">
        <f t="shared" si="260"/>
        <v>0.34647134013026948</v>
      </c>
      <c r="YH189" s="1004">
        <f t="shared" si="260"/>
        <v>0.34599729500751542</v>
      </c>
      <c r="YI189" s="1004">
        <f t="shared" si="260"/>
        <v>0.34552767533472756</v>
      </c>
      <c r="YJ189" s="1004">
        <f t="shared" si="260"/>
        <v>0.34506234511554662</v>
      </c>
      <c r="YK189" s="1004">
        <f t="shared" si="260"/>
        <v>0.34460117386942968</v>
      </c>
      <c r="YL189" s="1004">
        <f t="shared" si="260"/>
        <v>0.34460117386942968</v>
      </c>
      <c r="YM189" s="1004">
        <f t="shared" si="260"/>
        <v>0.34414403635481483</v>
      </c>
      <c r="YN189" s="1004">
        <f t="shared" si="260"/>
        <v>0.34369081230879439</v>
      </c>
      <c r="YO189" s="1004">
        <f t="shared" si="260"/>
        <v>0.34369081230879439</v>
      </c>
      <c r="YP189" s="1004">
        <f t="shared" si="260"/>
        <v>0.34324138620215672</v>
      </c>
      <c r="YQ189" s="1004">
        <f t="shared" si="260"/>
        <v>0.34324138620215672</v>
      </c>
      <c r="YR189" s="1004">
        <f t="shared" si="260"/>
        <v>0.34324138620215672</v>
      </c>
      <c r="YS189" s="1004">
        <f t="shared" si="260"/>
        <v>0.34279564700875098</v>
      </c>
      <c r="YT189" s="1004">
        <f t="shared" si="260"/>
        <v>0.34279564700875098</v>
      </c>
      <c r="YU189" s="1004">
        <f t="shared" si="260"/>
        <v>0.34279564700875098</v>
      </c>
      <c r="YV189" s="1004">
        <f t="shared" si="260"/>
        <v>0.34235348798820581</v>
      </c>
      <c r="YW189" s="1004">
        <f t="shared" si="260"/>
        <v>0.34235348798820581</v>
      </c>
      <c r="YX189" s="1004">
        <f t="shared" si="260"/>
        <v>0.34235348798820581</v>
      </c>
      <c r="YY189" s="1004">
        <f t="shared" si="260"/>
        <v>0.34235348798820581</v>
      </c>
      <c r="YZ189" s="1004">
        <f t="shared" si="260"/>
        <v>0.3419148064811085</v>
      </c>
      <c r="ZA189" s="1004">
        <f t="shared" si="260"/>
        <v>0.3419148064811085</v>
      </c>
      <c r="ZB189" s="1004">
        <f t="shared" si="260"/>
        <v>0.3419148064811085</v>
      </c>
      <c r="ZC189" s="1004">
        <f t="shared" si="260"/>
        <v>0.3419148064811085</v>
      </c>
      <c r="ZD189" s="1004">
        <f t="shared" si="260"/>
        <v>0.3419148064811085</v>
      </c>
      <c r="ZE189" s="1004">
        <f t="shared" si="260"/>
        <v>0.34147950371582036</v>
      </c>
      <c r="ZF189" s="1004">
        <f t="shared" si="260"/>
        <v>0.34147950371582036</v>
      </c>
      <c r="ZG189" s="1004">
        <f t="shared" si="260"/>
        <v>0.34147950371582036</v>
      </c>
      <c r="ZH189" s="1004">
        <f t="shared" si="260"/>
        <v>0.34147950371582036</v>
      </c>
      <c r="ZI189" s="1004">
        <f t="shared" si="260"/>
        <v>0.34147950371582036</v>
      </c>
      <c r="ZJ189" s="1004">
        <f t="shared" si="260"/>
        <v>0.34147950371582036</v>
      </c>
      <c r="ZK189" s="1004">
        <f t="shared" si="260"/>
        <v>0.34147950371582036</v>
      </c>
      <c r="ZL189" s="1004">
        <f t="shared" si="260"/>
        <v>0.34104748462616125</v>
      </c>
      <c r="ZM189" s="1004">
        <f t="shared" si="260"/>
        <v>0.34104748462616125</v>
      </c>
      <c r="ZN189" s="1004">
        <f t="shared" si="260"/>
        <v>0.34104748462616125</v>
      </c>
      <c r="ZO189" s="1004">
        <f t="shared" si="260"/>
        <v>0.34104748462616125</v>
      </c>
      <c r="ZP189" s="1004">
        <f t="shared" si="260"/>
        <v>0.34104748462616125</v>
      </c>
      <c r="ZQ189" s="1004">
        <f t="shared" si="260"/>
        <v>0.34104748462616125</v>
      </c>
      <c r="ZR189" s="1004">
        <f t="shared" si="260"/>
        <v>0.34104748462616125</v>
      </c>
      <c r="ZS189" s="1004">
        <f t="shared" si="260"/>
        <v>0.34104748462616125</v>
      </c>
      <c r="ZT189" s="1004">
        <f t="shared" si="260"/>
        <v>0.34104748462616125</v>
      </c>
      <c r="ZU189" s="1004">
        <f t="shared" si="260"/>
        <v>0.34104748462616125</v>
      </c>
      <c r="ZV189" s="1004">
        <f t="shared" ref="ZV189:AAS189" si="261">$WM$190*(ZV180+ZV184+$WI$190)/($WI$189+$WM$189+$WI$190)</f>
        <v>0.34104748462616125</v>
      </c>
      <c r="ZW189" s="1004">
        <f t="shared" si="261"/>
        <v>0.34104748462616125</v>
      </c>
      <c r="ZX189" s="1004">
        <f t="shared" si="261"/>
        <v>0.34104748462616125</v>
      </c>
      <c r="ZY189" s="1004">
        <f t="shared" si="261"/>
        <v>0.34061865767926031</v>
      </c>
      <c r="ZZ189" s="1004">
        <f t="shared" si="261"/>
        <v>0.34061865767926031</v>
      </c>
      <c r="AAA189" s="1004">
        <f t="shared" si="261"/>
        <v>0.34061865767926031</v>
      </c>
      <c r="AAB189" s="1004">
        <f t="shared" si="261"/>
        <v>0.34061865767926031</v>
      </c>
      <c r="AAC189" s="1004">
        <f t="shared" si="261"/>
        <v>0.34061865767926031</v>
      </c>
      <c r="AAD189" s="1004">
        <f t="shared" si="261"/>
        <v>0.34061865767926031</v>
      </c>
      <c r="AAE189" s="1004">
        <f t="shared" si="261"/>
        <v>0.34061865767926031</v>
      </c>
      <c r="AAF189" s="1004">
        <f t="shared" si="261"/>
        <v>0.34061865767926031</v>
      </c>
      <c r="AAG189" s="1004">
        <f t="shared" si="261"/>
        <v>0.34061865767926031</v>
      </c>
      <c r="AAH189" s="1004">
        <f t="shared" si="261"/>
        <v>0.34061865767926031</v>
      </c>
      <c r="AAI189" s="1004">
        <f t="shared" si="261"/>
        <v>0.34061865767926031</v>
      </c>
      <c r="AAJ189" s="1004">
        <f t="shared" si="261"/>
        <v>0.34061865767926031</v>
      </c>
      <c r="AAK189" s="1004">
        <f t="shared" si="261"/>
        <v>0.34061865767926031</v>
      </c>
      <c r="AAL189" s="1004">
        <f t="shared" si="261"/>
        <v>0.34061865767926031</v>
      </c>
      <c r="AAM189" s="1004">
        <f t="shared" si="261"/>
        <v>0.34061865767926031</v>
      </c>
      <c r="AAN189" s="1004">
        <f t="shared" si="261"/>
        <v>0.34061865767926031</v>
      </c>
      <c r="AAO189" s="1004">
        <f t="shared" si="261"/>
        <v>0.34061865767926031</v>
      </c>
      <c r="AAP189" s="1004">
        <f t="shared" si="261"/>
        <v>0.34061865767926031</v>
      </c>
      <c r="AAQ189" s="1004">
        <f t="shared" si="261"/>
        <v>0.34061865767926031</v>
      </c>
      <c r="AAR189" s="1004">
        <f t="shared" si="261"/>
        <v>0.34061865767926031</v>
      </c>
      <c r="AAS189" s="1004">
        <f t="shared" si="261"/>
        <v>0.34061865767926031</v>
      </c>
      <c r="AAT189" s="1005">
        <v>29</v>
      </c>
      <c r="AAU189" s="167"/>
      <c r="AAV189" s="168"/>
      <c r="AAW189" s="168"/>
      <c r="AAX189" s="168"/>
      <c r="AAY189" s="168"/>
      <c r="AAZ189" s="168"/>
      <c r="ABA189" s="168"/>
      <c r="ABB189" s="168"/>
      <c r="ABC189" s="168"/>
      <c r="ABD189" s="168"/>
      <c r="ABE189" s="171"/>
      <c r="ABF189" s="158"/>
      <c r="ABG189" s="158"/>
      <c r="ABH189" s="158"/>
      <c r="ABI189" s="158"/>
      <c r="ABJ189" s="158"/>
      <c r="ABK189" s="158"/>
      <c r="ABL189" s="158"/>
      <c r="ABM189" s="158"/>
      <c r="ABN189" s="158"/>
      <c r="ABO189" s="158"/>
      <c r="ABP189" s="163"/>
      <c r="ABU189" s="1026"/>
      <c r="ABV189" s="1027"/>
      <c r="ABW189" s="1027"/>
      <c r="ABX189" s="1027"/>
      <c r="ABY189" s="1027"/>
      <c r="ABZ189" s="1027"/>
      <c r="ACA189" s="1027"/>
      <c r="ACB189" s="1027"/>
      <c r="ACC189" s="1027"/>
      <c r="ACD189" s="1027"/>
      <c r="ACE189" s="1027"/>
      <c r="ACF189" s="1027"/>
      <c r="ACG189" s="1027"/>
      <c r="ACH189" s="1028"/>
      <c r="ACJ189" s="759">
        <v>-3.125E-2</v>
      </c>
      <c r="ACK189" s="760"/>
      <c r="ACL189" s="759">
        <v>1</v>
      </c>
      <c r="ACM189" s="760"/>
      <c r="ACN189" s="591">
        <v>36</v>
      </c>
      <c r="ACO189" s="759">
        <f t="shared" si="248"/>
        <v>0.99099999999999999</v>
      </c>
      <c r="ACP189" s="760"/>
      <c r="ACQ189" s="757">
        <f t="shared" si="195"/>
        <v>0.28800000000000003</v>
      </c>
      <c r="ACR189" s="758"/>
      <c r="ACT189" s="759">
        <v>-3.125E-2</v>
      </c>
      <c r="ACU189" s="760"/>
      <c r="ACV189" s="759">
        <v>1</v>
      </c>
      <c r="ACW189" s="760"/>
      <c r="ACX189" s="591">
        <v>86</v>
      </c>
      <c r="ACY189" s="759">
        <f t="shared" si="196"/>
        <v>0.97850000000000004</v>
      </c>
      <c r="ACZ189" s="760"/>
      <c r="ADA189" s="757">
        <f t="shared" si="197"/>
        <v>0.68800000000000006</v>
      </c>
      <c r="ADB189" s="758"/>
      <c r="ADD189" s="759">
        <v>-8.3333333333333398E-2</v>
      </c>
      <c r="ADE189" s="760"/>
      <c r="ADF189" s="759">
        <v>1.0416666666666701</v>
      </c>
      <c r="ADG189" s="760"/>
      <c r="ADH189" s="592">
        <v>136</v>
      </c>
      <c r="ADI189" s="759">
        <f t="shared" si="198"/>
        <v>0.95100000000000329</v>
      </c>
      <c r="ADJ189" s="760"/>
      <c r="ADK189" s="757">
        <f t="shared" si="199"/>
        <v>1.0880000000000001</v>
      </c>
      <c r="ADL189" s="758"/>
      <c r="ADN189" s="759">
        <v>-0.2</v>
      </c>
      <c r="ADO189" s="760"/>
      <c r="ADP189" s="759">
        <v>1.19</v>
      </c>
      <c r="ADQ189" s="760"/>
      <c r="ADR189" s="591">
        <v>186</v>
      </c>
      <c r="ADS189" s="759">
        <f t="shared" si="200"/>
        <v>0.89239999999999986</v>
      </c>
      <c r="ADT189" s="760"/>
      <c r="ADU189" s="757">
        <f t="shared" si="201"/>
        <v>1.488</v>
      </c>
      <c r="ADV189" s="758"/>
      <c r="ADX189" s="759">
        <v>-0.33333333333333259</v>
      </c>
      <c r="ADY189" s="760"/>
      <c r="ADZ189" s="759">
        <v>1.4166666666666654</v>
      </c>
      <c r="AEA189" s="760"/>
      <c r="AEB189" s="592">
        <v>236</v>
      </c>
      <c r="AEC189" s="759">
        <f t="shared" si="202"/>
        <v>0.78733333333333344</v>
      </c>
      <c r="AED189" s="760"/>
      <c r="AEE189" s="757">
        <f t="shared" si="203"/>
        <v>1.8880000000000001</v>
      </c>
      <c r="AEF189" s="758"/>
      <c r="AEH189" s="759">
        <v>-0.33333333333333298</v>
      </c>
      <c r="AEI189" s="760"/>
      <c r="AEJ189" s="759">
        <v>1.4166666666666701</v>
      </c>
      <c r="AEK189" s="760"/>
      <c r="AEL189" s="592">
        <v>286</v>
      </c>
      <c r="AEM189" s="759">
        <f t="shared" si="204"/>
        <v>0.65400000000000413</v>
      </c>
      <c r="AEN189" s="760"/>
      <c r="AEO189" s="757">
        <f t="shared" si="205"/>
        <v>2.2880000000000003</v>
      </c>
      <c r="AEP189" s="758"/>
      <c r="AER189" s="759">
        <v>-0.249999999999999</v>
      </c>
      <c r="AES189" s="760"/>
      <c r="AET189" s="759">
        <v>1.2250000000000001</v>
      </c>
      <c r="AEU189" s="760"/>
      <c r="AEV189" s="592">
        <v>336</v>
      </c>
      <c r="AEW189" s="759">
        <f t="shared" si="206"/>
        <v>0.55300000000000271</v>
      </c>
      <c r="AEX189" s="760"/>
      <c r="AEY189" s="757">
        <f t="shared" si="207"/>
        <v>2.6880000000000002</v>
      </c>
      <c r="AEZ189" s="758"/>
      <c r="AFA189" s="653"/>
      <c r="AFB189" s="759">
        <v>-0.1</v>
      </c>
      <c r="AFC189" s="760"/>
      <c r="AFD189" s="759">
        <v>0.82</v>
      </c>
      <c r="AFE189" s="760"/>
      <c r="AFF189" s="591">
        <v>386</v>
      </c>
      <c r="AFG189" s="759">
        <f t="shared" si="208"/>
        <v>0.51119999999999988</v>
      </c>
      <c r="AFH189" s="760"/>
      <c r="AFI189" s="757">
        <f t="shared" si="209"/>
        <v>3.0880000000000001</v>
      </c>
      <c r="AFJ189" s="758"/>
      <c r="AFK189" s="653"/>
      <c r="AFL189" s="759">
        <v>-0.125</v>
      </c>
      <c r="AFM189" s="760"/>
      <c r="AFN189" s="759">
        <v>0.875</v>
      </c>
      <c r="AFO189" s="760"/>
      <c r="AFP189" s="591">
        <v>436</v>
      </c>
      <c r="AFQ189" s="759">
        <f t="shared" si="210"/>
        <v>0.439</v>
      </c>
      <c r="AFR189" s="760"/>
      <c r="AFS189" s="757">
        <f t="shared" si="211"/>
        <v>3.488</v>
      </c>
      <c r="AFT189" s="758"/>
      <c r="AFU189" s="653"/>
      <c r="AFV189" s="759">
        <v>-6.25E-2</v>
      </c>
      <c r="AFW189" s="760"/>
      <c r="AFX189" s="759">
        <v>0.63749999999999996</v>
      </c>
      <c r="AFY189" s="760"/>
      <c r="AFZ189" s="592">
        <v>486</v>
      </c>
      <c r="AGA189" s="759">
        <f t="shared" si="212"/>
        <v>0.39449999999999996</v>
      </c>
      <c r="AGB189" s="760"/>
      <c r="AGC189" s="757">
        <f t="shared" si="213"/>
        <v>3.8879999999999999</v>
      </c>
      <c r="AGD189" s="758"/>
      <c r="AGE189" s="653"/>
      <c r="AGF189" s="653"/>
      <c r="AGG189" s="653"/>
      <c r="AGH189" s="653"/>
      <c r="AGI189" s="653"/>
      <c r="AGJ189" s="653"/>
      <c r="AGL189" s="903"/>
      <c r="AGM189" s="904"/>
      <c r="AGN189" s="905"/>
      <c r="AGO189" s="851"/>
      <c r="AGP189" s="794"/>
      <c r="AGQ189" s="795"/>
      <c r="AGR189" s="795"/>
      <c r="AGS189" s="795"/>
      <c r="AGT189" s="795"/>
      <c r="AGU189" s="795"/>
      <c r="AGV189" s="795"/>
      <c r="AGW189" s="795"/>
      <c r="AGX189" s="795"/>
      <c r="AGY189" s="795"/>
      <c r="AGZ189" s="795"/>
      <c r="AHA189" s="1056"/>
      <c r="AHB189" s="1057"/>
      <c r="AHC189" s="1355"/>
      <c r="AHD189" s="1356"/>
      <c r="AHE189" s="842"/>
      <c r="AHF189" s="918"/>
      <c r="AHG189" s="919"/>
      <c r="AHH189" s="848"/>
    </row>
    <row r="190" spans="340:936 1165:1204" ht="48" customHeight="1" thickBot="1">
      <c r="NQ190" s="130"/>
      <c r="NR190" s="130"/>
      <c r="NS190" s="130"/>
      <c r="NT190" s="130"/>
      <c r="NU190" s="130"/>
      <c r="NV190" s="130"/>
      <c r="NW190" s="130"/>
      <c r="NX190" s="130"/>
      <c r="NY190" s="130"/>
      <c r="NZ190" s="130"/>
      <c r="OA190" s="130"/>
      <c r="OB190" s="130"/>
      <c r="OC190" s="130"/>
      <c r="OD190" s="130"/>
      <c r="OE190" s="130"/>
      <c r="OF190" s="130"/>
      <c r="OG190" s="130"/>
      <c r="OH190" s="130"/>
      <c r="OI190" s="130"/>
      <c r="OJ190" s="130"/>
      <c r="OK190" s="130"/>
      <c r="PL190" s="851"/>
      <c r="PM190" s="501" t="s">
        <v>816</v>
      </c>
      <c r="PN190" s="879">
        <f>$AP$9</f>
        <v>3</v>
      </c>
      <c r="PO190" s="879"/>
      <c r="PP190" s="777"/>
      <c r="PQ190" s="778"/>
      <c r="PR190" s="778"/>
      <c r="PS190" s="778"/>
      <c r="PT190" s="778"/>
      <c r="PU190" s="778"/>
      <c r="PV190" s="778"/>
      <c r="PW190" s="778"/>
      <c r="PX190" s="778"/>
      <c r="PY190" s="799"/>
      <c r="PZ190" s="837"/>
      <c r="QA190" s="838"/>
      <c r="QB190" s="1077"/>
      <c r="QC190" s="1078"/>
      <c r="QD190" s="1067"/>
      <c r="QE190" s="1173"/>
      <c r="QF190" s="1175"/>
      <c r="QG190" s="848"/>
      <c r="QH190" s="1053"/>
      <c r="QI190" s="1053"/>
      <c r="QJ190" s="1053"/>
      <c r="QK190" s="1053"/>
      <c r="QL190" s="1053"/>
      <c r="QM190" s="1053"/>
      <c r="WE190" s="996"/>
      <c r="WF190" s="997"/>
      <c r="WG190" s="800" t="s">
        <v>1265</v>
      </c>
      <c r="WH190" s="982"/>
      <c r="WI190" s="937">
        <f>$MP$234</f>
        <v>0.61171910270933894</v>
      </c>
      <c r="WJ190" s="937"/>
      <c r="WK190" s="800" t="s">
        <v>1339</v>
      </c>
      <c r="WL190" s="982"/>
      <c r="WM190" s="1156">
        <f>$MM$241</f>
        <v>0.37750130463778836</v>
      </c>
      <c r="WN190" s="1156"/>
      <c r="WO190" s="173"/>
      <c r="WP190" s="173"/>
      <c r="WQ190" s="173"/>
      <c r="WR190" s="173"/>
      <c r="WS190" s="173"/>
      <c r="WT190" s="173"/>
      <c r="WU190" s="173"/>
      <c r="WV190" s="173"/>
      <c r="WW190" s="173"/>
      <c r="WX190" s="173"/>
      <c r="WY190" s="173"/>
      <c r="WZ190" s="1000"/>
      <c r="XA190" s="1001"/>
      <c r="XB190" s="175"/>
      <c r="XC190" s="173"/>
      <c r="XD190" s="173"/>
      <c r="XE190" s="173"/>
      <c r="XF190" s="17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6"/>
      <c r="AAU190" s="175"/>
      <c r="AAV190" s="173"/>
      <c r="AAW190" s="173"/>
      <c r="AAX190" s="173"/>
      <c r="AAY190" s="173"/>
      <c r="AAZ190" s="173"/>
      <c r="ABA190" s="173"/>
      <c r="ABB190" s="173"/>
      <c r="ABC190" s="173"/>
      <c r="ABD190" s="173"/>
      <c r="ABE190" s="174"/>
      <c r="ABF190" s="158"/>
      <c r="ABG190" s="158"/>
      <c r="ABH190" s="158"/>
      <c r="ABI190" s="158"/>
      <c r="ABJ190" s="158"/>
      <c r="ABK190" s="158"/>
      <c r="ABL190" s="158"/>
      <c r="ABM190" s="158"/>
      <c r="ABN190" s="158"/>
      <c r="ABO190" s="158"/>
      <c r="ABP190" s="163"/>
      <c r="ABU190" s="1026"/>
      <c r="ABV190" s="1027"/>
      <c r="ABW190" s="1027"/>
      <c r="ABX190" s="1027"/>
      <c r="ABY190" s="1027"/>
      <c r="ABZ190" s="1027"/>
      <c r="ACA190" s="1027"/>
      <c r="ACB190" s="1027"/>
      <c r="ACC190" s="1027"/>
      <c r="ACD190" s="1027"/>
      <c r="ACE190" s="1027"/>
      <c r="ACF190" s="1027"/>
      <c r="ACG190" s="1027"/>
      <c r="ACH190" s="1028"/>
      <c r="ACJ190" s="759">
        <v>-3.125E-2</v>
      </c>
      <c r="ACK190" s="760"/>
      <c r="ACL190" s="759">
        <v>1</v>
      </c>
      <c r="ACM190" s="760"/>
      <c r="ACN190" s="591">
        <v>37</v>
      </c>
      <c r="ACO190" s="759">
        <f t="shared" si="248"/>
        <v>0.99075000000000002</v>
      </c>
      <c r="ACP190" s="760"/>
      <c r="ACQ190" s="757">
        <f t="shared" si="195"/>
        <v>0.29599999999999999</v>
      </c>
      <c r="ACR190" s="758"/>
      <c r="ACT190" s="759">
        <v>-3.125E-2</v>
      </c>
      <c r="ACU190" s="760"/>
      <c r="ACV190" s="759">
        <v>1</v>
      </c>
      <c r="ACW190" s="760"/>
      <c r="ACX190" s="591">
        <v>87</v>
      </c>
      <c r="ACY190" s="759">
        <f t="shared" si="196"/>
        <v>0.97824999999999995</v>
      </c>
      <c r="ACZ190" s="760"/>
      <c r="ADA190" s="757">
        <f t="shared" si="197"/>
        <v>0.69600000000000006</v>
      </c>
      <c r="ADB190" s="758"/>
      <c r="ADD190" s="759">
        <v>-8.3333333333333398E-2</v>
      </c>
      <c r="ADE190" s="760"/>
      <c r="ADF190" s="759">
        <v>1.0416666666666701</v>
      </c>
      <c r="ADG190" s="760"/>
      <c r="ADH190" s="592">
        <v>137</v>
      </c>
      <c r="ADI190" s="759">
        <f t="shared" si="198"/>
        <v>0.95033333333333669</v>
      </c>
      <c r="ADJ190" s="760"/>
      <c r="ADK190" s="757">
        <f t="shared" si="199"/>
        <v>1.0960000000000001</v>
      </c>
      <c r="ADL190" s="758"/>
      <c r="ADN190" s="759">
        <v>-0.2</v>
      </c>
      <c r="ADO190" s="760"/>
      <c r="ADP190" s="759">
        <v>1.19</v>
      </c>
      <c r="ADQ190" s="760"/>
      <c r="ADR190" s="591">
        <v>187</v>
      </c>
      <c r="ADS190" s="759">
        <f t="shared" si="200"/>
        <v>0.89079999999999993</v>
      </c>
      <c r="ADT190" s="760"/>
      <c r="ADU190" s="757">
        <f t="shared" si="201"/>
        <v>1.496</v>
      </c>
      <c r="ADV190" s="758"/>
      <c r="ADX190" s="759">
        <v>-0.33333333333333259</v>
      </c>
      <c r="ADY190" s="760"/>
      <c r="ADZ190" s="759">
        <v>1.4166666666666654</v>
      </c>
      <c r="AEA190" s="760"/>
      <c r="AEB190" s="592">
        <v>237</v>
      </c>
      <c r="AEC190" s="759">
        <f t="shared" si="202"/>
        <v>0.78466666666666673</v>
      </c>
      <c r="AED190" s="760"/>
      <c r="AEE190" s="757">
        <f t="shared" si="203"/>
        <v>1.8960000000000001</v>
      </c>
      <c r="AEF190" s="758"/>
      <c r="AEH190" s="759">
        <v>-0.33333333333333298</v>
      </c>
      <c r="AEI190" s="760"/>
      <c r="AEJ190" s="759">
        <v>1.4166666666666701</v>
      </c>
      <c r="AEK190" s="760"/>
      <c r="AEL190" s="592">
        <v>287</v>
      </c>
      <c r="AEM190" s="759">
        <f t="shared" si="204"/>
        <v>0.65133333333333743</v>
      </c>
      <c r="AEN190" s="760"/>
      <c r="AEO190" s="757">
        <f t="shared" si="205"/>
        <v>2.2960000000000003</v>
      </c>
      <c r="AEP190" s="758"/>
      <c r="AER190" s="759">
        <v>-0.249999999999999</v>
      </c>
      <c r="AES190" s="760"/>
      <c r="AET190" s="759">
        <v>1.2250000000000001</v>
      </c>
      <c r="AEU190" s="760"/>
      <c r="AEV190" s="592">
        <v>337</v>
      </c>
      <c r="AEW190" s="759">
        <f t="shared" si="206"/>
        <v>0.55100000000000271</v>
      </c>
      <c r="AEX190" s="760"/>
      <c r="AEY190" s="757">
        <f t="shared" si="207"/>
        <v>2.6960000000000002</v>
      </c>
      <c r="AEZ190" s="758"/>
      <c r="AFA190" s="653"/>
      <c r="AFB190" s="759">
        <v>-0.1</v>
      </c>
      <c r="AFC190" s="760"/>
      <c r="AFD190" s="759">
        <v>0.82</v>
      </c>
      <c r="AFE190" s="760"/>
      <c r="AFF190" s="591">
        <v>387</v>
      </c>
      <c r="AFG190" s="759">
        <f t="shared" si="208"/>
        <v>0.51039999999999996</v>
      </c>
      <c r="AFH190" s="760"/>
      <c r="AFI190" s="757">
        <f t="shared" si="209"/>
        <v>3.0960000000000001</v>
      </c>
      <c r="AFJ190" s="758"/>
      <c r="AFK190" s="653"/>
      <c r="AFL190" s="759">
        <v>-0.125</v>
      </c>
      <c r="AFM190" s="760"/>
      <c r="AFN190" s="759">
        <v>0.875</v>
      </c>
      <c r="AFO190" s="760"/>
      <c r="AFP190" s="591">
        <v>437</v>
      </c>
      <c r="AFQ190" s="759">
        <f t="shared" si="210"/>
        <v>0.438</v>
      </c>
      <c r="AFR190" s="760"/>
      <c r="AFS190" s="757">
        <f t="shared" si="211"/>
        <v>3.496</v>
      </c>
      <c r="AFT190" s="758"/>
      <c r="AFU190" s="653"/>
      <c r="AFV190" s="759">
        <v>-6.25E-2</v>
      </c>
      <c r="AFW190" s="760"/>
      <c r="AFX190" s="759">
        <v>0.63749999999999996</v>
      </c>
      <c r="AFY190" s="760"/>
      <c r="AFZ190" s="592">
        <v>487</v>
      </c>
      <c r="AGA190" s="759">
        <f t="shared" si="212"/>
        <v>0.39399999999999996</v>
      </c>
      <c r="AGB190" s="760"/>
      <c r="AGC190" s="757">
        <f t="shared" si="213"/>
        <v>3.8959999999999999</v>
      </c>
      <c r="AGD190" s="758"/>
      <c r="AGE190" s="653"/>
      <c r="AGF190" s="653"/>
      <c r="AGG190" s="653"/>
      <c r="AGH190" s="653"/>
      <c r="AGI190" s="653"/>
      <c r="AGJ190" s="653"/>
    </row>
    <row r="191" spans="340:936 1165:1204" ht="48" customHeight="1" thickBot="1">
      <c r="NQ191" s="130"/>
      <c r="NR191" s="130"/>
      <c r="NS191" s="130"/>
      <c r="NT191" s="130"/>
      <c r="NU191" s="130"/>
      <c r="NV191" s="130"/>
      <c r="NW191" s="130"/>
      <c r="NX191" s="130"/>
      <c r="NY191" s="130"/>
      <c r="NZ191" s="130"/>
      <c r="OA191" s="130"/>
      <c r="OB191" s="130"/>
      <c r="OC191" s="130"/>
      <c r="OD191" s="130"/>
      <c r="QL191" s="130"/>
      <c r="QM191" s="130"/>
      <c r="QN191" s="130"/>
      <c r="QO191" s="130"/>
      <c r="QP191" s="130"/>
      <c r="QQ191" s="130"/>
      <c r="WE191" s="754"/>
      <c r="WF191" s="755"/>
      <c r="WG191" s="173"/>
      <c r="WH191" s="173"/>
      <c r="WI191" s="173"/>
      <c r="WJ191" s="173"/>
      <c r="WK191" s="173"/>
      <c r="WL191" s="173"/>
      <c r="WM191" s="173"/>
      <c r="WN191" s="173"/>
      <c r="WO191" s="173"/>
      <c r="WP191" s="173"/>
      <c r="WQ191" s="173"/>
      <c r="WR191" s="173"/>
      <c r="WS191" s="173"/>
      <c r="WT191" s="173"/>
      <c r="WU191" s="173"/>
      <c r="WV191" s="173"/>
      <c r="WW191" s="173"/>
      <c r="WX191" s="173"/>
      <c r="WY191" s="173"/>
      <c r="WZ191" s="1002"/>
      <c r="XA191" s="1003"/>
      <c r="XB191" s="169"/>
      <c r="XC191" s="170"/>
      <c r="XD191" s="170"/>
      <c r="XE191" s="170"/>
      <c r="XF191" s="172"/>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7"/>
      <c r="AAU191" s="169"/>
      <c r="AAV191" s="170"/>
      <c r="AAW191" s="170"/>
      <c r="AAX191" s="170"/>
      <c r="AAY191" s="170"/>
      <c r="AAZ191" s="170"/>
      <c r="ABA191" s="170"/>
      <c r="ABB191" s="170"/>
      <c r="ABC191" s="170"/>
      <c r="ABD191" s="170"/>
      <c r="ABE191" s="172"/>
      <c r="ABF191" s="158"/>
      <c r="ABG191" s="158"/>
      <c r="ABH191" s="158"/>
      <c r="ABI191" s="158"/>
      <c r="ABJ191" s="158"/>
      <c r="ABK191" s="158"/>
      <c r="ABL191" s="158"/>
      <c r="ABM191" s="158"/>
      <c r="ABN191" s="158"/>
      <c r="ABO191" s="158"/>
      <c r="ABP191" s="163"/>
      <c r="ABU191" s="1029"/>
      <c r="ABV191" s="1030"/>
      <c r="ABW191" s="1030"/>
      <c r="ABX191" s="1030"/>
      <c r="ABY191" s="1030"/>
      <c r="ABZ191" s="1030"/>
      <c r="ACA191" s="1030"/>
      <c r="ACB191" s="1030"/>
      <c r="ACC191" s="1030"/>
      <c r="ACD191" s="1030"/>
      <c r="ACE191" s="1030"/>
      <c r="ACF191" s="1030"/>
      <c r="ACG191" s="1030"/>
      <c r="ACH191" s="1031"/>
      <c r="ACJ191" s="759">
        <v>-3.125E-2</v>
      </c>
      <c r="ACK191" s="760"/>
      <c r="ACL191" s="759">
        <v>1</v>
      </c>
      <c r="ACM191" s="760"/>
      <c r="ACN191" s="591">
        <v>38</v>
      </c>
      <c r="ACO191" s="759">
        <f t="shared" si="248"/>
        <v>0.99050000000000005</v>
      </c>
      <c r="ACP191" s="760"/>
      <c r="ACQ191" s="757">
        <f t="shared" si="195"/>
        <v>0.30399999999999999</v>
      </c>
      <c r="ACR191" s="758"/>
      <c r="ACT191" s="759">
        <v>-3.125E-2</v>
      </c>
      <c r="ACU191" s="760"/>
      <c r="ACV191" s="759">
        <v>1</v>
      </c>
      <c r="ACW191" s="760"/>
      <c r="ACX191" s="591">
        <v>88</v>
      </c>
      <c r="ACY191" s="759">
        <f t="shared" si="196"/>
        <v>0.97799999999999998</v>
      </c>
      <c r="ACZ191" s="760"/>
      <c r="ADA191" s="757">
        <f t="shared" si="197"/>
        <v>0.70399999999999996</v>
      </c>
      <c r="ADB191" s="758"/>
      <c r="ADD191" s="759">
        <v>-8.3333333333333398E-2</v>
      </c>
      <c r="ADE191" s="760"/>
      <c r="ADF191" s="759">
        <v>1.0416666666666701</v>
      </c>
      <c r="ADG191" s="760"/>
      <c r="ADH191" s="592">
        <v>138</v>
      </c>
      <c r="ADI191" s="759">
        <f t="shared" si="198"/>
        <v>0.94966666666666999</v>
      </c>
      <c r="ADJ191" s="760"/>
      <c r="ADK191" s="757">
        <f t="shared" si="199"/>
        <v>1.1040000000000001</v>
      </c>
      <c r="ADL191" s="758"/>
      <c r="ADN191" s="759">
        <v>-0.2</v>
      </c>
      <c r="ADO191" s="760"/>
      <c r="ADP191" s="759">
        <v>1.19</v>
      </c>
      <c r="ADQ191" s="760"/>
      <c r="ADR191" s="591">
        <v>188</v>
      </c>
      <c r="ADS191" s="759">
        <f t="shared" si="200"/>
        <v>0.88919999999999999</v>
      </c>
      <c r="ADT191" s="760"/>
      <c r="ADU191" s="757">
        <f t="shared" si="201"/>
        <v>1.504</v>
      </c>
      <c r="ADV191" s="758"/>
      <c r="ADX191" s="759">
        <v>-0.33333333333333259</v>
      </c>
      <c r="ADY191" s="760"/>
      <c r="ADZ191" s="759">
        <v>1.4166666666666654</v>
      </c>
      <c r="AEA191" s="760"/>
      <c r="AEB191" s="592">
        <v>238</v>
      </c>
      <c r="AEC191" s="759">
        <f t="shared" si="202"/>
        <v>0.78200000000000014</v>
      </c>
      <c r="AED191" s="760"/>
      <c r="AEE191" s="757">
        <f t="shared" si="203"/>
        <v>1.9040000000000001</v>
      </c>
      <c r="AEF191" s="758"/>
      <c r="AEH191" s="759">
        <v>-0.33333333333333298</v>
      </c>
      <c r="AEI191" s="760"/>
      <c r="AEJ191" s="759">
        <v>1.4166666666666701</v>
      </c>
      <c r="AEK191" s="760"/>
      <c r="AEL191" s="592">
        <v>288</v>
      </c>
      <c r="AEM191" s="759">
        <f t="shared" si="204"/>
        <v>0.64866666666667083</v>
      </c>
      <c r="AEN191" s="760"/>
      <c r="AEO191" s="757">
        <f t="shared" si="205"/>
        <v>2.3040000000000003</v>
      </c>
      <c r="AEP191" s="758"/>
      <c r="AER191" s="759">
        <v>-0.249999999999999</v>
      </c>
      <c r="AES191" s="760"/>
      <c r="AET191" s="759">
        <v>1.2250000000000001</v>
      </c>
      <c r="AEU191" s="760"/>
      <c r="AEV191" s="592">
        <v>338</v>
      </c>
      <c r="AEW191" s="759">
        <f t="shared" si="206"/>
        <v>0.54900000000000271</v>
      </c>
      <c r="AEX191" s="760"/>
      <c r="AEY191" s="757">
        <f t="shared" si="207"/>
        <v>2.7040000000000002</v>
      </c>
      <c r="AEZ191" s="758"/>
      <c r="AFA191" s="653"/>
      <c r="AFB191" s="759">
        <v>-0.1</v>
      </c>
      <c r="AFC191" s="760"/>
      <c r="AFD191" s="759">
        <v>0.82</v>
      </c>
      <c r="AFE191" s="760"/>
      <c r="AFF191" s="591">
        <v>388</v>
      </c>
      <c r="AFG191" s="759">
        <f t="shared" si="208"/>
        <v>0.50959999999999994</v>
      </c>
      <c r="AFH191" s="760"/>
      <c r="AFI191" s="757">
        <f t="shared" si="209"/>
        <v>3.1040000000000001</v>
      </c>
      <c r="AFJ191" s="758"/>
      <c r="AFK191" s="653"/>
      <c r="AFL191" s="759">
        <v>-0.125</v>
      </c>
      <c r="AFM191" s="760"/>
      <c r="AFN191" s="759">
        <v>0.875</v>
      </c>
      <c r="AFO191" s="760"/>
      <c r="AFP191" s="591">
        <v>438</v>
      </c>
      <c r="AFQ191" s="759">
        <f t="shared" si="210"/>
        <v>0.437</v>
      </c>
      <c r="AFR191" s="760"/>
      <c r="AFS191" s="757">
        <f t="shared" si="211"/>
        <v>3.504</v>
      </c>
      <c r="AFT191" s="758"/>
      <c r="AFU191" s="653"/>
      <c r="AFV191" s="759">
        <v>-6.25E-2</v>
      </c>
      <c r="AFW191" s="760"/>
      <c r="AFX191" s="759">
        <v>0.63749999999999996</v>
      </c>
      <c r="AFY191" s="760"/>
      <c r="AFZ191" s="592">
        <v>488</v>
      </c>
      <c r="AGA191" s="759">
        <f t="shared" si="212"/>
        <v>0.39349999999999996</v>
      </c>
      <c r="AGB191" s="760"/>
      <c r="AGC191" s="757">
        <f t="shared" si="213"/>
        <v>3.9039999999999999</v>
      </c>
      <c r="AGD191" s="758"/>
      <c r="AGE191" s="653"/>
      <c r="AGF191" s="653"/>
      <c r="AGG191" s="653"/>
      <c r="AGH191" s="653"/>
      <c r="AGI191" s="653"/>
      <c r="AGJ191" s="653"/>
      <c r="AGL191" s="849"/>
      <c r="AGM191" s="852" t="s">
        <v>416</v>
      </c>
      <c r="AGN191" s="853"/>
      <c r="AGO191" s="142"/>
      <c r="AGP191" s="78"/>
      <c r="AGQ191" s="78"/>
      <c r="AGR191" s="78"/>
      <c r="AGS191" s="78"/>
      <c r="AGT191" s="78"/>
      <c r="AGU191" s="78"/>
      <c r="AGV191" s="142"/>
      <c r="AGW191" s="76" t="s">
        <v>441</v>
      </c>
      <c r="AGX191" s="854" t="s">
        <v>435</v>
      </c>
      <c r="AGY191" s="855"/>
      <c r="AGZ191" s="920" t="s">
        <v>111</v>
      </c>
      <c r="AHA191" s="921"/>
      <c r="AHB191" s="916" t="s">
        <v>704</v>
      </c>
      <c r="AHC191" s="922"/>
      <c r="AHD191" s="1051" t="s">
        <v>447</v>
      </c>
      <c r="AHE191" s="1051"/>
      <c r="AHF191" s="1051"/>
      <c r="AHG191" s="1051"/>
      <c r="AHH191" s="1051"/>
      <c r="AHI191" s="1051" t="s">
        <v>436</v>
      </c>
      <c r="AHJ191" s="1051"/>
      <c r="AHK191" s="1051"/>
      <c r="AHL191" s="1051"/>
      <c r="AHM191" s="1051"/>
      <c r="AHN191" s="1051"/>
      <c r="AHO191" s="1051"/>
    </row>
    <row r="192" spans="340:936 1165:1204" ht="48" customHeight="1">
      <c r="PN192" s="466"/>
      <c r="PO192" s="852" t="s">
        <v>1521</v>
      </c>
      <c r="PP192" s="923"/>
      <c r="PQ192" s="466"/>
      <c r="PR192" s="1069" t="s">
        <v>123</v>
      </c>
      <c r="PS192" s="1070"/>
      <c r="PT192" s="1070"/>
      <c r="PU192" s="1070"/>
      <c r="PV192" s="1070"/>
      <c r="PW192" s="1070"/>
      <c r="PX192" s="1070"/>
      <c r="PY192" s="1070"/>
      <c r="PZ192" s="1070"/>
      <c r="QA192" s="1070"/>
      <c r="QB192" s="1071"/>
      <c r="QC192" s="466"/>
      <c r="QL192" s="130"/>
      <c r="QM192" s="130"/>
      <c r="QN192" s="130"/>
      <c r="QO192" s="130"/>
      <c r="QP192" s="130"/>
      <c r="QQ192" s="130"/>
      <c r="WE192" s="752">
        <v>30</v>
      </c>
      <c r="WF192" s="753"/>
      <c r="WG192" s="800" t="s">
        <v>1468</v>
      </c>
      <c r="WH192" s="982"/>
      <c r="WI192" s="982"/>
      <c r="WJ192" s="951">
        <f>$AGZ$126</f>
        <v>17.205099098916754</v>
      </c>
      <c r="WK192" s="952"/>
      <c r="WL192" s="168"/>
      <c r="WM192" s="168"/>
      <c r="WN192" s="168"/>
      <c r="WO192" s="168"/>
      <c r="WP192" s="168"/>
      <c r="WQ192" s="168"/>
      <c r="WR192" s="168"/>
      <c r="WS192" s="168"/>
      <c r="WT192" s="168"/>
      <c r="WU192" s="168"/>
      <c r="WV192" s="168"/>
      <c r="WW192" s="168"/>
      <c r="WX192" s="168"/>
      <c r="WY192" s="171"/>
      <c r="WZ192" s="752"/>
      <c r="XA192" s="753"/>
      <c r="XB192" s="167"/>
      <c r="XC192" s="168"/>
      <c r="XD192" s="168"/>
      <c r="XE192" s="168"/>
      <c r="XF192" s="171"/>
      <c r="XG192" s="1008">
        <f>1+(XG186)/($WJ$192)</f>
        <v>1.0216064753633436</v>
      </c>
      <c r="XH192" s="1008">
        <f t="shared" ref="XH192:ZS192" si="262">1+(XH186)/($WJ$192)</f>
        <v>1.0215201019002935</v>
      </c>
      <c r="XI192" s="1008">
        <f t="shared" si="262"/>
        <v>1.0214356299316558</v>
      </c>
      <c r="XJ192" s="1008">
        <f t="shared" si="262"/>
        <v>1.0213529507709984</v>
      </c>
      <c r="XK192" s="1008">
        <f t="shared" si="262"/>
        <v>1.0212920571546416</v>
      </c>
      <c r="XL192" s="1008">
        <f t="shared" si="262"/>
        <v>1.0212122779065065</v>
      </c>
      <c r="XM192" s="1008">
        <f t="shared" si="262"/>
        <v>1.0211534544935814</v>
      </c>
      <c r="XN192" s="1008">
        <f t="shared" si="262"/>
        <v>1.0210954588013819</v>
      </c>
      <c r="XO192" s="1008">
        <f t="shared" si="262"/>
        <v>1.0210382578592323</v>
      </c>
      <c r="XP192" s="1008">
        <f t="shared" si="262"/>
        <v>1.0209818204246095</v>
      </c>
      <c r="XQ192" s="1008">
        <f t="shared" si="262"/>
        <v>1.0209261168713815</v>
      </c>
      <c r="XR192" s="1008">
        <f t="shared" si="262"/>
        <v>1.0208711190866087</v>
      </c>
      <c r="XS192" s="1008">
        <f t="shared" si="262"/>
        <v>1.0208168003751508</v>
      </c>
      <c r="XT192" s="1008">
        <f t="shared" si="262"/>
        <v>1.0207809525853684</v>
      </c>
      <c r="XU192" s="1008">
        <f t="shared" si="262"/>
        <v>1.0207277099141261</v>
      </c>
      <c r="XV192" s="1008">
        <f t="shared" si="262"/>
        <v>1.0206925573967855</v>
      </c>
      <c r="XW192" s="1008">
        <f t="shared" si="262"/>
        <v>1.0206403259349159</v>
      </c>
      <c r="XX192" s="1008">
        <f t="shared" si="262"/>
        <v>1.0206058272177747</v>
      </c>
      <c r="XY192" s="1008">
        <f t="shared" si="262"/>
        <v>1.0205715791436818</v>
      </c>
      <c r="XZ192" s="1008">
        <f t="shared" si="262"/>
        <v>1.0205375757906017</v>
      </c>
      <c r="YA192" s="1008">
        <f t="shared" si="262"/>
        <v>1.0205206640846183</v>
      </c>
      <c r="YB192" s="1008">
        <f t="shared" si="262"/>
        <v>1.0204870171121858</v>
      </c>
      <c r="YC192" s="1008">
        <f t="shared" si="262"/>
        <v>1.0204536008499039</v>
      </c>
      <c r="YD192" s="1008">
        <f t="shared" si="262"/>
        <v>1.0204369775709281</v>
      </c>
      <c r="YE192" s="1008">
        <f t="shared" si="262"/>
        <v>1.02036474000188</v>
      </c>
      <c r="YF192" s="1008">
        <f t="shared" si="262"/>
        <v>1.0203246352795379</v>
      </c>
      <c r="YG192" s="1008">
        <f t="shared" si="262"/>
        <v>1.0202848427597457</v>
      </c>
      <c r="YH192" s="1008">
        <f t="shared" si="262"/>
        <v>1.020245353957433</v>
      </c>
      <c r="YI192" s="1008">
        <f t="shared" si="262"/>
        <v>1.0202061606922452</v>
      </c>
      <c r="YJ192" s="1008">
        <f t="shared" si="262"/>
        <v>1.0201672550749887</v>
      </c>
      <c r="YK192" s="1008">
        <f t="shared" si="262"/>
        <v>1.0201286294947893</v>
      </c>
      <c r="YL192" s="1008">
        <f t="shared" si="262"/>
        <v>1.0201286294947893</v>
      </c>
      <c r="YM192" s="1008">
        <f t="shared" si="262"/>
        <v>1.0200902766069271</v>
      </c>
      <c r="YN192" s="1008">
        <f t="shared" si="262"/>
        <v>1.0200521893213024</v>
      </c>
      <c r="YO192" s="1008">
        <f t="shared" si="262"/>
        <v>1.0200521893213024</v>
      </c>
      <c r="YP192" s="1008">
        <f t="shared" si="262"/>
        <v>1.0200143607914975</v>
      </c>
      <c r="YQ192" s="1008">
        <f t="shared" si="262"/>
        <v>1.0200143607914975</v>
      </c>
      <c r="YR192" s="1008">
        <f t="shared" si="262"/>
        <v>1.0200143607914975</v>
      </c>
      <c r="YS192" s="1008">
        <f t="shared" si="262"/>
        <v>1.0199767844043963</v>
      </c>
      <c r="YT192" s="1008">
        <f t="shared" si="262"/>
        <v>1.0199767844043963</v>
      </c>
      <c r="YU192" s="1008">
        <f t="shared" si="262"/>
        <v>1.0199767844043963</v>
      </c>
      <c r="YV192" s="1008">
        <f t="shared" si="262"/>
        <v>1.019939453770331</v>
      </c>
      <c r="YW192" s="1008">
        <f t="shared" si="262"/>
        <v>1.019939453770331</v>
      </c>
      <c r="YX192" s="1008">
        <f t="shared" si="262"/>
        <v>1.019939453770331</v>
      </c>
      <c r="YY192" s="1008">
        <f t="shared" si="262"/>
        <v>1.019939453770331</v>
      </c>
      <c r="YZ192" s="1008">
        <f t="shared" si="262"/>
        <v>1.0199023627137236</v>
      </c>
      <c r="ZA192" s="1008">
        <f t="shared" si="262"/>
        <v>1.0199023627137236</v>
      </c>
      <c r="ZB192" s="1008">
        <f t="shared" si="262"/>
        <v>1.0199023627137236</v>
      </c>
      <c r="ZC192" s="1008">
        <f t="shared" si="262"/>
        <v>1.0199023627137236</v>
      </c>
      <c r="ZD192" s="1008">
        <f t="shared" si="262"/>
        <v>1.0199023627137236</v>
      </c>
      <c r="ZE192" s="1008">
        <f t="shared" si="262"/>
        <v>1.019865505264193</v>
      </c>
      <c r="ZF192" s="1008">
        <f t="shared" si="262"/>
        <v>1.019865505264193</v>
      </c>
      <c r="ZG192" s="1008">
        <f t="shared" si="262"/>
        <v>1.019865505264193</v>
      </c>
      <c r="ZH192" s="1008">
        <f t="shared" si="262"/>
        <v>1.019865505264193</v>
      </c>
      <c r="ZI192" s="1008">
        <f t="shared" si="262"/>
        <v>1.019865505264193</v>
      </c>
      <c r="ZJ192" s="1008">
        <f t="shared" si="262"/>
        <v>1.019865505264193</v>
      </c>
      <c r="ZK192" s="1008">
        <f t="shared" si="262"/>
        <v>1.019865505264193</v>
      </c>
      <c r="ZL192" s="1008">
        <f t="shared" si="262"/>
        <v>1.0198288756481044</v>
      </c>
      <c r="ZM192" s="1008">
        <f t="shared" si="262"/>
        <v>1.0198288756481044</v>
      </c>
      <c r="ZN192" s="1008">
        <f t="shared" si="262"/>
        <v>1.0198288756481044</v>
      </c>
      <c r="ZO192" s="1008">
        <f t="shared" si="262"/>
        <v>1.0198288756481044</v>
      </c>
      <c r="ZP192" s="1008">
        <f t="shared" si="262"/>
        <v>1.0198288756481044</v>
      </c>
      <c r="ZQ192" s="1008">
        <f t="shared" si="262"/>
        <v>1.0198288756481044</v>
      </c>
      <c r="ZR192" s="1008">
        <f t="shared" si="262"/>
        <v>1.0198288756481044</v>
      </c>
      <c r="ZS192" s="1008">
        <f t="shared" si="262"/>
        <v>1.0198288756481044</v>
      </c>
      <c r="ZT192" s="1008">
        <f t="shared" ref="ZT192:AAS192" si="263">1+(ZT186)/($WJ$192)</f>
        <v>1.0198288756481044</v>
      </c>
      <c r="ZU192" s="1008">
        <f t="shared" si="263"/>
        <v>1.0198288756481044</v>
      </c>
      <c r="ZV192" s="1008">
        <f t="shared" si="263"/>
        <v>1.0198288756481044</v>
      </c>
      <c r="ZW192" s="1008">
        <f t="shared" si="263"/>
        <v>1.0198288756481044</v>
      </c>
      <c r="ZX192" s="1008">
        <f t="shared" si="263"/>
        <v>1.0198288756481044</v>
      </c>
      <c r="ZY192" s="1008">
        <f t="shared" si="263"/>
        <v>1.0197924682805293</v>
      </c>
      <c r="ZZ192" s="1008">
        <f t="shared" si="263"/>
        <v>1.0197924682805293</v>
      </c>
      <c r="AAA192" s="1008">
        <f t="shared" si="263"/>
        <v>1.0197924682805293</v>
      </c>
      <c r="AAB192" s="1008">
        <f t="shared" si="263"/>
        <v>1.0197924682805293</v>
      </c>
      <c r="AAC192" s="1008">
        <f t="shared" si="263"/>
        <v>1.0197924682805293</v>
      </c>
      <c r="AAD192" s="1008">
        <f t="shared" si="263"/>
        <v>1.0197924682805293</v>
      </c>
      <c r="AAE192" s="1008">
        <f t="shared" si="263"/>
        <v>1.0197924682805293</v>
      </c>
      <c r="AAF192" s="1008">
        <f t="shared" si="263"/>
        <v>1.0197924682805293</v>
      </c>
      <c r="AAG192" s="1008">
        <f t="shared" si="263"/>
        <v>1.0197924682805293</v>
      </c>
      <c r="AAH192" s="1008">
        <f t="shared" si="263"/>
        <v>1.0197924682805293</v>
      </c>
      <c r="AAI192" s="1008">
        <f t="shared" si="263"/>
        <v>1.0197924682805293</v>
      </c>
      <c r="AAJ192" s="1008">
        <f t="shared" si="263"/>
        <v>1.0197924682805293</v>
      </c>
      <c r="AAK192" s="1008">
        <f t="shared" si="263"/>
        <v>1.0197924682805293</v>
      </c>
      <c r="AAL192" s="1008">
        <f t="shared" si="263"/>
        <v>1.0197924682805293</v>
      </c>
      <c r="AAM192" s="1008">
        <f t="shared" si="263"/>
        <v>1.0197924682805293</v>
      </c>
      <c r="AAN192" s="1008">
        <f t="shared" si="263"/>
        <v>1.0197924682805293</v>
      </c>
      <c r="AAO192" s="1008">
        <f t="shared" si="263"/>
        <v>1.0197924682805293</v>
      </c>
      <c r="AAP192" s="1008">
        <f t="shared" si="263"/>
        <v>1.0197924682805293</v>
      </c>
      <c r="AAQ192" s="1008">
        <f t="shared" si="263"/>
        <v>1.0197924682805293</v>
      </c>
      <c r="AAR192" s="1008">
        <f t="shared" si="263"/>
        <v>1.0197924682805293</v>
      </c>
      <c r="AAS192" s="1008">
        <f t="shared" si="263"/>
        <v>1.0197924682805293</v>
      </c>
      <c r="AAT192" s="1005">
        <v>30</v>
      </c>
      <c r="AAU192" s="958"/>
      <c r="AAV192" s="1058"/>
      <c r="AAW192" s="1058"/>
      <c r="AAX192" s="1058"/>
      <c r="AAY192" s="1058"/>
      <c r="AAZ192" s="1058"/>
      <c r="ABA192" s="959"/>
      <c r="ABB192" s="158"/>
      <c r="ABC192" s="158"/>
      <c r="ABD192" s="158"/>
      <c r="ABE192" s="158"/>
      <c r="ABF192" s="158"/>
      <c r="ABG192" s="158"/>
      <c r="ABH192" s="158"/>
      <c r="ABI192" s="158"/>
      <c r="ABJ192" s="158"/>
      <c r="ABK192" s="158"/>
      <c r="ABL192" s="158"/>
      <c r="ABM192" s="158"/>
      <c r="ABN192" s="158"/>
      <c r="ABO192" s="158"/>
      <c r="ABP192" s="163"/>
      <c r="ACJ192" s="759">
        <v>-3.125E-2</v>
      </c>
      <c r="ACK192" s="760"/>
      <c r="ACL192" s="759">
        <v>1</v>
      </c>
      <c r="ACM192" s="760"/>
      <c r="ACN192" s="591">
        <v>39</v>
      </c>
      <c r="ACO192" s="759">
        <f t="shared" si="248"/>
        <v>0.99024999999999996</v>
      </c>
      <c r="ACP192" s="760"/>
      <c r="ACQ192" s="757">
        <f t="shared" si="195"/>
        <v>0.312</v>
      </c>
      <c r="ACR192" s="758"/>
      <c r="ACT192" s="759">
        <v>-3.125E-2</v>
      </c>
      <c r="ACU192" s="760"/>
      <c r="ACV192" s="759">
        <v>1</v>
      </c>
      <c r="ACW192" s="760"/>
      <c r="ACX192" s="591">
        <v>89</v>
      </c>
      <c r="ACY192" s="759">
        <f t="shared" si="196"/>
        <v>0.97775000000000001</v>
      </c>
      <c r="ACZ192" s="760"/>
      <c r="ADA192" s="757">
        <f t="shared" si="197"/>
        <v>0.71199999999999997</v>
      </c>
      <c r="ADB192" s="758"/>
      <c r="ADD192" s="759">
        <v>-0.14285714285714271</v>
      </c>
      <c r="ADE192" s="760"/>
      <c r="ADF192" s="759">
        <v>1.107142857142857</v>
      </c>
      <c r="ADG192" s="760"/>
      <c r="ADH192" s="591">
        <v>139</v>
      </c>
      <c r="ADI192" s="759">
        <f t="shared" si="198"/>
        <v>0.94828571428571429</v>
      </c>
      <c r="ADJ192" s="760"/>
      <c r="ADK192" s="757">
        <f t="shared" si="199"/>
        <v>1.1120000000000001</v>
      </c>
      <c r="ADL192" s="758"/>
      <c r="ADN192" s="759">
        <v>-0.2</v>
      </c>
      <c r="ADO192" s="760"/>
      <c r="ADP192" s="759">
        <v>1.19</v>
      </c>
      <c r="ADQ192" s="760"/>
      <c r="ADR192" s="591">
        <v>189</v>
      </c>
      <c r="ADS192" s="759">
        <f t="shared" si="200"/>
        <v>0.88759999999999994</v>
      </c>
      <c r="ADT192" s="760"/>
      <c r="ADU192" s="757">
        <f t="shared" si="201"/>
        <v>1.512</v>
      </c>
      <c r="ADV192" s="758"/>
      <c r="ADX192" s="759">
        <v>-0.33333333333333259</v>
      </c>
      <c r="ADY192" s="760"/>
      <c r="ADZ192" s="759">
        <v>1.4166666666666654</v>
      </c>
      <c r="AEA192" s="760"/>
      <c r="AEB192" s="592">
        <v>239</v>
      </c>
      <c r="AEC192" s="759">
        <f t="shared" si="202"/>
        <v>0.77933333333333343</v>
      </c>
      <c r="AED192" s="760"/>
      <c r="AEE192" s="757">
        <f t="shared" si="203"/>
        <v>1.9120000000000001</v>
      </c>
      <c r="AEF192" s="758"/>
      <c r="AEH192" s="759">
        <v>-0.25</v>
      </c>
      <c r="AEI192" s="760"/>
      <c r="AEJ192" s="759">
        <v>1.2250000000000001</v>
      </c>
      <c r="AEK192" s="760"/>
      <c r="AEL192" s="591">
        <v>289</v>
      </c>
      <c r="AEM192" s="759">
        <f t="shared" si="204"/>
        <v>0.64700000000000013</v>
      </c>
      <c r="AEN192" s="760"/>
      <c r="AEO192" s="757">
        <f t="shared" si="205"/>
        <v>2.3119999999999998</v>
      </c>
      <c r="AEP192" s="758"/>
      <c r="AER192" s="759">
        <v>-0.10000000000000009</v>
      </c>
      <c r="AES192" s="760"/>
      <c r="AET192" s="759">
        <v>0.82000000000000028</v>
      </c>
      <c r="AEU192" s="760"/>
      <c r="AEV192" s="591">
        <v>339</v>
      </c>
      <c r="AEW192" s="759">
        <f t="shared" si="206"/>
        <v>0.54879999999999995</v>
      </c>
      <c r="AEX192" s="760"/>
      <c r="AEY192" s="757">
        <f t="shared" si="207"/>
        <v>2.7120000000000002</v>
      </c>
      <c r="AEZ192" s="758"/>
      <c r="AFA192" s="653"/>
      <c r="AFB192" s="759">
        <v>-0.1</v>
      </c>
      <c r="AFC192" s="760"/>
      <c r="AFD192" s="759">
        <v>0.82</v>
      </c>
      <c r="AFE192" s="760"/>
      <c r="AFF192" s="591">
        <v>389</v>
      </c>
      <c r="AFG192" s="759">
        <f t="shared" si="208"/>
        <v>0.50879999999999992</v>
      </c>
      <c r="AFH192" s="760"/>
      <c r="AFI192" s="757">
        <f t="shared" si="209"/>
        <v>3.1120000000000001</v>
      </c>
      <c r="AFJ192" s="758"/>
      <c r="AFK192" s="653"/>
      <c r="AFL192" s="759">
        <v>-0.125</v>
      </c>
      <c r="AFM192" s="760"/>
      <c r="AFN192" s="759">
        <v>0.875</v>
      </c>
      <c r="AFO192" s="760"/>
      <c r="AFP192" s="591">
        <v>439</v>
      </c>
      <c r="AFQ192" s="759">
        <f t="shared" si="210"/>
        <v>0.436</v>
      </c>
      <c r="AFR192" s="760"/>
      <c r="AFS192" s="757">
        <f t="shared" si="211"/>
        <v>3.512</v>
      </c>
      <c r="AFT192" s="758"/>
      <c r="AFU192" s="653"/>
      <c r="AFV192" s="759">
        <v>-6.25E-2</v>
      </c>
      <c r="AFW192" s="760"/>
      <c r="AFX192" s="759">
        <v>0.63749999999999996</v>
      </c>
      <c r="AFY192" s="760"/>
      <c r="AFZ192" s="592">
        <v>489</v>
      </c>
      <c r="AGA192" s="759">
        <f t="shared" si="212"/>
        <v>0.39299999999999996</v>
      </c>
      <c r="AGB192" s="760"/>
      <c r="AGC192" s="757">
        <f t="shared" si="213"/>
        <v>3.9119999999999999</v>
      </c>
      <c r="AGD192" s="758"/>
      <c r="AGE192" s="653"/>
      <c r="AGF192" s="653"/>
      <c r="AGG192" s="653"/>
      <c r="AGH192" s="653"/>
      <c r="AGI192" s="653"/>
      <c r="AGJ192" s="653"/>
      <c r="AGL192" s="850"/>
      <c r="AGM192" s="856" t="s">
        <v>133</v>
      </c>
      <c r="AGN192" s="856"/>
      <c r="AGO192" s="856"/>
      <c r="AGP192" s="856"/>
      <c r="AGQ192" s="856"/>
      <c r="AGR192" s="856"/>
      <c r="AGS192" s="856"/>
      <c r="AGT192" s="856"/>
      <c r="AGU192" s="856"/>
      <c r="AGV192" s="856"/>
      <c r="AGW192" s="856"/>
      <c r="AGX192" s="856"/>
      <c r="AGY192" s="856"/>
      <c r="AGZ192" s="835">
        <f>MS171-AGZ198</f>
        <v>1.1310015553758324</v>
      </c>
      <c r="AHA192" s="836"/>
      <c r="AHB192" s="1404" t="s">
        <v>729</v>
      </c>
      <c r="AHC192" s="1405"/>
      <c r="AHD192" s="1248"/>
      <c r="AHE192" s="1320" t="s">
        <v>1434</v>
      </c>
      <c r="AHF192" s="1320"/>
      <c r="AHG192" s="1320"/>
      <c r="AHH192" s="1289"/>
      <c r="AHI192" s="1052"/>
      <c r="AHJ192" s="1052"/>
      <c r="AHK192" s="1052"/>
      <c r="AHL192" s="1052"/>
      <c r="AHM192" s="1052"/>
      <c r="AHN192" s="1052"/>
      <c r="AHO192" s="1052"/>
      <c r="ARU192" s="136"/>
      <c r="ARV192" s="891"/>
      <c r="ARW192" s="891"/>
      <c r="ARX192" s="891"/>
      <c r="ARY192" s="891"/>
      <c r="ARZ192" s="891"/>
      <c r="ASA192" s="891"/>
      <c r="ASB192" s="891"/>
      <c r="ASC192" s="891"/>
      <c r="ASD192" s="891"/>
      <c r="ASE192" s="891"/>
      <c r="ASF192" s="891"/>
      <c r="ASG192" s="891"/>
      <c r="ASH192" s="891"/>
      <c r="ASI192" s="891"/>
      <c r="ASJ192" s="891"/>
      <c r="ASK192" s="891"/>
      <c r="ASL192" s="891"/>
      <c r="ASM192" s="891"/>
      <c r="ASN192" s="891"/>
      <c r="ASO192" s="891"/>
      <c r="ASP192" s="891"/>
      <c r="ASQ192" s="891"/>
      <c r="ASR192" s="891"/>
      <c r="ASS192" s="891"/>
      <c r="AST192" s="891"/>
      <c r="ASU192" s="891"/>
      <c r="ASV192" s="891"/>
      <c r="ASW192" s="891"/>
      <c r="ASX192" s="891"/>
      <c r="ASY192" s="891"/>
      <c r="ASZ192" s="891"/>
      <c r="ATA192" s="891"/>
      <c r="ATB192" s="891"/>
      <c r="ATC192" s="891"/>
      <c r="ATD192" s="891"/>
      <c r="ATE192" s="891"/>
      <c r="ATF192" s="136"/>
    </row>
    <row r="193" spans="340:976 1165:1202" ht="48" customHeight="1" thickBot="1">
      <c r="MB193" s="897" t="s">
        <v>974</v>
      </c>
      <c r="MC193" s="898"/>
      <c r="MD193" s="899"/>
      <c r="ME193" s="741" t="s">
        <v>1857</v>
      </c>
      <c r="MF193" s="852" t="s">
        <v>416</v>
      </c>
      <c r="MG193" s="853"/>
      <c r="MH193" s="344"/>
      <c r="MI193" s="779" t="s">
        <v>1858</v>
      </c>
      <c r="MJ193" s="780"/>
      <c r="MK193" s="781"/>
      <c r="ML193" s="75" t="s">
        <v>702</v>
      </c>
      <c r="MM193" s="344"/>
      <c r="MN193" s="76" t="s">
        <v>441</v>
      </c>
      <c r="MO193" s="854" t="s">
        <v>435</v>
      </c>
      <c r="MP193" s="855"/>
      <c r="MQ193" s="924" t="s">
        <v>111</v>
      </c>
      <c r="MR193" s="925"/>
      <c r="MS193" s="916" t="s">
        <v>704</v>
      </c>
      <c r="MT193" s="917"/>
      <c r="MU193" s="906" t="s">
        <v>447</v>
      </c>
      <c r="MV193" s="907"/>
      <c r="MW193" s="907"/>
      <c r="MX193" s="908"/>
      <c r="PF193" s="130"/>
      <c r="PG193" s="130"/>
      <c r="PH193" s="130"/>
      <c r="PI193" s="130"/>
      <c r="PJ193" s="130"/>
      <c r="QL193" s="130"/>
      <c r="QM193" s="130"/>
      <c r="QN193" s="130"/>
      <c r="QO193" s="130"/>
      <c r="QP193" s="130"/>
      <c r="QQ193" s="130"/>
      <c r="WE193" s="996"/>
      <c r="WF193" s="997"/>
      <c r="WG193" s="175"/>
      <c r="WH193" s="173"/>
      <c r="WI193" s="173"/>
      <c r="WJ193" s="173"/>
      <c r="WK193" s="173"/>
      <c r="WL193" s="173"/>
      <c r="WM193" s="173"/>
      <c r="WN193" s="173"/>
      <c r="WO193" s="173"/>
      <c r="WP193" s="173"/>
      <c r="WQ193" s="173"/>
      <c r="WR193" s="173"/>
      <c r="WS193" s="173"/>
      <c r="WT193" s="173"/>
      <c r="WU193" s="173"/>
      <c r="WV193" s="173"/>
      <c r="WW193" s="173"/>
      <c r="WX193" s="173"/>
      <c r="WY193" s="174"/>
      <c r="WZ193" s="996"/>
      <c r="XA193" s="997"/>
      <c r="XB193" s="175"/>
      <c r="XC193" s="173"/>
      <c r="XD193" s="173"/>
      <c r="XE193" s="173"/>
      <c r="XF193" s="174"/>
      <c r="XG193" s="1008"/>
      <c r="XH193" s="1008"/>
      <c r="XI193" s="1008"/>
      <c r="XJ193" s="1008"/>
      <c r="XK193" s="1008"/>
      <c r="XL193" s="1008"/>
      <c r="XM193" s="1008"/>
      <c r="XN193" s="1008"/>
      <c r="XO193" s="1008"/>
      <c r="XP193" s="1008"/>
      <c r="XQ193" s="1008"/>
      <c r="XR193" s="1008"/>
      <c r="XS193" s="1008"/>
      <c r="XT193" s="1008"/>
      <c r="XU193" s="1008"/>
      <c r="XV193" s="1008"/>
      <c r="XW193" s="1008"/>
      <c r="XX193" s="1008"/>
      <c r="XY193" s="1008"/>
      <c r="XZ193" s="1008"/>
      <c r="YA193" s="1008"/>
      <c r="YB193" s="1008"/>
      <c r="YC193" s="1008"/>
      <c r="YD193" s="1008"/>
      <c r="YE193" s="1008"/>
      <c r="YF193" s="1008"/>
      <c r="YG193" s="1008"/>
      <c r="YH193" s="1008"/>
      <c r="YI193" s="1008"/>
      <c r="YJ193" s="1008"/>
      <c r="YK193" s="1008"/>
      <c r="YL193" s="1008"/>
      <c r="YM193" s="1008"/>
      <c r="YN193" s="1008"/>
      <c r="YO193" s="1008"/>
      <c r="YP193" s="1008"/>
      <c r="YQ193" s="1008"/>
      <c r="YR193" s="1008"/>
      <c r="YS193" s="1008"/>
      <c r="YT193" s="1008"/>
      <c r="YU193" s="1008"/>
      <c r="YV193" s="1008"/>
      <c r="YW193" s="1008"/>
      <c r="YX193" s="1008"/>
      <c r="YY193" s="1008"/>
      <c r="YZ193" s="1008"/>
      <c r="ZA193" s="1008"/>
      <c r="ZB193" s="1008"/>
      <c r="ZC193" s="1008"/>
      <c r="ZD193" s="1008"/>
      <c r="ZE193" s="1008"/>
      <c r="ZF193" s="1008"/>
      <c r="ZG193" s="1008"/>
      <c r="ZH193" s="1008"/>
      <c r="ZI193" s="1008"/>
      <c r="ZJ193" s="1008"/>
      <c r="ZK193" s="1008"/>
      <c r="ZL193" s="1008"/>
      <c r="ZM193" s="1008"/>
      <c r="ZN193" s="1008"/>
      <c r="ZO193" s="1008"/>
      <c r="ZP193" s="1008"/>
      <c r="ZQ193" s="1008"/>
      <c r="ZR193" s="1008"/>
      <c r="ZS193" s="1008"/>
      <c r="ZT193" s="1008"/>
      <c r="ZU193" s="1008"/>
      <c r="ZV193" s="1008"/>
      <c r="ZW193" s="1008"/>
      <c r="ZX193" s="1008"/>
      <c r="ZY193" s="1008"/>
      <c r="ZZ193" s="1008"/>
      <c r="AAA193" s="1008"/>
      <c r="AAB193" s="1008"/>
      <c r="AAC193" s="1008"/>
      <c r="AAD193" s="1008"/>
      <c r="AAE193" s="1008"/>
      <c r="AAF193" s="1008"/>
      <c r="AAG193" s="1008"/>
      <c r="AAH193" s="1008"/>
      <c r="AAI193" s="1008"/>
      <c r="AAJ193" s="1008"/>
      <c r="AAK193" s="1008"/>
      <c r="AAL193" s="1008"/>
      <c r="AAM193" s="1008"/>
      <c r="AAN193" s="1008"/>
      <c r="AAO193" s="1008"/>
      <c r="AAP193" s="1008"/>
      <c r="AAQ193" s="1008"/>
      <c r="AAR193" s="1008"/>
      <c r="AAS193" s="1008"/>
      <c r="AAT193" s="1006"/>
      <c r="AAU193" s="960"/>
      <c r="AAV193" s="1101"/>
      <c r="AAW193" s="1101"/>
      <c r="AAX193" s="1101"/>
      <c r="AAY193" s="1101"/>
      <c r="AAZ193" s="1101"/>
      <c r="ABA193" s="961"/>
      <c r="ABB193" s="158"/>
      <c r="ABC193" s="158"/>
      <c r="ABD193" s="158"/>
      <c r="ABE193" s="158"/>
      <c r="ABF193" s="158"/>
      <c r="ABG193" s="158"/>
      <c r="ABH193" s="158"/>
      <c r="ABI193" s="158"/>
      <c r="ABJ193" s="158"/>
      <c r="ABK193" s="158"/>
      <c r="ABL193" s="158"/>
      <c r="ABM193" s="158"/>
      <c r="ABN193" s="158"/>
      <c r="ABO193" s="158"/>
      <c r="ABP193" s="163"/>
      <c r="ACJ193" s="759">
        <v>-3.125E-2</v>
      </c>
      <c r="ACK193" s="760"/>
      <c r="ACL193" s="759">
        <v>1</v>
      </c>
      <c r="ACM193" s="760"/>
      <c r="ACN193" s="591">
        <v>40</v>
      </c>
      <c r="ACO193" s="759">
        <f t="shared" si="248"/>
        <v>0.99</v>
      </c>
      <c r="ACP193" s="760"/>
      <c r="ACQ193" s="757">
        <f t="shared" si="195"/>
        <v>0.32</v>
      </c>
      <c r="ACR193" s="758"/>
      <c r="ACT193" s="759">
        <v>-3.125E-2</v>
      </c>
      <c r="ACU193" s="760"/>
      <c r="ACV193" s="759">
        <v>1</v>
      </c>
      <c r="ACW193" s="760"/>
      <c r="ACX193" s="591">
        <v>90</v>
      </c>
      <c r="ACY193" s="759">
        <f t="shared" si="196"/>
        <v>0.97750000000000004</v>
      </c>
      <c r="ACZ193" s="760"/>
      <c r="ADA193" s="757">
        <f t="shared" si="197"/>
        <v>0.72</v>
      </c>
      <c r="ADB193" s="758"/>
      <c r="ADD193" s="759">
        <v>-0.14285714285714271</v>
      </c>
      <c r="ADE193" s="760"/>
      <c r="ADF193" s="759">
        <v>1.107142857142857</v>
      </c>
      <c r="ADG193" s="760"/>
      <c r="ADH193" s="591">
        <v>140</v>
      </c>
      <c r="ADI193" s="759">
        <f t="shared" si="198"/>
        <v>0.94714285714285706</v>
      </c>
      <c r="ADJ193" s="760"/>
      <c r="ADK193" s="757">
        <f t="shared" si="199"/>
        <v>1.1200000000000001</v>
      </c>
      <c r="ADL193" s="758"/>
      <c r="ADN193" s="759">
        <v>-0.2</v>
      </c>
      <c r="ADO193" s="760"/>
      <c r="ADP193" s="759">
        <v>1.19</v>
      </c>
      <c r="ADQ193" s="760"/>
      <c r="ADR193" s="591">
        <v>190</v>
      </c>
      <c r="ADS193" s="759">
        <f t="shared" si="200"/>
        <v>0.8859999999999999</v>
      </c>
      <c r="ADT193" s="760"/>
      <c r="ADU193" s="757">
        <f t="shared" si="201"/>
        <v>1.52</v>
      </c>
      <c r="ADV193" s="758"/>
      <c r="ADX193" s="759">
        <v>-0.33333333333333259</v>
      </c>
      <c r="ADY193" s="760"/>
      <c r="ADZ193" s="759">
        <v>1.4166666666666654</v>
      </c>
      <c r="AEA193" s="760"/>
      <c r="AEB193" s="592">
        <v>240</v>
      </c>
      <c r="AEC193" s="759">
        <f t="shared" si="202"/>
        <v>0.77666666666666684</v>
      </c>
      <c r="AED193" s="760"/>
      <c r="AEE193" s="757">
        <f t="shared" si="203"/>
        <v>1.92</v>
      </c>
      <c r="AEF193" s="758"/>
      <c r="AEH193" s="759">
        <v>-0.25</v>
      </c>
      <c r="AEI193" s="760"/>
      <c r="AEJ193" s="759">
        <v>1.2250000000000001</v>
      </c>
      <c r="AEK193" s="760"/>
      <c r="AEL193" s="591">
        <v>290</v>
      </c>
      <c r="AEM193" s="759">
        <f t="shared" si="204"/>
        <v>0.64500000000000013</v>
      </c>
      <c r="AEN193" s="760"/>
      <c r="AEO193" s="757">
        <f t="shared" si="205"/>
        <v>2.3199999999999998</v>
      </c>
      <c r="AEP193" s="758"/>
      <c r="AEQ193" s="653"/>
      <c r="AER193" s="759">
        <v>-0.10000000000000009</v>
      </c>
      <c r="AES193" s="760"/>
      <c r="AET193" s="759">
        <v>0.82000000000000028</v>
      </c>
      <c r="AEU193" s="760"/>
      <c r="AEV193" s="591">
        <v>340</v>
      </c>
      <c r="AEW193" s="759">
        <f t="shared" si="206"/>
        <v>0.54800000000000004</v>
      </c>
      <c r="AEX193" s="760"/>
      <c r="AEY193" s="757">
        <f t="shared" si="207"/>
        <v>2.72</v>
      </c>
      <c r="AEZ193" s="758"/>
      <c r="AFA193" s="653"/>
      <c r="AFB193" s="759">
        <v>-0.1</v>
      </c>
      <c r="AFC193" s="760"/>
      <c r="AFD193" s="759">
        <v>0.82</v>
      </c>
      <c r="AFE193" s="760"/>
      <c r="AFF193" s="591">
        <v>390</v>
      </c>
      <c r="AFG193" s="759">
        <f t="shared" si="208"/>
        <v>0.5079999999999999</v>
      </c>
      <c r="AFH193" s="760"/>
      <c r="AFI193" s="757">
        <f t="shared" si="209"/>
        <v>3.12</v>
      </c>
      <c r="AFJ193" s="758"/>
      <c r="AFK193" s="653"/>
      <c r="AFL193" s="759">
        <v>-0.125</v>
      </c>
      <c r="AFM193" s="760"/>
      <c r="AFN193" s="759">
        <v>0.875</v>
      </c>
      <c r="AFO193" s="760"/>
      <c r="AFP193" s="591">
        <v>440</v>
      </c>
      <c r="AFQ193" s="759">
        <f t="shared" si="210"/>
        <v>0.435</v>
      </c>
      <c r="AFR193" s="760"/>
      <c r="AFS193" s="757">
        <f t="shared" si="211"/>
        <v>3.52</v>
      </c>
      <c r="AFT193" s="758"/>
      <c r="AFU193" s="653"/>
      <c r="AFV193" s="759">
        <v>-6.25E-2</v>
      </c>
      <c r="AFW193" s="760"/>
      <c r="AFX193" s="759">
        <v>0.63749999999999996</v>
      </c>
      <c r="AFY193" s="760"/>
      <c r="AFZ193" s="592">
        <v>490</v>
      </c>
      <c r="AGA193" s="759">
        <f t="shared" si="212"/>
        <v>0.39249999999999996</v>
      </c>
      <c r="AGB193" s="760"/>
      <c r="AGC193" s="757">
        <f t="shared" si="213"/>
        <v>3.92</v>
      </c>
      <c r="AGD193" s="758"/>
      <c r="AGE193" s="653"/>
      <c r="AGF193" s="653"/>
      <c r="AGG193" s="653"/>
      <c r="AGH193" s="653"/>
      <c r="AGI193" s="653"/>
      <c r="AGJ193" s="653"/>
      <c r="AGL193" s="851"/>
      <c r="AGM193" s="857"/>
      <c r="AGN193" s="857"/>
      <c r="AGO193" s="857"/>
      <c r="AGP193" s="857"/>
      <c r="AGQ193" s="857"/>
      <c r="AGR193" s="857"/>
      <c r="AGS193" s="857"/>
      <c r="AGT193" s="857"/>
      <c r="AGU193" s="857"/>
      <c r="AGV193" s="857"/>
      <c r="AGW193" s="857"/>
      <c r="AGX193" s="857"/>
      <c r="AGY193" s="857"/>
      <c r="AGZ193" s="837"/>
      <c r="AHA193" s="838"/>
      <c r="AHB193" s="1406"/>
      <c r="AHC193" s="796"/>
      <c r="AHD193" s="1249"/>
      <c r="AHE193" s="1321"/>
      <c r="AHF193" s="1321"/>
      <c r="AHG193" s="1321"/>
      <c r="AHH193" s="1290"/>
      <c r="AHI193" s="1053"/>
      <c r="AHJ193" s="1053"/>
      <c r="AHK193" s="1053"/>
      <c r="AHL193" s="1053"/>
      <c r="AHM193" s="1053"/>
      <c r="AHN193" s="1053"/>
      <c r="AHO193" s="1053"/>
      <c r="ARU193" s="377"/>
      <c r="ARV193" s="373"/>
      <c r="ARW193" s="373"/>
      <c r="ARX193" s="373"/>
      <c r="ARY193" s="373"/>
      <c r="ARZ193" s="373"/>
      <c r="ASA193" s="373"/>
      <c r="ASB193" s="373"/>
      <c r="ASC193" s="373"/>
      <c r="ASD193" s="373"/>
      <c r="ASE193" s="373"/>
      <c r="ASF193" s="373"/>
      <c r="ASG193" s="373"/>
      <c r="ASH193" s="373"/>
      <c r="ASI193" s="373"/>
      <c r="ASJ193" s="373"/>
      <c r="ASK193" s="373"/>
      <c r="ASL193" s="373"/>
      <c r="ASM193" s="373"/>
      <c r="ASN193" s="373"/>
      <c r="ASO193" s="373"/>
      <c r="ASP193" s="373"/>
      <c r="ASQ193" s="373"/>
      <c r="ASR193" s="373"/>
      <c r="ASS193" s="373"/>
      <c r="AST193" s="373"/>
      <c r="ASU193" s="373"/>
      <c r="ASV193" s="373"/>
      <c r="ASW193" s="373"/>
      <c r="ASX193" s="373"/>
      <c r="ASY193" s="373"/>
      <c r="ASZ193" s="373"/>
      <c r="ATA193" s="373"/>
      <c r="ATB193" s="373"/>
      <c r="ATC193" s="373"/>
      <c r="ATD193" s="373"/>
      <c r="ATE193" s="373"/>
      <c r="ATF193" s="374"/>
    </row>
    <row r="194" spans="340:976 1165:1202" ht="48" customHeight="1" thickBot="1">
      <c r="MB194" s="900"/>
      <c r="MC194" s="901"/>
      <c r="MD194" s="902"/>
      <c r="ME194" s="849"/>
      <c r="MF194" s="439" t="s">
        <v>1015</v>
      </c>
      <c r="MG194" s="890">
        <f>$CL$40</f>
        <v>1.3923283333333335E-2</v>
      </c>
      <c r="MH194" s="890"/>
      <c r="MI194" s="797" t="s">
        <v>1318</v>
      </c>
      <c r="MJ194" s="797"/>
      <c r="MK194" s="797"/>
      <c r="ML194" s="797"/>
      <c r="MM194" s="797"/>
      <c r="MN194" s="797"/>
      <c r="MO194" s="797"/>
      <c r="MP194" s="798"/>
      <c r="MQ194" s="1193">
        <v>0.04</v>
      </c>
      <c r="MR194" s="1194"/>
      <c r="MS194" s="1183" t="s">
        <v>729</v>
      </c>
      <c r="MT194" s="1184"/>
      <c r="MU194" s="1066"/>
      <c r="MV194" s="843" t="s">
        <v>1314</v>
      </c>
      <c r="MW194" s="844"/>
      <c r="MX194" s="847"/>
      <c r="PF194" s="130"/>
      <c r="PG194" s="130"/>
      <c r="PH194" s="130"/>
      <c r="PI194" s="130"/>
      <c r="PJ194" s="130"/>
      <c r="PL194" s="849"/>
      <c r="PM194" s="1257" t="s">
        <v>416</v>
      </c>
      <c r="PN194" s="1257"/>
      <c r="PO194" s="468"/>
      <c r="PP194" s="78"/>
      <c r="PQ194" s="78"/>
      <c r="PR194" s="78"/>
      <c r="PS194" s="468"/>
      <c r="PT194" s="76" t="s">
        <v>441</v>
      </c>
      <c r="PU194" s="854" t="s">
        <v>435</v>
      </c>
      <c r="PV194" s="1111"/>
      <c r="PW194" s="1072" t="s">
        <v>111</v>
      </c>
      <c r="PX194" s="1074"/>
      <c r="PY194" s="916" t="s">
        <v>704</v>
      </c>
      <c r="PZ194" s="917"/>
      <c r="QA194" s="906" t="s">
        <v>447</v>
      </c>
      <c r="QB194" s="907"/>
      <c r="QC194" s="907"/>
      <c r="QD194" s="908"/>
      <c r="QE194" s="1051" t="s">
        <v>436</v>
      </c>
      <c r="QF194" s="1051"/>
      <c r="QG194" s="1051"/>
      <c r="QH194" s="1051"/>
      <c r="QI194" s="1051"/>
      <c r="QM194" s="130"/>
      <c r="QN194" s="130"/>
      <c r="QO194" s="130"/>
      <c r="QP194" s="130"/>
      <c r="QQ194" s="130"/>
      <c r="WE194" s="754"/>
      <c r="WF194" s="755"/>
      <c r="WG194" s="169"/>
      <c r="WH194" s="170"/>
      <c r="WI194" s="170"/>
      <c r="WJ194" s="170"/>
      <c r="WK194" s="170"/>
      <c r="WL194" s="170"/>
      <c r="WM194" s="170"/>
      <c r="WN194" s="170"/>
      <c r="WO194" s="170"/>
      <c r="WP194" s="170"/>
      <c r="WQ194" s="170"/>
      <c r="WR194" s="170"/>
      <c r="WS194" s="170"/>
      <c r="WT194" s="170"/>
      <c r="WU194" s="170"/>
      <c r="WV194" s="170"/>
      <c r="WW194" s="170"/>
      <c r="WX194" s="170"/>
      <c r="WY194" s="172"/>
      <c r="WZ194" s="754"/>
      <c r="XA194" s="755"/>
      <c r="XB194" s="169"/>
      <c r="XC194" s="170"/>
      <c r="XD194" s="170"/>
      <c r="XE194" s="170"/>
      <c r="XF194" s="172"/>
      <c r="XG194" s="1008"/>
      <c r="XH194" s="1008"/>
      <c r="XI194" s="1008"/>
      <c r="XJ194" s="1008"/>
      <c r="XK194" s="1008"/>
      <c r="XL194" s="1008"/>
      <c r="XM194" s="1008"/>
      <c r="XN194" s="1008"/>
      <c r="XO194" s="1008"/>
      <c r="XP194" s="1008"/>
      <c r="XQ194" s="1008"/>
      <c r="XR194" s="1008"/>
      <c r="XS194" s="1008"/>
      <c r="XT194" s="1008"/>
      <c r="XU194" s="1008"/>
      <c r="XV194" s="1008"/>
      <c r="XW194" s="1008"/>
      <c r="XX194" s="1008"/>
      <c r="XY194" s="1008"/>
      <c r="XZ194" s="1008"/>
      <c r="YA194" s="1008"/>
      <c r="YB194" s="1008"/>
      <c r="YC194" s="1008"/>
      <c r="YD194" s="1008"/>
      <c r="YE194" s="1008"/>
      <c r="YF194" s="1008"/>
      <c r="YG194" s="1008"/>
      <c r="YH194" s="1008"/>
      <c r="YI194" s="1008"/>
      <c r="YJ194" s="1008"/>
      <c r="YK194" s="1008"/>
      <c r="YL194" s="1008"/>
      <c r="YM194" s="1008"/>
      <c r="YN194" s="1008"/>
      <c r="YO194" s="1008"/>
      <c r="YP194" s="1008"/>
      <c r="YQ194" s="1008"/>
      <c r="YR194" s="1008"/>
      <c r="YS194" s="1008"/>
      <c r="YT194" s="1008"/>
      <c r="YU194" s="1008"/>
      <c r="YV194" s="1008"/>
      <c r="YW194" s="1008"/>
      <c r="YX194" s="1008"/>
      <c r="YY194" s="1008"/>
      <c r="YZ194" s="1008"/>
      <c r="ZA194" s="1008"/>
      <c r="ZB194" s="1008"/>
      <c r="ZC194" s="1008"/>
      <c r="ZD194" s="1008"/>
      <c r="ZE194" s="1008"/>
      <c r="ZF194" s="1008"/>
      <c r="ZG194" s="1008"/>
      <c r="ZH194" s="1008"/>
      <c r="ZI194" s="1008"/>
      <c r="ZJ194" s="1008"/>
      <c r="ZK194" s="1008"/>
      <c r="ZL194" s="1008"/>
      <c r="ZM194" s="1008"/>
      <c r="ZN194" s="1008"/>
      <c r="ZO194" s="1008"/>
      <c r="ZP194" s="1008"/>
      <c r="ZQ194" s="1008"/>
      <c r="ZR194" s="1008"/>
      <c r="ZS194" s="1008"/>
      <c r="ZT194" s="1008"/>
      <c r="ZU194" s="1008"/>
      <c r="ZV194" s="1008"/>
      <c r="ZW194" s="1008"/>
      <c r="ZX194" s="1008"/>
      <c r="ZY194" s="1008"/>
      <c r="ZZ194" s="1008"/>
      <c r="AAA194" s="1008"/>
      <c r="AAB194" s="1008"/>
      <c r="AAC194" s="1008"/>
      <c r="AAD194" s="1008"/>
      <c r="AAE194" s="1008"/>
      <c r="AAF194" s="1008"/>
      <c r="AAG194" s="1008"/>
      <c r="AAH194" s="1008"/>
      <c r="AAI194" s="1008"/>
      <c r="AAJ194" s="1008"/>
      <c r="AAK194" s="1008"/>
      <c r="AAL194" s="1008"/>
      <c r="AAM194" s="1008"/>
      <c r="AAN194" s="1008"/>
      <c r="AAO194" s="1008"/>
      <c r="AAP194" s="1008"/>
      <c r="AAQ194" s="1008"/>
      <c r="AAR194" s="1008"/>
      <c r="AAS194" s="1008"/>
      <c r="AAT194" s="1007"/>
      <c r="AAU194" s="962"/>
      <c r="AAV194" s="1059"/>
      <c r="AAW194" s="1059"/>
      <c r="AAX194" s="1059"/>
      <c r="AAY194" s="1059"/>
      <c r="AAZ194" s="1059"/>
      <c r="ABA194" s="963"/>
      <c r="ABB194" s="158"/>
      <c r="ABC194" s="158"/>
      <c r="ABD194" s="158"/>
      <c r="ABE194" s="158"/>
      <c r="ABF194" s="158"/>
      <c r="ABG194" s="158"/>
      <c r="ABH194" s="158"/>
      <c r="ABI194" s="158"/>
      <c r="ABJ194" s="158"/>
      <c r="ABK194" s="158"/>
      <c r="ABL194" s="158"/>
      <c r="ABM194" s="158"/>
      <c r="ABN194" s="158"/>
      <c r="ABO194" s="158"/>
      <c r="ABP194" s="163"/>
      <c r="ACJ194" s="759">
        <v>-3.125E-2</v>
      </c>
      <c r="ACK194" s="760"/>
      <c r="ACL194" s="759">
        <v>1</v>
      </c>
      <c r="ACM194" s="760"/>
      <c r="ACN194" s="591">
        <v>41</v>
      </c>
      <c r="ACO194" s="759">
        <f t="shared" si="248"/>
        <v>0.98975000000000002</v>
      </c>
      <c r="ACP194" s="760"/>
      <c r="ACQ194" s="757">
        <f t="shared" si="195"/>
        <v>0.32800000000000001</v>
      </c>
      <c r="ACR194" s="758"/>
      <c r="ACT194" s="759">
        <v>-3.125E-2</v>
      </c>
      <c r="ACU194" s="760"/>
      <c r="ACV194" s="759">
        <v>1</v>
      </c>
      <c r="ACW194" s="760"/>
      <c r="ACX194" s="591">
        <v>91</v>
      </c>
      <c r="ACY194" s="759">
        <f t="shared" si="196"/>
        <v>0.97724999999999995</v>
      </c>
      <c r="ACZ194" s="760"/>
      <c r="ADA194" s="757">
        <f t="shared" si="197"/>
        <v>0.72799999999999998</v>
      </c>
      <c r="ADB194" s="758"/>
      <c r="ADD194" s="759">
        <v>-0.14285714285714299</v>
      </c>
      <c r="ADE194" s="760"/>
      <c r="ADF194" s="759">
        <v>1.1071428571428601</v>
      </c>
      <c r="ADG194" s="760"/>
      <c r="ADH194" s="591">
        <v>141</v>
      </c>
      <c r="ADI194" s="759">
        <f t="shared" si="198"/>
        <v>0.94600000000000284</v>
      </c>
      <c r="ADJ194" s="760"/>
      <c r="ADK194" s="757">
        <f t="shared" si="199"/>
        <v>1.1280000000000001</v>
      </c>
      <c r="ADL194" s="758"/>
      <c r="ADN194" s="759">
        <v>-0.2</v>
      </c>
      <c r="ADO194" s="760"/>
      <c r="ADP194" s="759">
        <v>1.19</v>
      </c>
      <c r="ADQ194" s="760"/>
      <c r="ADR194" s="591">
        <v>191</v>
      </c>
      <c r="ADS194" s="759">
        <f t="shared" si="200"/>
        <v>0.88439999999999985</v>
      </c>
      <c r="ADT194" s="760"/>
      <c r="ADU194" s="757">
        <f t="shared" si="201"/>
        <v>1.528</v>
      </c>
      <c r="ADV194" s="758"/>
      <c r="ADX194" s="759">
        <v>-0.33333333333333259</v>
      </c>
      <c r="ADY194" s="760"/>
      <c r="ADZ194" s="759">
        <v>1.4166666666666654</v>
      </c>
      <c r="AEA194" s="760"/>
      <c r="AEB194" s="592">
        <v>241</v>
      </c>
      <c r="AEC194" s="759">
        <f t="shared" si="202"/>
        <v>0.77400000000000024</v>
      </c>
      <c r="AED194" s="760"/>
      <c r="AEE194" s="757">
        <f t="shared" si="203"/>
        <v>1.9279999999999999</v>
      </c>
      <c r="AEF194" s="758"/>
      <c r="AEH194" s="759">
        <v>-0.25</v>
      </c>
      <c r="AEI194" s="760"/>
      <c r="AEJ194" s="759">
        <v>1.2250000000000001</v>
      </c>
      <c r="AEK194" s="760"/>
      <c r="AEL194" s="591">
        <v>291</v>
      </c>
      <c r="AEM194" s="759">
        <f t="shared" si="204"/>
        <v>0.64300000000000013</v>
      </c>
      <c r="AEN194" s="760"/>
      <c r="AEO194" s="757">
        <f t="shared" si="205"/>
        <v>2.3279999999999998</v>
      </c>
      <c r="AEP194" s="758"/>
      <c r="AEQ194" s="653"/>
      <c r="AER194" s="759">
        <v>-0.1</v>
      </c>
      <c r="AES194" s="760"/>
      <c r="AET194" s="759">
        <v>0.82</v>
      </c>
      <c r="AEU194" s="760"/>
      <c r="AEV194" s="591">
        <v>341</v>
      </c>
      <c r="AEW194" s="759">
        <f t="shared" si="206"/>
        <v>0.54719999999999991</v>
      </c>
      <c r="AEX194" s="760"/>
      <c r="AEY194" s="757">
        <f t="shared" si="207"/>
        <v>2.7280000000000002</v>
      </c>
      <c r="AEZ194" s="758"/>
      <c r="AFA194" s="653"/>
      <c r="AFB194" s="759">
        <v>-0.1</v>
      </c>
      <c r="AFC194" s="760"/>
      <c r="AFD194" s="759">
        <v>0.82</v>
      </c>
      <c r="AFE194" s="760"/>
      <c r="AFF194" s="591">
        <v>391</v>
      </c>
      <c r="AFG194" s="759">
        <f t="shared" si="208"/>
        <v>0.50719999999999987</v>
      </c>
      <c r="AFH194" s="760"/>
      <c r="AFI194" s="757">
        <f t="shared" si="209"/>
        <v>3.1280000000000001</v>
      </c>
      <c r="AFJ194" s="758"/>
      <c r="AFK194" s="653"/>
      <c r="AFL194" s="759">
        <v>-0.125</v>
      </c>
      <c r="AFM194" s="760"/>
      <c r="AFN194" s="759">
        <v>0.875</v>
      </c>
      <c r="AFO194" s="760"/>
      <c r="AFP194" s="591">
        <v>441</v>
      </c>
      <c r="AFQ194" s="759">
        <f t="shared" si="210"/>
        <v>0.434</v>
      </c>
      <c r="AFR194" s="760"/>
      <c r="AFS194" s="757">
        <f t="shared" si="211"/>
        <v>3.528</v>
      </c>
      <c r="AFT194" s="758"/>
      <c r="AFU194" s="653"/>
      <c r="AFV194" s="759">
        <v>-6.25E-2</v>
      </c>
      <c r="AFW194" s="760"/>
      <c r="AFX194" s="759">
        <v>0.63749999999999996</v>
      </c>
      <c r="AFY194" s="760"/>
      <c r="AFZ194" s="592">
        <v>491</v>
      </c>
      <c r="AGA194" s="759">
        <f t="shared" si="212"/>
        <v>0.39199999999999996</v>
      </c>
      <c r="AGB194" s="760"/>
      <c r="AGC194" s="757">
        <f t="shared" si="213"/>
        <v>3.9279999999999999</v>
      </c>
      <c r="AGD194" s="758"/>
      <c r="AGE194" s="653"/>
      <c r="AGF194" s="653"/>
      <c r="AGG194" s="653"/>
      <c r="AGH194" s="653"/>
      <c r="AGI194" s="653"/>
      <c r="AGJ194" s="653"/>
      <c r="ARU194" s="377"/>
      <c r="ARV194" s="373"/>
      <c r="ARW194" s="373"/>
      <c r="ARX194" s="373"/>
      <c r="ARY194" s="197" t="s">
        <v>849</v>
      </c>
      <c r="ARZ194" s="852" t="s">
        <v>416</v>
      </c>
      <c r="ASA194" s="853"/>
      <c r="ASB194" s="687"/>
      <c r="ASC194" s="78"/>
      <c r="ASD194" s="78"/>
      <c r="ASE194" s="78"/>
      <c r="ASF194" s="78"/>
      <c r="ASG194" s="78"/>
      <c r="ASH194" s="78"/>
      <c r="ASI194" s="687"/>
      <c r="ASJ194" s="76" t="s">
        <v>441</v>
      </c>
      <c r="ASK194" s="854" t="s">
        <v>435</v>
      </c>
      <c r="ASL194" s="855"/>
      <c r="ASM194" s="920" t="s">
        <v>111</v>
      </c>
      <c r="ASN194" s="921"/>
      <c r="ASO194" s="916" t="s">
        <v>704</v>
      </c>
      <c r="ASP194" s="917"/>
      <c r="ASQ194" s="906" t="s">
        <v>447</v>
      </c>
      <c r="ASR194" s="907"/>
      <c r="ASS194" s="907"/>
      <c r="AST194" s="908"/>
      <c r="ASU194" s="373"/>
      <c r="ASV194" s="373"/>
      <c r="ASW194" s="373"/>
      <c r="ASX194" s="373"/>
      <c r="ASY194" s="373"/>
      <c r="ASZ194" s="373"/>
      <c r="ATA194" s="373"/>
      <c r="ATB194" s="373"/>
      <c r="ATC194" s="373"/>
      <c r="ATD194" s="373"/>
      <c r="ATE194" s="373"/>
      <c r="ATF194" s="374"/>
    </row>
    <row r="195" spans="340:976 1165:1202" ht="48" customHeight="1" thickBot="1">
      <c r="MB195" s="903"/>
      <c r="MC195" s="904"/>
      <c r="MD195" s="905"/>
      <c r="ME195" s="851"/>
      <c r="MF195" s="440" t="s">
        <v>1019</v>
      </c>
      <c r="MG195" s="1187">
        <f>$GM$24</f>
        <v>1.4419426086956524E-2</v>
      </c>
      <c r="MH195" s="1187"/>
      <c r="MI195" s="778"/>
      <c r="MJ195" s="778"/>
      <c r="MK195" s="778"/>
      <c r="ML195" s="778"/>
      <c r="MM195" s="778"/>
      <c r="MN195" s="778"/>
      <c r="MO195" s="778"/>
      <c r="MP195" s="799"/>
      <c r="MQ195" s="1195"/>
      <c r="MR195" s="1196"/>
      <c r="MS195" s="1185"/>
      <c r="MT195" s="1186"/>
      <c r="MU195" s="1067"/>
      <c r="MV195" s="845"/>
      <c r="MW195" s="846"/>
      <c r="MX195" s="848"/>
      <c r="PF195" s="130"/>
      <c r="PG195" s="130"/>
      <c r="PH195" s="130"/>
      <c r="PI195" s="130"/>
      <c r="PJ195" s="130"/>
      <c r="PL195" s="850"/>
      <c r="PM195" s="800" t="s">
        <v>1599</v>
      </c>
      <c r="PN195" s="801"/>
      <c r="PO195" s="883">
        <f>$PW$184</f>
        <v>1.1981820184614456</v>
      </c>
      <c r="PP195" s="884"/>
      <c r="PQ195" s="791" t="s">
        <v>123</v>
      </c>
      <c r="PR195" s="792"/>
      <c r="PS195" s="792"/>
      <c r="PT195" s="792"/>
      <c r="PU195" s="792"/>
      <c r="PV195" s="792"/>
      <c r="PW195" s="1167">
        <f>PW184/PW180</f>
        <v>7.3531056476868806E-2</v>
      </c>
      <c r="PX195" s="840"/>
      <c r="PY195" s="1183" t="s">
        <v>729</v>
      </c>
      <c r="PZ195" s="1184"/>
      <c r="QA195" s="1066"/>
      <c r="QB195" s="1170" t="s">
        <v>1579</v>
      </c>
      <c r="QC195" s="1172"/>
      <c r="QD195" s="847"/>
      <c r="QE195" s="1052"/>
      <c r="QF195" s="1052"/>
      <c r="QG195" s="1052"/>
      <c r="QH195" s="1052"/>
      <c r="QI195" s="1052"/>
      <c r="QM195" s="130"/>
      <c r="QN195" s="130"/>
      <c r="QO195" s="130"/>
      <c r="QP195" s="130"/>
      <c r="QQ195" s="130"/>
      <c r="WE195" s="976">
        <v>30</v>
      </c>
      <c r="WF195" s="977"/>
      <c r="WG195" s="167"/>
      <c r="WH195" s="168"/>
      <c r="WI195" s="168"/>
      <c r="WJ195" s="168"/>
      <c r="WK195" s="168"/>
      <c r="WL195" s="168"/>
      <c r="WM195" s="168"/>
      <c r="WN195" s="168"/>
      <c r="WO195" s="168"/>
      <c r="WP195" s="168"/>
      <c r="WQ195" s="168"/>
      <c r="WR195" s="168"/>
      <c r="WS195" s="168"/>
      <c r="WT195" s="168"/>
      <c r="WU195" s="168"/>
      <c r="WV195" s="168"/>
      <c r="WW195" s="168"/>
      <c r="WX195" s="168"/>
      <c r="WY195" s="171"/>
      <c r="WZ195" s="752" t="s">
        <v>392</v>
      </c>
      <c r="XA195" s="753"/>
      <c r="XB195" s="167"/>
      <c r="XC195" s="168"/>
      <c r="XD195" s="168"/>
      <c r="XE195" s="168"/>
      <c r="XF195" s="171"/>
      <c r="XG195" s="1012">
        <f>XG186+XG192*XG189</f>
        <v>0.74261632135795486</v>
      </c>
      <c r="XH195" s="1012">
        <f t="shared" ref="XH195:ZS195" si="264">XH186+XH192*XH189</f>
        <v>0.73993992028476974</v>
      </c>
      <c r="XI195" s="1012">
        <f t="shared" si="264"/>
        <v>0.73733140329370861</v>
      </c>
      <c r="XJ195" s="1012">
        <f t="shared" si="264"/>
        <v>0.73478647681974485</v>
      </c>
      <c r="XK195" s="1012">
        <f t="shared" si="264"/>
        <v>0.73291713324902186</v>
      </c>
      <c r="XL195" s="1012">
        <f t="shared" si="264"/>
        <v>0.73047421411773183</v>
      </c>
      <c r="XM195" s="1012">
        <f t="shared" si="264"/>
        <v>0.72867732266519614</v>
      </c>
      <c r="XN195" s="1012">
        <f t="shared" si="264"/>
        <v>0.72690919809265298</v>
      </c>
      <c r="XO195" s="1012">
        <f t="shared" si="264"/>
        <v>0.72516858591081279</v>
      </c>
      <c r="XP195" s="1012">
        <f t="shared" si="264"/>
        <v>0.72345430410614497</v>
      </c>
      <c r="XQ195" s="1012">
        <f t="shared" si="264"/>
        <v>0.72176523794500014</v>
      </c>
      <c r="XR195" s="1012">
        <f t="shared" si="264"/>
        <v>0.72010033522133354</v>
      </c>
      <c r="XS195" s="1012">
        <f t="shared" si="264"/>
        <v>0.71845860190419675</v>
      </c>
      <c r="XT195" s="1012">
        <f t="shared" si="264"/>
        <v>0.71737651867928487</v>
      </c>
      <c r="XU195" s="1012">
        <f t="shared" si="264"/>
        <v>0.7157713375785606</v>
      </c>
      <c r="XV195" s="1012">
        <f t="shared" si="264"/>
        <v>0.71471280885495658</v>
      </c>
      <c r="XW195" s="1012">
        <f t="shared" si="264"/>
        <v>0.71314179660273669</v>
      </c>
      <c r="XX195" s="1012">
        <f t="shared" si="264"/>
        <v>0.71210530356776669</v>
      </c>
      <c r="XY195" s="1012">
        <f t="shared" si="264"/>
        <v>0.71107722883446556</v>
      </c>
      <c r="XZ195" s="1012">
        <f t="shared" si="264"/>
        <v>0.71005735774205969</v>
      </c>
      <c r="YA195" s="1012">
        <f t="shared" si="264"/>
        <v>0.70955043348049696</v>
      </c>
      <c r="YB195" s="1012">
        <f t="shared" si="264"/>
        <v>0.70854248121382235</v>
      </c>
      <c r="YC195" s="1012">
        <f t="shared" si="264"/>
        <v>0.70754222714219206</v>
      </c>
      <c r="YD195" s="1012">
        <f t="shared" si="264"/>
        <v>0.70704492715805323</v>
      </c>
      <c r="YE195" s="1012">
        <f t="shared" si="264"/>
        <v>0.70488603834951902</v>
      </c>
      <c r="YF195" s="1012">
        <f t="shared" si="264"/>
        <v>0.70368894788854464</v>
      </c>
      <c r="YG195" s="1012">
        <f t="shared" si="264"/>
        <v>0.70250218667294151</v>
      </c>
      <c r="YH195" s="1012">
        <f t="shared" si="264"/>
        <v>0.70132545384353739</v>
      </c>
      <c r="YI195" s="1012">
        <f t="shared" si="264"/>
        <v>0.70015846018487582</v>
      </c>
      <c r="YJ195" s="1012">
        <f t="shared" si="264"/>
        <v>0.69900092756457888</v>
      </c>
      <c r="YK195" s="1012">
        <f t="shared" si="264"/>
        <v>0.69785258840494535</v>
      </c>
      <c r="YL195" s="1012">
        <f t="shared" si="264"/>
        <v>0.69785258840494535</v>
      </c>
      <c r="YM195" s="1012">
        <f t="shared" si="264"/>
        <v>0.6967131851846351</v>
      </c>
      <c r="YN195" s="1012">
        <f t="shared" si="264"/>
        <v>0.69558246996844919</v>
      </c>
      <c r="YO195" s="1012">
        <f t="shared" si="264"/>
        <v>0.69558246996844919</v>
      </c>
      <c r="YP195" s="1012">
        <f t="shared" si="264"/>
        <v>0.69446020396336805</v>
      </c>
      <c r="YQ195" s="1012">
        <f t="shared" si="264"/>
        <v>0.69446020396336805</v>
      </c>
      <c r="YR195" s="1012">
        <f t="shared" si="264"/>
        <v>0.69446020396336805</v>
      </c>
      <c r="YS195" s="1012">
        <f t="shared" si="264"/>
        <v>0.69334615709914393</v>
      </c>
      <c r="YT195" s="1012">
        <f t="shared" si="264"/>
        <v>0.69334615709914393</v>
      </c>
      <c r="YU195" s="1012">
        <f t="shared" si="264"/>
        <v>0.69334615709914393</v>
      </c>
      <c r="YV195" s="1012">
        <f t="shared" si="264"/>
        <v>0.6922401076318736</v>
      </c>
      <c r="YW195" s="1012">
        <f t="shared" si="264"/>
        <v>0.6922401076318736</v>
      </c>
      <c r="YX195" s="1012">
        <f t="shared" si="264"/>
        <v>0.6922401076318736</v>
      </c>
      <c r="YY195" s="1012">
        <f t="shared" si="264"/>
        <v>0.6922401076318736</v>
      </c>
      <c r="YZ195" s="1012">
        <f t="shared" si="264"/>
        <v>0.69114184176908655</v>
      </c>
      <c r="ZA195" s="1012">
        <f t="shared" si="264"/>
        <v>0.69114184176908655</v>
      </c>
      <c r="ZB195" s="1012">
        <f t="shared" si="264"/>
        <v>0.69114184176908655</v>
      </c>
      <c r="ZC195" s="1012">
        <f t="shared" si="264"/>
        <v>0.69114184176908655</v>
      </c>
      <c r="ZD195" s="1012">
        <f t="shared" si="264"/>
        <v>0.69114184176908655</v>
      </c>
      <c r="ZE195" s="1012">
        <f t="shared" si="264"/>
        <v>0.69005115331499467</v>
      </c>
      <c r="ZF195" s="1012">
        <f t="shared" si="264"/>
        <v>0.69005115331499467</v>
      </c>
      <c r="ZG195" s="1012">
        <f t="shared" si="264"/>
        <v>0.69005115331499467</v>
      </c>
      <c r="ZH195" s="1012">
        <f t="shared" si="264"/>
        <v>0.69005115331499467</v>
      </c>
      <c r="ZI195" s="1012">
        <f t="shared" si="264"/>
        <v>0.69005115331499467</v>
      </c>
      <c r="ZJ195" s="1012">
        <f t="shared" si="264"/>
        <v>0.69005115331499467</v>
      </c>
      <c r="ZK195" s="1012">
        <f t="shared" si="264"/>
        <v>0.69005115331499467</v>
      </c>
      <c r="ZL195" s="1012">
        <f t="shared" si="264"/>
        <v>0.68896784333464511</v>
      </c>
      <c r="ZM195" s="1012">
        <f t="shared" si="264"/>
        <v>0.68896784333464511</v>
      </c>
      <c r="ZN195" s="1012">
        <f t="shared" si="264"/>
        <v>0.68896784333464511</v>
      </c>
      <c r="ZO195" s="1012">
        <f t="shared" si="264"/>
        <v>0.68896784333464511</v>
      </c>
      <c r="ZP195" s="1012">
        <f t="shared" si="264"/>
        <v>0.68896784333464511</v>
      </c>
      <c r="ZQ195" s="1012">
        <f t="shared" si="264"/>
        <v>0.68896784333464511</v>
      </c>
      <c r="ZR195" s="1012">
        <f t="shared" si="264"/>
        <v>0.68896784333464511</v>
      </c>
      <c r="ZS195" s="1012">
        <f t="shared" si="264"/>
        <v>0.68896784333464511</v>
      </c>
      <c r="ZT195" s="1012">
        <f t="shared" ref="ZT195:AAS195" si="265">ZT186+ZT192*ZT189</f>
        <v>0.68896784333464511</v>
      </c>
      <c r="ZU195" s="1012">
        <f t="shared" si="265"/>
        <v>0.68896784333464511</v>
      </c>
      <c r="ZV195" s="1012">
        <f t="shared" si="265"/>
        <v>0.68896784333464511</v>
      </c>
      <c r="ZW195" s="1012">
        <f t="shared" si="265"/>
        <v>0.68896784333464511</v>
      </c>
      <c r="ZX195" s="1012">
        <f t="shared" si="265"/>
        <v>0.68896784333464511</v>
      </c>
      <c r="ZY195" s="1012">
        <f t="shared" si="265"/>
        <v>0.68789171983580566</v>
      </c>
      <c r="ZZ195" s="1012">
        <f t="shared" si="265"/>
        <v>0.68789171983580566</v>
      </c>
      <c r="AAA195" s="1012">
        <f t="shared" si="265"/>
        <v>0.68789171983580566</v>
      </c>
      <c r="AAB195" s="1012">
        <f t="shared" si="265"/>
        <v>0.68789171983580566</v>
      </c>
      <c r="AAC195" s="1012">
        <f t="shared" si="265"/>
        <v>0.68789171983580566</v>
      </c>
      <c r="AAD195" s="1012">
        <f t="shared" si="265"/>
        <v>0.68789171983580566</v>
      </c>
      <c r="AAE195" s="1012">
        <f t="shared" si="265"/>
        <v>0.68789171983580566</v>
      </c>
      <c r="AAF195" s="1012">
        <f t="shared" si="265"/>
        <v>0.68789171983580566</v>
      </c>
      <c r="AAG195" s="1012">
        <f t="shared" si="265"/>
        <v>0.68789171983580566</v>
      </c>
      <c r="AAH195" s="1012">
        <f t="shared" si="265"/>
        <v>0.68789171983580566</v>
      </c>
      <c r="AAI195" s="1012">
        <f t="shared" si="265"/>
        <v>0.68789171983580566</v>
      </c>
      <c r="AAJ195" s="1012">
        <f t="shared" si="265"/>
        <v>0.68789171983580566</v>
      </c>
      <c r="AAK195" s="1012">
        <f t="shared" si="265"/>
        <v>0.68789171983580566</v>
      </c>
      <c r="AAL195" s="1012">
        <f t="shared" si="265"/>
        <v>0.68789171983580566</v>
      </c>
      <c r="AAM195" s="1012">
        <f t="shared" si="265"/>
        <v>0.68789171983580566</v>
      </c>
      <c r="AAN195" s="1012">
        <f t="shared" si="265"/>
        <v>0.68789171983580566</v>
      </c>
      <c r="AAO195" s="1012">
        <f t="shared" si="265"/>
        <v>0.68789171983580566</v>
      </c>
      <c r="AAP195" s="1012">
        <f t="shared" si="265"/>
        <v>0.68789171983580566</v>
      </c>
      <c r="AAQ195" s="1012">
        <f t="shared" si="265"/>
        <v>0.68789171983580566</v>
      </c>
      <c r="AAR195" s="1012">
        <f t="shared" si="265"/>
        <v>0.68789171983580566</v>
      </c>
      <c r="AAS195" s="1012">
        <f t="shared" si="265"/>
        <v>0.68789171983580566</v>
      </c>
      <c r="AAT195" s="1005">
        <v>30</v>
      </c>
      <c r="AAU195" s="958"/>
      <c r="AAV195" s="1058"/>
      <c r="AAW195" s="1058"/>
      <c r="AAX195" s="1058"/>
      <c r="AAY195" s="1058"/>
      <c r="AAZ195" s="1058"/>
      <c r="ABA195" s="1058"/>
      <c r="ABB195" s="1058"/>
      <c r="ABC195" s="1058"/>
      <c r="ABD195" s="1058"/>
      <c r="ABE195" s="1058"/>
      <c r="ABF195" s="959"/>
      <c r="ABG195" s="158"/>
      <c r="ABH195" s="158"/>
      <c r="ABI195" s="158"/>
      <c r="ABJ195" s="158"/>
      <c r="ABK195" s="158"/>
      <c r="ABL195" s="158"/>
      <c r="ABM195" s="158"/>
      <c r="ABN195" s="158"/>
      <c r="ABO195" s="158"/>
      <c r="ABP195" s="163"/>
      <c r="ACJ195" s="759">
        <v>-3.125E-2</v>
      </c>
      <c r="ACK195" s="760"/>
      <c r="ACL195" s="759">
        <v>1</v>
      </c>
      <c r="ACM195" s="760"/>
      <c r="ACN195" s="591">
        <v>42</v>
      </c>
      <c r="ACO195" s="759">
        <f t="shared" si="248"/>
        <v>0.98950000000000005</v>
      </c>
      <c r="ACP195" s="760"/>
      <c r="ACQ195" s="757">
        <f t="shared" si="195"/>
        <v>0.33600000000000002</v>
      </c>
      <c r="ACR195" s="758"/>
      <c r="ACT195" s="759">
        <v>-3.125E-2</v>
      </c>
      <c r="ACU195" s="760"/>
      <c r="ACV195" s="759">
        <v>1</v>
      </c>
      <c r="ACW195" s="760"/>
      <c r="ACX195" s="591">
        <v>92</v>
      </c>
      <c r="ACY195" s="759">
        <f t="shared" si="196"/>
        <v>0.97699999999999998</v>
      </c>
      <c r="ACZ195" s="760"/>
      <c r="ADA195" s="757">
        <f t="shared" si="197"/>
        <v>0.73599999999999999</v>
      </c>
      <c r="ADB195" s="758"/>
      <c r="ADD195" s="759">
        <v>-0.14285714285714299</v>
      </c>
      <c r="ADE195" s="760"/>
      <c r="ADF195" s="759">
        <v>1.1071428571428601</v>
      </c>
      <c r="ADG195" s="760"/>
      <c r="ADH195" s="591">
        <v>142</v>
      </c>
      <c r="ADI195" s="759">
        <f t="shared" si="198"/>
        <v>0.94485714285714562</v>
      </c>
      <c r="ADJ195" s="760"/>
      <c r="ADK195" s="757">
        <f t="shared" si="199"/>
        <v>1.1360000000000001</v>
      </c>
      <c r="ADL195" s="758"/>
      <c r="ADN195" s="759">
        <v>-0.2</v>
      </c>
      <c r="ADO195" s="760"/>
      <c r="ADP195" s="759">
        <v>1.19</v>
      </c>
      <c r="ADQ195" s="760"/>
      <c r="ADR195" s="591">
        <v>192</v>
      </c>
      <c r="ADS195" s="759">
        <f t="shared" si="200"/>
        <v>0.88279999999999992</v>
      </c>
      <c r="ADT195" s="760"/>
      <c r="ADU195" s="757">
        <f t="shared" si="201"/>
        <v>1.536</v>
      </c>
      <c r="ADV195" s="758"/>
      <c r="ADX195" s="759">
        <v>-0.33333333333333259</v>
      </c>
      <c r="ADY195" s="760"/>
      <c r="ADZ195" s="759">
        <v>1.4166666666666654</v>
      </c>
      <c r="AEA195" s="760"/>
      <c r="AEB195" s="592">
        <v>242</v>
      </c>
      <c r="AEC195" s="759">
        <f t="shared" si="202"/>
        <v>0.77133333333333354</v>
      </c>
      <c r="AED195" s="760"/>
      <c r="AEE195" s="757">
        <f t="shared" si="203"/>
        <v>1.9359999999999999</v>
      </c>
      <c r="AEF195" s="758"/>
      <c r="AEH195" s="759">
        <v>-0.25</v>
      </c>
      <c r="AEI195" s="760"/>
      <c r="AEJ195" s="759">
        <v>1.2250000000000001</v>
      </c>
      <c r="AEK195" s="760"/>
      <c r="AEL195" s="591">
        <v>292</v>
      </c>
      <c r="AEM195" s="759">
        <f t="shared" si="204"/>
        <v>0.64100000000000013</v>
      </c>
      <c r="AEN195" s="760"/>
      <c r="AEO195" s="757">
        <f t="shared" si="205"/>
        <v>2.3359999999999999</v>
      </c>
      <c r="AEP195" s="758"/>
      <c r="AEQ195" s="653"/>
      <c r="AER195" s="759">
        <v>-0.1</v>
      </c>
      <c r="AES195" s="760"/>
      <c r="AET195" s="759">
        <v>0.82</v>
      </c>
      <c r="AEU195" s="760"/>
      <c r="AEV195" s="591">
        <v>342</v>
      </c>
      <c r="AEW195" s="759">
        <f t="shared" si="206"/>
        <v>0.5464</v>
      </c>
      <c r="AEX195" s="760"/>
      <c r="AEY195" s="757">
        <f t="shared" si="207"/>
        <v>2.7360000000000002</v>
      </c>
      <c r="AEZ195" s="758"/>
      <c r="AFA195" s="653"/>
      <c r="AFB195" s="759">
        <v>-0.1</v>
      </c>
      <c r="AFC195" s="760"/>
      <c r="AFD195" s="759">
        <v>0.82</v>
      </c>
      <c r="AFE195" s="760"/>
      <c r="AFF195" s="591">
        <v>392</v>
      </c>
      <c r="AFG195" s="759">
        <f t="shared" si="208"/>
        <v>0.50639999999999996</v>
      </c>
      <c r="AFH195" s="760"/>
      <c r="AFI195" s="757">
        <f t="shared" si="209"/>
        <v>3.1360000000000001</v>
      </c>
      <c r="AFJ195" s="758"/>
      <c r="AFK195" s="653"/>
      <c r="AFL195" s="759">
        <v>-0.125</v>
      </c>
      <c r="AFM195" s="760"/>
      <c r="AFN195" s="759">
        <v>0.875</v>
      </c>
      <c r="AFO195" s="760"/>
      <c r="AFP195" s="591">
        <v>442</v>
      </c>
      <c r="AFQ195" s="759">
        <f t="shared" si="210"/>
        <v>0.433</v>
      </c>
      <c r="AFR195" s="760"/>
      <c r="AFS195" s="757">
        <f t="shared" si="211"/>
        <v>3.536</v>
      </c>
      <c r="AFT195" s="758"/>
      <c r="AFU195" s="653"/>
      <c r="AFV195" s="759">
        <v>-6.25E-2</v>
      </c>
      <c r="AFW195" s="760"/>
      <c r="AFX195" s="759">
        <v>0.63749999999999996</v>
      </c>
      <c r="AFY195" s="760"/>
      <c r="AFZ195" s="592">
        <v>492</v>
      </c>
      <c r="AGA195" s="759">
        <f t="shared" si="212"/>
        <v>0.39149999999999996</v>
      </c>
      <c r="AGB195" s="760"/>
      <c r="AGC195" s="757">
        <f t="shared" si="213"/>
        <v>3.9359999999999999</v>
      </c>
      <c r="AGD195" s="758"/>
      <c r="AGE195" s="653"/>
      <c r="AGF195" s="653"/>
      <c r="AGG195" s="653"/>
      <c r="AGH195" s="653"/>
      <c r="AGI195" s="653"/>
      <c r="AGJ195" s="653"/>
      <c r="AGN195" s="199"/>
      <c r="AGO195" s="852" t="s">
        <v>1753</v>
      </c>
      <c r="AGP195" s="923"/>
      <c r="AGQ195" s="199"/>
      <c r="AGR195" s="1117" t="s">
        <v>1036</v>
      </c>
      <c r="AGS195" s="1118"/>
      <c r="AGT195" s="1118"/>
      <c r="AGU195" s="1118"/>
      <c r="AGV195" s="1118"/>
      <c r="AGW195" s="1118"/>
      <c r="AGX195" s="1118"/>
      <c r="AGY195" s="1118"/>
      <c r="AGZ195" s="1118"/>
      <c r="AHA195" s="1118"/>
      <c r="AHB195" s="1119"/>
      <c r="AHC195" s="199"/>
      <c r="ARU195" s="377"/>
      <c r="ARV195" s="373"/>
      <c r="ARW195" s="54"/>
      <c r="ARX195" s="381" t="s">
        <v>1297</v>
      </c>
      <c r="ARY195" s="849"/>
      <c r="ARZ195" s="957" t="s">
        <v>935</v>
      </c>
      <c r="ASA195" s="957"/>
      <c r="ASB195" s="957"/>
      <c r="ASC195" s="957"/>
      <c r="ASD195" s="957"/>
      <c r="ASE195" s="957"/>
      <c r="ASF195" s="957"/>
      <c r="ASG195" s="957"/>
      <c r="ASH195" s="957"/>
      <c r="ASI195" s="957"/>
      <c r="ASJ195" s="957"/>
      <c r="ASK195" s="957"/>
      <c r="ASL195" s="957"/>
      <c r="ASM195" s="835" t="e">
        <f>3.14*AX25*(#REF!+2*ASI103/1000)</f>
        <v>#REF!</v>
      </c>
      <c r="ASN195" s="836"/>
      <c r="ASO195" s="839"/>
      <c r="ASP195" s="840"/>
      <c r="ASQ195" s="841"/>
      <c r="ASR195" s="893" t="s">
        <v>904</v>
      </c>
      <c r="ASS195" s="894"/>
      <c r="AST195" s="847"/>
      <c r="ASU195" s="373"/>
      <c r="ASV195" s="373"/>
      <c r="ASW195" s="373"/>
      <c r="ASX195" s="373"/>
      <c r="ASY195" s="373"/>
      <c r="ASZ195" s="373"/>
      <c r="ATA195" s="373"/>
      <c r="ATB195" s="373"/>
      <c r="ATC195" s="373"/>
      <c r="ATD195" s="373"/>
      <c r="ATE195" s="373"/>
      <c r="ATF195" s="374"/>
    </row>
    <row r="196" spans="340:976 1165:1202" ht="48" customHeight="1" thickBot="1">
      <c r="PC196" s="130"/>
      <c r="PF196" s="130"/>
      <c r="PG196" s="130"/>
      <c r="PH196" s="130"/>
      <c r="PI196" s="130"/>
      <c r="PJ196" s="130"/>
      <c r="PL196" s="850"/>
      <c r="PM196" s="800" t="s">
        <v>1600</v>
      </c>
      <c r="PN196" s="801"/>
      <c r="PO196" s="951">
        <f>$PW$180</f>
        <v>16.294910965115349</v>
      </c>
      <c r="PP196" s="952"/>
      <c r="PQ196" s="823"/>
      <c r="PR196" s="824"/>
      <c r="PS196" s="824"/>
      <c r="PT196" s="824"/>
      <c r="PU196" s="824"/>
      <c r="PV196" s="824"/>
      <c r="PW196" s="1169"/>
      <c r="PX196" s="799"/>
      <c r="PY196" s="1185"/>
      <c r="PZ196" s="1186"/>
      <c r="QA196" s="1067"/>
      <c r="QB196" s="1173"/>
      <c r="QC196" s="1175"/>
      <c r="QD196" s="848"/>
      <c r="QE196" s="1052"/>
      <c r="QF196" s="1052"/>
      <c r="QG196" s="1052"/>
      <c r="QH196" s="1052"/>
      <c r="QI196" s="1052"/>
      <c r="QM196" s="130"/>
      <c r="QN196" s="130"/>
      <c r="QO196" s="130"/>
      <c r="QP196" s="130"/>
      <c r="QQ196" s="130"/>
      <c r="WE196" s="978"/>
      <c r="WF196" s="979"/>
      <c r="WG196" s="169"/>
      <c r="WH196" s="170"/>
      <c r="WI196" s="170"/>
      <c r="WJ196" s="170"/>
      <c r="WK196" s="170"/>
      <c r="WL196" s="170"/>
      <c r="WM196" s="170"/>
      <c r="WN196" s="170"/>
      <c r="WO196" s="170"/>
      <c r="WP196" s="170"/>
      <c r="WQ196" s="170"/>
      <c r="WR196" s="170"/>
      <c r="WS196" s="170"/>
      <c r="WT196" s="170"/>
      <c r="WU196" s="170"/>
      <c r="WV196" s="170"/>
      <c r="WW196" s="170"/>
      <c r="WX196" s="170"/>
      <c r="WY196" s="172"/>
      <c r="WZ196" s="754"/>
      <c r="XA196" s="755"/>
      <c r="XB196" s="169"/>
      <c r="XC196" s="170"/>
      <c r="XD196" s="170"/>
      <c r="XE196" s="170"/>
      <c r="XF196" s="172"/>
      <c r="XG196" s="1012"/>
      <c r="XH196" s="1012"/>
      <c r="XI196" s="1012"/>
      <c r="XJ196" s="1012"/>
      <c r="XK196" s="1012"/>
      <c r="XL196" s="1012"/>
      <c r="XM196" s="1012"/>
      <c r="XN196" s="1012"/>
      <c r="XO196" s="1012"/>
      <c r="XP196" s="1012"/>
      <c r="XQ196" s="1012"/>
      <c r="XR196" s="1012"/>
      <c r="XS196" s="1012"/>
      <c r="XT196" s="1012"/>
      <c r="XU196" s="1012"/>
      <c r="XV196" s="1012"/>
      <c r="XW196" s="1012"/>
      <c r="XX196" s="1012"/>
      <c r="XY196" s="1012"/>
      <c r="XZ196" s="1012"/>
      <c r="YA196" s="1012"/>
      <c r="YB196" s="1012"/>
      <c r="YC196" s="1012"/>
      <c r="YD196" s="1012"/>
      <c r="YE196" s="1012"/>
      <c r="YF196" s="1012"/>
      <c r="YG196" s="1012"/>
      <c r="YH196" s="1012"/>
      <c r="YI196" s="1012"/>
      <c r="YJ196" s="1012"/>
      <c r="YK196" s="1012"/>
      <c r="YL196" s="1012"/>
      <c r="YM196" s="1012"/>
      <c r="YN196" s="1012"/>
      <c r="YO196" s="1012"/>
      <c r="YP196" s="1012"/>
      <c r="YQ196" s="1012"/>
      <c r="YR196" s="1012"/>
      <c r="YS196" s="1012"/>
      <c r="YT196" s="1012"/>
      <c r="YU196" s="1012"/>
      <c r="YV196" s="1012"/>
      <c r="YW196" s="1012"/>
      <c r="YX196" s="1012"/>
      <c r="YY196" s="1012"/>
      <c r="YZ196" s="1012"/>
      <c r="ZA196" s="1012"/>
      <c r="ZB196" s="1012"/>
      <c r="ZC196" s="1012"/>
      <c r="ZD196" s="1012"/>
      <c r="ZE196" s="1012"/>
      <c r="ZF196" s="1012"/>
      <c r="ZG196" s="1012"/>
      <c r="ZH196" s="1012"/>
      <c r="ZI196" s="1012"/>
      <c r="ZJ196" s="1012"/>
      <c r="ZK196" s="1012"/>
      <c r="ZL196" s="1012"/>
      <c r="ZM196" s="1012"/>
      <c r="ZN196" s="1012"/>
      <c r="ZO196" s="1012"/>
      <c r="ZP196" s="1012"/>
      <c r="ZQ196" s="1012"/>
      <c r="ZR196" s="1012"/>
      <c r="ZS196" s="1012"/>
      <c r="ZT196" s="1012"/>
      <c r="ZU196" s="1012"/>
      <c r="ZV196" s="1012"/>
      <c r="ZW196" s="1012"/>
      <c r="ZX196" s="1012"/>
      <c r="ZY196" s="1012"/>
      <c r="ZZ196" s="1012"/>
      <c r="AAA196" s="1012"/>
      <c r="AAB196" s="1012"/>
      <c r="AAC196" s="1012"/>
      <c r="AAD196" s="1012"/>
      <c r="AAE196" s="1012"/>
      <c r="AAF196" s="1012"/>
      <c r="AAG196" s="1012"/>
      <c r="AAH196" s="1012"/>
      <c r="AAI196" s="1012"/>
      <c r="AAJ196" s="1012"/>
      <c r="AAK196" s="1012"/>
      <c r="AAL196" s="1012"/>
      <c r="AAM196" s="1012"/>
      <c r="AAN196" s="1012"/>
      <c r="AAO196" s="1012"/>
      <c r="AAP196" s="1012"/>
      <c r="AAQ196" s="1012"/>
      <c r="AAR196" s="1012"/>
      <c r="AAS196" s="1012"/>
      <c r="AAT196" s="1007"/>
      <c r="AAU196" s="962"/>
      <c r="AAV196" s="1059"/>
      <c r="AAW196" s="1059"/>
      <c r="AAX196" s="1059"/>
      <c r="AAY196" s="1059"/>
      <c r="AAZ196" s="1059"/>
      <c r="ABA196" s="1059"/>
      <c r="ABB196" s="1059"/>
      <c r="ABC196" s="1059"/>
      <c r="ABD196" s="1059"/>
      <c r="ABE196" s="1059"/>
      <c r="ABF196" s="963"/>
      <c r="ABG196" s="158"/>
      <c r="ABH196" s="158"/>
      <c r="ABI196" s="158"/>
      <c r="ABJ196" s="158"/>
      <c r="ABK196" s="158"/>
      <c r="ABL196" s="158"/>
      <c r="ABM196" s="158"/>
      <c r="ABN196" s="158"/>
      <c r="ABO196" s="158"/>
      <c r="ABP196" s="163"/>
      <c r="ACJ196" s="759">
        <v>-3.125E-2</v>
      </c>
      <c r="ACK196" s="760"/>
      <c r="ACL196" s="759">
        <v>1</v>
      </c>
      <c r="ACM196" s="760"/>
      <c r="ACN196" s="591">
        <v>43</v>
      </c>
      <c r="ACO196" s="759">
        <f t="shared" si="248"/>
        <v>0.98924999999999996</v>
      </c>
      <c r="ACP196" s="760"/>
      <c r="ACQ196" s="757">
        <f t="shared" si="195"/>
        <v>0.34400000000000003</v>
      </c>
      <c r="ACR196" s="758"/>
      <c r="ACT196" s="759">
        <v>-3.125E-2</v>
      </c>
      <c r="ACU196" s="760"/>
      <c r="ACV196" s="759">
        <v>1</v>
      </c>
      <c r="ACW196" s="760"/>
      <c r="ACX196" s="591">
        <v>93</v>
      </c>
      <c r="ACY196" s="759">
        <f t="shared" si="196"/>
        <v>0.97675000000000001</v>
      </c>
      <c r="ACZ196" s="760"/>
      <c r="ADA196" s="757">
        <f t="shared" si="197"/>
        <v>0.74399999999999999</v>
      </c>
      <c r="ADB196" s="758"/>
      <c r="ADD196" s="759">
        <v>-0.14285714285714299</v>
      </c>
      <c r="ADE196" s="760"/>
      <c r="ADF196" s="759">
        <v>1.1071428571428601</v>
      </c>
      <c r="ADG196" s="760"/>
      <c r="ADH196" s="591">
        <v>143</v>
      </c>
      <c r="ADI196" s="759">
        <f t="shared" si="198"/>
        <v>0.9437142857142885</v>
      </c>
      <c r="ADJ196" s="760"/>
      <c r="ADK196" s="757">
        <f t="shared" si="199"/>
        <v>1.1440000000000001</v>
      </c>
      <c r="ADL196" s="758"/>
      <c r="ADN196" s="759">
        <v>-0.2</v>
      </c>
      <c r="ADO196" s="760"/>
      <c r="ADP196" s="759">
        <v>1.19</v>
      </c>
      <c r="ADQ196" s="760"/>
      <c r="ADR196" s="591">
        <v>193</v>
      </c>
      <c r="ADS196" s="759">
        <f t="shared" si="200"/>
        <v>0.88119999999999998</v>
      </c>
      <c r="ADT196" s="760"/>
      <c r="ADU196" s="757">
        <f t="shared" si="201"/>
        <v>1.544</v>
      </c>
      <c r="ADV196" s="758"/>
      <c r="ADX196" s="759">
        <v>-0.33333333333333259</v>
      </c>
      <c r="ADY196" s="760"/>
      <c r="ADZ196" s="759">
        <v>1.4166666666666654</v>
      </c>
      <c r="AEA196" s="760"/>
      <c r="AEB196" s="592">
        <v>243</v>
      </c>
      <c r="AEC196" s="759">
        <f t="shared" si="202"/>
        <v>0.76866666666666683</v>
      </c>
      <c r="AED196" s="760"/>
      <c r="AEE196" s="757">
        <f t="shared" si="203"/>
        <v>1.944</v>
      </c>
      <c r="AEF196" s="758"/>
      <c r="AEH196" s="759">
        <v>-0.25</v>
      </c>
      <c r="AEI196" s="760"/>
      <c r="AEJ196" s="759">
        <v>1.2250000000000001</v>
      </c>
      <c r="AEK196" s="760"/>
      <c r="AEL196" s="591">
        <v>293</v>
      </c>
      <c r="AEM196" s="759">
        <f t="shared" si="204"/>
        <v>0.63900000000000012</v>
      </c>
      <c r="AEN196" s="760"/>
      <c r="AEO196" s="757">
        <f t="shared" si="205"/>
        <v>2.3439999999999999</v>
      </c>
      <c r="AEP196" s="758"/>
      <c r="AEQ196" s="653"/>
      <c r="AER196" s="759">
        <v>-0.1</v>
      </c>
      <c r="AES196" s="760"/>
      <c r="AET196" s="759">
        <v>0.82</v>
      </c>
      <c r="AEU196" s="760"/>
      <c r="AEV196" s="591">
        <v>343</v>
      </c>
      <c r="AEW196" s="759">
        <f t="shared" si="206"/>
        <v>0.54559999999999986</v>
      </c>
      <c r="AEX196" s="760"/>
      <c r="AEY196" s="757">
        <f t="shared" si="207"/>
        <v>2.7440000000000002</v>
      </c>
      <c r="AEZ196" s="758"/>
      <c r="AFA196" s="653"/>
      <c r="AFB196" s="759">
        <v>-0.1</v>
      </c>
      <c r="AFC196" s="760"/>
      <c r="AFD196" s="759">
        <v>0.82</v>
      </c>
      <c r="AFE196" s="760"/>
      <c r="AFF196" s="591">
        <v>393</v>
      </c>
      <c r="AFG196" s="759">
        <f t="shared" si="208"/>
        <v>0.50559999999999994</v>
      </c>
      <c r="AFH196" s="760"/>
      <c r="AFI196" s="757">
        <f t="shared" si="209"/>
        <v>3.1440000000000001</v>
      </c>
      <c r="AFJ196" s="758"/>
      <c r="AFK196" s="653"/>
      <c r="AFL196" s="759">
        <v>-0.125</v>
      </c>
      <c r="AFM196" s="760"/>
      <c r="AFN196" s="759">
        <v>0.875</v>
      </c>
      <c r="AFO196" s="760"/>
      <c r="AFP196" s="591">
        <v>443</v>
      </c>
      <c r="AFQ196" s="759">
        <f t="shared" si="210"/>
        <v>0.432</v>
      </c>
      <c r="AFR196" s="760"/>
      <c r="AFS196" s="757">
        <f t="shared" si="211"/>
        <v>3.544</v>
      </c>
      <c r="AFT196" s="758"/>
      <c r="AFU196" s="653"/>
      <c r="AFV196" s="759">
        <v>-6.25E-2</v>
      </c>
      <c r="AFW196" s="760"/>
      <c r="AFX196" s="759">
        <v>0.63749999999999996</v>
      </c>
      <c r="AFY196" s="760"/>
      <c r="AFZ196" s="592">
        <v>493</v>
      </c>
      <c r="AGA196" s="759">
        <f t="shared" si="212"/>
        <v>0.39099999999999996</v>
      </c>
      <c r="AGB196" s="760"/>
      <c r="AGC196" s="757">
        <f t="shared" si="213"/>
        <v>3.944</v>
      </c>
      <c r="AGD196" s="758"/>
      <c r="AGE196" s="653"/>
      <c r="AGF196" s="653"/>
      <c r="AGG196" s="653"/>
      <c r="AGH196" s="653"/>
      <c r="AGI196" s="653"/>
      <c r="AGJ196" s="653"/>
      <c r="AHW196" s="130"/>
      <c r="AHX196" s="130"/>
      <c r="AHY196" s="130"/>
      <c r="AHZ196" s="130"/>
      <c r="AIA196" s="130"/>
      <c r="ARU196" s="377"/>
      <c r="ARV196" s="373"/>
      <c r="ARW196" s="54"/>
      <c r="ARX196" s="373"/>
      <c r="ARY196" s="851"/>
      <c r="ARZ196" s="1147"/>
      <c r="ASA196" s="1147"/>
      <c r="ASB196" s="1147"/>
      <c r="ASC196" s="1147"/>
      <c r="ASD196" s="1147"/>
      <c r="ASE196" s="1147"/>
      <c r="ASF196" s="1147"/>
      <c r="ASG196" s="1147"/>
      <c r="ASH196" s="1147"/>
      <c r="ASI196" s="1147"/>
      <c r="ASJ196" s="1147"/>
      <c r="ASK196" s="1147"/>
      <c r="ASL196" s="1147"/>
      <c r="ASM196" s="837"/>
      <c r="ASN196" s="838"/>
      <c r="ASO196" s="777"/>
      <c r="ASP196" s="799"/>
      <c r="ASQ196" s="842"/>
      <c r="ASR196" s="918"/>
      <c r="ASS196" s="919"/>
      <c r="AST196" s="848"/>
      <c r="ASU196" s="373"/>
      <c r="ASV196" s="373"/>
      <c r="ASW196" s="373"/>
      <c r="ASX196" s="373"/>
      <c r="ASY196" s="373"/>
      <c r="ASZ196" s="373"/>
      <c r="ATA196" s="373"/>
      <c r="ATB196" s="373"/>
      <c r="ATC196" s="373"/>
      <c r="ATD196" s="373"/>
      <c r="ATE196" s="373"/>
      <c r="ATF196" s="374"/>
    </row>
    <row r="197" spans="340:976 1165:1202" ht="48" customHeight="1" thickBot="1">
      <c r="MD197" s="196"/>
      <c r="ME197" s="852" t="s">
        <v>835</v>
      </c>
      <c r="MF197" s="853"/>
      <c r="MG197" s="196"/>
      <c r="MH197" s="1069" t="s">
        <v>858</v>
      </c>
      <c r="MI197" s="1070"/>
      <c r="MJ197" s="1070"/>
      <c r="MK197" s="1070"/>
      <c r="ML197" s="1070"/>
      <c r="MM197" s="1070"/>
      <c r="MN197" s="1070"/>
      <c r="MO197" s="1070"/>
      <c r="MP197" s="1070"/>
      <c r="MQ197" s="1070"/>
      <c r="MR197" s="1071"/>
      <c r="MS197" s="196"/>
      <c r="NC197" s="130"/>
      <c r="ND197" s="130"/>
      <c r="NE197" s="130"/>
      <c r="NF197" s="130"/>
      <c r="NG197" s="130"/>
      <c r="NH197" s="130"/>
      <c r="NI197" s="653"/>
      <c r="PC197" s="130"/>
      <c r="PD197" s="130"/>
      <c r="PE197" s="130"/>
      <c r="PF197" s="130"/>
      <c r="PG197" s="130"/>
      <c r="PH197" s="130"/>
      <c r="PI197" s="130"/>
      <c r="PJ197" s="130"/>
      <c r="PL197" s="851"/>
      <c r="PM197" s="1060"/>
      <c r="PN197" s="1061"/>
      <c r="PO197" s="1061"/>
      <c r="PP197" s="1062"/>
      <c r="PQ197" s="794"/>
      <c r="PR197" s="795"/>
      <c r="PS197" s="795"/>
      <c r="PT197" s="795"/>
      <c r="PU197" s="795"/>
      <c r="PV197" s="795"/>
      <c r="PW197" s="942"/>
      <c r="PX197" s="943"/>
      <c r="PY197" s="943"/>
      <c r="PZ197" s="943"/>
      <c r="QA197" s="943"/>
      <c r="QB197" s="943"/>
      <c r="QC197" s="943"/>
      <c r="QD197" s="943"/>
      <c r="QE197" s="1053"/>
      <c r="QF197" s="1053"/>
      <c r="QG197" s="1053"/>
      <c r="QH197" s="1053"/>
      <c r="QI197" s="1053"/>
      <c r="QM197" s="130"/>
      <c r="QN197" s="130"/>
      <c r="QO197" s="130"/>
      <c r="QP197" s="130"/>
      <c r="QQ197" s="130"/>
      <c r="WE197" s="752">
        <v>31</v>
      </c>
      <c r="WF197" s="753"/>
      <c r="WG197" s="1130" t="s">
        <v>1455</v>
      </c>
      <c r="WH197" s="1131"/>
      <c r="WI197" s="1131"/>
      <c r="WJ197" s="1132"/>
      <c r="WK197" s="1134">
        <f>$MP$23</f>
        <v>0.14308700299628158</v>
      </c>
      <c r="WL197" s="1134"/>
      <c r="WM197" s="168"/>
      <c r="WN197" s="168"/>
      <c r="WO197" s="168"/>
      <c r="WP197" s="168"/>
      <c r="WQ197" s="168"/>
      <c r="WR197" s="168"/>
      <c r="WS197" s="168"/>
      <c r="WT197" s="168"/>
      <c r="WU197" s="168"/>
      <c r="WV197" s="168"/>
      <c r="WW197" s="168"/>
      <c r="WX197" s="168"/>
      <c r="WY197" s="171"/>
      <c r="WZ197" s="998" t="s">
        <v>392</v>
      </c>
      <c r="XA197" s="999"/>
      <c r="XB197" s="167"/>
      <c r="XC197" s="168"/>
      <c r="XD197" s="168"/>
      <c r="XE197" s="168"/>
      <c r="XF197" s="171"/>
      <c r="XG197" s="1004">
        <f>$WK$197+XG192*XG107/XG79</f>
        <v>16.084072469287218</v>
      </c>
      <c r="XH197" s="1004">
        <f t="shared" ref="XH197:XR197" si="266">$WK$197+XH192*XH107/XH79</f>
        <v>8.1129058572302721</v>
      </c>
      <c r="XI197" s="1004">
        <f t="shared" si="266"/>
        <v>5.455860210083733</v>
      </c>
      <c r="XJ197" s="1004">
        <f t="shared" si="266"/>
        <v>4.1273443801833318</v>
      </c>
      <c r="XK197" s="1004">
        <f t="shared" si="266"/>
        <v>3.3303028698789268</v>
      </c>
      <c r="XL197" s="1004">
        <f t="shared" si="266"/>
        <v>2.7988927482753305</v>
      </c>
      <c r="XM197" s="1004">
        <f t="shared" si="266"/>
        <v>2.4193608030627725</v>
      </c>
      <c r="XN197" s="1004">
        <f t="shared" si="266"/>
        <v>2.1347134586062251</v>
      </c>
      <c r="XO197" s="1004">
        <f t="shared" si="266"/>
        <v>1.9061908284715539</v>
      </c>
      <c r="XP197" s="1004">
        <f t="shared" si="266"/>
        <v>1.7140080544439089</v>
      </c>
      <c r="XQ197" s="1004">
        <f t="shared" si="266"/>
        <v>1.5626684747034894</v>
      </c>
      <c r="XR197" s="1004">
        <f t="shared" si="266"/>
        <v>1.4192358436608941</v>
      </c>
      <c r="XS197" s="1004">
        <f t="shared" ref="XS197:AAD197" si="267">$WK$197+XS192*XS107/XS79</f>
        <v>1.2988921881103395</v>
      </c>
      <c r="XT197" s="1004">
        <f t="shared" si="267"/>
        <v>1.228508136940045</v>
      </c>
      <c r="XU197" s="1004">
        <f t="shared" si="267"/>
        <v>1.1263582452387144</v>
      </c>
      <c r="XV197" s="1004">
        <f t="shared" si="267"/>
        <v>1.0326185859961741</v>
      </c>
      <c r="XW197" s="1004">
        <f t="shared" si="267"/>
        <v>0.95771506857005884</v>
      </c>
      <c r="XX197" s="1004">
        <f t="shared" si="267"/>
        <v>0.89246919160491611</v>
      </c>
      <c r="XY197" s="1004">
        <f t="shared" si="267"/>
        <v>0.83523028079864026</v>
      </c>
      <c r="XZ197" s="1004">
        <f t="shared" si="267"/>
        <v>0.78470251357085363</v>
      </c>
      <c r="YA197" s="1004">
        <f t="shared" si="267"/>
        <v>0.77866364124699095</v>
      </c>
      <c r="YB197" s="1004">
        <f t="shared" si="267"/>
        <v>0.72698353923080083</v>
      </c>
      <c r="YC197" s="1004">
        <f t="shared" si="267"/>
        <v>0.68168195283625521</v>
      </c>
      <c r="YD197" s="1004">
        <f t="shared" si="267"/>
        <v>0.64597958983319725</v>
      </c>
      <c r="YE197" s="1004">
        <f t="shared" si="267"/>
        <v>0.61006066656636371</v>
      </c>
      <c r="YF197" s="1004">
        <f t="shared" si="267"/>
        <v>0.5814873981077926</v>
      </c>
      <c r="YG197" s="1004">
        <f t="shared" si="267"/>
        <v>0.55252468436473468</v>
      </c>
      <c r="YH197" s="1004">
        <f t="shared" si="267"/>
        <v>0.52928291384979831</v>
      </c>
      <c r="YI197" s="1004">
        <f t="shared" si="267"/>
        <v>0.50808768180003372</v>
      </c>
      <c r="YJ197" s="1004">
        <f t="shared" si="267"/>
        <v>0.48638117729134644</v>
      </c>
      <c r="YK197" s="1004">
        <f t="shared" si="267"/>
        <v>0.46878546786207898</v>
      </c>
      <c r="YL197" s="1004">
        <f t="shared" si="267"/>
        <v>0.45261045293240104</v>
      </c>
      <c r="YM197" s="1004">
        <f t="shared" si="267"/>
        <v>0.43768261885447501</v>
      </c>
      <c r="YN197" s="1004">
        <f t="shared" si="267"/>
        <v>0.42388423829978877</v>
      </c>
      <c r="YO197" s="1004">
        <f t="shared" si="267"/>
        <v>0.41111173285642716</v>
      </c>
      <c r="YP197" s="1004">
        <f t="shared" si="267"/>
        <v>0.3992452641429351</v>
      </c>
      <c r="YQ197" s="1004">
        <f t="shared" si="267"/>
        <v>0.38821689494737083</v>
      </c>
      <c r="YR197" s="1004">
        <f t="shared" si="267"/>
        <v>0.37793962696926708</v>
      </c>
      <c r="YS197" s="1004">
        <f t="shared" si="267"/>
        <v>0.36833695801002753</v>
      </c>
      <c r="YT197" s="1004">
        <f t="shared" si="267"/>
        <v>0.36046344338813691</v>
      </c>
      <c r="YU197" s="1004">
        <f t="shared" si="267"/>
        <v>0.35199067625668157</v>
      </c>
      <c r="YV197" s="1004">
        <f t="shared" si="267"/>
        <v>0.34403658580872659</v>
      </c>
      <c r="YW197" s="1004">
        <f t="shared" si="267"/>
        <v>0.33657248277435292</v>
      </c>
      <c r="YX197" s="1004">
        <f t="shared" si="267"/>
        <v>0.33041488121125406</v>
      </c>
      <c r="YY197" s="1004">
        <f t="shared" si="267"/>
        <v>0.32375132051913069</v>
      </c>
      <c r="YZ197" s="1004">
        <f t="shared" si="267"/>
        <v>0.31823704514217455</v>
      </c>
      <c r="ZA197" s="1004">
        <f t="shared" si="267"/>
        <v>0.31226084847497215</v>
      </c>
      <c r="ZB197" s="1004">
        <f t="shared" si="267"/>
        <v>0.30661255003123122</v>
      </c>
      <c r="ZC197" s="1004">
        <f t="shared" si="267"/>
        <v>0.30192920159174486</v>
      </c>
      <c r="ZD197" s="1004">
        <f t="shared" si="267"/>
        <v>0.29683094728770121</v>
      </c>
      <c r="ZE197" s="1004">
        <f t="shared" si="267"/>
        <v>0.29259111081607492</v>
      </c>
      <c r="ZF197" s="1004">
        <f t="shared" si="267"/>
        <v>0.2885467954220105</v>
      </c>
      <c r="ZG197" s="1004">
        <f t="shared" si="267"/>
        <v>0.28412943230090243</v>
      </c>
      <c r="ZH197" s="1004">
        <f t="shared" si="267"/>
        <v>0.28045311062242184</v>
      </c>
      <c r="ZI197" s="1004">
        <f t="shared" si="267"/>
        <v>0.27643041335492707</v>
      </c>
      <c r="ZJ197" s="1004">
        <f t="shared" si="267"/>
        <v>0.27307745075319223</v>
      </c>
      <c r="ZK197" s="1004">
        <f t="shared" si="267"/>
        <v>0.26986239339797546</v>
      </c>
      <c r="ZL197" s="1004">
        <f t="shared" si="267"/>
        <v>0.26633053170751197</v>
      </c>
      <c r="ZM197" s="1004">
        <f t="shared" si="267"/>
        <v>0.26338513084712156</v>
      </c>
      <c r="ZN197" s="1004">
        <f t="shared" si="267"/>
        <v>0.26055514020142934</v>
      </c>
      <c r="ZO197" s="1004">
        <f t="shared" si="267"/>
        <v>0.25783436906733659</v>
      </c>
      <c r="ZP197" s="1004">
        <f t="shared" si="267"/>
        <v>0.25483950113623821</v>
      </c>
      <c r="ZQ197" s="1004">
        <f t="shared" si="267"/>
        <v>0.25233355426401627</v>
      </c>
      <c r="ZR197" s="1004">
        <f t="shared" si="267"/>
        <v>0.24992001221759835</v>
      </c>
      <c r="ZS197" s="1004">
        <f t="shared" si="267"/>
        <v>0.24759420700596235</v>
      </c>
      <c r="ZT197" s="1004">
        <f t="shared" si="267"/>
        <v>0.24535176877880671</v>
      </c>
      <c r="ZU197" s="1004">
        <f t="shared" si="267"/>
        <v>0.2428747056706444</v>
      </c>
      <c r="ZV197" s="1004">
        <f t="shared" si="267"/>
        <v>0.24079736787963796</v>
      </c>
      <c r="ZW197" s="1004">
        <f t="shared" si="267"/>
        <v>0.23879139731814336</v>
      </c>
      <c r="ZX197" s="1004">
        <f t="shared" si="267"/>
        <v>0.23685343211605261</v>
      </c>
      <c r="ZY197" s="1004">
        <f t="shared" si="267"/>
        <v>0.23497703015660376</v>
      </c>
      <c r="ZZ197" s="1004">
        <f t="shared" si="267"/>
        <v>0.2331658415183665</v>
      </c>
      <c r="AAA197" s="1004">
        <f t="shared" si="267"/>
        <v>0.23141371593483906</v>
      </c>
      <c r="AAB197" s="1004">
        <f t="shared" si="267"/>
        <v>0.22971801117125701</v>
      </c>
      <c r="AAC197" s="1004">
        <f t="shared" si="267"/>
        <v>0.22807623450812853</v>
      </c>
      <c r="AAD197" s="1004">
        <f t="shared" si="267"/>
        <v>0.22648603253512228</v>
      </c>
      <c r="AAE197" s="1004">
        <f t="shared" ref="AAE197:AAS197" si="268">$WK$197+AAE192*AAE107/AAE79</f>
        <v>0.22494518175914244</v>
      </c>
      <c r="AAF197" s="1004">
        <f t="shared" si="268"/>
        <v>0.22345157995240522</v>
      </c>
      <c r="AAG197" s="1004">
        <f t="shared" si="268"/>
        <v>0.22200323817391637</v>
      </c>
      <c r="AAH197" s="1004">
        <f t="shared" si="268"/>
        <v>0.22059827340447935</v>
      </c>
      <c r="AAI197" s="1004">
        <f t="shared" si="268"/>
        <v>0.21923490174133872</v>
      </c>
      <c r="AAJ197" s="1004">
        <f t="shared" si="268"/>
        <v>0.21791143210387895</v>
      </c>
      <c r="AAK197" s="1004">
        <f t="shared" si="268"/>
        <v>0.21662626040653318</v>
      </c>
      <c r="AAL197" s="1004">
        <f t="shared" si="268"/>
        <v>0.21537786415928081</v>
      </c>
      <c r="AAM197" s="1004">
        <f t="shared" si="268"/>
        <v>0.21416479745988487</v>
      </c>
      <c r="AAN197" s="1004">
        <f t="shared" si="268"/>
        <v>0.21298568634539594</v>
      </c>
      <c r="AAO197" s="1004">
        <f t="shared" si="268"/>
        <v>0.21183922447347206</v>
      </c>
      <c r="AAP197" s="1004">
        <f t="shared" si="268"/>
        <v>0.21072416910677533</v>
      </c>
      <c r="AAQ197" s="1004">
        <f t="shared" si="268"/>
        <v>0.20980113099709125</v>
      </c>
      <c r="AAR197" s="1004">
        <f t="shared" si="268"/>
        <v>0.20874111846855167</v>
      </c>
      <c r="AAS197" s="1004">
        <f t="shared" si="268"/>
        <v>0.20770928037923864</v>
      </c>
      <c r="AAT197" s="1005">
        <v>31</v>
      </c>
      <c r="AAU197" s="958"/>
      <c r="AAV197" s="1058"/>
      <c r="AAW197" s="1058"/>
      <c r="AAX197" s="1058"/>
      <c r="AAY197" s="1058"/>
      <c r="AAZ197" s="1058"/>
      <c r="ABA197" s="1058"/>
      <c r="ABB197" s="1058"/>
      <c r="ABC197" s="1058"/>
      <c r="ABD197" s="959"/>
      <c r="ABE197" s="158"/>
      <c r="ABF197" s="158"/>
      <c r="ABG197" s="158"/>
      <c r="ABH197" s="158"/>
      <c r="ABI197" s="158"/>
      <c r="ABJ197" s="158"/>
      <c r="ABK197" s="158"/>
      <c r="ABL197" s="158"/>
      <c r="ABM197" s="158"/>
      <c r="ABN197" s="158"/>
      <c r="ABO197" s="158"/>
      <c r="ABP197" s="163"/>
      <c r="ACJ197" s="759">
        <v>-3.125E-2</v>
      </c>
      <c r="ACK197" s="760"/>
      <c r="ACL197" s="759">
        <v>1</v>
      </c>
      <c r="ACM197" s="760"/>
      <c r="ACN197" s="591">
        <v>44</v>
      </c>
      <c r="ACO197" s="759">
        <f t="shared" si="248"/>
        <v>0.98899999999999999</v>
      </c>
      <c r="ACP197" s="760"/>
      <c r="ACQ197" s="757">
        <f t="shared" si="195"/>
        <v>0.35199999999999998</v>
      </c>
      <c r="ACR197" s="758"/>
      <c r="ACT197" s="759">
        <v>-3.125E-2</v>
      </c>
      <c r="ACU197" s="760"/>
      <c r="ACV197" s="759">
        <v>1</v>
      </c>
      <c r="ACW197" s="760"/>
      <c r="ACX197" s="591">
        <v>94</v>
      </c>
      <c r="ACY197" s="759">
        <f t="shared" si="196"/>
        <v>0.97650000000000003</v>
      </c>
      <c r="ACZ197" s="760"/>
      <c r="ADA197" s="757">
        <f t="shared" si="197"/>
        <v>0.752</v>
      </c>
      <c r="ADB197" s="758"/>
      <c r="ADD197" s="759">
        <v>-0.14285714285714299</v>
      </c>
      <c r="ADE197" s="760"/>
      <c r="ADF197" s="759">
        <v>1.1071428571428601</v>
      </c>
      <c r="ADG197" s="760"/>
      <c r="ADH197" s="591">
        <v>144</v>
      </c>
      <c r="ADI197" s="759">
        <f t="shared" si="198"/>
        <v>0.94257142857143139</v>
      </c>
      <c r="ADJ197" s="760"/>
      <c r="ADK197" s="757">
        <f t="shared" si="199"/>
        <v>1.1520000000000001</v>
      </c>
      <c r="ADL197" s="758"/>
      <c r="ADN197" s="759">
        <v>-0.2</v>
      </c>
      <c r="ADO197" s="760"/>
      <c r="ADP197" s="759">
        <v>1.19</v>
      </c>
      <c r="ADQ197" s="760"/>
      <c r="ADR197" s="591">
        <v>194</v>
      </c>
      <c r="ADS197" s="759">
        <f t="shared" si="200"/>
        <v>0.87959999999999994</v>
      </c>
      <c r="ADT197" s="760"/>
      <c r="ADU197" s="757">
        <f t="shared" si="201"/>
        <v>1.552</v>
      </c>
      <c r="ADV197" s="758"/>
      <c r="ADX197" s="759">
        <v>-0.33333333333333259</v>
      </c>
      <c r="ADY197" s="760"/>
      <c r="ADZ197" s="759">
        <v>1.4166666666666654</v>
      </c>
      <c r="AEA197" s="760"/>
      <c r="AEB197" s="592">
        <v>244</v>
      </c>
      <c r="AEC197" s="759">
        <f t="shared" si="202"/>
        <v>0.76600000000000024</v>
      </c>
      <c r="AED197" s="760"/>
      <c r="AEE197" s="757">
        <f t="shared" si="203"/>
        <v>1.952</v>
      </c>
      <c r="AEF197" s="758"/>
      <c r="AEH197" s="759">
        <v>-0.25</v>
      </c>
      <c r="AEI197" s="760"/>
      <c r="AEJ197" s="759">
        <v>1.2250000000000001</v>
      </c>
      <c r="AEK197" s="760"/>
      <c r="AEL197" s="591">
        <v>294</v>
      </c>
      <c r="AEM197" s="759">
        <f t="shared" si="204"/>
        <v>0.63700000000000012</v>
      </c>
      <c r="AEN197" s="760"/>
      <c r="AEO197" s="757">
        <f t="shared" si="205"/>
        <v>2.3519999999999999</v>
      </c>
      <c r="AEP197" s="758"/>
      <c r="AEQ197" s="653"/>
      <c r="AER197" s="759">
        <v>-0.1</v>
      </c>
      <c r="AES197" s="760"/>
      <c r="AET197" s="759">
        <v>0.82</v>
      </c>
      <c r="AEU197" s="760"/>
      <c r="AEV197" s="591">
        <v>344</v>
      </c>
      <c r="AEW197" s="759">
        <f t="shared" si="206"/>
        <v>0.54479999999999995</v>
      </c>
      <c r="AEX197" s="760"/>
      <c r="AEY197" s="757">
        <f t="shared" si="207"/>
        <v>2.7520000000000002</v>
      </c>
      <c r="AEZ197" s="758"/>
      <c r="AFA197" s="653"/>
      <c r="AFB197" s="759">
        <v>-0.1</v>
      </c>
      <c r="AFC197" s="760"/>
      <c r="AFD197" s="759">
        <v>0.82</v>
      </c>
      <c r="AFE197" s="760"/>
      <c r="AFF197" s="591">
        <v>394</v>
      </c>
      <c r="AFG197" s="759">
        <f t="shared" si="208"/>
        <v>0.50479999999999992</v>
      </c>
      <c r="AFH197" s="760"/>
      <c r="AFI197" s="757">
        <f t="shared" si="209"/>
        <v>3.1520000000000001</v>
      </c>
      <c r="AFJ197" s="758"/>
      <c r="AFK197" s="653"/>
      <c r="AFL197" s="759">
        <v>-0.125</v>
      </c>
      <c r="AFM197" s="760"/>
      <c r="AFN197" s="759">
        <v>0.875</v>
      </c>
      <c r="AFO197" s="760"/>
      <c r="AFP197" s="591">
        <v>444</v>
      </c>
      <c r="AFQ197" s="759">
        <f t="shared" si="210"/>
        <v>0.43099999999999999</v>
      </c>
      <c r="AFR197" s="760"/>
      <c r="AFS197" s="757">
        <f t="shared" si="211"/>
        <v>3.552</v>
      </c>
      <c r="AFT197" s="758"/>
      <c r="AFU197" s="653"/>
      <c r="AFV197" s="759">
        <v>-6.25E-2</v>
      </c>
      <c r="AFW197" s="760"/>
      <c r="AFX197" s="759">
        <v>0.63749999999999996</v>
      </c>
      <c r="AFY197" s="760"/>
      <c r="AFZ197" s="592">
        <v>494</v>
      </c>
      <c r="AGA197" s="759">
        <f t="shared" si="212"/>
        <v>0.39049999999999996</v>
      </c>
      <c r="AGB197" s="760"/>
      <c r="AGC197" s="757">
        <f t="shared" si="213"/>
        <v>3.952</v>
      </c>
      <c r="AGD197" s="758"/>
      <c r="AGE197" s="653"/>
      <c r="AGF197" s="653"/>
      <c r="AGG197" s="653"/>
      <c r="AGH197" s="653"/>
      <c r="AGI197" s="653"/>
      <c r="AGJ197" s="653"/>
      <c r="AGL197" s="849"/>
      <c r="AGM197" s="852" t="s">
        <v>416</v>
      </c>
      <c r="AGN197" s="853"/>
      <c r="AGO197" s="425"/>
      <c r="AGP197" s="443" t="s">
        <v>1490</v>
      </c>
      <c r="AGQ197" s="951">
        <f>$AGZ$223</f>
        <v>5.4578058333333344</v>
      </c>
      <c r="AGR197" s="952"/>
      <c r="AGS197" s="78"/>
      <c r="AGT197" s="78"/>
      <c r="AGU197" s="78"/>
      <c r="AGV197" s="425"/>
      <c r="AGW197" s="76" t="s">
        <v>441</v>
      </c>
      <c r="AGX197" s="854" t="s">
        <v>435</v>
      </c>
      <c r="AGY197" s="1111"/>
      <c r="AGZ197" s="920" t="s">
        <v>111</v>
      </c>
      <c r="AHA197" s="921"/>
      <c r="AHB197" s="916" t="s">
        <v>704</v>
      </c>
      <c r="AHC197" s="922"/>
      <c r="AHD197" s="1051" t="s">
        <v>447</v>
      </c>
      <c r="AHE197" s="1051"/>
      <c r="AHF197" s="1051"/>
      <c r="AHG197" s="1051"/>
      <c r="AHH197" s="1051"/>
      <c r="AHI197" s="1051" t="s">
        <v>436</v>
      </c>
      <c r="AHJ197" s="1051"/>
      <c r="AHK197" s="1051"/>
      <c r="AHL197" s="1051"/>
      <c r="AHM197" s="1051"/>
      <c r="AHN197" s="1051"/>
      <c r="AHO197" s="1051"/>
      <c r="AHP197" s="1051"/>
      <c r="AHQ197" s="1051"/>
      <c r="AHR197" s="1051"/>
      <c r="AHS197" s="1051"/>
      <c r="AHT197" s="1051"/>
      <c r="AHV197" s="130"/>
      <c r="AHW197" s="130"/>
      <c r="ARU197" s="377"/>
      <c r="ARV197" s="373"/>
      <c r="ARW197" s="54"/>
      <c r="ARX197" s="373"/>
      <c r="ARY197" s="373"/>
      <c r="ARZ197" s="373"/>
      <c r="ASA197" s="373"/>
      <c r="ASB197" s="373"/>
      <c r="ASC197" s="373"/>
      <c r="ASD197" s="373"/>
      <c r="ASE197" s="373"/>
      <c r="ASF197" s="373"/>
      <c r="ASG197" s="373"/>
      <c r="ASH197" s="373"/>
      <c r="ASI197" s="373"/>
      <c r="ASJ197" s="373"/>
      <c r="ASK197" s="373"/>
      <c r="ASL197" s="373"/>
      <c r="ASM197" s="373"/>
      <c r="ASN197" s="373"/>
      <c r="ASO197" s="373"/>
      <c r="ASP197" s="373"/>
      <c r="ASQ197" s="373"/>
      <c r="ASR197" s="373"/>
      <c r="ASS197" s="373"/>
      <c r="AST197" s="373"/>
      <c r="ASU197" s="373"/>
      <c r="ASV197" s="373"/>
      <c r="ASW197" s="373"/>
      <c r="ASX197" s="373"/>
      <c r="ASY197" s="373"/>
      <c r="ASZ197" s="373"/>
      <c r="ATA197" s="373"/>
      <c r="ATB197" s="373"/>
      <c r="ATC197" s="373"/>
      <c r="ATD197" s="373"/>
      <c r="ATE197" s="373"/>
      <c r="ATF197" s="374"/>
    </row>
    <row r="198" spans="340:976 1165:1202" ht="48" customHeight="1" thickBot="1">
      <c r="NC198" s="130"/>
      <c r="ND198" s="130"/>
      <c r="NE198" s="130"/>
      <c r="NF198" s="130"/>
      <c r="NG198" s="130"/>
      <c r="NH198" s="653"/>
      <c r="NI198" s="653"/>
      <c r="PC198" s="130"/>
      <c r="PD198" s="130"/>
      <c r="PE198" s="130"/>
      <c r="PF198" s="130"/>
      <c r="PG198" s="130"/>
      <c r="PH198" s="130"/>
      <c r="PI198" s="130"/>
      <c r="PJ198" s="130"/>
      <c r="WE198" s="996"/>
      <c r="WF198" s="997"/>
      <c r="WG198" s="167"/>
      <c r="WH198" s="168"/>
      <c r="WI198" s="168"/>
      <c r="WJ198" s="168"/>
      <c r="WK198" s="168"/>
      <c r="WL198" s="168"/>
      <c r="WM198" s="173"/>
      <c r="WN198" s="173"/>
      <c r="WO198" s="173"/>
      <c r="WP198" s="173"/>
      <c r="WQ198" s="173"/>
      <c r="WR198" s="173"/>
      <c r="WS198" s="173"/>
      <c r="WT198" s="173"/>
      <c r="WU198" s="173"/>
      <c r="WV198" s="173"/>
      <c r="WW198" s="173"/>
      <c r="WX198" s="173"/>
      <c r="WY198" s="174"/>
      <c r="WZ198" s="1000"/>
      <c r="XA198" s="1001"/>
      <c r="XB198" s="175"/>
      <c r="XC198" s="173"/>
      <c r="XD198" s="173"/>
      <c r="XE198" s="173"/>
      <c r="XF198" s="174"/>
      <c r="XG198" s="1004"/>
      <c r="XH198" s="1004"/>
      <c r="XI198" s="1004"/>
      <c r="XJ198" s="1004"/>
      <c r="XK198" s="1004"/>
      <c r="XL198" s="1004"/>
      <c r="XM198" s="1004"/>
      <c r="XN198" s="1004"/>
      <c r="XO198" s="1004"/>
      <c r="XP198" s="1004"/>
      <c r="XQ198" s="1004"/>
      <c r="XR198" s="1004"/>
      <c r="XS198" s="1004"/>
      <c r="XT198" s="1004"/>
      <c r="XU198" s="1004"/>
      <c r="XV198" s="1004"/>
      <c r="XW198" s="1004"/>
      <c r="XX198" s="1004"/>
      <c r="XY198" s="1004"/>
      <c r="XZ198" s="1004"/>
      <c r="YA198" s="1004"/>
      <c r="YB198" s="1004"/>
      <c r="YC198" s="1004"/>
      <c r="YD198" s="1004"/>
      <c r="YE198" s="1004"/>
      <c r="YF198" s="1004"/>
      <c r="YG198" s="1004"/>
      <c r="YH198" s="1004"/>
      <c r="YI198" s="1004"/>
      <c r="YJ198" s="1004"/>
      <c r="YK198" s="1004"/>
      <c r="YL198" s="1004"/>
      <c r="YM198" s="1004"/>
      <c r="YN198" s="1004"/>
      <c r="YO198" s="1004"/>
      <c r="YP198" s="1004"/>
      <c r="YQ198" s="1004"/>
      <c r="YR198" s="1004"/>
      <c r="YS198" s="1004"/>
      <c r="YT198" s="1004"/>
      <c r="YU198" s="1004"/>
      <c r="YV198" s="1004"/>
      <c r="YW198" s="1004"/>
      <c r="YX198" s="1004"/>
      <c r="YY198" s="1004"/>
      <c r="YZ198" s="1004"/>
      <c r="ZA198" s="1004"/>
      <c r="ZB198" s="1004"/>
      <c r="ZC198" s="1004"/>
      <c r="ZD198" s="1004"/>
      <c r="ZE198" s="1004"/>
      <c r="ZF198" s="1004"/>
      <c r="ZG198" s="1004"/>
      <c r="ZH198" s="1004"/>
      <c r="ZI198" s="1004"/>
      <c r="ZJ198" s="1004"/>
      <c r="ZK198" s="1004"/>
      <c r="ZL198" s="1004"/>
      <c r="ZM198" s="1004"/>
      <c r="ZN198" s="1004"/>
      <c r="ZO198" s="1004"/>
      <c r="ZP198" s="1004"/>
      <c r="ZQ198" s="1004"/>
      <c r="ZR198" s="1004"/>
      <c r="ZS198" s="1004"/>
      <c r="ZT198" s="1004"/>
      <c r="ZU198" s="1004"/>
      <c r="ZV198" s="1004"/>
      <c r="ZW198" s="1004"/>
      <c r="ZX198" s="1004"/>
      <c r="ZY198" s="1004"/>
      <c r="ZZ198" s="1004"/>
      <c r="AAA198" s="1004"/>
      <c r="AAB198" s="1004"/>
      <c r="AAC198" s="1004"/>
      <c r="AAD198" s="1004"/>
      <c r="AAE198" s="1004"/>
      <c r="AAF198" s="1004"/>
      <c r="AAG198" s="1004"/>
      <c r="AAH198" s="1004"/>
      <c r="AAI198" s="1004"/>
      <c r="AAJ198" s="1004"/>
      <c r="AAK198" s="1004"/>
      <c r="AAL198" s="1004"/>
      <c r="AAM198" s="1004"/>
      <c r="AAN198" s="1004"/>
      <c r="AAO198" s="1004"/>
      <c r="AAP198" s="1004"/>
      <c r="AAQ198" s="1004"/>
      <c r="AAR198" s="1004"/>
      <c r="AAS198" s="1004"/>
      <c r="AAT198" s="1006"/>
      <c r="AAU198" s="960"/>
      <c r="AAV198" s="1101"/>
      <c r="AAW198" s="1101"/>
      <c r="AAX198" s="1101"/>
      <c r="AAY198" s="1101"/>
      <c r="AAZ198" s="1101"/>
      <c r="ABA198" s="1101"/>
      <c r="ABB198" s="1101"/>
      <c r="ABC198" s="1101"/>
      <c r="ABD198" s="961"/>
      <c r="ABE198" s="158"/>
      <c r="ABF198" s="158"/>
      <c r="ABG198" s="158"/>
      <c r="ABH198" s="158"/>
      <c r="ABI198" s="158"/>
      <c r="ABJ198" s="158"/>
      <c r="ABK198" s="158"/>
      <c r="ABL198" s="158"/>
      <c r="ABM198" s="158"/>
      <c r="ABN198" s="158"/>
      <c r="ABO198" s="158"/>
      <c r="ABP198" s="163"/>
      <c r="ACJ198" s="759">
        <v>-3.125E-2</v>
      </c>
      <c r="ACK198" s="760"/>
      <c r="ACL198" s="759">
        <v>1</v>
      </c>
      <c r="ACM198" s="760"/>
      <c r="ACN198" s="591">
        <v>45</v>
      </c>
      <c r="ACO198" s="759">
        <f t="shared" si="248"/>
        <v>0.98875000000000002</v>
      </c>
      <c r="ACP198" s="760"/>
      <c r="ACQ198" s="757">
        <f t="shared" si="195"/>
        <v>0.36</v>
      </c>
      <c r="ACR198" s="758"/>
      <c r="ACT198" s="759">
        <v>-3.125E-2</v>
      </c>
      <c r="ACU198" s="760"/>
      <c r="ACV198" s="759">
        <v>1</v>
      </c>
      <c r="ACW198" s="760"/>
      <c r="ACX198" s="591">
        <v>95</v>
      </c>
      <c r="ACY198" s="759">
        <f t="shared" si="196"/>
        <v>0.97624999999999995</v>
      </c>
      <c r="ACZ198" s="760"/>
      <c r="ADA198" s="757">
        <f t="shared" si="197"/>
        <v>0.76</v>
      </c>
      <c r="ADB198" s="758"/>
      <c r="ADD198" s="759">
        <v>-0.14285714285714299</v>
      </c>
      <c r="ADE198" s="760"/>
      <c r="ADF198" s="759">
        <v>1.1071428571428601</v>
      </c>
      <c r="ADG198" s="760"/>
      <c r="ADH198" s="591">
        <v>145</v>
      </c>
      <c r="ADI198" s="759">
        <f t="shared" si="198"/>
        <v>0.94142857142857428</v>
      </c>
      <c r="ADJ198" s="760"/>
      <c r="ADK198" s="757">
        <f t="shared" si="199"/>
        <v>1.1599999999999999</v>
      </c>
      <c r="ADL198" s="758"/>
      <c r="ADN198" s="759">
        <v>-0.2</v>
      </c>
      <c r="ADO198" s="760"/>
      <c r="ADP198" s="759">
        <v>1.19</v>
      </c>
      <c r="ADQ198" s="760"/>
      <c r="ADR198" s="591">
        <v>195</v>
      </c>
      <c r="ADS198" s="759">
        <f t="shared" si="200"/>
        <v>0.87799999999999989</v>
      </c>
      <c r="ADT198" s="760"/>
      <c r="ADU198" s="757">
        <f t="shared" si="201"/>
        <v>1.56</v>
      </c>
      <c r="ADV198" s="758"/>
      <c r="ADX198" s="759">
        <v>-0.33333333333333259</v>
      </c>
      <c r="ADY198" s="760"/>
      <c r="ADZ198" s="759">
        <v>1.4166666666666654</v>
      </c>
      <c r="AEA198" s="760"/>
      <c r="AEB198" s="592">
        <v>245</v>
      </c>
      <c r="AEC198" s="759">
        <f t="shared" si="202"/>
        <v>0.76333333333333353</v>
      </c>
      <c r="AED198" s="760"/>
      <c r="AEE198" s="757">
        <f t="shared" si="203"/>
        <v>1.96</v>
      </c>
      <c r="AEF198" s="758"/>
      <c r="AEH198" s="759">
        <v>-0.25</v>
      </c>
      <c r="AEI198" s="760"/>
      <c r="AEJ198" s="759">
        <v>1.2250000000000001</v>
      </c>
      <c r="AEK198" s="760"/>
      <c r="AEL198" s="591">
        <v>295</v>
      </c>
      <c r="AEM198" s="759">
        <f t="shared" si="204"/>
        <v>0.63500000000000012</v>
      </c>
      <c r="AEN198" s="760"/>
      <c r="AEO198" s="757">
        <f t="shared" si="205"/>
        <v>2.36</v>
      </c>
      <c r="AEP198" s="758"/>
      <c r="AEQ198" s="653"/>
      <c r="AER198" s="759">
        <v>-0.1</v>
      </c>
      <c r="AES198" s="760"/>
      <c r="AET198" s="759">
        <v>0.82</v>
      </c>
      <c r="AEU198" s="760"/>
      <c r="AEV198" s="591">
        <v>345</v>
      </c>
      <c r="AEW198" s="759">
        <f t="shared" si="206"/>
        <v>0.54399999999999993</v>
      </c>
      <c r="AEX198" s="760"/>
      <c r="AEY198" s="757">
        <f t="shared" si="207"/>
        <v>2.7600000000000002</v>
      </c>
      <c r="AEZ198" s="758"/>
      <c r="AFA198" s="653"/>
      <c r="AFB198" s="759">
        <v>-0.1</v>
      </c>
      <c r="AFC198" s="760"/>
      <c r="AFD198" s="759">
        <v>0.82</v>
      </c>
      <c r="AFE198" s="760"/>
      <c r="AFF198" s="591">
        <v>395</v>
      </c>
      <c r="AFG198" s="759">
        <f t="shared" si="208"/>
        <v>0.50399999999999989</v>
      </c>
      <c r="AFH198" s="760"/>
      <c r="AFI198" s="757">
        <f t="shared" si="209"/>
        <v>3.16</v>
      </c>
      <c r="AFJ198" s="758"/>
      <c r="AFK198" s="653"/>
      <c r="AFL198" s="759">
        <v>-0.125</v>
      </c>
      <c r="AFM198" s="760"/>
      <c r="AFN198" s="759">
        <v>0.875</v>
      </c>
      <c r="AFO198" s="760"/>
      <c r="AFP198" s="591">
        <v>445</v>
      </c>
      <c r="AFQ198" s="759">
        <f t="shared" si="210"/>
        <v>0.43</v>
      </c>
      <c r="AFR198" s="760"/>
      <c r="AFS198" s="757">
        <f t="shared" si="211"/>
        <v>3.56</v>
      </c>
      <c r="AFT198" s="758"/>
      <c r="AFU198" s="653"/>
      <c r="AFV198" s="759">
        <v>-6.25E-2</v>
      </c>
      <c r="AFW198" s="760"/>
      <c r="AFX198" s="759">
        <v>0.63749999999999996</v>
      </c>
      <c r="AFY198" s="760"/>
      <c r="AFZ198" s="592">
        <v>495</v>
      </c>
      <c r="AGA198" s="759">
        <f t="shared" si="212"/>
        <v>0.38999999999999996</v>
      </c>
      <c r="AGB198" s="760"/>
      <c r="AGC198" s="757">
        <f t="shared" si="213"/>
        <v>3.96</v>
      </c>
      <c r="AGD198" s="758"/>
      <c r="AGE198" s="653"/>
      <c r="AGF198" s="653"/>
      <c r="AGG198" s="653"/>
      <c r="AGH198" s="653"/>
      <c r="AGI198" s="653"/>
      <c r="AGJ198" s="653"/>
      <c r="AGL198" s="850"/>
      <c r="AGM198" s="800" t="s">
        <v>1061</v>
      </c>
      <c r="AGN198" s="801"/>
      <c r="AGO198" s="761">
        <f>$EQ$45</f>
        <v>4</v>
      </c>
      <c r="AGP198" s="761"/>
      <c r="AGQ198" s="791" t="s">
        <v>1377</v>
      </c>
      <c r="AGR198" s="792"/>
      <c r="AGS198" s="792"/>
      <c r="AGT198" s="792"/>
      <c r="AGU198" s="792"/>
      <c r="AGV198" s="792"/>
      <c r="AGW198" s="792"/>
      <c r="AGX198" s="792"/>
      <c r="AGY198" s="793"/>
      <c r="AGZ198" s="835">
        <f>((AGO199+0.58*AGO200)/AGO198)*(AGQ197/(AGQ197+1.5*AGO198))</f>
        <v>0.28899844462416746</v>
      </c>
      <c r="AHA198" s="836"/>
      <c r="AHB198" s="1167"/>
      <c r="AHC198" s="840"/>
      <c r="AHD198" s="1248"/>
      <c r="AHE198" s="1320" t="s">
        <v>1433</v>
      </c>
      <c r="AHF198" s="1320"/>
      <c r="AHG198" s="1320"/>
      <c r="AHH198" s="1289"/>
      <c r="AHI198" s="1052"/>
      <c r="AHJ198" s="1052"/>
      <c r="AHK198" s="1052"/>
      <c r="AHL198" s="1052"/>
      <c r="AHM198" s="1052"/>
      <c r="AHN198" s="1052"/>
      <c r="AHO198" s="1052"/>
      <c r="AHP198" s="1052"/>
      <c r="AHQ198" s="1052"/>
      <c r="AHR198" s="1052"/>
      <c r="AHS198" s="1052"/>
      <c r="AHT198" s="1052"/>
      <c r="ARU198" s="377"/>
      <c r="ARV198" s="373"/>
      <c r="ARW198" s="54"/>
      <c r="ARX198" s="373"/>
      <c r="ARY198" s="197" t="s">
        <v>849</v>
      </c>
      <c r="ARZ198" s="852" t="s">
        <v>416</v>
      </c>
      <c r="ASA198" s="853"/>
      <c r="ASB198" s="687"/>
      <c r="ASC198" s="78"/>
      <c r="ASD198" s="78"/>
      <c r="ASE198" s="78"/>
      <c r="ASF198" s="78"/>
      <c r="ASG198" s="78"/>
      <c r="ASH198" s="78"/>
      <c r="ASI198" s="687"/>
      <c r="ASJ198" s="76" t="s">
        <v>441</v>
      </c>
      <c r="ASK198" s="854" t="s">
        <v>435</v>
      </c>
      <c r="ASL198" s="855"/>
      <c r="ASM198" s="920" t="s">
        <v>111</v>
      </c>
      <c r="ASN198" s="921"/>
      <c r="ASO198" s="916" t="s">
        <v>704</v>
      </c>
      <c r="ASP198" s="917"/>
      <c r="ASQ198" s="906" t="s">
        <v>447</v>
      </c>
      <c r="ASR198" s="907"/>
      <c r="ASS198" s="907"/>
      <c r="AST198" s="908"/>
      <c r="ASU198" s="373"/>
      <c r="ASV198" s="373"/>
      <c r="ASW198" s="373"/>
      <c r="ASX198" s="373"/>
      <c r="ASY198" s="373"/>
      <c r="ASZ198" s="373"/>
      <c r="ATA198" s="373"/>
      <c r="ATB198" s="373"/>
      <c r="ATC198" s="373"/>
      <c r="ATD198" s="373"/>
      <c r="ATE198" s="373"/>
      <c r="ATF198" s="374"/>
    </row>
    <row r="199" spans="340:976 1165:1202" ht="48" customHeight="1" thickBot="1">
      <c r="MB199" s="849"/>
      <c r="MC199" s="852" t="s">
        <v>416</v>
      </c>
      <c r="MD199" s="853"/>
      <c r="ME199" s="344"/>
      <c r="MF199" s="392" t="s">
        <v>1335</v>
      </c>
      <c r="MG199" s="937">
        <f>$MP$98</f>
        <v>0.38958741854614803</v>
      </c>
      <c r="MH199" s="937"/>
      <c r="MI199" s="344"/>
      <c r="MJ199" s="76" t="s">
        <v>441</v>
      </c>
      <c r="MK199" s="854" t="s">
        <v>435</v>
      </c>
      <c r="ML199" s="855"/>
      <c r="MM199" s="920" t="s">
        <v>111</v>
      </c>
      <c r="MN199" s="921"/>
      <c r="MO199" s="916" t="s">
        <v>704</v>
      </c>
      <c r="MP199" s="917"/>
      <c r="MQ199" s="906" t="s">
        <v>447</v>
      </c>
      <c r="MR199" s="907"/>
      <c r="MS199" s="907"/>
      <c r="MT199" s="907"/>
      <c r="MU199" s="908"/>
      <c r="MV199" s="1051" t="s">
        <v>436</v>
      </c>
      <c r="MW199" s="1051"/>
      <c r="MX199" s="1051"/>
      <c r="MY199" s="1051"/>
      <c r="NG199" s="130"/>
      <c r="NH199" s="653"/>
      <c r="PC199" s="130"/>
      <c r="PD199" s="130"/>
      <c r="PE199" s="130"/>
      <c r="PF199" s="130"/>
      <c r="PG199" s="130"/>
      <c r="PH199" s="130"/>
      <c r="PI199" s="130"/>
      <c r="PJ199" s="130"/>
      <c r="PL199" s="849"/>
      <c r="PM199" s="1257" t="s">
        <v>416</v>
      </c>
      <c r="PN199" s="1257"/>
      <c r="PO199" s="505"/>
      <c r="PP199" s="78"/>
      <c r="PQ199" s="78"/>
      <c r="PR199" s="78"/>
      <c r="PS199" s="78"/>
      <c r="PT199" s="78"/>
      <c r="PU199" s="78"/>
      <c r="PV199" s="505"/>
      <c r="PW199" s="76" t="s">
        <v>441</v>
      </c>
      <c r="PX199" s="854" t="s">
        <v>435</v>
      </c>
      <c r="PY199" s="1111"/>
      <c r="PZ199" s="920" t="s">
        <v>111</v>
      </c>
      <c r="QA199" s="921"/>
      <c r="QB199" s="916" t="s">
        <v>704</v>
      </c>
      <c r="QC199" s="917"/>
      <c r="QD199" s="906" t="s">
        <v>447</v>
      </c>
      <c r="QE199" s="907"/>
      <c r="QF199" s="907"/>
      <c r="QG199" s="908"/>
      <c r="QH199" s="1051" t="s">
        <v>436</v>
      </c>
      <c r="QI199" s="1051"/>
      <c r="QJ199" s="1051"/>
      <c r="QK199" s="1051"/>
      <c r="QL199" s="1051"/>
      <c r="QM199" s="1051"/>
      <c r="WE199" s="754"/>
      <c r="WF199" s="755"/>
      <c r="WG199" s="169"/>
      <c r="WH199" s="170"/>
      <c r="WI199" s="170"/>
      <c r="WJ199" s="170"/>
      <c r="WK199" s="170"/>
      <c r="WL199" s="170"/>
      <c r="WM199" s="170"/>
      <c r="WN199" s="170"/>
      <c r="WO199" s="170"/>
      <c r="WP199" s="170"/>
      <c r="WQ199" s="170"/>
      <c r="WR199" s="170"/>
      <c r="WS199" s="170"/>
      <c r="WT199" s="170"/>
      <c r="WU199" s="170"/>
      <c r="WV199" s="170"/>
      <c r="WW199" s="170"/>
      <c r="WX199" s="170"/>
      <c r="WY199" s="172"/>
      <c r="WZ199" s="1002"/>
      <c r="XA199" s="1003"/>
      <c r="XB199" s="169"/>
      <c r="XC199" s="170"/>
      <c r="XD199" s="170"/>
      <c r="XE199" s="170"/>
      <c r="XF199" s="172"/>
      <c r="XG199" s="1004"/>
      <c r="XH199" s="1004"/>
      <c r="XI199" s="1004"/>
      <c r="XJ199" s="1004"/>
      <c r="XK199" s="1004"/>
      <c r="XL199" s="1004"/>
      <c r="XM199" s="1004"/>
      <c r="XN199" s="1004"/>
      <c r="XO199" s="1004"/>
      <c r="XP199" s="1004"/>
      <c r="XQ199" s="1004"/>
      <c r="XR199" s="1004"/>
      <c r="XS199" s="1004"/>
      <c r="XT199" s="1004"/>
      <c r="XU199" s="1004"/>
      <c r="XV199" s="1004"/>
      <c r="XW199" s="1004"/>
      <c r="XX199" s="1004"/>
      <c r="XY199" s="1004"/>
      <c r="XZ199" s="1004"/>
      <c r="YA199" s="1004"/>
      <c r="YB199" s="1004"/>
      <c r="YC199" s="1004"/>
      <c r="YD199" s="1004"/>
      <c r="YE199" s="1004"/>
      <c r="YF199" s="1004"/>
      <c r="YG199" s="1004"/>
      <c r="YH199" s="1004"/>
      <c r="YI199" s="1004"/>
      <c r="YJ199" s="1004"/>
      <c r="YK199" s="1004"/>
      <c r="YL199" s="1004"/>
      <c r="YM199" s="1004"/>
      <c r="YN199" s="1004"/>
      <c r="YO199" s="1004"/>
      <c r="YP199" s="1004"/>
      <c r="YQ199" s="1004"/>
      <c r="YR199" s="1004"/>
      <c r="YS199" s="1004"/>
      <c r="YT199" s="1004"/>
      <c r="YU199" s="1004"/>
      <c r="YV199" s="1004"/>
      <c r="YW199" s="1004"/>
      <c r="YX199" s="1004"/>
      <c r="YY199" s="1004"/>
      <c r="YZ199" s="1004"/>
      <c r="ZA199" s="1004"/>
      <c r="ZB199" s="1004"/>
      <c r="ZC199" s="1004"/>
      <c r="ZD199" s="1004"/>
      <c r="ZE199" s="1004"/>
      <c r="ZF199" s="1004"/>
      <c r="ZG199" s="1004"/>
      <c r="ZH199" s="1004"/>
      <c r="ZI199" s="1004"/>
      <c r="ZJ199" s="1004"/>
      <c r="ZK199" s="1004"/>
      <c r="ZL199" s="1004"/>
      <c r="ZM199" s="1004"/>
      <c r="ZN199" s="1004"/>
      <c r="ZO199" s="1004"/>
      <c r="ZP199" s="1004"/>
      <c r="ZQ199" s="1004"/>
      <c r="ZR199" s="1004"/>
      <c r="ZS199" s="1004"/>
      <c r="ZT199" s="1004"/>
      <c r="ZU199" s="1004"/>
      <c r="ZV199" s="1004"/>
      <c r="ZW199" s="1004"/>
      <c r="ZX199" s="1004"/>
      <c r="ZY199" s="1004"/>
      <c r="ZZ199" s="1004"/>
      <c r="AAA199" s="1004"/>
      <c r="AAB199" s="1004"/>
      <c r="AAC199" s="1004"/>
      <c r="AAD199" s="1004"/>
      <c r="AAE199" s="1004"/>
      <c r="AAF199" s="1004"/>
      <c r="AAG199" s="1004"/>
      <c r="AAH199" s="1004"/>
      <c r="AAI199" s="1004"/>
      <c r="AAJ199" s="1004"/>
      <c r="AAK199" s="1004"/>
      <c r="AAL199" s="1004"/>
      <c r="AAM199" s="1004"/>
      <c r="AAN199" s="1004"/>
      <c r="AAO199" s="1004"/>
      <c r="AAP199" s="1004"/>
      <c r="AAQ199" s="1004"/>
      <c r="AAR199" s="1004"/>
      <c r="AAS199" s="1004"/>
      <c r="AAT199" s="1007"/>
      <c r="AAU199" s="962"/>
      <c r="AAV199" s="1059"/>
      <c r="AAW199" s="1059"/>
      <c r="AAX199" s="1059"/>
      <c r="AAY199" s="1059"/>
      <c r="AAZ199" s="1059"/>
      <c r="ABA199" s="1059"/>
      <c r="ABB199" s="1059"/>
      <c r="ABC199" s="1059"/>
      <c r="ABD199" s="963"/>
      <c r="ABE199" s="158"/>
      <c r="ABF199" s="158"/>
      <c r="ABG199" s="158"/>
      <c r="ABH199" s="158"/>
      <c r="ABI199" s="158"/>
      <c r="ABJ199" s="158"/>
      <c r="ABK199" s="158"/>
      <c r="ABL199" s="158"/>
      <c r="ABM199" s="158"/>
      <c r="ABN199" s="158"/>
      <c r="ABO199" s="158"/>
      <c r="ABP199" s="163"/>
      <c r="ACJ199" s="759">
        <v>-3.125E-2</v>
      </c>
      <c r="ACK199" s="760"/>
      <c r="ACL199" s="759">
        <v>1</v>
      </c>
      <c r="ACM199" s="760"/>
      <c r="ACN199" s="591">
        <v>46</v>
      </c>
      <c r="ACO199" s="759">
        <f t="shared" si="248"/>
        <v>0.98850000000000005</v>
      </c>
      <c r="ACP199" s="760"/>
      <c r="ACQ199" s="757">
        <f t="shared" si="195"/>
        <v>0.36799999999999999</v>
      </c>
      <c r="ACR199" s="758"/>
      <c r="ACT199" s="759">
        <v>-3.125E-2</v>
      </c>
      <c r="ACU199" s="760"/>
      <c r="ACV199" s="759">
        <v>1</v>
      </c>
      <c r="ACW199" s="760"/>
      <c r="ACX199" s="591">
        <v>96</v>
      </c>
      <c r="ACY199" s="759">
        <f t="shared" si="196"/>
        <v>0.97599999999999998</v>
      </c>
      <c r="ACZ199" s="760"/>
      <c r="ADA199" s="757">
        <f t="shared" si="197"/>
        <v>0.76800000000000002</v>
      </c>
      <c r="ADB199" s="758"/>
      <c r="ADD199" s="759">
        <v>-0.14285714285714299</v>
      </c>
      <c r="ADE199" s="760"/>
      <c r="ADF199" s="759">
        <v>1.1071428571428601</v>
      </c>
      <c r="ADG199" s="760"/>
      <c r="ADH199" s="591">
        <v>146</v>
      </c>
      <c r="ADI199" s="759">
        <f t="shared" si="198"/>
        <v>0.94028571428571706</v>
      </c>
      <c r="ADJ199" s="760"/>
      <c r="ADK199" s="757">
        <f t="shared" si="199"/>
        <v>1.1679999999999999</v>
      </c>
      <c r="ADL199" s="758"/>
      <c r="ADN199" s="759">
        <v>-0.2</v>
      </c>
      <c r="ADO199" s="760"/>
      <c r="ADP199" s="759">
        <v>1.19</v>
      </c>
      <c r="ADQ199" s="760"/>
      <c r="ADR199" s="591">
        <v>196</v>
      </c>
      <c r="ADS199" s="759">
        <f t="shared" si="200"/>
        <v>0.87639999999999985</v>
      </c>
      <c r="ADT199" s="760"/>
      <c r="ADU199" s="757">
        <f t="shared" si="201"/>
        <v>1.5680000000000001</v>
      </c>
      <c r="ADV199" s="758"/>
      <c r="ADX199" s="759">
        <v>-0.33333333333333259</v>
      </c>
      <c r="ADY199" s="760"/>
      <c r="ADZ199" s="759">
        <v>1.4166666666666654</v>
      </c>
      <c r="AEA199" s="760"/>
      <c r="AEB199" s="592">
        <v>246</v>
      </c>
      <c r="AEC199" s="759">
        <f t="shared" si="202"/>
        <v>0.76066666666666682</v>
      </c>
      <c r="AED199" s="760"/>
      <c r="AEE199" s="757">
        <f t="shared" si="203"/>
        <v>1.968</v>
      </c>
      <c r="AEF199" s="758"/>
      <c r="AEH199" s="759">
        <v>-0.25</v>
      </c>
      <c r="AEI199" s="760"/>
      <c r="AEJ199" s="759">
        <v>1.2250000000000001</v>
      </c>
      <c r="AEK199" s="760"/>
      <c r="AEL199" s="591">
        <v>296</v>
      </c>
      <c r="AEM199" s="759">
        <f t="shared" si="204"/>
        <v>0.63300000000000012</v>
      </c>
      <c r="AEN199" s="760"/>
      <c r="AEO199" s="757">
        <f t="shared" si="205"/>
        <v>2.3679999999999999</v>
      </c>
      <c r="AEP199" s="758"/>
      <c r="AEQ199" s="653"/>
      <c r="AER199" s="759">
        <v>-0.1</v>
      </c>
      <c r="AES199" s="760"/>
      <c r="AET199" s="759">
        <v>0.82</v>
      </c>
      <c r="AEU199" s="760"/>
      <c r="AEV199" s="591">
        <v>346</v>
      </c>
      <c r="AEW199" s="759">
        <f t="shared" si="206"/>
        <v>0.54319999999999991</v>
      </c>
      <c r="AEX199" s="760"/>
      <c r="AEY199" s="757">
        <f t="shared" si="207"/>
        <v>2.7680000000000002</v>
      </c>
      <c r="AEZ199" s="758"/>
      <c r="AFA199" s="653"/>
      <c r="AFB199" s="759">
        <v>-0.1</v>
      </c>
      <c r="AFC199" s="760"/>
      <c r="AFD199" s="759">
        <v>0.82</v>
      </c>
      <c r="AFE199" s="760"/>
      <c r="AFF199" s="591">
        <v>396</v>
      </c>
      <c r="AFG199" s="759">
        <f t="shared" si="208"/>
        <v>0.50319999999999987</v>
      </c>
      <c r="AFH199" s="760"/>
      <c r="AFI199" s="757">
        <f t="shared" si="209"/>
        <v>3.1680000000000001</v>
      </c>
      <c r="AFJ199" s="758"/>
      <c r="AFK199" s="653"/>
      <c r="AFL199" s="759">
        <v>-0.125</v>
      </c>
      <c r="AFM199" s="760"/>
      <c r="AFN199" s="759">
        <v>0.875</v>
      </c>
      <c r="AFO199" s="760"/>
      <c r="AFP199" s="591">
        <v>446</v>
      </c>
      <c r="AFQ199" s="759">
        <f t="shared" si="210"/>
        <v>0.42899999999999999</v>
      </c>
      <c r="AFR199" s="760"/>
      <c r="AFS199" s="757">
        <f t="shared" si="211"/>
        <v>3.5680000000000001</v>
      </c>
      <c r="AFT199" s="758"/>
      <c r="AFU199" s="653"/>
      <c r="AFV199" s="759">
        <v>-6.25E-2</v>
      </c>
      <c r="AFW199" s="760"/>
      <c r="AFX199" s="759">
        <v>0.63749999999999996</v>
      </c>
      <c r="AFY199" s="760"/>
      <c r="AFZ199" s="592">
        <v>496</v>
      </c>
      <c r="AGA199" s="759">
        <f t="shared" si="212"/>
        <v>0.38949999999999996</v>
      </c>
      <c r="AGB199" s="760"/>
      <c r="AGC199" s="757">
        <f t="shared" si="213"/>
        <v>3.968</v>
      </c>
      <c r="AGD199" s="758"/>
      <c r="AGE199" s="653"/>
      <c r="AGF199" s="653"/>
      <c r="AGG199" s="653"/>
      <c r="AGH199" s="653"/>
      <c r="AGI199" s="653"/>
      <c r="AGJ199" s="653"/>
      <c r="AGL199" s="850"/>
      <c r="AGM199" s="800" t="s">
        <v>1508</v>
      </c>
      <c r="AGN199" s="801"/>
      <c r="AGO199" s="761">
        <f>$EQ$41</f>
        <v>1</v>
      </c>
      <c r="AGP199" s="761"/>
      <c r="AGQ199" s="823"/>
      <c r="AGR199" s="824"/>
      <c r="AGS199" s="824"/>
      <c r="AGT199" s="824"/>
      <c r="AGU199" s="824"/>
      <c r="AGV199" s="824"/>
      <c r="AGW199" s="824"/>
      <c r="AGX199" s="824"/>
      <c r="AGY199" s="1049"/>
      <c r="AGZ199" s="837"/>
      <c r="AHA199" s="838"/>
      <c r="AHB199" s="1169"/>
      <c r="AHC199" s="799"/>
      <c r="AHD199" s="1249"/>
      <c r="AHE199" s="1321"/>
      <c r="AHF199" s="1321"/>
      <c r="AHG199" s="1321"/>
      <c r="AHH199" s="1290"/>
      <c r="AHI199" s="1052"/>
      <c r="AHJ199" s="1052"/>
      <c r="AHK199" s="1052"/>
      <c r="AHL199" s="1052"/>
      <c r="AHM199" s="1052"/>
      <c r="AHN199" s="1052"/>
      <c r="AHO199" s="1052"/>
      <c r="AHP199" s="1052"/>
      <c r="AHQ199" s="1052"/>
      <c r="AHR199" s="1052"/>
      <c r="AHS199" s="1052"/>
      <c r="AHT199" s="1052"/>
      <c r="ARU199" s="377"/>
      <c r="ARV199" s="373"/>
      <c r="ARW199" s="54"/>
      <c r="ARX199" s="381" t="s">
        <v>1297</v>
      </c>
      <c r="ARY199" s="849"/>
      <c r="ARZ199" s="957" t="s">
        <v>389</v>
      </c>
      <c r="ASA199" s="957"/>
      <c r="ASB199" s="957"/>
      <c r="ASC199" s="957"/>
      <c r="ASD199" s="957"/>
      <c r="ASE199" s="957"/>
      <c r="ASF199" s="957"/>
      <c r="ASG199" s="957"/>
      <c r="ASH199" s="957"/>
      <c r="ASI199" s="957"/>
      <c r="ASJ199" s="957"/>
      <c r="ASK199" s="957"/>
      <c r="ASL199" s="957"/>
      <c r="ASM199" s="835" t="e">
        <f>(3.14*AX25+8*0.32)*(#REF!+2*ASI103/1000)</f>
        <v>#REF!</v>
      </c>
      <c r="ASN199" s="836"/>
      <c r="ASO199" s="839"/>
      <c r="ASP199" s="840"/>
      <c r="ASQ199" s="841"/>
      <c r="ASR199" s="893" t="s">
        <v>904</v>
      </c>
      <c r="ASS199" s="894"/>
      <c r="AST199" s="847"/>
      <c r="ASU199" s="373"/>
      <c r="ASV199" s="373"/>
      <c r="ASW199" s="373"/>
      <c r="ASX199" s="373"/>
      <c r="ASY199" s="373"/>
      <c r="ASZ199" s="373"/>
      <c r="ATA199" s="373"/>
      <c r="ATB199" s="373"/>
      <c r="ATC199" s="373"/>
      <c r="ATD199" s="373"/>
      <c r="ATE199" s="373"/>
      <c r="ATF199" s="374"/>
    </row>
    <row r="200" spans="340:976 1165:1202" ht="48" customHeight="1" thickBot="1">
      <c r="MB200" s="850"/>
      <c r="MC200" s="388" t="s">
        <v>1078</v>
      </c>
      <c r="MD200" s="761">
        <f>$CN$54</f>
        <v>58.696468820435761</v>
      </c>
      <c r="ME200" s="761"/>
      <c r="MF200" s="791" t="s">
        <v>1634</v>
      </c>
      <c r="MG200" s="792"/>
      <c r="MH200" s="792"/>
      <c r="MI200" s="792"/>
      <c r="MJ200" s="792"/>
      <c r="MK200" s="792"/>
      <c r="ML200" s="792"/>
      <c r="MM200" s="835">
        <f>MP98*(CN54/AP7)</f>
        <v>0.1039427534796729</v>
      </c>
      <c r="MN200" s="836"/>
      <c r="MO200" s="1188" t="s">
        <v>392</v>
      </c>
      <c r="MP200" s="1189"/>
      <c r="MQ200" s="1066"/>
      <c r="MR200" s="1170" t="s">
        <v>1604</v>
      </c>
      <c r="MS200" s="1171"/>
      <c r="MT200" s="1172"/>
      <c r="MU200" s="847"/>
      <c r="MV200" s="827"/>
      <c r="MW200" s="947"/>
      <c r="MX200" s="947"/>
      <c r="MY200" s="948"/>
      <c r="NG200" s="130"/>
      <c r="NH200" s="653"/>
      <c r="PC200" s="130"/>
      <c r="PD200" s="130"/>
      <c r="PE200" s="130"/>
      <c r="PF200" s="130"/>
      <c r="PG200" s="130"/>
      <c r="PH200" s="130"/>
      <c r="PI200" s="130"/>
      <c r="PJ200" s="130"/>
      <c r="PL200" s="850"/>
      <c r="PM200" s="861" t="s">
        <v>1601</v>
      </c>
      <c r="PN200" s="861"/>
      <c r="PO200" s="937">
        <f>$PZ$126</f>
        <v>636.19943197840848</v>
      </c>
      <c r="PP200" s="937"/>
      <c r="PQ200" s="809" t="s">
        <v>156</v>
      </c>
      <c r="PR200" s="797"/>
      <c r="PS200" s="797"/>
      <c r="PT200" s="797"/>
      <c r="PU200" s="797"/>
      <c r="PV200" s="797"/>
      <c r="PW200" s="797"/>
      <c r="PX200" s="797"/>
      <c r="PY200" s="798"/>
      <c r="PZ200" s="835">
        <f>PO200+PO201</f>
        <v>677.43724341877817</v>
      </c>
      <c r="QA200" s="836"/>
      <c r="QB200" s="1075" t="s">
        <v>3</v>
      </c>
      <c r="QC200" s="1076"/>
      <c r="QD200" s="1066"/>
      <c r="QE200" s="1170" t="s">
        <v>1578</v>
      </c>
      <c r="QF200" s="1172"/>
      <c r="QG200" s="847"/>
      <c r="QH200" s="1052"/>
      <c r="QI200" s="1052"/>
      <c r="QJ200" s="1052"/>
      <c r="QK200" s="1052"/>
      <c r="QL200" s="1052"/>
      <c r="QM200" s="1052"/>
      <c r="WE200" s="752">
        <v>32</v>
      </c>
      <c r="WF200" s="753"/>
      <c r="WG200" s="1130" t="s">
        <v>1216</v>
      </c>
      <c r="WH200" s="1131"/>
      <c r="WI200" s="1131"/>
      <c r="WJ200" s="1132"/>
      <c r="WK200" s="1133">
        <f>$AP$7</f>
        <v>220</v>
      </c>
      <c r="WL200" s="1133"/>
      <c r="WM200" s="168"/>
      <c r="WN200" s="168"/>
      <c r="WO200" s="168"/>
      <c r="WP200" s="168"/>
      <c r="WQ200" s="168"/>
      <c r="WR200" s="168"/>
      <c r="WS200" s="168"/>
      <c r="WT200" s="168"/>
      <c r="WU200" s="168"/>
      <c r="WV200" s="168"/>
      <c r="WW200" s="168"/>
      <c r="WX200" s="168"/>
      <c r="WY200" s="171"/>
      <c r="WZ200" s="752" t="s">
        <v>32</v>
      </c>
      <c r="XA200" s="753"/>
      <c r="XB200" s="167"/>
      <c r="XC200" s="168"/>
      <c r="XD200" s="168"/>
      <c r="XE200" s="168"/>
      <c r="XF200" s="171"/>
      <c r="XG200" s="1004">
        <f>$WK$200/((XG197^2+XG195^2)^0.5)</f>
        <v>13.663571947093072</v>
      </c>
      <c r="XH200" s="1004">
        <f t="shared" ref="XH200:ZS200" si="269">$WK$200/((XH197^2+XH195^2)^0.5)</f>
        <v>27.005199950930162</v>
      </c>
      <c r="XI200" s="1004">
        <f t="shared" si="269"/>
        <v>39.960344516546691</v>
      </c>
      <c r="XJ200" s="1004">
        <f t="shared" si="269"/>
        <v>52.477901743824951</v>
      </c>
      <c r="XK200" s="1004">
        <f t="shared" si="269"/>
        <v>64.516171395380269</v>
      </c>
      <c r="XL200" s="1004">
        <f t="shared" si="269"/>
        <v>76.054968724694888</v>
      </c>
      <c r="XM200" s="1004">
        <f t="shared" si="269"/>
        <v>87.069651958817047</v>
      </c>
      <c r="XN200" s="1004">
        <f t="shared" si="269"/>
        <v>97.557392520208793</v>
      </c>
      <c r="XO200" s="1004">
        <f t="shared" si="269"/>
        <v>107.87122651223775</v>
      </c>
      <c r="XP200" s="1004">
        <f t="shared" si="269"/>
        <v>118.25206193860997</v>
      </c>
      <c r="XQ200" s="1004">
        <f t="shared" si="269"/>
        <v>127.81028678865927</v>
      </c>
      <c r="XR200" s="1004">
        <f t="shared" si="269"/>
        <v>138.23702740543283</v>
      </c>
      <c r="XS200" s="1004">
        <f t="shared" si="269"/>
        <v>148.21272801686823</v>
      </c>
      <c r="XT200" s="1004">
        <f t="shared" si="269"/>
        <v>154.64372652301103</v>
      </c>
      <c r="XU200" s="1004">
        <f t="shared" si="269"/>
        <v>164.85013929109556</v>
      </c>
      <c r="XV200" s="1004">
        <f t="shared" si="269"/>
        <v>175.18258271177351</v>
      </c>
      <c r="XW200" s="1004">
        <f t="shared" si="269"/>
        <v>184.24469580535504</v>
      </c>
      <c r="XX200" s="1004">
        <f t="shared" si="269"/>
        <v>192.68650565641241</v>
      </c>
      <c r="XY200" s="1004">
        <f t="shared" si="269"/>
        <v>200.56099226221457</v>
      </c>
      <c r="XZ200" s="1004">
        <f t="shared" si="269"/>
        <v>207.88607630223859</v>
      </c>
      <c r="YA200" s="1004">
        <f t="shared" si="269"/>
        <v>208.83556051352664</v>
      </c>
      <c r="YB200" s="1004">
        <f t="shared" si="269"/>
        <v>216.71590108125457</v>
      </c>
      <c r="YC200" s="1004">
        <f t="shared" si="269"/>
        <v>223.91857065486263</v>
      </c>
      <c r="YD200" s="1004">
        <f t="shared" si="269"/>
        <v>229.71541877007644</v>
      </c>
      <c r="YE200" s="1004">
        <f t="shared" si="269"/>
        <v>235.99522259636819</v>
      </c>
      <c r="YF200" s="1004">
        <f t="shared" si="269"/>
        <v>241.00191687578609</v>
      </c>
      <c r="YG200" s="1004">
        <f t="shared" si="269"/>
        <v>246.15326271699863</v>
      </c>
      <c r="YH200" s="1004">
        <f t="shared" si="269"/>
        <v>250.38865704922404</v>
      </c>
      <c r="YI200" s="1004">
        <f t="shared" si="269"/>
        <v>254.3097765829998</v>
      </c>
      <c r="YJ200" s="1004">
        <f t="shared" si="269"/>
        <v>258.3467971323974</v>
      </c>
      <c r="YK200" s="1004">
        <f t="shared" si="269"/>
        <v>261.6901034662223</v>
      </c>
      <c r="YL200" s="1004">
        <f t="shared" si="269"/>
        <v>264.49368612846689</v>
      </c>
      <c r="YM200" s="1004">
        <f t="shared" si="269"/>
        <v>267.38451792934836</v>
      </c>
      <c r="YN200" s="1004">
        <f t="shared" si="269"/>
        <v>270.08348047559349</v>
      </c>
      <c r="YO200" s="1004">
        <f t="shared" si="269"/>
        <v>272.28059975935844</v>
      </c>
      <c r="YP200" s="1004">
        <f t="shared" si="269"/>
        <v>274.64153581904401</v>
      </c>
      <c r="YQ200" s="1004">
        <f t="shared" si="269"/>
        <v>276.51912337451591</v>
      </c>
      <c r="YR200" s="1004">
        <f t="shared" si="269"/>
        <v>278.25520605652866</v>
      </c>
      <c r="YS200" s="1004">
        <f t="shared" si="269"/>
        <v>280.21476199870273</v>
      </c>
      <c r="YT200" s="1004">
        <f t="shared" si="269"/>
        <v>281.52823195166405</v>
      </c>
      <c r="YU200" s="1004">
        <f t="shared" si="269"/>
        <v>282.93009999098058</v>
      </c>
      <c r="YV200" s="1004">
        <f t="shared" si="269"/>
        <v>284.59863700303799</v>
      </c>
      <c r="YW200" s="1004">
        <f t="shared" si="269"/>
        <v>285.81616347443764</v>
      </c>
      <c r="YX200" s="1004">
        <f t="shared" si="269"/>
        <v>286.81197989979836</v>
      </c>
      <c r="YY200" s="1004">
        <f t="shared" si="269"/>
        <v>287.88037620008771</v>
      </c>
      <c r="YZ200" s="1004">
        <f t="shared" si="269"/>
        <v>289.13552372970315</v>
      </c>
      <c r="ZA200" s="1004">
        <f t="shared" si="269"/>
        <v>290.0810285664673</v>
      </c>
      <c r="ZB200" s="1004">
        <f t="shared" si="269"/>
        <v>290.96652562335726</v>
      </c>
      <c r="ZC200" s="1004">
        <f t="shared" si="269"/>
        <v>291.69452013010442</v>
      </c>
      <c r="ZD200" s="1004">
        <f t="shared" si="269"/>
        <v>292.48036370871552</v>
      </c>
      <c r="ZE200" s="1004">
        <f t="shared" si="269"/>
        <v>293.52120729073857</v>
      </c>
      <c r="ZF200" s="1004">
        <f t="shared" si="269"/>
        <v>294.13713912151394</v>
      </c>
      <c r="ZG200" s="1004">
        <f t="shared" si="269"/>
        <v>294.80444115646225</v>
      </c>
      <c r="ZH200" s="1004">
        <f t="shared" si="269"/>
        <v>295.35535503205278</v>
      </c>
      <c r="ZI200" s="1004">
        <f t="shared" si="269"/>
        <v>295.95343394352528</v>
      </c>
      <c r="ZJ200" s="1004">
        <f t="shared" si="269"/>
        <v>296.44806926673169</v>
      </c>
      <c r="ZK200" s="1004">
        <f t="shared" si="269"/>
        <v>296.91898677660549</v>
      </c>
      <c r="ZL200" s="1004">
        <f t="shared" si="269"/>
        <v>297.83933999495622</v>
      </c>
      <c r="ZM200" s="1004">
        <f t="shared" si="269"/>
        <v>298.26610687181511</v>
      </c>
      <c r="ZN200" s="1004">
        <f t="shared" si="269"/>
        <v>298.67338582549718</v>
      </c>
      <c r="ZO200" s="1004">
        <f t="shared" si="269"/>
        <v>299.06235050602356</v>
      </c>
      <c r="ZP200" s="1004">
        <f t="shared" si="269"/>
        <v>299.48751215461726</v>
      </c>
      <c r="ZQ200" s="1004">
        <f t="shared" si="269"/>
        <v>299.8408228773859</v>
      </c>
      <c r="ZR200" s="1004">
        <f t="shared" si="269"/>
        <v>300.17897258324717</v>
      </c>
      <c r="ZS200" s="1004">
        <f t="shared" si="269"/>
        <v>300.50282463635193</v>
      </c>
      <c r="ZT200" s="1004">
        <f t="shared" ref="ZT200:AAS200" si="270">$WK$200/((ZT197^2+ZT195^2)^0.5)</f>
        <v>300.81318234211767</v>
      </c>
      <c r="ZU200" s="1004">
        <f t="shared" si="270"/>
        <v>301.15383427831694</v>
      </c>
      <c r="ZV200" s="1004">
        <f t="shared" si="270"/>
        <v>301.43773189360434</v>
      </c>
      <c r="ZW200" s="1004">
        <f t="shared" si="270"/>
        <v>301.71031555016219</v>
      </c>
      <c r="ZX200" s="1004">
        <f t="shared" si="270"/>
        <v>301.9721875185885</v>
      </c>
      <c r="ZY200" s="1004">
        <f t="shared" si="270"/>
        <v>302.64777554389883</v>
      </c>
      <c r="ZZ200" s="1004">
        <f t="shared" si="270"/>
        <v>302.89088521943336</v>
      </c>
      <c r="AAA200" s="1004">
        <f t="shared" si="270"/>
        <v>303.12482900350869</v>
      </c>
      <c r="AAB200" s="1004">
        <f t="shared" si="270"/>
        <v>303.35007043221935</v>
      </c>
      <c r="AAC200" s="1004">
        <f t="shared" si="270"/>
        <v>303.5670441374844</v>
      </c>
      <c r="AAD200" s="1004">
        <f t="shared" si="270"/>
        <v>303.77615796327177</v>
      </c>
      <c r="AAE200" s="1004">
        <f t="shared" si="270"/>
        <v>303.97779490569047</v>
      </c>
      <c r="AAF200" s="1004">
        <f t="shared" si="270"/>
        <v>304.1723148932312</v>
      </c>
      <c r="AAG200" s="1004">
        <f t="shared" si="270"/>
        <v>304.36005642179322</v>
      </c>
      <c r="AAH200" s="1004">
        <f t="shared" si="270"/>
        <v>304.54133805767395</v>
      </c>
      <c r="AAI200" s="1004">
        <f t="shared" si="270"/>
        <v>304.71645982038956</v>
      </c>
      <c r="AAJ200" s="1004">
        <f t="shared" si="270"/>
        <v>304.88570445603051</v>
      </c>
      <c r="AAK200" s="1004">
        <f t="shared" si="270"/>
        <v>305.04933861080997</v>
      </c>
      <c r="AAL200" s="1004">
        <f t="shared" si="270"/>
        <v>305.20761391353301</v>
      </c>
      <c r="AAM200" s="1004">
        <f t="shared" si="270"/>
        <v>305.36076797487505</v>
      </c>
      <c r="AAN200" s="1004">
        <f t="shared" si="270"/>
        <v>305.50902531061098</v>
      </c>
      <c r="AAO200" s="1004">
        <f t="shared" si="270"/>
        <v>305.65259819526278</v>
      </c>
      <c r="AAP200" s="1004">
        <f t="shared" si="270"/>
        <v>305.79168745202855</v>
      </c>
      <c r="AAQ200" s="1004">
        <f t="shared" si="270"/>
        <v>305.90641237664943</v>
      </c>
      <c r="AAR200" s="1004">
        <f t="shared" si="270"/>
        <v>306.0376989151851</v>
      </c>
      <c r="AAS200" s="1004">
        <f t="shared" si="270"/>
        <v>306.16501850033109</v>
      </c>
      <c r="AAT200" s="1005">
        <v>32</v>
      </c>
      <c r="AAU200" s="958"/>
      <c r="AAV200" s="1058"/>
      <c r="AAW200" s="1058"/>
      <c r="AAX200" s="1058"/>
      <c r="AAY200" s="1058"/>
      <c r="AAZ200" s="959"/>
      <c r="ABA200" s="158"/>
      <c r="ABB200" s="158"/>
      <c r="ABC200" s="158"/>
      <c r="ABD200" s="158"/>
      <c r="ABE200" s="158"/>
      <c r="ABF200" s="158"/>
      <c r="ABG200" s="158"/>
      <c r="ABH200" s="158"/>
      <c r="ABI200" s="158"/>
      <c r="ABJ200" s="158"/>
      <c r="ABK200" s="158"/>
      <c r="ABL200" s="158"/>
      <c r="ABM200" s="158"/>
      <c r="ABN200" s="158"/>
      <c r="ABO200" s="158"/>
      <c r="ABP200" s="163"/>
      <c r="ACJ200" s="759">
        <v>-3.125E-2</v>
      </c>
      <c r="ACK200" s="760"/>
      <c r="ACL200" s="759">
        <v>1</v>
      </c>
      <c r="ACM200" s="760"/>
      <c r="ACN200" s="591">
        <v>47</v>
      </c>
      <c r="ACO200" s="759">
        <f t="shared" si="248"/>
        <v>0.98824999999999996</v>
      </c>
      <c r="ACP200" s="760"/>
      <c r="ACQ200" s="757">
        <f t="shared" si="195"/>
        <v>0.376</v>
      </c>
      <c r="ACR200" s="758"/>
      <c r="ACT200" s="759">
        <v>-3.125E-2</v>
      </c>
      <c r="ACU200" s="760"/>
      <c r="ACV200" s="759">
        <v>1</v>
      </c>
      <c r="ACW200" s="760"/>
      <c r="ACX200" s="591">
        <v>97</v>
      </c>
      <c r="ACY200" s="759">
        <f t="shared" si="196"/>
        <v>0.97575000000000001</v>
      </c>
      <c r="ACZ200" s="760"/>
      <c r="ADA200" s="757">
        <f t="shared" si="197"/>
        <v>0.77600000000000002</v>
      </c>
      <c r="ADB200" s="758"/>
      <c r="ADD200" s="759">
        <v>-0.14285714285714299</v>
      </c>
      <c r="ADE200" s="760"/>
      <c r="ADF200" s="759">
        <v>1.1071428571428601</v>
      </c>
      <c r="ADG200" s="760"/>
      <c r="ADH200" s="591">
        <v>147</v>
      </c>
      <c r="ADI200" s="759">
        <f t="shared" si="198"/>
        <v>0.93914285714285994</v>
      </c>
      <c r="ADJ200" s="760"/>
      <c r="ADK200" s="757">
        <f t="shared" si="199"/>
        <v>1.1759999999999999</v>
      </c>
      <c r="ADL200" s="758"/>
      <c r="ADN200" s="759">
        <v>-0.2</v>
      </c>
      <c r="ADO200" s="760"/>
      <c r="ADP200" s="759">
        <v>1.19</v>
      </c>
      <c r="ADQ200" s="760"/>
      <c r="ADR200" s="591">
        <v>197</v>
      </c>
      <c r="ADS200" s="759">
        <f t="shared" si="200"/>
        <v>0.87479999999999991</v>
      </c>
      <c r="ADT200" s="760"/>
      <c r="ADU200" s="757">
        <f t="shared" si="201"/>
        <v>1.5760000000000001</v>
      </c>
      <c r="ADV200" s="758"/>
      <c r="ADX200" s="759">
        <v>-0.33333333333333259</v>
      </c>
      <c r="ADY200" s="760"/>
      <c r="ADZ200" s="759">
        <v>1.4166666666666654</v>
      </c>
      <c r="AEA200" s="760"/>
      <c r="AEB200" s="592">
        <v>247</v>
      </c>
      <c r="AEC200" s="759">
        <f t="shared" si="202"/>
        <v>0.75800000000000023</v>
      </c>
      <c r="AED200" s="760"/>
      <c r="AEE200" s="757">
        <f t="shared" si="203"/>
        <v>1.976</v>
      </c>
      <c r="AEF200" s="758"/>
      <c r="AEH200" s="759">
        <v>-0.25</v>
      </c>
      <c r="AEI200" s="760"/>
      <c r="AEJ200" s="759">
        <v>1.2250000000000001</v>
      </c>
      <c r="AEK200" s="760"/>
      <c r="AEL200" s="591">
        <v>297</v>
      </c>
      <c r="AEM200" s="759">
        <f t="shared" si="204"/>
        <v>0.63100000000000012</v>
      </c>
      <c r="AEN200" s="760"/>
      <c r="AEO200" s="757">
        <f t="shared" si="205"/>
        <v>2.3759999999999999</v>
      </c>
      <c r="AEP200" s="758"/>
      <c r="AEQ200" s="653"/>
      <c r="AER200" s="759">
        <v>-0.1</v>
      </c>
      <c r="AES200" s="760"/>
      <c r="AET200" s="759">
        <v>0.82</v>
      </c>
      <c r="AEU200" s="760"/>
      <c r="AEV200" s="591">
        <v>347</v>
      </c>
      <c r="AEW200" s="759">
        <f t="shared" si="206"/>
        <v>0.54239999999999999</v>
      </c>
      <c r="AEX200" s="760"/>
      <c r="AEY200" s="757">
        <f t="shared" si="207"/>
        <v>2.7760000000000002</v>
      </c>
      <c r="AEZ200" s="758"/>
      <c r="AFA200" s="653"/>
      <c r="AFB200" s="759">
        <v>-0.1</v>
      </c>
      <c r="AFC200" s="760"/>
      <c r="AFD200" s="759">
        <v>0.82</v>
      </c>
      <c r="AFE200" s="760"/>
      <c r="AFF200" s="591">
        <v>397</v>
      </c>
      <c r="AFG200" s="759">
        <f t="shared" si="208"/>
        <v>0.50239999999999996</v>
      </c>
      <c r="AFH200" s="760"/>
      <c r="AFI200" s="757">
        <f t="shared" si="209"/>
        <v>3.1760000000000002</v>
      </c>
      <c r="AFJ200" s="758"/>
      <c r="AFK200" s="653"/>
      <c r="AFL200" s="759">
        <v>-0.125</v>
      </c>
      <c r="AFM200" s="760"/>
      <c r="AFN200" s="759">
        <v>0.875</v>
      </c>
      <c r="AFO200" s="760"/>
      <c r="AFP200" s="591">
        <v>447</v>
      </c>
      <c r="AFQ200" s="759">
        <f t="shared" si="210"/>
        <v>0.42799999999999999</v>
      </c>
      <c r="AFR200" s="760"/>
      <c r="AFS200" s="757">
        <f t="shared" si="211"/>
        <v>3.5760000000000001</v>
      </c>
      <c r="AFT200" s="758"/>
      <c r="AFU200" s="653"/>
      <c r="AFV200" s="759">
        <v>-6.25E-2</v>
      </c>
      <c r="AFW200" s="760"/>
      <c r="AFX200" s="759">
        <v>0.63749999999999996</v>
      </c>
      <c r="AFY200" s="760"/>
      <c r="AFZ200" s="592">
        <v>497</v>
      </c>
      <c r="AGA200" s="759">
        <f t="shared" si="212"/>
        <v>0.38899999999999996</v>
      </c>
      <c r="AGB200" s="760"/>
      <c r="AGC200" s="757">
        <f t="shared" si="213"/>
        <v>3.976</v>
      </c>
      <c r="AGD200" s="758"/>
      <c r="AGE200" s="653"/>
      <c r="AGF200" s="653"/>
      <c r="AGG200" s="653"/>
      <c r="AGH200" s="653"/>
      <c r="AGI200" s="653"/>
      <c r="AGJ200" s="653"/>
      <c r="AGL200" s="851"/>
      <c r="AGM200" s="1163" t="s">
        <v>1507</v>
      </c>
      <c r="AGN200" s="1163"/>
      <c r="AGO200" s="1187">
        <f>$AGZ$203</f>
        <v>2.460047089222364</v>
      </c>
      <c r="AGP200" s="1187"/>
      <c r="AGQ200" s="794"/>
      <c r="AGR200" s="795"/>
      <c r="AGS200" s="795"/>
      <c r="AGT200" s="795"/>
      <c r="AGU200" s="795"/>
      <c r="AGV200" s="795"/>
      <c r="AGW200" s="795"/>
      <c r="AGX200" s="795"/>
      <c r="AGY200" s="796"/>
      <c r="AGZ200" s="942"/>
      <c r="AHA200" s="943"/>
      <c r="AHB200" s="943"/>
      <c r="AHC200" s="943"/>
      <c r="AHD200" s="943"/>
      <c r="AHE200" s="943"/>
      <c r="AHF200" s="943"/>
      <c r="AHG200" s="943"/>
      <c r="AHH200" s="944"/>
      <c r="AHI200" s="1053"/>
      <c r="AHJ200" s="1053"/>
      <c r="AHK200" s="1053"/>
      <c r="AHL200" s="1053"/>
      <c r="AHM200" s="1053"/>
      <c r="AHN200" s="1053"/>
      <c r="AHO200" s="1053"/>
      <c r="AHP200" s="1053"/>
      <c r="AHQ200" s="1053"/>
      <c r="AHR200" s="1053"/>
      <c r="AHS200" s="1053"/>
      <c r="AHT200" s="1053"/>
      <c r="ARU200" s="377"/>
      <c r="ARV200" s="373"/>
      <c r="ARW200" s="54"/>
      <c r="ARX200" s="373"/>
      <c r="ARY200" s="851"/>
      <c r="ARZ200" s="1147"/>
      <c r="ASA200" s="1147"/>
      <c r="ASB200" s="1147"/>
      <c r="ASC200" s="1147"/>
      <c r="ASD200" s="1147"/>
      <c r="ASE200" s="1147"/>
      <c r="ASF200" s="1147"/>
      <c r="ASG200" s="1147"/>
      <c r="ASH200" s="1147"/>
      <c r="ASI200" s="1147"/>
      <c r="ASJ200" s="1147"/>
      <c r="ASK200" s="1147"/>
      <c r="ASL200" s="1147"/>
      <c r="ASM200" s="837"/>
      <c r="ASN200" s="838"/>
      <c r="ASO200" s="777"/>
      <c r="ASP200" s="799"/>
      <c r="ASQ200" s="842"/>
      <c r="ASR200" s="918"/>
      <c r="ASS200" s="919"/>
      <c r="AST200" s="848"/>
      <c r="ASU200" s="373"/>
      <c r="ASV200" s="373"/>
      <c r="ASW200" s="373"/>
      <c r="ASX200" s="373"/>
      <c r="ASY200" s="373"/>
      <c r="ASZ200" s="373"/>
      <c r="ATA200" s="373"/>
      <c r="ATB200" s="373"/>
      <c r="ATC200" s="373"/>
      <c r="ATD200" s="373"/>
      <c r="ATE200" s="373"/>
      <c r="ATF200" s="374"/>
    </row>
    <row r="201" spans="340:976 1165:1202" ht="48" customHeight="1" thickBot="1">
      <c r="MB201" s="851"/>
      <c r="MC201" s="389" t="s">
        <v>1216</v>
      </c>
      <c r="MD201" s="879">
        <f>$AP$7</f>
        <v>220</v>
      </c>
      <c r="ME201" s="879"/>
      <c r="MF201" s="794"/>
      <c r="MG201" s="795"/>
      <c r="MH201" s="795"/>
      <c r="MI201" s="795"/>
      <c r="MJ201" s="795"/>
      <c r="MK201" s="795"/>
      <c r="ML201" s="795"/>
      <c r="MM201" s="837"/>
      <c r="MN201" s="838"/>
      <c r="MO201" s="1190"/>
      <c r="MP201" s="1191"/>
      <c r="MQ201" s="1067"/>
      <c r="MR201" s="1173"/>
      <c r="MS201" s="1174"/>
      <c r="MT201" s="1175"/>
      <c r="MU201" s="848"/>
      <c r="MV201" s="828"/>
      <c r="MW201" s="949"/>
      <c r="MX201" s="949"/>
      <c r="MY201" s="950"/>
      <c r="NG201" s="130"/>
      <c r="NH201" s="653"/>
      <c r="PC201" s="130"/>
      <c r="PD201" s="130"/>
      <c r="PE201" s="130"/>
      <c r="PF201" s="130"/>
      <c r="PG201" s="130"/>
      <c r="PH201" s="130"/>
      <c r="PI201" s="130"/>
      <c r="PJ201" s="130"/>
      <c r="PL201" s="851"/>
      <c r="PM201" s="1163" t="s">
        <v>1602</v>
      </c>
      <c r="PN201" s="1163"/>
      <c r="PO201" s="774">
        <f>$PS$165</f>
        <v>41.237811440369647</v>
      </c>
      <c r="PP201" s="774"/>
      <c r="PQ201" s="777"/>
      <c r="PR201" s="778"/>
      <c r="PS201" s="778"/>
      <c r="PT201" s="778"/>
      <c r="PU201" s="778"/>
      <c r="PV201" s="778"/>
      <c r="PW201" s="778"/>
      <c r="PX201" s="778"/>
      <c r="PY201" s="799"/>
      <c r="PZ201" s="837"/>
      <c r="QA201" s="838"/>
      <c r="QB201" s="1077"/>
      <c r="QC201" s="1078"/>
      <c r="QD201" s="1067"/>
      <c r="QE201" s="1173"/>
      <c r="QF201" s="1175"/>
      <c r="QG201" s="848"/>
      <c r="QH201" s="1053"/>
      <c r="QI201" s="1053"/>
      <c r="QJ201" s="1053"/>
      <c r="QK201" s="1053"/>
      <c r="QL201" s="1053"/>
      <c r="QM201" s="1053"/>
      <c r="WE201" s="996"/>
      <c r="WF201" s="997"/>
      <c r="WG201" s="167"/>
      <c r="WH201" s="168"/>
      <c r="WI201" s="168"/>
      <c r="WJ201" s="168"/>
      <c r="WK201" s="168"/>
      <c r="WL201" s="168"/>
      <c r="WM201" s="173"/>
      <c r="WN201" s="173"/>
      <c r="WO201" s="173"/>
      <c r="WP201" s="173"/>
      <c r="WQ201" s="173"/>
      <c r="WR201" s="173"/>
      <c r="WS201" s="173"/>
      <c r="WT201" s="173"/>
      <c r="WU201" s="173"/>
      <c r="WV201" s="173"/>
      <c r="WW201" s="173"/>
      <c r="WX201" s="173"/>
      <c r="WY201" s="174"/>
      <c r="WZ201" s="996"/>
      <c r="XA201" s="997"/>
      <c r="XB201" s="175"/>
      <c r="XC201" s="173"/>
      <c r="XD201" s="173"/>
      <c r="XE201" s="173"/>
      <c r="XF201" s="174"/>
      <c r="XG201" s="1004"/>
      <c r="XH201" s="1004"/>
      <c r="XI201" s="1004"/>
      <c r="XJ201" s="1004"/>
      <c r="XK201" s="1004"/>
      <c r="XL201" s="1004"/>
      <c r="XM201" s="1004"/>
      <c r="XN201" s="1004"/>
      <c r="XO201" s="1004"/>
      <c r="XP201" s="1004"/>
      <c r="XQ201" s="1004"/>
      <c r="XR201" s="1004"/>
      <c r="XS201" s="1004"/>
      <c r="XT201" s="1004"/>
      <c r="XU201" s="1004"/>
      <c r="XV201" s="1004"/>
      <c r="XW201" s="1004"/>
      <c r="XX201" s="1004"/>
      <c r="XY201" s="1004"/>
      <c r="XZ201" s="1004"/>
      <c r="YA201" s="1004"/>
      <c r="YB201" s="1004"/>
      <c r="YC201" s="1004"/>
      <c r="YD201" s="1004"/>
      <c r="YE201" s="1004"/>
      <c r="YF201" s="1004"/>
      <c r="YG201" s="1004"/>
      <c r="YH201" s="1004"/>
      <c r="YI201" s="1004"/>
      <c r="YJ201" s="1004"/>
      <c r="YK201" s="1004"/>
      <c r="YL201" s="1004"/>
      <c r="YM201" s="1004"/>
      <c r="YN201" s="1004"/>
      <c r="YO201" s="1004"/>
      <c r="YP201" s="1004"/>
      <c r="YQ201" s="1004"/>
      <c r="YR201" s="1004"/>
      <c r="YS201" s="1004"/>
      <c r="YT201" s="1004"/>
      <c r="YU201" s="1004"/>
      <c r="YV201" s="1004"/>
      <c r="YW201" s="1004"/>
      <c r="YX201" s="1004"/>
      <c r="YY201" s="1004"/>
      <c r="YZ201" s="1004"/>
      <c r="ZA201" s="1004"/>
      <c r="ZB201" s="1004"/>
      <c r="ZC201" s="1004"/>
      <c r="ZD201" s="1004"/>
      <c r="ZE201" s="1004"/>
      <c r="ZF201" s="1004"/>
      <c r="ZG201" s="1004"/>
      <c r="ZH201" s="1004"/>
      <c r="ZI201" s="1004"/>
      <c r="ZJ201" s="1004"/>
      <c r="ZK201" s="1004"/>
      <c r="ZL201" s="1004"/>
      <c r="ZM201" s="1004"/>
      <c r="ZN201" s="1004"/>
      <c r="ZO201" s="1004"/>
      <c r="ZP201" s="1004"/>
      <c r="ZQ201" s="1004"/>
      <c r="ZR201" s="1004"/>
      <c r="ZS201" s="1004"/>
      <c r="ZT201" s="1004"/>
      <c r="ZU201" s="1004"/>
      <c r="ZV201" s="1004"/>
      <c r="ZW201" s="1004"/>
      <c r="ZX201" s="1004"/>
      <c r="ZY201" s="1004"/>
      <c r="ZZ201" s="1004"/>
      <c r="AAA201" s="1004"/>
      <c r="AAB201" s="1004"/>
      <c r="AAC201" s="1004"/>
      <c r="AAD201" s="1004"/>
      <c r="AAE201" s="1004"/>
      <c r="AAF201" s="1004"/>
      <c r="AAG201" s="1004"/>
      <c r="AAH201" s="1004"/>
      <c r="AAI201" s="1004"/>
      <c r="AAJ201" s="1004"/>
      <c r="AAK201" s="1004"/>
      <c r="AAL201" s="1004"/>
      <c r="AAM201" s="1004"/>
      <c r="AAN201" s="1004"/>
      <c r="AAO201" s="1004"/>
      <c r="AAP201" s="1004"/>
      <c r="AAQ201" s="1004"/>
      <c r="AAR201" s="1004"/>
      <c r="AAS201" s="1004"/>
      <c r="AAT201" s="1006"/>
      <c r="AAU201" s="960"/>
      <c r="AAV201" s="1101"/>
      <c r="AAW201" s="1101"/>
      <c r="AAX201" s="1101"/>
      <c r="AAY201" s="1101"/>
      <c r="AAZ201" s="961"/>
      <c r="ABA201" s="158"/>
      <c r="ABB201" s="158"/>
      <c r="ABC201" s="158"/>
      <c r="ABD201" s="158"/>
      <c r="ABE201" s="158"/>
      <c r="ABF201" s="158"/>
      <c r="ABG201" s="158"/>
      <c r="ABH201" s="158"/>
      <c r="ABI201" s="158"/>
      <c r="ABJ201" s="158"/>
      <c r="ABK201" s="158"/>
      <c r="ABL201" s="158"/>
      <c r="ABM201" s="158"/>
      <c r="ABN201" s="158"/>
      <c r="ABO201" s="158"/>
      <c r="ABP201" s="163"/>
      <c r="ACJ201" s="759">
        <v>-3.125E-2</v>
      </c>
      <c r="ACK201" s="760"/>
      <c r="ACL201" s="759">
        <v>1</v>
      </c>
      <c r="ACM201" s="760"/>
      <c r="ACN201" s="591">
        <v>48</v>
      </c>
      <c r="ACO201" s="759">
        <f t="shared" si="248"/>
        <v>0.98799999999999999</v>
      </c>
      <c r="ACP201" s="760"/>
      <c r="ACQ201" s="757">
        <f t="shared" si="195"/>
        <v>0.38400000000000001</v>
      </c>
      <c r="ACR201" s="758"/>
      <c r="ACT201" s="759">
        <v>-3.125E-2</v>
      </c>
      <c r="ACU201" s="760"/>
      <c r="ACV201" s="759">
        <v>1</v>
      </c>
      <c r="ACW201" s="760"/>
      <c r="ACX201" s="591">
        <v>98</v>
      </c>
      <c r="ACY201" s="759">
        <f t="shared" si="196"/>
        <v>0.97550000000000003</v>
      </c>
      <c r="ACZ201" s="760"/>
      <c r="ADA201" s="757">
        <f t="shared" si="197"/>
        <v>0.78400000000000003</v>
      </c>
      <c r="ADB201" s="758"/>
      <c r="ADD201" s="759">
        <v>-0.14285714285714299</v>
      </c>
      <c r="ADE201" s="760"/>
      <c r="ADF201" s="759">
        <v>1.1071428571428601</v>
      </c>
      <c r="ADG201" s="760"/>
      <c r="ADH201" s="591">
        <v>148</v>
      </c>
      <c r="ADI201" s="759">
        <f t="shared" si="198"/>
        <v>0.93800000000000283</v>
      </c>
      <c r="ADJ201" s="760"/>
      <c r="ADK201" s="757">
        <f t="shared" si="199"/>
        <v>1.1839999999999999</v>
      </c>
      <c r="ADL201" s="758"/>
      <c r="ADN201" s="759">
        <v>-0.2</v>
      </c>
      <c r="ADO201" s="760"/>
      <c r="ADP201" s="759">
        <v>1.19</v>
      </c>
      <c r="ADQ201" s="760"/>
      <c r="ADR201" s="591">
        <v>198</v>
      </c>
      <c r="ADS201" s="759">
        <f t="shared" si="200"/>
        <v>0.87319999999999998</v>
      </c>
      <c r="ADT201" s="760"/>
      <c r="ADU201" s="757">
        <f t="shared" si="201"/>
        <v>1.5840000000000001</v>
      </c>
      <c r="ADV201" s="758"/>
      <c r="ADX201" s="759">
        <v>-0.33333333333333259</v>
      </c>
      <c r="ADY201" s="760"/>
      <c r="ADZ201" s="759">
        <v>1.4166666666666654</v>
      </c>
      <c r="AEA201" s="760"/>
      <c r="AEB201" s="592">
        <v>248</v>
      </c>
      <c r="AEC201" s="759">
        <f t="shared" si="202"/>
        <v>0.75533333333333352</v>
      </c>
      <c r="AED201" s="760"/>
      <c r="AEE201" s="757">
        <f t="shared" si="203"/>
        <v>1.984</v>
      </c>
      <c r="AEF201" s="758"/>
      <c r="AEH201" s="759">
        <v>-0.25</v>
      </c>
      <c r="AEI201" s="760"/>
      <c r="AEJ201" s="759">
        <v>1.2250000000000001</v>
      </c>
      <c r="AEK201" s="760"/>
      <c r="AEL201" s="591">
        <v>298</v>
      </c>
      <c r="AEM201" s="759">
        <f t="shared" si="204"/>
        <v>0.62900000000000011</v>
      </c>
      <c r="AEN201" s="760"/>
      <c r="AEO201" s="757">
        <f t="shared" si="205"/>
        <v>2.3839999999999999</v>
      </c>
      <c r="AEP201" s="758"/>
      <c r="AEQ201" s="653"/>
      <c r="AER201" s="759">
        <v>-0.1</v>
      </c>
      <c r="AES201" s="760"/>
      <c r="AET201" s="759">
        <v>0.82</v>
      </c>
      <c r="AEU201" s="760"/>
      <c r="AEV201" s="591">
        <v>348</v>
      </c>
      <c r="AEW201" s="759">
        <f t="shared" si="206"/>
        <v>0.54159999999999986</v>
      </c>
      <c r="AEX201" s="760"/>
      <c r="AEY201" s="757">
        <f t="shared" si="207"/>
        <v>2.7840000000000003</v>
      </c>
      <c r="AEZ201" s="758"/>
      <c r="AFA201" s="653"/>
      <c r="AFB201" s="759">
        <v>-0.1</v>
      </c>
      <c r="AFC201" s="760"/>
      <c r="AFD201" s="759">
        <v>0.82</v>
      </c>
      <c r="AFE201" s="760"/>
      <c r="AFF201" s="591">
        <v>398</v>
      </c>
      <c r="AFG201" s="759">
        <f t="shared" si="208"/>
        <v>0.50159999999999993</v>
      </c>
      <c r="AFH201" s="760"/>
      <c r="AFI201" s="757">
        <f t="shared" si="209"/>
        <v>3.1840000000000002</v>
      </c>
      <c r="AFJ201" s="758"/>
      <c r="AFK201" s="653"/>
      <c r="AFL201" s="759">
        <v>-0.125</v>
      </c>
      <c r="AFM201" s="760"/>
      <c r="AFN201" s="759">
        <v>0.875</v>
      </c>
      <c r="AFO201" s="760"/>
      <c r="AFP201" s="591">
        <v>448</v>
      </c>
      <c r="AFQ201" s="759">
        <f t="shared" si="210"/>
        <v>0.42699999999999999</v>
      </c>
      <c r="AFR201" s="760"/>
      <c r="AFS201" s="757">
        <f t="shared" si="211"/>
        <v>3.5840000000000001</v>
      </c>
      <c r="AFT201" s="758"/>
      <c r="AFU201" s="653"/>
      <c r="AFV201" s="759">
        <v>-6.25E-2</v>
      </c>
      <c r="AFW201" s="760"/>
      <c r="AFX201" s="759">
        <v>0.63749999999999996</v>
      </c>
      <c r="AFY201" s="760"/>
      <c r="AFZ201" s="592">
        <v>498</v>
      </c>
      <c r="AGA201" s="759">
        <f t="shared" si="212"/>
        <v>0.38849999999999996</v>
      </c>
      <c r="AGB201" s="760"/>
      <c r="AGC201" s="757">
        <f t="shared" si="213"/>
        <v>3.984</v>
      </c>
      <c r="AGD201" s="758"/>
      <c r="AGE201" s="653"/>
      <c r="AGF201" s="653"/>
      <c r="AGG201" s="653"/>
      <c r="AGH201" s="653"/>
      <c r="AGI201" s="653"/>
      <c r="AGJ201" s="653"/>
      <c r="AIW201" s="653"/>
      <c r="AIX201" s="653"/>
      <c r="AIY201" s="653"/>
      <c r="AIZ201" s="653"/>
      <c r="AJA201" s="653"/>
      <c r="AJB201" s="653"/>
      <c r="AJC201" s="653"/>
      <c r="AJD201" s="653"/>
      <c r="AJE201" s="653"/>
      <c r="AJF201" s="653"/>
      <c r="AJG201" s="653"/>
      <c r="AJH201" s="653"/>
      <c r="AJI201" s="653"/>
      <c r="AJJ201" s="653"/>
      <c r="AJK201" s="653"/>
      <c r="AJL201" s="653"/>
      <c r="AJM201" s="653"/>
      <c r="AJN201" s="653"/>
      <c r="AJO201" s="653"/>
      <c r="AJP201" s="653"/>
      <c r="AJQ201" s="653"/>
      <c r="AJR201" s="653"/>
      <c r="AJS201" s="653"/>
      <c r="AJT201" s="653"/>
      <c r="AJU201" s="653"/>
      <c r="AJV201" s="653"/>
      <c r="AJW201" s="653"/>
      <c r="AJX201" s="653"/>
      <c r="AJY201" s="653"/>
      <c r="AJZ201" s="653"/>
      <c r="AKA201" s="653"/>
      <c r="AKB201" s="653"/>
      <c r="AKC201" s="653"/>
      <c r="AKD201" s="653"/>
      <c r="AKE201" s="653"/>
      <c r="AKF201" s="653"/>
      <c r="AKG201" s="653"/>
      <c r="AKH201" s="653"/>
      <c r="AKI201" s="653"/>
      <c r="AKJ201" s="653"/>
      <c r="AKK201" s="653"/>
      <c r="AKL201" s="653"/>
      <c r="AKM201" s="653"/>
      <c r="AKN201" s="653"/>
      <c r="ARU201" s="377"/>
      <c r="ARV201" s="373"/>
      <c r="ARW201" s="54"/>
      <c r="ARX201" s="373"/>
      <c r="ARY201" s="373"/>
      <c r="ARZ201" s="373"/>
      <c r="ASA201" s="373"/>
      <c r="ASB201" s="373"/>
      <c r="ASC201" s="373"/>
      <c r="ASD201" s="373"/>
      <c r="ASE201" s="373"/>
      <c r="ASF201" s="373"/>
      <c r="ASG201" s="373"/>
      <c r="ASH201" s="373"/>
      <c r="ASI201" s="373"/>
      <c r="ASJ201" s="373"/>
      <c r="ASK201" s="373"/>
      <c r="ASL201" s="373"/>
      <c r="ASM201" s="373"/>
      <c r="ASN201" s="373"/>
      <c r="ASO201" s="373"/>
      <c r="ASP201" s="373"/>
      <c r="ASQ201" s="373"/>
      <c r="ASR201" s="373"/>
      <c r="ASS201" s="373"/>
      <c r="AST201" s="373"/>
      <c r="ASU201" s="373"/>
      <c r="ASV201" s="373"/>
      <c r="ASW201" s="373"/>
      <c r="ASX201" s="373"/>
      <c r="ASY201" s="373"/>
      <c r="ASZ201" s="373"/>
      <c r="ATA201" s="373"/>
      <c r="ATB201" s="373"/>
      <c r="ATC201" s="373"/>
      <c r="ATD201" s="373"/>
      <c r="ATE201" s="373"/>
      <c r="ATF201" s="374"/>
    </row>
    <row r="202" spans="340:976 1165:1202" ht="48" customHeight="1" thickBot="1">
      <c r="NC202" s="130"/>
      <c r="ND202" s="130"/>
      <c r="NE202" s="130"/>
      <c r="NF202" s="130"/>
      <c r="NG202" s="130"/>
      <c r="NH202" s="653"/>
      <c r="PC202" s="130"/>
      <c r="PD202" s="130"/>
      <c r="PE202" s="130"/>
      <c r="PF202" s="130"/>
      <c r="PG202" s="130"/>
      <c r="PH202" s="130"/>
      <c r="PI202" s="130"/>
      <c r="PJ202" s="130"/>
      <c r="WE202" s="754"/>
      <c r="WF202" s="755"/>
      <c r="WG202" s="169"/>
      <c r="WH202" s="170"/>
      <c r="WI202" s="170"/>
      <c r="WJ202" s="170"/>
      <c r="WK202" s="170"/>
      <c r="WL202" s="170"/>
      <c r="WM202" s="170"/>
      <c r="WN202" s="170"/>
      <c r="WO202" s="170"/>
      <c r="WP202" s="170"/>
      <c r="WQ202" s="170"/>
      <c r="WR202" s="170"/>
      <c r="WS202" s="170"/>
      <c r="WT202" s="170"/>
      <c r="WU202" s="170"/>
      <c r="WV202" s="170"/>
      <c r="WW202" s="170"/>
      <c r="WX202" s="170"/>
      <c r="WY202" s="172"/>
      <c r="WZ202" s="754"/>
      <c r="XA202" s="755"/>
      <c r="XB202" s="169"/>
      <c r="XC202" s="170"/>
      <c r="XD202" s="170"/>
      <c r="XE202" s="170"/>
      <c r="XF202" s="172"/>
      <c r="XG202" s="1004"/>
      <c r="XH202" s="1004"/>
      <c r="XI202" s="1004"/>
      <c r="XJ202" s="1004"/>
      <c r="XK202" s="1004"/>
      <c r="XL202" s="1004"/>
      <c r="XM202" s="1004"/>
      <c r="XN202" s="1004"/>
      <c r="XO202" s="1004"/>
      <c r="XP202" s="1004"/>
      <c r="XQ202" s="1004"/>
      <c r="XR202" s="1004"/>
      <c r="XS202" s="1004"/>
      <c r="XT202" s="1004"/>
      <c r="XU202" s="1004"/>
      <c r="XV202" s="1004"/>
      <c r="XW202" s="1004"/>
      <c r="XX202" s="1004"/>
      <c r="XY202" s="1004"/>
      <c r="XZ202" s="1004"/>
      <c r="YA202" s="1004"/>
      <c r="YB202" s="1004"/>
      <c r="YC202" s="1004"/>
      <c r="YD202" s="1004"/>
      <c r="YE202" s="1004"/>
      <c r="YF202" s="1004"/>
      <c r="YG202" s="1004"/>
      <c r="YH202" s="1004"/>
      <c r="YI202" s="1004"/>
      <c r="YJ202" s="1004"/>
      <c r="YK202" s="1004"/>
      <c r="YL202" s="1004"/>
      <c r="YM202" s="1004"/>
      <c r="YN202" s="1004"/>
      <c r="YO202" s="1004"/>
      <c r="YP202" s="1004"/>
      <c r="YQ202" s="1004"/>
      <c r="YR202" s="1004"/>
      <c r="YS202" s="1004"/>
      <c r="YT202" s="1004"/>
      <c r="YU202" s="1004"/>
      <c r="YV202" s="1004"/>
      <c r="YW202" s="1004"/>
      <c r="YX202" s="1004"/>
      <c r="YY202" s="1004"/>
      <c r="YZ202" s="1004"/>
      <c r="ZA202" s="1004"/>
      <c r="ZB202" s="1004"/>
      <c r="ZC202" s="1004"/>
      <c r="ZD202" s="1004"/>
      <c r="ZE202" s="1004"/>
      <c r="ZF202" s="1004"/>
      <c r="ZG202" s="1004"/>
      <c r="ZH202" s="1004"/>
      <c r="ZI202" s="1004"/>
      <c r="ZJ202" s="1004"/>
      <c r="ZK202" s="1004"/>
      <c r="ZL202" s="1004"/>
      <c r="ZM202" s="1004"/>
      <c r="ZN202" s="1004"/>
      <c r="ZO202" s="1004"/>
      <c r="ZP202" s="1004"/>
      <c r="ZQ202" s="1004"/>
      <c r="ZR202" s="1004"/>
      <c r="ZS202" s="1004"/>
      <c r="ZT202" s="1004"/>
      <c r="ZU202" s="1004"/>
      <c r="ZV202" s="1004"/>
      <c r="ZW202" s="1004"/>
      <c r="ZX202" s="1004"/>
      <c r="ZY202" s="1004"/>
      <c r="ZZ202" s="1004"/>
      <c r="AAA202" s="1004"/>
      <c r="AAB202" s="1004"/>
      <c r="AAC202" s="1004"/>
      <c r="AAD202" s="1004"/>
      <c r="AAE202" s="1004"/>
      <c r="AAF202" s="1004"/>
      <c r="AAG202" s="1004"/>
      <c r="AAH202" s="1004"/>
      <c r="AAI202" s="1004"/>
      <c r="AAJ202" s="1004"/>
      <c r="AAK202" s="1004"/>
      <c r="AAL202" s="1004"/>
      <c r="AAM202" s="1004"/>
      <c r="AAN202" s="1004"/>
      <c r="AAO202" s="1004"/>
      <c r="AAP202" s="1004"/>
      <c r="AAQ202" s="1004"/>
      <c r="AAR202" s="1004"/>
      <c r="AAS202" s="1004"/>
      <c r="AAT202" s="1007"/>
      <c r="AAU202" s="960"/>
      <c r="AAV202" s="1101"/>
      <c r="AAW202" s="1101"/>
      <c r="AAX202" s="1101"/>
      <c r="AAY202" s="1101"/>
      <c r="AAZ202" s="961"/>
      <c r="ABA202" s="158"/>
      <c r="ABB202" s="158"/>
      <c r="ABC202" s="158"/>
      <c r="ABD202" s="158"/>
      <c r="ABE202" s="158"/>
      <c r="ABF202" s="158"/>
      <c r="ABG202" s="158"/>
      <c r="ABH202" s="158"/>
      <c r="ABI202" s="158"/>
      <c r="ABJ202" s="158"/>
      <c r="ABK202" s="158"/>
      <c r="ABL202" s="158"/>
      <c r="ABM202" s="158"/>
      <c r="ABN202" s="158"/>
      <c r="ABO202" s="158"/>
      <c r="ABP202" s="163"/>
      <c r="ACJ202" s="759">
        <v>-3.125E-2</v>
      </c>
      <c r="ACK202" s="760"/>
      <c r="ACL202" s="759">
        <v>1</v>
      </c>
      <c r="ACM202" s="760"/>
      <c r="ACN202" s="591">
        <v>49</v>
      </c>
      <c r="ACO202" s="759">
        <f t="shared" si="248"/>
        <v>0.98775000000000002</v>
      </c>
      <c r="ACP202" s="760"/>
      <c r="ACQ202" s="757">
        <f t="shared" si="195"/>
        <v>0.39200000000000002</v>
      </c>
      <c r="ACR202" s="758"/>
      <c r="ACT202" s="759">
        <v>-3.125E-2</v>
      </c>
      <c r="ACU202" s="760"/>
      <c r="ACV202" s="759">
        <v>1</v>
      </c>
      <c r="ACW202" s="760"/>
      <c r="ACX202" s="591">
        <v>99</v>
      </c>
      <c r="ACY202" s="759">
        <f t="shared" si="196"/>
        <v>0.97524999999999995</v>
      </c>
      <c r="ACZ202" s="760"/>
      <c r="ADA202" s="757">
        <f t="shared" si="197"/>
        <v>0.79200000000000004</v>
      </c>
      <c r="ADB202" s="758"/>
      <c r="ADD202" s="759">
        <v>-0.14285714285714299</v>
      </c>
      <c r="ADE202" s="760"/>
      <c r="ADF202" s="759">
        <v>1.1071428571428601</v>
      </c>
      <c r="ADG202" s="760"/>
      <c r="ADH202" s="591">
        <v>149</v>
      </c>
      <c r="ADI202" s="759">
        <f t="shared" si="198"/>
        <v>0.93685714285714572</v>
      </c>
      <c r="ADJ202" s="760"/>
      <c r="ADK202" s="757">
        <f t="shared" si="199"/>
        <v>1.1919999999999999</v>
      </c>
      <c r="ADL202" s="758"/>
      <c r="ADN202" s="759">
        <v>-0.2</v>
      </c>
      <c r="ADO202" s="760"/>
      <c r="ADP202" s="759">
        <v>1.19</v>
      </c>
      <c r="ADQ202" s="760"/>
      <c r="ADR202" s="591">
        <v>199</v>
      </c>
      <c r="ADS202" s="759">
        <f t="shared" si="200"/>
        <v>0.87159999999999993</v>
      </c>
      <c r="ADT202" s="760"/>
      <c r="ADU202" s="757">
        <f t="shared" si="201"/>
        <v>1.5920000000000001</v>
      </c>
      <c r="ADV202" s="758"/>
      <c r="ADX202" s="759">
        <v>-0.33333333333333259</v>
      </c>
      <c r="ADY202" s="760"/>
      <c r="ADZ202" s="759">
        <v>1.4166666666666654</v>
      </c>
      <c r="AEA202" s="760"/>
      <c r="AEB202" s="592">
        <v>249</v>
      </c>
      <c r="AEC202" s="759">
        <f t="shared" si="202"/>
        <v>0.75266666666666693</v>
      </c>
      <c r="AED202" s="760"/>
      <c r="AEE202" s="757">
        <f t="shared" si="203"/>
        <v>1.992</v>
      </c>
      <c r="AEF202" s="758"/>
      <c r="AEH202" s="759">
        <v>-0.25</v>
      </c>
      <c r="AEI202" s="760"/>
      <c r="AEJ202" s="759">
        <v>1.2250000000000001</v>
      </c>
      <c r="AEK202" s="760"/>
      <c r="AEL202" s="591">
        <v>299</v>
      </c>
      <c r="AEM202" s="759">
        <f t="shared" si="204"/>
        <v>0.62700000000000011</v>
      </c>
      <c r="AEN202" s="760"/>
      <c r="AEO202" s="757">
        <f t="shared" si="205"/>
        <v>2.3919999999999999</v>
      </c>
      <c r="AEP202" s="758"/>
      <c r="AEQ202" s="653"/>
      <c r="AER202" s="759">
        <v>-0.1</v>
      </c>
      <c r="AES202" s="760"/>
      <c r="AET202" s="759">
        <v>0.82</v>
      </c>
      <c r="AEU202" s="760"/>
      <c r="AEV202" s="591">
        <v>349</v>
      </c>
      <c r="AEW202" s="759">
        <f t="shared" si="206"/>
        <v>0.54079999999999995</v>
      </c>
      <c r="AEX202" s="760"/>
      <c r="AEY202" s="757">
        <f t="shared" si="207"/>
        <v>2.7920000000000003</v>
      </c>
      <c r="AEZ202" s="758"/>
      <c r="AFA202" s="653"/>
      <c r="AFB202" s="759">
        <v>-0.1</v>
      </c>
      <c r="AFC202" s="760"/>
      <c r="AFD202" s="759">
        <v>0.82</v>
      </c>
      <c r="AFE202" s="760"/>
      <c r="AFF202" s="591">
        <v>399</v>
      </c>
      <c r="AFG202" s="759">
        <f t="shared" si="208"/>
        <v>0.50079999999999991</v>
      </c>
      <c r="AFH202" s="760"/>
      <c r="AFI202" s="757">
        <f t="shared" si="209"/>
        <v>3.1920000000000002</v>
      </c>
      <c r="AFJ202" s="758"/>
      <c r="AFK202" s="653"/>
      <c r="AFL202" s="759">
        <v>-0.125</v>
      </c>
      <c r="AFM202" s="760"/>
      <c r="AFN202" s="759">
        <v>0.875</v>
      </c>
      <c r="AFO202" s="760"/>
      <c r="AFP202" s="591">
        <v>449</v>
      </c>
      <c r="AFQ202" s="759">
        <f t="shared" si="210"/>
        <v>0.42599999999999999</v>
      </c>
      <c r="AFR202" s="760"/>
      <c r="AFS202" s="757">
        <f t="shared" si="211"/>
        <v>3.5920000000000001</v>
      </c>
      <c r="AFT202" s="758"/>
      <c r="AFU202" s="653"/>
      <c r="AFV202" s="759">
        <v>-6.25E-2</v>
      </c>
      <c r="AFW202" s="760"/>
      <c r="AFX202" s="759">
        <v>0.63749999999999996</v>
      </c>
      <c r="AFY202" s="760"/>
      <c r="AFZ202" s="592">
        <v>499</v>
      </c>
      <c r="AGA202" s="759">
        <f t="shared" si="212"/>
        <v>0.38799999999999996</v>
      </c>
      <c r="AGB202" s="760"/>
      <c r="AGC202" s="757">
        <f t="shared" si="213"/>
        <v>3.992</v>
      </c>
      <c r="AGD202" s="758"/>
      <c r="AGE202" s="653"/>
      <c r="AGF202" s="653"/>
      <c r="AGG202" s="653"/>
      <c r="AGH202" s="653"/>
      <c r="AGI202" s="653"/>
      <c r="AGJ202" s="653"/>
      <c r="AGL202" s="849"/>
      <c r="AGM202" s="852" t="s">
        <v>416</v>
      </c>
      <c r="AGN202" s="853"/>
      <c r="AGO202" s="453"/>
      <c r="AGP202" s="78"/>
      <c r="AGQ202" s="78"/>
      <c r="AGR202" s="78"/>
      <c r="AGS202" s="78"/>
      <c r="AGT202" s="78"/>
      <c r="AGU202" s="78"/>
      <c r="AGV202" s="453"/>
      <c r="AGW202" s="76" t="s">
        <v>441</v>
      </c>
      <c r="AGX202" s="854" t="s">
        <v>435</v>
      </c>
      <c r="AGY202" s="855"/>
      <c r="AGZ202" s="920" t="s">
        <v>111</v>
      </c>
      <c r="AHA202" s="921"/>
      <c r="AHB202" s="916" t="s">
        <v>704</v>
      </c>
      <c r="AHC202" s="917"/>
      <c r="AHD202" s="906" t="s">
        <v>447</v>
      </c>
      <c r="AHE202" s="907"/>
      <c r="AHF202" s="907"/>
      <c r="AHG202" s="908"/>
      <c r="AHH202" s="1051" t="s">
        <v>436</v>
      </c>
      <c r="AHI202" s="1051"/>
      <c r="AHJ202" s="1051"/>
      <c r="AHK202" s="1051"/>
      <c r="AHL202" s="1051"/>
      <c r="AIW202" s="653"/>
      <c r="AIX202" s="653"/>
      <c r="AIY202" s="653"/>
      <c r="AIZ202" s="653"/>
      <c r="AJA202" s="653"/>
      <c r="AJB202" s="653"/>
      <c r="AJC202" s="653"/>
      <c r="AJD202" s="653"/>
      <c r="AJE202" s="653"/>
      <c r="AJF202" s="653"/>
      <c r="AJG202" s="653"/>
      <c r="AJH202" s="653"/>
      <c r="AJI202" s="653"/>
      <c r="AJJ202" s="653"/>
      <c r="AJK202" s="653"/>
      <c r="AJL202" s="653"/>
      <c r="AJM202" s="653"/>
      <c r="AJN202" s="653"/>
      <c r="AJO202" s="653"/>
      <c r="AJP202" s="653"/>
      <c r="AJQ202" s="653"/>
      <c r="AJR202" s="653"/>
      <c r="AJS202" s="653"/>
      <c r="AJT202" s="653"/>
      <c r="AJU202" s="653"/>
      <c r="AJV202" s="653"/>
      <c r="AJW202" s="653"/>
      <c r="AJX202" s="653"/>
      <c r="AJY202" s="653"/>
      <c r="AJZ202" s="653"/>
      <c r="AKA202" s="653"/>
      <c r="AKB202" s="653"/>
      <c r="AKC202" s="653"/>
      <c r="AKD202" s="653"/>
      <c r="AKE202" s="653"/>
      <c r="AKF202" s="653"/>
      <c r="AKG202" s="653"/>
      <c r="AKH202" s="653"/>
      <c r="AKI202" s="653"/>
      <c r="AKJ202" s="653"/>
      <c r="AKK202" s="653"/>
      <c r="AKL202" s="653"/>
      <c r="AKM202" s="653"/>
      <c r="AKN202" s="653"/>
      <c r="ARU202" s="377"/>
      <c r="ARV202" s="373"/>
      <c r="ARW202" s="54"/>
      <c r="ARX202" s="373"/>
      <c r="ARY202" s="849"/>
      <c r="ARZ202" s="852" t="s">
        <v>416</v>
      </c>
      <c r="ASA202" s="853"/>
      <c r="ASB202" s="687"/>
      <c r="ASC202" s="78"/>
      <c r="ASD202" s="78"/>
      <c r="ASE202" s="78"/>
      <c r="ASF202" s="78"/>
      <c r="ASG202" s="78"/>
      <c r="ASH202" s="78"/>
      <c r="ASI202" s="687"/>
      <c r="ASJ202" s="76" t="s">
        <v>441</v>
      </c>
      <c r="ASK202" s="854" t="s">
        <v>435</v>
      </c>
      <c r="ASL202" s="1111"/>
      <c r="ASM202" s="920" t="s">
        <v>111</v>
      </c>
      <c r="ASN202" s="921"/>
      <c r="ASO202" s="916" t="s">
        <v>704</v>
      </c>
      <c r="ASP202" s="917"/>
      <c r="ASQ202" s="906" t="s">
        <v>447</v>
      </c>
      <c r="ASR202" s="907"/>
      <c r="ASS202" s="907"/>
      <c r="AST202" s="908"/>
      <c r="ASU202" s="906" t="s">
        <v>863</v>
      </c>
      <c r="ASV202" s="907"/>
      <c r="ASW202" s="908"/>
      <c r="ASX202" s="373"/>
      <c r="ASY202" s="373"/>
      <c r="ASZ202" s="373"/>
      <c r="ATA202" s="373"/>
      <c r="ATB202" s="373"/>
      <c r="ATC202" s="373"/>
      <c r="ATD202" s="373"/>
      <c r="ATE202" s="373"/>
      <c r="ATF202" s="374"/>
    </row>
    <row r="203" spans="340:976 1165:1202" ht="48" customHeight="1">
      <c r="MD203" s="196"/>
      <c r="ME203" s="852" t="s">
        <v>836</v>
      </c>
      <c r="MF203" s="853"/>
      <c r="MG203" s="196"/>
      <c r="MH203" s="1069" t="s">
        <v>82</v>
      </c>
      <c r="MI203" s="1070"/>
      <c r="MJ203" s="1070"/>
      <c r="MK203" s="1070"/>
      <c r="ML203" s="1070"/>
      <c r="MM203" s="1070"/>
      <c r="MN203" s="1070"/>
      <c r="MO203" s="1070"/>
      <c r="MP203" s="1070"/>
      <c r="MQ203" s="1070"/>
      <c r="MR203" s="1071"/>
      <c r="MS203" s="196"/>
      <c r="NH203" s="653"/>
      <c r="PC203" s="130"/>
      <c r="PD203" s="130"/>
      <c r="PE203" s="130"/>
      <c r="PF203" s="130"/>
      <c r="PG203" s="130"/>
      <c r="PH203" s="130"/>
      <c r="PI203" s="130"/>
      <c r="PJ203" s="130"/>
      <c r="WE203" s="752">
        <v>33</v>
      </c>
      <c r="WF203" s="753"/>
      <c r="WG203" s="1127" t="s">
        <v>1468</v>
      </c>
      <c r="WH203" s="1127"/>
      <c r="WI203" s="1127"/>
      <c r="WJ203" s="1127"/>
      <c r="WK203" s="1128">
        <f>$AGZ$126</f>
        <v>17.205099098916754</v>
      </c>
      <c r="WL203" s="1129"/>
      <c r="WM203" s="168"/>
      <c r="WN203" s="168"/>
      <c r="WO203" s="168"/>
      <c r="WP203" s="168"/>
      <c r="WQ203" s="168"/>
      <c r="WR203" s="168"/>
      <c r="WS203" s="168"/>
      <c r="WT203" s="168"/>
      <c r="WU203" s="168"/>
      <c r="WV203" s="168"/>
      <c r="WW203" s="168"/>
      <c r="WX203" s="168"/>
      <c r="WY203" s="171"/>
      <c r="WZ203" s="752" t="s">
        <v>32</v>
      </c>
      <c r="XA203" s="753"/>
      <c r="XB203" s="167"/>
      <c r="XC203" s="168"/>
      <c r="XD203" s="168"/>
      <c r="XE203" s="168"/>
      <c r="XF203" s="171"/>
      <c r="XG203" s="1004">
        <f>XG200*((XG197^2+(XG195+$WK$203)^2)^0.5)/(XG192*$WK$203)</f>
        <v>18.734556634002548</v>
      </c>
      <c r="XH203" s="1004">
        <f>XH200*((XH197^2+(XH195+$WK$203)^2)^0.5)/(XH192*$WK$203)</f>
        <v>30.260190209907698</v>
      </c>
      <c r="XI203" s="1004">
        <f>XI200*((XI197^2+(XI195+$WK$203)^2)^0.5)/(XI192*$WK$203)</f>
        <v>42.642780216358048</v>
      </c>
      <c r="XJ203" s="1004">
        <f>XJ200*((XJ197^2+(XJ195+$WK$203)^2)^0.5)/(XJ192*$WK$203)</f>
        <v>54.974698832211523</v>
      </c>
      <c r="XK203" s="1004">
        <f t="shared" ref="XK203:ZV203" si="271">XK200*((XK197^2+(XK195+$WK$203)^2)^0.5)/(XK192*$WK$203)</f>
        <v>66.987603319728564</v>
      </c>
      <c r="XL203" s="1004">
        <f t="shared" si="271"/>
        <v>78.576801511763861</v>
      </c>
      <c r="XM203" s="1004">
        <f t="shared" si="271"/>
        <v>89.682311841714395</v>
      </c>
      <c r="XN203" s="1004">
        <f t="shared" si="271"/>
        <v>100.28161775960822</v>
      </c>
      <c r="XO203" s="1004">
        <f t="shared" si="271"/>
        <v>110.72193098423513</v>
      </c>
      <c r="XP203" s="1004">
        <f t="shared" si="271"/>
        <v>121.24237763533677</v>
      </c>
      <c r="XQ203" s="1004">
        <f t="shared" si="271"/>
        <v>130.93700247055489</v>
      </c>
      <c r="XR203" s="1004">
        <f t="shared" si="271"/>
        <v>141.5198240929908</v>
      </c>
      <c r="XS203" s="1004">
        <f t="shared" si="271"/>
        <v>151.64990215736219</v>
      </c>
      <c r="XT203" s="1004">
        <f t="shared" si="271"/>
        <v>158.18250455267435</v>
      </c>
      <c r="XU203" s="1004">
        <f t="shared" si="271"/>
        <v>168.55337445392624</v>
      </c>
      <c r="XV203" s="1004">
        <f t="shared" si="271"/>
        <v>179.05732985325895</v>
      </c>
      <c r="XW203" s="1004">
        <f t="shared" si="271"/>
        <v>188.26948200193456</v>
      </c>
      <c r="XX203" s="1004">
        <f t="shared" si="271"/>
        <v>196.8540825081383</v>
      </c>
      <c r="XY203" s="1004">
        <f t="shared" si="271"/>
        <v>204.86254591913351</v>
      </c>
      <c r="XZ203" s="1004">
        <f t="shared" si="271"/>
        <v>212.31272963244311</v>
      </c>
      <c r="YA203" s="1004">
        <f t="shared" si="271"/>
        <v>213.27681166661591</v>
      </c>
      <c r="YB203" s="1004">
        <f t="shared" si="271"/>
        <v>221.29282521982776</v>
      </c>
      <c r="YC203" s="1004">
        <f t="shared" si="271"/>
        <v>228.61965167938067</v>
      </c>
      <c r="YD203" s="1004">
        <f t="shared" si="271"/>
        <v>234.51822059154185</v>
      </c>
      <c r="YE203" s="1004">
        <f t="shared" si="271"/>
        <v>240.90045325947713</v>
      </c>
      <c r="YF203" s="1004">
        <f t="shared" si="271"/>
        <v>245.99141556998796</v>
      </c>
      <c r="YG203" s="1004">
        <f t="shared" si="271"/>
        <v>251.22972408586625</v>
      </c>
      <c r="YH203" s="1004">
        <f t="shared" si="271"/>
        <v>255.53556949821086</v>
      </c>
      <c r="YI203" s="1004">
        <f t="shared" si="271"/>
        <v>259.52146866085303</v>
      </c>
      <c r="YJ203" s="1004">
        <f t="shared" si="271"/>
        <v>263.62537581127134</v>
      </c>
      <c r="YK203" s="1004">
        <f t="shared" si="271"/>
        <v>267.02299263738854</v>
      </c>
      <c r="YL203" s="1004">
        <f t="shared" si="271"/>
        <v>269.87743810236549</v>
      </c>
      <c r="YM203" s="1004">
        <f t="shared" si="271"/>
        <v>272.81436365339391</v>
      </c>
      <c r="YN203" s="1004">
        <f t="shared" si="271"/>
        <v>275.55591964217149</v>
      </c>
      <c r="YO203" s="1004">
        <f t="shared" si="271"/>
        <v>277.79293661565123</v>
      </c>
      <c r="YP203" s="1004">
        <f t="shared" si="271"/>
        <v>280.19030064655522</v>
      </c>
      <c r="YQ203" s="1004">
        <f t="shared" si="271"/>
        <v>282.10200092218975</v>
      </c>
      <c r="YR203" s="1004">
        <f t="shared" si="271"/>
        <v>283.86964823125214</v>
      </c>
      <c r="YS203" s="1004">
        <f t="shared" si="271"/>
        <v>285.85829350562688</v>
      </c>
      <c r="YT203" s="1004">
        <f t="shared" si="271"/>
        <v>287.19564568755612</v>
      </c>
      <c r="YU203" s="1004">
        <f t="shared" si="271"/>
        <v>288.62301637038172</v>
      </c>
      <c r="YV203" s="1004">
        <f t="shared" si="271"/>
        <v>290.31531008087325</v>
      </c>
      <c r="YW203" s="1004">
        <f t="shared" si="271"/>
        <v>291.55498157180239</v>
      </c>
      <c r="YX203" s="1004">
        <f t="shared" si="271"/>
        <v>292.56891770118921</v>
      </c>
      <c r="YY203" s="1004">
        <f t="shared" si="271"/>
        <v>293.65676154284142</v>
      </c>
      <c r="YZ203" s="1004">
        <f t="shared" si="271"/>
        <v>294.92809702323206</v>
      </c>
      <c r="ZA203" s="1004">
        <f t="shared" si="271"/>
        <v>295.89080419467575</v>
      </c>
      <c r="ZB203" s="1004">
        <f t="shared" si="271"/>
        <v>296.79241692593411</v>
      </c>
      <c r="ZC203" s="1004">
        <f t="shared" si="271"/>
        <v>297.53366429627579</v>
      </c>
      <c r="ZD203" s="1004">
        <f t="shared" si="271"/>
        <v>298.33381754484122</v>
      </c>
      <c r="ZE203" s="1004">
        <f t="shared" si="271"/>
        <v>299.38690150349254</v>
      </c>
      <c r="ZF203" s="1004">
        <f t="shared" si="271"/>
        <v>300.01404138996907</v>
      </c>
      <c r="ZG203" s="1004">
        <f t="shared" si="271"/>
        <v>300.6934888475983</v>
      </c>
      <c r="ZH203" s="1004">
        <f t="shared" si="271"/>
        <v>301.25443180549314</v>
      </c>
      <c r="ZI203" s="1004">
        <f t="shared" si="271"/>
        <v>301.86340046403933</v>
      </c>
      <c r="ZJ203" s="1004">
        <f t="shared" si="271"/>
        <v>302.36704365076798</v>
      </c>
      <c r="ZK203" s="1004">
        <f t="shared" si="271"/>
        <v>302.8465384389479</v>
      </c>
      <c r="ZL203" s="1004">
        <f t="shared" si="271"/>
        <v>303.77689163947491</v>
      </c>
      <c r="ZM203" s="1004">
        <f t="shared" si="271"/>
        <v>304.21142528917852</v>
      </c>
      <c r="ZN203" s="1004">
        <f t="shared" si="271"/>
        <v>304.62611733805181</v>
      </c>
      <c r="ZO203" s="1004">
        <f t="shared" si="271"/>
        <v>305.02216266060077</v>
      </c>
      <c r="ZP203" s="1004">
        <f t="shared" si="271"/>
        <v>305.45506486973744</v>
      </c>
      <c r="ZQ203" s="1004">
        <f t="shared" si="271"/>
        <v>305.81480881165248</v>
      </c>
      <c r="ZR203" s="1004">
        <f t="shared" si="271"/>
        <v>306.15911634634585</v>
      </c>
      <c r="ZS203" s="1004">
        <f t="shared" si="271"/>
        <v>306.48886647270763</v>
      </c>
      <c r="ZT203" s="1004">
        <f t="shared" si="271"/>
        <v>306.80487704747054</v>
      </c>
      <c r="ZU203" s="1004">
        <f t="shared" si="271"/>
        <v>307.15173425990821</v>
      </c>
      <c r="ZV203" s="1004">
        <f t="shared" si="271"/>
        <v>307.44080382087168</v>
      </c>
      <c r="ZW203" s="1004">
        <f t="shared" ref="ZW203:AAS203" si="272">ZW200*((ZW197^2+(ZW195+$WK$203)^2)^0.5)/(ZW192*$WK$203)</f>
        <v>307.71835373555535</v>
      </c>
      <c r="ZX203" s="1004">
        <f t="shared" si="272"/>
        <v>307.9849971957513</v>
      </c>
      <c r="ZY203" s="1004">
        <f t="shared" si="272"/>
        <v>308.66606996140871</v>
      </c>
      <c r="ZZ203" s="1004">
        <f t="shared" si="272"/>
        <v>308.91360500128678</v>
      </c>
      <c r="AAA203" s="1004">
        <f t="shared" si="272"/>
        <v>309.15180761057672</v>
      </c>
      <c r="AAB203" s="1004">
        <f t="shared" si="272"/>
        <v>309.38114972839429</v>
      </c>
      <c r="AAC203" s="1004">
        <f t="shared" si="272"/>
        <v>309.60207386716655</v>
      </c>
      <c r="AAD203" s="1004">
        <f t="shared" si="272"/>
        <v>309.81499526698042</v>
      </c>
      <c r="AAE203" s="1004">
        <f t="shared" si="272"/>
        <v>310.02030387063934</v>
      </c>
      <c r="AAF203" s="1004">
        <f t="shared" si="272"/>
        <v>310.21836613599999</v>
      </c>
      <c r="AAG203" s="1004">
        <f t="shared" si="272"/>
        <v>310.40952670048642</v>
      </c>
      <c r="AAH203" s="1004">
        <f t="shared" si="272"/>
        <v>310.59410991119614</v>
      </c>
      <c r="AAI203" s="1004">
        <f t="shared" si="272"/>
        <v>310.77242123267621</v>
      </c>
      <c r="AAJ203" s="1004">
        <f t="shared" si="272"/>
        <v>310.94474854326631</v>
      </c>
      <c r="AAK203" s="1004">
        <f t="shared" si="272"/>
        <v>311.11136332983892</v>
      </c>
      <c r="AAL203" s="1004">
        <f t="shared" si="272"/>
        <v>311.27252178982121</v>
      </c>
      <c r="AAM203" s="1004">
        <f t="shared" si="272"/>
        <v>311.42846584852828</v>
      </c>
      <c r="AAN203" s="1004">
        <f t="shared" si="272"/>
        <v>311.5794240990773</v>
      </c>
      <c r="AAO203" s="1004">
        <f t="shared" si="272"/>
        <v>311.72561267146682</v>
      </c>
      <c r="AAP203" s="1004">
        <f t="shared" si="272"/>
        <v>311.86723603678803</v>
      </c>
      <c r="AAQ203" s="1004">
        <f t="shared" si="272"/>
        <v>311.9840512473196</v>
      </c>
      <c r="AAR203" s="1004">
        <f t="shared" si="272"/>
        <v>312.11772991087122</v>
      </c>
      <c r="AAS203" s="1004">
        <f t="shared" si="272"/>
        <v>312.2473694289946</v>
      </c>
      <c r="AAT203" s="1005">
        <v>33</v>
      </c>
      <c r="AAU203" s="958"/>
      <c r="AAV203" s="1058"/>
      <c r="AAW203" s="1058"/>
      <c r="AAX203" s="1058"/>
      <c r="AAY203" s="1058"/>
      <c r="AAZ203" s="1058"/>
      <c r="ABA203" s="1058"/>
      <c r="ABB203" s="1058"/>
      <c r="ABC203" s="1058"/>
      <c r="ABD203" s="1058"/>
      <c r="ABE203" s="1058"/>
      <c r="ABF203" s="959"/>
      <c r="ABG203" s="158"/>
      <c r="ABH203" s="158"/>
      <c r="ABI203" s="158"/>
      <c r="ABJ203" s="158"/>
      <c r="ABK203" s="158"/>
      <c r="ABL203" s="158"/>
      <c r="ABM203" s="158"/>
      <c r="ABN203" s="158"/>
      <c r="ABO203" s="158"/>
      <c r="ABP203" s="163"/>
      <c r="ABS203" s="653"/>
      <c r="ABT203" s="653"/>
      <c r="ABU203" s="653"/>
      <c r="ABV203" s="653"/>
      <c r="ABW203" s="653"/>
      <c r="ABX203" s="653"/>
      <c r="ABY203" s="653"/>
      <c r="ABZ203" s="653"/>
      <c r="ACA203" s="653"/>
      <c r="ACB203" s="653"/>
      <c r="ACC203" s="653"/>
      <c r="ACD203" s="653"/>
      <c r="ACE203" s="653"/>
      <c r="ACF203" s="653"/>
      <c r="ACG203" s="653"/>
      <c r="ACH203" s="653"/>
      <c r="ACI203" s="653"/>
      <c r="ACJ203" s="759">
        <v>-3.125E-2</v>
      </c>
      <c r="ACK203" s="760"/>
      <c r="ACL203" s="759">
        <v>1</v>
      </c>
      <c r="ACM203" s="760"/>
      <c r="ACN203" s="591">
        <v>50</v>
      </c>
      <c r="ACO203" s="759">
        <f t="shared" si="248"/>
        <v>0.98750000000000004</v>
      </c>
      <c r="ACP203" s="760"/>
      <c r="ACQ203" s="757">
        <f t="shared" si="195"/>
        <v>0.4</v>
      </c>
      <c r="ACR203" s="758"/>
      <c r="ACT203" s="759">
        <v>-3.125E-2</v>
      </c>
      <c r="ACU203" s="760"/>
      <c r="ACV203" s="759">
        <v>1</v>
      </c>
      <c r="ACW203" s="760"/>
      <c r="ACX203" s="591">
        <v>100</v>
      </c>
      <c r="ACY203" s="759">
        <f t="shared" si="196"/>
        <v>0.97499999999999998</v>
      </c>
      <c r="ACZ203" s="760"/>
      <c r="ADA203" s="757">
        <f t="shared" si="197"/>
        <v>0.8</v>
      </c>
      <c r="ADB203" s="758"/>
      <c r="ADD203" s="759">
        <v>-0.14285714285714299</v>
      </c>
      <c r="ADE203" s="760"/>
      <c r="ADF203" s="759">
        <v>1.1071428571428601</v>
      </c>
      <c r="ADG203" s="760"/>
      <c r="ADH203" s="591">
        <v>150</v>
      </c>
      <c r="ADI203" s="759">
        <f t="shared" si="198"/>
        <v>0.9357142857142885</v>
      </c>
      <c r="ADJ203" s="760"/>
      <c r="ADK203" s="757">
        <f t="shared" si="199"/>
        <v>1.2</v>
      </c>
      <c r="ADL203" s="758"/>
      <c r="ADN203" s="759">
        <v>-0.2</v>
      </c>
      <c r="ADO203" s="760"/>
      <c r="ADP203" s="759">
        <v>1.19</v>
      </c>
      <c r="ADQ203" s="760"/>
      <c r="ADR203" s="591">
        <v>200</v>
      </c>
      <c r="ADS203" s="759">
        <f t="shared" si="200"/>
        <v>0.86999999999999988</v>
      </c>
      <c r="ADT203" s="760"/>
      <c r="ADU203" s="757">
        <f t="shared" si="201"/>
        <v>1.6</v>
      </c>
      <c r="ADV203" s="758"/>
      <c r="ADX203" s="759">
        <v>-0.33333333333333259</v>
      </c>
      <c r="ADY203" s="760"/>
      <c r="ADZ203" s="759">
        <v>1.4166666666666654</v>
      </c>
      <c r="AEA203" s="760"/>
      <c r="AEB203" s="592">
        <v>250</v>
      </c>
      <c r="AEC203" s="759">
        <f t="shared" si="202"/>
        <v>0.75000000000000022</v>
      </c>
      <c r="AED203" s="760"/>
      <c r="AEE203" s="757">
        <f t="shared" si="203"/>
        <v>2</v>
      </c>
      <c r="AEF203" s="758"/>
      <c r="AEH203" s="759">
        <v>-0.25</v>
      </c>
      <c r="AEI203" s="760"/>
      <c r="AEJ203" s="759">
        <v>1.2250000000000001</v>
      </c>
      <c r="AEK203" s="760"/>
      <c r="AEL203" s="591">
        <v>300</v>
      </c>
      <c r="AEM203" s="759">
        <f t="shared" si="204"/>
        <v>0.62500000000000011</v>
      </c>
      <c r="AEN203" s="760"/>
      <c r="AEO203" s="757">
        <f t="shared" si="205"/>
        <v>2.4</v>
      </c>
      <c r="AEP203" s="758"/>
      <c r="AEQ203" s="653"/>
      <c r="AER203" s="759">
        <v>-0.1</v>
      </c>
      <c r="AES203" s="760"/>
      <c r="AET203" s="759">
        <v>0.82</v>
      </c>
      <c r="AEU203" s="760"/>
      <c r="AEV203" s="591">
        <v>350</v>
      </c>
      <c r="AEW203" s="759">
        <f t="shared" si="206"/>
        <v>0.53999999999999992</v>
      </c>
      <c r="AEX203" s="760"/>
      <c r="AEY203" s="757">
        <f t="shared" si="207"/>
        <v>2.8000000000000003</v>
      </c>
      <c r="AEZ203" s="758"/>
      <c r="AFA203" s="653"/>
      <c r="AFB203" s="759">
        <v>-0.1</v>
      </c>
      <c r="AFC203" s="760"/>
      <c r="AFD203" s="759">
        <v>0.82</v>
      </c>
      <c r="AFE203" s="760"/>
      <c r="AFF203" s="591">
        <v>400</v>
      </c>
      <c r="AFG203" s="759">
        <f t="shared" si="208"/>
        <v>0.49999999999999989</v>
      </c>
      <c r="AFH203" s="760"/>
      <c r="AFI203" s="757">
        <f t="shared" si="209"/>
        <v>3.2</v>
      </c>
      <c r="AFJ203" s="758"/>
      <c r="AFK203" s="653"/>
      <c r="AFL203" s="759">
        <v>-0.125</v>
      </c>
      <c r="AFM203" s="760"/>
      <c r="AFN203" s="759">
        <v>0.875</v>
      </c>
      <c r="AFO203" s="760"/>
      <c r="AFP203" s="591">
        <v>450</v>
      </c>
      <c r="AFQ203" s="759">
        <f t="shared" si="210"/>
        <v>0.42499999999999999</v>
      </c>
      <c r="AFR203" s="760"/>
      <c r="AFS203" s="757">
        <f t="shared" si="211"/>
        <v>3.6</v>
      </c>
      <c r="AFT203" s="758"/>
      <c r="AFU203" s="653"/>
      <c r="AFV203" s="759">
        <v>-6.25E-2</v>
      </c>
      <c r="AFW203" s="760"/>
      <c r="AFX203" s="759">
        <v>0.63749999999999996</v>
      </c>
      <c r="AFY203" s="760"/>
      <c r="AFZ203" s="592">
        <v>500</v>
      </c>
      <c r="AGA203" s="759">
        <f t="shared" si="212"/>
        <v>0.38749999999999996</v>
      </c>
      <c r="AGB203" s="760"/>
      <c r="AGC203" s="757">
        <f t="shared" si="213"/>
        <v>4</v>
      </c>
      <c r="AGD203" s="758"/>
      <c r="AGE203" s="653"/>
      <c r="AGF203" s="653"/>
      <c r="AGG203" s="653"/>
      <c r="AGH203" s="653"/>
      <c r="AGI203" s="653"/>
      <c r="AGJ203" s="653"/>
      <c r="AGL203" s="850"/>
      <c r="AGM203" s="800" t="s">
        <v>1061</v>
      </c>
      <c r="AGN203" s="801"/>
      <c r="AGO203" s="761">
        <f>$EQ$45</f>
        <v>4</v>
      </c>
      <c r="AGP203" s="761"/>
      <c r="AGQ203" s="1198" t="s">
        <v>1506</v>
      </c>
      <c r="AGR203" s="797"/>
      <c r="AGS203" s="797"/>
      <c r="AGT203" s="797"/>
      <c r="AGU203" s="797"/>
      <c r="AGV203" s="797"/>
      <c r="AGW203" s="797"/>
      <c r="AGX203" s="797"/>
      <c r="AGY203" s="798"/>
      <c r="AGZ203" s="835">
        <f>(AGO204-AGO203)/2</f>
        <v>2.460047089222364</v>
      </c>
      <c r="AHA203" s="836"/>
      <c r="AHB203" s="1322"/>
      <c r="AHC203" s="840"/>
      <c r="AHD203" s="1066"/>
      <c r="AHE203" s="893" t="s">
        <v>1505</v>
      </c>
      <c r="AHF203" s="894"/>
      <c r="AHG203" s="847"/>
      <c r="AHH203" s="1052"/>
      <c r="AHI203" s="1052"/>
      <c r="AHJ203" s="1052"/>
      <c r="AHK203" s="1052"/>
      <c r="AHL203" s="1052"/>
      <c r="AIW203" s="653"/>
      <c r="AIX203" s="653"/>
      <c r="AIY203" s="653"/>
      <c r="AIZ203" s="653"/>
      <c r="AJA203" s="653"/>
      <c r="AJB203" s="653"/>
      <c r="AJC203" s="653"/>
      <c r="AJD203" s="653"/>
      <c r="AJE203" s="653"/>
      <c r="AJF203" s="653"/>
      <c r="AJG203" s="653"/>
      <c r="AJH203" s="653"/>
      <c r="AJI203" s="653"/>
      <c r="AJJ203" s="653"/>
      <c r="AJK203" s="653"/>
      <c r="AJL203" s="653"/>
      <c r="AJM203" s="653"/>
      <c r="AJN203" s="653"/>
      <c r="AJO203" s="653"/>
      <c r="AJP203" s="653"/>
      <c r="AJQ203" s="653"/>
      <c r="AJR203" s="653"/>
      <c r="AJS203" s="653"/>
      <c r="AJT203" s="653"/>
      <c r="AJU203" s="653"/>
      <c r="AJV203" s="653"/>
      <c r="AJW203" s="653"/>
      <c r="AJX203" s="653"/>
      <c r="AJY203" s="653"/>
      <c r="AJZ203" s="653"/>
      <c r="AKA203" s="653"/>
      <c r="AKB203" s="653"/>
      <c r="AKC203" s="653"/>
      <c r="AKD203" s="653"/>
      <c r="AKE203" s="653"/>
      <c r="AKF203" s="653"/>
      <c r="AKG203" s="653"/>
      <c r="AKH203" s="653"/>
      <c r="AKI203" s="653"/>
      <c r="AKJ203" s="653"/>
      <c r="AKK203" s="653"/>
      <c r="AKL203" s="653"/>
      <c r="AKM203" s="653"/>
      <c r="AKN203" s="653"/>
      <c r="ARU203" s="377"/>
      <c r="ARV203" s="373"/>
      <c r="ARW203" s="54"/>
      <c r="ARX203" s="382" t="s">
        <v>1298</v>
      </c>
      <c r="ARY203" s="850"/>
      <c r="ARZ203" s="809"/>
      <c r="ASA203" s="797"/>
      <c r="ASB203" s="797"/>
      <c r="ASC203" s="797"/>
      <c r="ASD203" s="797"/>
      <c r="ASE203" s="797"/>
      <c r="ASF203" s="797"/>
      <c r="ASG203" s="797"/>
      <c r="ASH203" s="797"/>
      <c r="ASI203" s="797"/>
      <c r="ASJ203" s="797"/>
      <c r="ASK203" s="797"/>
      <c r="ASL203" s="797"/>
      <c r="ASM203" s="835"/>
      <c r="ASN203" s="836"/>
      <c r="ASO203" s="809"/>
      <c r="ASP203" s="797"/>
      <c r="ASQ203" s="1066"/>
      <c r="ASR203" s="893" t="s">
        <v>904</v>
      </c>
      <c r="ASS203" s="894"/>
      <c r="AST203" s="847"/>
      <c r="ASU203" s="1203" t="s">
        <v>862</v>
      </c>
      <c r="ASV203" s="1275"/>
      <c r="ASW203" s="1204"/>
      <c r="ASX203" s="373"/>
      <c r="ASY203" s="373"/>
      <c r="ASZ203" s="373"/>
      <c r="ATA203" s="373"/>
      <c r="ATB203" s="373"/>
      <c r="ATC203" s="373"/>
      <c r="ATD203" s="373"/>
      <c r="ATE203" s="373"/>
      <c r="ATF203" s="374"/>
    </row>
    <row r="204" spans="340:976 1165:1202" ht="48" customHeight="1" thickBot="1">
      <c r="PC204" s="130"/>
      <c r="PD204" s="130"/>
      <c r="PE204" s="130"/>
      <c r="PF204" s="130"/>
      <c r="PG204" s="130"/>
      <c r="PH204" s="130"/>
      <c r="PI204" s="130"/>
      <c r="PJ204" s="130"/>
      <c r="WE204" s="996"/>
      <c r="WF204" s="997"/>
      <c r="WG204" s="167"/>
      <c r="WH204" s="168"/>
      <c r="WI204" s="168"/>
      <c r="WJ204" s="168"/>
      <c r="WK204" s="168"/>
      <c r="WL204" s="168"/>
      <c r="WM204" s="173"/>
      <c r="WN204" s="173"/>
      <c r="WO204" s="173"/>
      <c r="WP204" s="173"/>
      <c r="WQ204" s="173"/>
      <c r="WR204" s="173"/>
      <c r="WS204" s="173"/>
      <c r="WT204" s="173"/>
      <c r="WU204" s="173"/>
      <c r="WV204" s="173"/>
      <c r="WW204" s="173"/>
      <c r="WX204" s="173"/>
      <c r="WY204" s="174"/>
      <c r="WZ204" s="996"/>
      <c r="XA204" s="997"/>
      <c r="XB204" s="175"/>
      <c r="XC204" s="173"/>
      <c r="XD204" s="173"/>
      <c r="XE204" s="173"/>
      <c r="XF204" s="174"/>
      <c r="XG204" s="1004"/>
      <c r="XH204" s="1004"/>
      <c r="XI204" s="1004"/>
      <c r="XJ204" s="1004"/>
      <c r="XK204" s="1004"/>
      <c r="XL204" s="1004"/>
      <c r="XM204" s="1004"/>
      <c r="XN204" s="1004"/>
      <c r="XO204" s="1004"/>
      <c r="XP204" s="1004"/>
      <c r="XQ204" s="1004"/>
      <c r="XR204" s="1004"/>
      <c r="XS204" s="1004"/>
      <c r="XT204" s="1004"/>
      <c r="XU204" s="1004"/>
      <c r="XV204" s="1004"/>
      <c r="XW204" s="1004"/>
      <c r="XX204" s="1004"/>
      <c r="XY204" s="1004"/>
      <c r="XZ204" s="1004"/>
      <c r="YA204" s="1004"/>
      <c r="YB204" s="1004"/>
      <c r="YC204" s="1004"/>
      <c r="YD204" s="1004"/>
      <c r="YE204" s="1004"/>
      <c r="YF204" s="1004"/>
      <c r="YG204" s="1004"/>
      <c r="YH204" s="1004"/>
      <c r="YI204" s="1004"/>
      <c r="YJ204" s="1004"/>
      <c r="YK204" s="1004"/>
      <c r="YL204" s="1004"/>
      <c r="YM204" s="1004"/>
      <c r="YN204" s="1004"/>
      <c r="YO204" s="1004"/>
      <c r="YP204" s="1004"/>
      <c r="YQ204" s="1004"/>
      <c r="YR204" s="1004"/>
      <c r="YS204" s="1004"/>
      <c r="YT204" s="1004"/>
      <c r="YU204" s="1004"/>
      <c r="YV204" s="1004"/>
      <c r="YW204" s="1004"/>
      <c r="YX204" s="1004"/>
      <c r="YY204" s="1004"/>
      <c r="YZ204" s="1004"/>
      <c r="ZA204" s="1004"/>
      <c r="ZB204" s="1004"/>
      <c r="ZC204" s="1004"/>
      <c r="ZD204" s="1004"/>
      <c r="ZE204" s="1004"/>
      <c r="ZF204" s="1004"/>
      <c r="ZG204" s="1004"/>
      <c r="ZH204" s="1004"/>
      <c r="ZI204" s="1004"/>
      <c r="ZJ204" s="1004"/>
      <c r="ZK204" s="1004"/>
      <c r="ZL204" s="1004"/>
      <c r="ZM204" s="1004"/>
      <c r="ZN204" s="1004"/>
      <c r="ZO204" s="1004"/>
      <c r="ZP204" s="1004"/>
      <c r="ZQ204" s="1004"/>
      <c r="ZR204" s="1004"/>
      <c r="ZS204" s="1004"/>
      <c r="ZT204" s="1004"/>
      <c r="ZU204" s="1004"/>
      <c r="ZV204" s="1004"/>
      <c r="ZW204" s="1004"/>
      <c r="ZX204" s="1004"/>
      <c r="ZY204" s="1004"/>
      <c r="ZZ204" s="1004"/>
      <c r="AAA204" s="1004"/>
      <c r="AAB204" s="1004"/>
      <c r="AAC204" s="1004"/>
      <c r="AAD204" s="1004"/>
      <c r="AAE204" s="1004"/>
      <c r="AAF204" s="1004"/>
      <c r="AAG204" s="1004"/>
      <c r="AAH204" s="1004"/>
      <c r="AAI204" s="1004"/>
      <c r="AAJ204" s="1004"/>
      <c r="AAK204" s="1004"/>
      <c r="AAL204" s="1004"/>
      <c r="AAM204" s="1004"/>
      <c r="AAN204" s="1004"/>
      <c r="AAO204" s="1004"/>
      <c r="AAP204" s="1004"/>
      <c r="AAQ204" s="1004"/>
      <c r="AAR204" s="1004"/>
      <c r="AAS204" s="1004"/>
      <c r="AAT204" s="1006"/>
      <c r="AAU204" s="960"/>
      <c r="AAV204" s="1101"/>
      <c r="AAW204" s="1101"/>
      <c r="AAX204" s="1101"/>
      <c r="AAY204" s="1101"/>
      <c r="AAZ204" s="1101"/>
      <c r="ABA204" s="1101"/>
      <c r="ABB204" s="1101"/>
      <c r="ABC204" s="1101"/>
      <c r="ABD204" s="1101"/>
      <c r="ABE204" s="1101"/>
      <c r="ABF204" s="961"/>
      <c r="ABG204" s="158"/>
      <c r="ABH204" s="158"/>
      <c r="ABI204" s="158"/>
      <c r="ABJ204" s="158"/>
      <c r="ABK204" s="158"/>
      <c r="ABL204" s="158"/>
      <c r="ABM204" s="158"/>
      <c r="ABN204" s="158"/>
      <c r="ABO204" s="158"/>
      <c r="ABP204" s="163"/>
      <c r="ABS204" s="653"/>
      <c r="ABT204" s="653"/>
      <c r="ABU204" s="653"/>
      <c r="ABV204" s="653"/>
      <c r="ABW204" s="653"/>
      <c r="ABX204" s="653"/>
      <c r="ABY204" s="653"/>
      <c r="ABZ204" s="653"/>
      <c r="ACA204" s="653"/>
      <c r="ACB204" s="653"/>
      <c r="ACC204" s="653"/>
      <c r="ACD204" s="653"/>
      <c r="ACE204" s="653"/>
      <c r="ACF204" s="653"/>
      <c r="ACG204" s="653"/>
      <c r="ACH204" s="653"/>
      <c r="ACI204" s="653"/>
      <c r="ACJ204" s="653"/>
      <c r="ACK204" s="653"/>
      <c r="ACL204" s="653"/>
      <c r="ACM204" s="653"/>
      <c r="ACN204" s="653"/>
      <c r="ACO204" s="653"/>
      <c r="ACP204" s="653"/>
      <c r="ACQ204" s="653"/>
      <c r="ACR204" s="653"/>
      <c r="ACS204" s="653"/>
      <c r="ACT204" s="653"/>
      <c r="ACU204" s="653"/>
      <c r="ACV204" s="653"/>
      <c r="ACW204" s="653"/>
      <c r="ACX204" s="653"/>
      <c r="ACY204" s="653"/>
      <c r="ACZ204" s="653"/>
      <c r="ADA204" s="653"/>
      <c r="ADB204" s="653"/>
      <c r="ADC204" s="653"/>
      <c r="ADD204" s="653"/>
      <c r="ADE204" s="653"/>
      <c r="ADF204" s="653"/>
      <c r="ADG204" s="653"/>
      <c r="ADH204" s="653"/>
      <c r="ADI204" s="653"/>
      <c r="ADJ204" s="653"/>
      <c r="ADK204" s="653"/>
      <c r="ADL204" s="653"/>
      <c r="ADM204" s="653"/>
      <c r="ADN204" s="653"/>
      <c r="ADO204" s="653"/>
      <c r="ADP204" s="653"/>
      <c r="ADQ204" s="653"/>
      <c r="ADR204" s="653"/>
      <c r="ADS204" s="653"/>
      <c r="ADT204" s="653"/>
      <c r="ADU204" s="653"/>
      <c r="ADV204" s="653"/>
      <c r="ADW204" s="653"/>
      <c r="ADX204" s="653"/>
      <c r="ADY204" s="653"/>
      <c r="ADZ204" s="653"/>
      <c r="AEA204" s="653"/>
      <c r="AEB204" s="653"/>
      <c r="AEC204" s="653"/>
      <c r="AGL204" s="851"/>
      <c r="AGM204" s="802" t="s">
        <v>1054</v>
      </c>
      <c r="AGN204" s="803"/>
      <c r="AGO204" s="1333">
        <f>$EN$62</f>
        <v>8.9200941784447281</v>
      </c>
      <c r="AGP204" s="1334"/>
      <c r="AGQ204" s="778"/>
      <c r="AGR204" s="778"/>
      <c r="AGS204" s="778"/>
      <c r="AGT204" s="778"/>
      <c r="AGU204" s="778"/>
      <c r="AGV204" s="778"/>
      <c r="AGW204" s="778"/>
      <c r="AGX204" s="778"/>
      <c r="AGY204" s="799"/>
      <c r="AGZ204" s="837"/>
      <c r="AHA204" s="838"/>
      <c r="AHB204" s="778"/>
      <c r="AHC204" s="799"/>
      <c r="AHD204" s="1067"/>
      <c r="AHE204" s="918"/>
      <c r="AHF204" s="919"/>
      <c r="AHG204" s="848"/>
      <c r="AHH204" s="1053"/>
      <c r="AHI204" s="1053"/>
      <c r="AHJ204" s="1053"/>
      <c r="AHK204" s="1053"/>
      <c r="AHL204" s="1053"/>
      <c r="ARU204" s="377"/>
      <c r="ARV204" s="373"/>
      <c r="ARW204" s="373"/>
      <c r="ARX204" s="373"/>
      <c r="ARY204" s="851"/>
      <c r="ARZ204" s="777"/>
      <c r="ASA204" s="778"/>
      <c r="ASB204" s="778"/>
      <c r="ASC204" s="778"/>
      <c r="ASD204" s="778"/>
      <c r="ASE204" s="778"/>
      <c r="ASF204" s="778"/>
      <c r="ASG204" s="778"/>
      <c r="ASH204" s="778"/>
      <c r="ASI204" s="778"/>
      <c r="ASJ204" s="778"/>
      <c r="ASK204" s="778"/>
      <c r="ASL204" s="778"/>
      <c r="ASM204" s="837"/>
      <c r="ASN204" s="838"/>
      <c r="ASO204" s="777"/>
      <c r="ASP204" s="778"/>
      <c r="ASQ204" s="1067"/>
      <c r="ASR204" s="918"/>
      <c r="ASS204" s="919"/>
      <c r="AST204" s="848"/>
      <c r="ASU204" s="1276"/>
      <c r="ASV204" s="1277"/>
      <c r="ASW204" s="1278"/>
      <c r="ASX204" s="373"/>
      <c r="ASY204" s="373"/>
      <c r="ASZ204" s="373"/>
      <c r="ATA204" s="373"/>
      <c r="ATB204" s="373"/>
      <c r="ATC204" s="373"/>
      <c r="ATD204" s="373"/>
      <c r="ATE204" s="373"/>
      <c r="ATF204" s="374"/>
    </row>
    <row r="205" spans="340:976 1165:1202" ht="48" customHeight="1" thickBot="1">
      <c r="MB205" s="849"/>
      <c r="MC205" s="852" t="s">
        <v>416</v>
      </c>
      <c r="MD205" s="853"/>
      <c r="ME205" s="344"/>
      <c r="MF205" s="861" t="s">
        <v>1264</v>
      </c>
      <c r="MG205" s="861"/>
      <c r="MH205" s="937">
        <f>$MQ$212</f>
        <v>2.5479278737632125</v>
      </c>
      <c r="MI205" s="937"/>
      <c r="MJ205" s="78"/>
      <c r="MK205" s="78"/>
      <c r="ML205" s="344"/>
      <c r="MM205" s="76" t="s">
        <v>441</v>
      </c>
      <c r="MN205" s="854" t="s">
        <v>435</v>
      </c>
      <c r="MO205" s="855"/>
      <c r="MP205" s="924" t="s">
        <v>111</v>
      </c>
      <c r="MQ205" s="925"/>
      <c r="MR205" s="916" t="s">
        <v>704</v>
      </c>
      <c r="MS205" s="917"/>
      <c r="MT205" s="906" t="s">
        <v>447</v>
      </c>
      <c r="MU205" s="907"/>
      <c r="MV205" s="907"/>
      <c r="MW205" s="908"/>
      <c r="MX205" s="1051" t="s">
        <v>436</v>
      </c>
      <c r="MY205" s="1051"/>
      <c r="MZ205" s="1051"/>
      <c r="NA205" s="1051"/>
      <c r="NB205" s="1051"/>
      <c r="NC205" s="1051"/>
      <c r="ND205" s="1051"/>
      <c r="NE205" s="1051"/>
      <c r="NF205" s="1051"/>
      <c r="NG205" s="1051"/>
      <c r="PC205" s="130"/>
      <c r="PD205" s="130"/>
      <c r="PE205" s="130"/>
      <c r="PF205" s="130"/>
      <c r="PG205" s="130"/>
      <c r="PH205" s="130"/>
      <c r="PI205" s="130"/>
      <c r="WE205" s="754"/>
      <c r="WF205" s="755"/>
      <c r="WG205" s="169"/>
      <c r="WH205" s="170"/>
      <c r="WI205" s="170"/>
      <c r="WJ205" s="170"/>
      <c r="WK205" s="170"/>
      <c r="WL205" s="170"/>
      <c r="WM205" s="170"/>
      <c r="WN205" s="170"/>
      <c r="WO205" s="170"/>
      <c r="WP205" s="170"/>
      <c r="WQ205" s="170"/>
      <c r="WR205" s="170"/>
      <c r="WS205" s="170"/>
      <c r="WT205" s="170"/>
      <c r="WU205" s="170"/>
      <c r="WV205" s="170"/>
      <c r="WW205" s="170"/>
      <c r="WX205" s="170"/>
      <c r="WY205" s="172"/>
      <c r="WZ205" s="754"/>
      <c r="XA205" s="755"/>
      <c r="XB205" s="169"/>
      <c r="XC205" s="170"/>
      <c r="XD205" s="170"/>
      <c r="XE205" s="170"/>
      <c r="XF205" s="172"/>
      <c r="XG205" s="1004"/>
      <c r="XH205" s="1004"/>
      <c r="XI205" s="1004"/>
      <c r="XJ205" s="1004"/>
      <c r="XK205" s="1004"/>
      <c r="XL205" s="1004"/>
      <c r="XM205" s="1004"/>
      <c r="XN205" s="1004"/>
      <c r="XO205" s="1004"/>
      <c r="XP205" s="1004"/>
      <c r="XQ205" s="1004"/>
      <c r="XR205" s="1004"/>
      <c r="XS205" s="1004"/>
      <c r="XT205" s="1004"/>
      <c r="XU205" s="1004"/>
      <c r="XV205" s="1004"/>
      <c r="XW205" s="1004"/>
      <c r="XX205" s="1004"/>
      <c r="XY205" s="1004"/>
      <c r="XZ205" s="1004"/>
      <c r="YA205" s="1004"/>
      <c r="YB205" s="1004"/>
      <c r="YC205" s="1004"/>
      <c r="YD205" s="1004"/>
      <c r="YE205" s="1004"/>
      <c r="YF205" s="1004"/>
      <c r="YG205" s="1004"/>
      <c r="YH205" s="1004"/>
      <c r="YI205" s="1004"/>
      <c r="YJ205" s="1004"/>
      <c r="YK205" s="1004"/>
      <c r="YL205" s="1004"/>
      <c r="YM205" s="1004"/>
      <c r="YN205" s="1004"/>
      <c r="YO205" s="1004"/>
      <c r="YP205" s="1004"/>
      <c r="YQ205" s="1004"/>
      <c r="YR205" s="1004"/>
      <c r="YS205" s="1004"/>
      <c r="YT205" s="1004"/>
      <c r="YU205" s="1004"/>
      <c r="YV205" s="1004"/>
      <c r="YW205" s="1004"/>
      <c r="YX205" s="1004"/>
      <c r="YY205" s="1004"/>
      <c r="YZ205" s="1004"/>
      <c r="ZA205" s="1004"/>
      <c r="ZB205" s="1004"/>
      <c r="ZC205" s="1004"/>
      <c r="ZD205" s="1004"/>
      <c r="ZE205" s="1004"/>
      <c r="ZF205" s="1004"/>
      <c r="ZG205" s="1004"/>
      <c r="ZH205" s="1004"/>
      <c r="ZI205" s="1004"/>
      <c r="ZJ205" s="1004"/>
      <c r="ZK205" s="1004"/>
      <c r="ZL205" s="1004"/>
      <c r="ZM205" s="1004"/>
      <c r="ZN205" s="1004"/>
      <c r="ZO205" s="1004"/>
      <c r="ZP205" s="1004"/>
      <c r="ZQ205" s="1004"/>
      <c r="ZR205" s="1004"/>
      <c r="ZS205" s="1004"/>
      <c r="ZT205" s="1004"/>
      <c r="ZU205" s="1004"/>
      <c r="ZV205" s="1004"/>
      <c r="ZW205" s="1004"/>
      <c r="ZX205" s="1004"/>
      <c r="ZY205" s="1004"/>
      <c r="ZZ205" s="1004"/>
      <c r="AAA205" s="1004"/>
      <c r="AAB205" s="1004"/>
      <c r="AAC205" s="1004"/>
      <c r="AAD205" s="1004"/>
      <c r="AAE205" s="1004"/>
      <c r="AAF205" s="1004"/>
      <c r="AAG205" s="1004"/>
      <c r="AAH205" s="1004"/>
      <c r="AAI205" s="1004"/>
      <c r="AAJ205" s="1004"/>
      <c r="AAK205" s="1004"/>
      <c r="AAL205" s="1004"/>
      <c r="AAM205" s="1004"/>
      <c r="AAN205" s="1004"/>
      <c r="AAO205" s="1004"/>
      <c r="AAP205" s="1004"/>
      <c r="AAQ205" s="1004"/>
      <c r="AAR205" s="1004"/>
      <c r="AAS205" s="1004"/>
      <c r="AAT205" s="1007"/>
      <c r="AAU205" s="962"/>
      <c r="AAV205" s="1059"/>
      <c r="AAW205" s="1059"/>
      <c r="AAX205" s="1059"/>
      <c r="AAY205" s="1059"/>
      <c r="AAZ205" s="1059"/>
      <c r="ABA205" s="1059"/>
      <c r="ABB205" s="1059"/>
      <c r="ABC205" s="1059"/>
      <c r="ABD205" s="1059"/>
      <c r="ABE205" s="1059"/>
      <c r="ABF205" s="963"/>
      <c r="ABG205" s="158"/>
      <c r="ABH205" s="158"/>
      <c r="ABI205" s="158"/>
      <c r="ABJ205" s="158"/>
      <c r="ABK205" s="158"/>
      <c r="ABL205" s="158"/>
      <c r="ABM205" s="158"/>
      <c r="ABN205" s="158"/>
      <c r="ABO205" s="158"/>
      <c r="ABP205" s="163"/>
      <c r="ABS205" s="653"/>
      <c r="ABT205" s="653"/>
      <c r="ABU205" s="653"/>
      <c r="ABV205" s="653"/>
      <c r="ABW205" s="653"/>
      <c r="ABX205" s="653"/>
      <c r="ABY205" s="653"/>
      <c r="ABZ205" s="653"/>
      <c r="ACA205" s="653"/>
      <c r="ACB205" s="653"/>
      <c r="ACC205" s="653"/>
      <c r="ACD205" s="653"/>
      <c r="ACE205" s="653"/>
      <c r="ACF205" s="653"/>
      <c r="ACG205" s="653"/>
      <c r="ACH205" s="653"/>
      <c r="ACI205" s="653"/>
      <c r="ACJ205" s="653"/>
      <c r="ACK205" s="653"/>
      <c r="ACL205" s="653"/>
      <c r="ACM205" s="653"/>
      <c r="ACN205" s="653"/>
      <c r="ACO205" s="653"/>
      <c r="ACP205" s="653"/>
      <c r="ACQ205" s="653"/>
      <c r="ACR205" s="653"/>
      <c r="ACS205" s="653"/>
      <c r="ACT205" s="653"/>
      <c r="ACU205" s="653"/>
      <c r="ACV205" s="653"/>
      <c r="ACW205" s="653"/>
      <c r="ACX205" s="653"/>
      <c r="ACY205" s="653"/>
      <c r="ACZ205" s="653"/>
      <c r="ADA205" s="653"/>
      <c r="ADB205" s="653"/>
      <c r="ADC205" s="653"/>
      <c r="ADD205" s="653"/>
      <c r="ADE205" s="653"/>
      <c r="ADF205" s="653"/>
      <c r="ADG205" s="653"/>
      <c r="ADH205" s="653"/>
      <c r="ADI205" s="653"/>
      <c r="ADJ205" s="653"/>
      <c r="ADK205" s="653"/>
      <c r="ADL205" s="653"/>
      <c r="ADM205" s="653"/>
      <c r="ADN205" s="653"/>
      <c r="ADO205" s="653"/>
      <c r="ADP205" s="653"/>
      <c r="ADQ205" s="653"/>
      <c r="ADR205" s="653"/>
      <c r="ADS205" s="653"/>
      <c r="ADT205" s="653"/>
      <c r="ADU205" s="653"/>
      <c r="ADV205" s="653"/>
      <c r="ADW205" s="653"/>
      <c r="ADX205" s="653"/>
      <c r="ADY205" s="653"/>
      <c r="ADZ205" s="653"/>
      <c r="AEA205" s="653"/>
      <c r="AEB205" s="653"/>
      <c r="AEC205" s="653"/>
      <c r="ARU205" s="377"/>
      <c r="ARV205" s="373"/>
      <c r="ARW205" s="373"/>
      <c r="ARX205" s="373"/>
      <c r="ARY205" s="373"/>
      <c r="ARZ205" s="373"/>
      <c r="ASA205" s="373"/>
      <c r="ASB205" s="373"/>
      <c r="ASC205" s="373"/>
      <c r="ASD205" s="373"/>
      <c r="ASE205" s="373"/>
      <c r="ASF205" s="373"/>
      <c r="ASG205" s="373"/>
      <c r="ASH205" s="373"/>
      <c r="ASI205" s="373"/>
      <c r="ASJ205" s="373"/>
      <c r="ASK205" s="373"/>
      <c r="ASL205" s="373"/>
      <c r="ASM205" s="373"/>
      <c r="ASN205" s="373"/>
      <c r="ASO205" s="373"/>
      <c r="ASP205" s="373"/>
      <c r="ASQ205" s="373"/>
      <c r="ASR205" s="373"/>
      <c r="ASS205" s="373"/>
      <c r="AST205" s="373"/>
      <c r="ASU205" s="373"/>
      <c r="ASV205" s="373"/>
      <c r="ASW205" s="373"/>
      <c r="ASX205" s="373"/>
      <c r="ASY205" s="373"/>
      <c r="ASZ205" s="373"/>
      <c r="ATA205" s="373"/>
      <c r="ATB205" s="373"/>
      <c r="ATC205" s="373"/>
      <c r="ATD205" s="373"/>
      <c r="ATE205" s="373"/>
      <c r="ATF205" s="374"/>
    </row>
    <row r="206" spans="340:976 1165:1202" ht="48" customHeight="1">
      <c r="MB206" s="850"/>
      <c r="MC206" s="387" t="s">
        <v>1244</v>
      </c>
      <c r="MD206" s="766">
        <f>$AP$8</f>
        <v>50</v>
      </c>
      <c r="ME206" s="766"/>
      <c r="MF206" s="861" t="s">
        <v>1265</v>
      </c>
      <c r="MG206" s="861"/>
      <c r="MH206" s="937">
        <f>$MP$234</f>
        <v>0.61171910270933894</v>
      </c>
      <c r="MI206" s="937"/>
      <c r="MJ206" s="792" t="s">
        <v>82</v>
      </c>
      <c r="MK206" s="792"/>
      <c r="ML206" s="792"/>
      <c r="MM206" s="792"/>
      <c r="MN206" s="792"/>
      <c r="MO206" s="793"/>
      <c r="MP206" s="1428">
        <f>7.9*MD206*MD207*10^(-6)*(MH205+MH206+MH207)</f>
        <v>3.4099357723931792E-4</v>
      </c>
      <c r="MQ206" s="1429"/>
      <c r="MR206" s="1188" t="s">
        <v>392</v>
      </c>
      <c r="MS206" s="1189"/>
      <c r="MT206" s="1066"/>
      <c r="MU206" s="1170" t="s">
        <v>1342</v>
      </c>
      <c r="MV206" s="1172"/>
      <c r="MW206" s="847"/>
      <c r="MX206" s="1052"/>
      <c r="MY206" s="1052"/>
      <c r="MZ206" s="1052"/>
      <c r="NA206" s="1052"/>
      <c r="NB206" s="1052"/>
      <c r="NC206" s="1052"/>
      <c r="ND206" s="1052"/>
      <c r="NE206" s="1052"/>
      <c r="NF206" s="1052"/>
      <c r="NG206" s="1052"/>
      <c r="WE206" s="752">
        <v>34</v>
      </c>
      <c r="WF206" s="753"/>
      <c r="WG206" s="167"/>
      <c r="WH206" s="168"/>
      <c r="WI206" s="168"/>
      <c r="WJ206" s="168"/>
      <c r="WK206" s="168"/>
      <c r="WL206" s="168"/>
      <c r="WM206" s="168"/>
      <c r="WN206" s="168"/>
      <c r="WO206" s="168"/>
      <c r="WP206" s="168"/>
      <c r="WQ206" s="168"/>
      <c r="WR206" s="168"/>
      <c r="WS206" s="168"/>
      <c r="WT206" s="168"/>
      <c r="WU206" s="168"/>
      <c r="WV206" s="168"/>
      <c r="WW206" s="168"/>
      <c r="WX206" s="168"/>
      <c r="WY206" s="171"/>
      <c r="WZ206" s="998" t="s">
        <v>729</v>
      </c>
      <c r="XA206" s="999"/>
      <c r="XB206" s="167"/>
      <c r="XC206" s="168"/>
      <c r="XD206" s="168"/>
      <c r="XE206" s="168"/>
      <c r="XF206" s="171"/>
      <c r="XG206" s="1004">
        <f t="shared" ref="XG206:XO206" si="273">XG203/XG142</f>
        <v>1.0006638362694329</v>
      </c>
      <c r="XH206" s="1004">
        <f t="shared" si="273"/>
        <v>1.0007727205793397</v>
      </c>
      <c r="XI206" s="1004">
        <f t="shared" si="273"/>
        <v>1.0012422283862077</v>
      </c>
      <c r="XJ206" s="1004">
        <f t="shared" si="273"/>
        <v>1.0019839401207122</v>
      </c>
      <c r="XK206" s="1004">
        <f t="shared" si="273"/>
        <v>1.0029332335212882</v>
      </c>
      <c r="XL206" s="1004">
        <f t="shared" si="273"/>
        <v>1.0041451124072034</v>
      </c>
      <c r="XM206" s="1004">
        <f t="shared" si="273"/>
        <v>1.0055015320695135</v>
      </c>
      <c r="XN206" s="1004">
        <f t="shared" si="273"/>
        <v>1.0070305281544634</v>
      </c>
      <c r="XO206" s="1004">
        <f t="shared" si="273"/>
        <v>1.0087706379847843</v>
      </c>
      <c r="XP206" s="1004">
        <f t="shared" ref="XP206:YA206" si="274">XP203/XP142</f>
        <v>1.0107548140021956</v>
      </c>
      <c r="XQ206" s="1004">
        <f t="shared" si="274"/>
        <v>1.0127999781646804</v>
      </c>
      <c r="XR206" s="1004">
        <f t="shared" si="274"/>
        <v>1.0152551767363649</v>
      </c>
      <c r="XS206" s="1004">
        <f t="shared" si="274"/>
        <v>1.0178455610109354</v>
      </c>
      <c r="XT206" s="1004">
        <f t="shared" si="274"/>
        <v>1.0196258616048983</v>
      </c>
      <c r="XU206" s="1004">
        <f t="shared" si="274"/>
        <v>1.0227152148415026</v>
      </c>
      <c r="XV206" s="1004">
        <f t="shared" si="274"/>
        <v>1.0258551768013477</v>
      </c>
      <c r="XW206" s="1004">
        <f t="shared" si="274"/>
        <v>1.0291153890701268</v>
      </c>
      <c r="XX206" s="1004">
        <f t="shared" si="274"/>
        <v>1.032031820914405</v>
      </c>
      <c r="XY206" s="1004">
        <f t="shared" si="274"/>
        <v>1.0349508744564684</v>
      </c>
      <c r="XZ206" s="1004">
        <f t="shared" si="274"/>
        <v>1.037816566720859</v>
      </c>
      <c r="YA206" s="1004">
        <f t="shared" si="274"/>
        <v>1.0382518988827425</v>
      </c>
      <c r="YB206" s="1004">
        <f t="shared" ref="YB206:ZS206" si="275">YB203/YB142</f>
        <v>1.0414624341284298</v>
      </c>
      <c r="YC206" s="1004">
        <f t="shared" si="275"/>
        <v>1.0445537527464051</v>
      </c>
      <c r="YD206" s="1004">
        <f t="shared" si="275"/>
        <v>1.0468075692508569</v>
      </c>
      <c r="YE206" s="1004">
        <f t="shared" si="275"/>
        <v>1.0503935769597239</v>
      </c>
      <c r="YF206" s="1004">
        <f t="shared" si="275"/>
        <v>1.0529546130859415</v>
      </c>
      <c r="YG206" s="1004">
        <f t="shared" si="275"/>
        <v>1.0556440915070466</v>
      </c>
      <c r="YH206" s="1004">
        <f t="shared" si="275"/>
        <v>1.0578711017534486</v>
      </c>
      <c r="YI206" s="1004">
        <f t="shared" si="275"/>
        <v>1.0601239934556845</v>
      </c>
      <c r="YJ206" s="1004">
        <f t="shared" si="275"/>
        <v>1.062472590734173</v>
      </c>
      <c r="YK206" s="1004">
        <f t="shared" si="275"/>
        <v>1.0645377636760511</v>
      </c>
      <c r="YL206" s="1004">
        <f t="shared" si="275"/>
        <v>1.0653160292934811</v>
      </c>
      <c r="YM206" s="1004">
        <f t="shared" si="275"/>
        <v>1.0673467612249548</v>
      </c>
      <c r="YN206" s="1004">
        <f t="shared" si="275"/>
        <v>1.0691692468946046</v>
      </c>
      <c r="YO206" s="1004">
        <f t="shared" si="275"/>
        <v>1.0696657376454981</v>
      </c>
      <c r="YP206" s="1004">
        <f t="shared" si="275"/>
        <v>1.0713470244794874</v>
      </c>
      <c r="YQ206" s="1004">
        <f t="shared" si="275"/>
        <v>1.0718309112425271</v>
      </c>
      <c r="YR206" s="1004">
        <f t="shared" si="275"/>
        <v>1.0720869493788223</v>
      </c>
      <c r="YS206" s="1004">
        <f t="shared" si="275"/>
        <v>1.0737450470143766</v>
      </c>
      <c r="YT206" s="1004">
        <f t="shared" si="275"/>
        <v>1.0737854506781048</v>
      </c>
      <c r="YU206" s="1004">
        <f t="shared" si="275"/>
        <v>1.0740175649796315</v>
      </c>
      <c r="YV206" s="1004">
        <f t="shared" si="275"/>
        <v>1.0753907337252968</v>
      </c>
      <c r="YW206" s="1004">
        <f t="shared" si="275"/>
        <v>1.0755277134582</v>
      </c>
      <c r="YX206" s="1004">
        <f t="shared" si="275"/>
        <v>1.0756882991155201</v>
      </c>
      <c r="YY206" s="1004">
        <f t="shared" si="275"/>
        <v>1.0757409008040051</v>
      </c>
      <c r="YZ206" s="1004">
        <f t="shared" si="275"/>
        <v>1.0772014987594554</v>
      </c>
      <c r="ZA206" s="1004">
        <f t="shared" si="275"/>
        <v>1.0773136833017611</v>
      </c>
      <c r="ZB206" s="1004">
        <f t="shared" si="275"/>
        <v>1.0773922780413268</v>
      </c>
      <c r="ZC206" s="1004">
        <f t="shared" si="275"/>
        <v>1.0773883099124302</v>
      </c>
      <c r="ZD206" s="1004">
        <f t="shared" si="275"/>
        <v>1.0772858900138123</v>
      </c>
      <c r="ZE206" s="1004">
        <f t="shared" si="275"/>
        <v>1.078654907981148</v>
      </c>
      <c r="ZF206" s="1004">
        <f t="shared" si="275"/>
        <v>1.0785907026376509</v>
      </c>
      <c r="ZG206" s="1004">
        <f t="shared" si="275"/>
        <v>1.0785500054530017</v>
      </c>
      <c r="ZH206" s="1004">
        <f t="shared" si="275"/>
        <v>1.0784479771809627</v>
      </c>
      <c r="ZI206" s="1004">
        <f t="shared" si="275"/>
        <v>1.0783673705704295</v>
      </c>
      <c r="ZJ206" s="1004">
        <f t="shared" si="275"/>
        <v>1.0782324997314305</v>
      </c>
      <c r="ZK206" s="1004">
        <f t="shared" si="275"/>
        <v>1.0780836866411116</v>
      </c>
      <c r="ZL206" s="1004">
        <f t="shared" si="275"/>
        <v>1.0795330657221156</v>
      </c>
      <c r="ZM206" s="1004">
        <f t="shared" si="275"/>
        <v>1.0793616588649435</v>
      </c>
      <c r="ZN206" s="1004">
        <f t="shared" si="275"/>
        <v>1.0793729730143335</v>
      </c>
      <c r="ZO206" s="1004">
        <f t="shared" si="275"/>
        <v>1.0794132739098741</v>
      </c>
      <c r="ZP206" s="1004">
        <f t="shared" si="275"/>
        <v>1.0794712454000726</v>
      </c>
      <c r="ZQ206" s="1004">
        <f t="shared" si="275"/>
        <v>1.0794925005795888</v>
      </c>
      <c r="ZR206" s="1004">
        <f t="shared" si="275"/>
        <v>1.0795579630066345</v>
      </c>
      <c r="ZS206" s="1004">
        <f t="shared" si="275"/>
        <v>1.0795635068580214</v>
      </c>
      <c r="ZT206" s="1004">
        <f t="shared" ref="ZT206:AAS206" si="276">ZT203/ZT142</f>
        <v>1.0795617869219212</v>
      </c>
      <c r="ZU206" s="1004">
        <f t="shared" si="276"/>
        <v>1.0796274475997969</v>
      </c>
      <c r="ZV206" s="1004">
        <f t="shared" si="276"/>
        <v>1.0796115994288058</v>
      </c>
      <c r="ZW206" s="1004">
        <f t="shared" si="276"/>
        <v>1.079589637715114</v>
      </c>
      <c r="ZX206" s="1004">
        <f t="shared" si="276"/>
        <v>1.0796148367177134</v>
      </c>
      <c r="ZY206" s="1004">
        <f t="shared" si="276"/>
        <v>1.0810693599521504</v>
      </c>
      <c r="ZZ206" s="1004">
        <f t="shared" si="276"/>
        <v>1.0810333187985819</v>
      </c>
      <c r="AAA206" s="1004">
        <f t="shared" si="276"/>
        <v>1.0810455060839421</v>
      </c>
      <c r="AAB206" s="1004">
        <f t="shared" si="276"/>
        <v>1.0809997008655972</v>
      </c>
      <c r="AAC206" s="1004">
        <f t="shared" si="276"/>
        <v>1.0810027607268491</v>
      </c>
      <c r="AAD206" s="1004">
        <f t="shared" si="276"/>
        <v>1.0809481281851576</v>
      </c>
      <c r="AAE206" s="1004">
        <f t="shared" si="276"/>
        <v>1.0809429299949209</v>
      </c>
      <c r="AAF206" s="1004">
        <f t="shared" si="276"/>
        <v>1.0808802977143024</v>
      </c>
      <c r="AAG206" s="1004">
        <f t="shared" si="276"/>
        <v>1.0808676103648844</v>
      </c>
      <c r="AAH206" s="1004">
        <f t="shared" si="276"/>
        <v>1.0807977114968217</v>
      </c>
      <c r="AAI206" s="1004">
        <f t="shared" si="276"/>
        <v>1.0807782168449886</v>
      </c>
      <c r="AAJ206" s="1004">
        <f t="shared" si="276"/>
        <v>1.0807017026055454</v>
      </c>
      <c r="AAK206" s="1004">
        <f t="shared" si="276"/>
        <v>1.0806760068994203</v>
      </c>
      <c r="AAL206" s="1004">
        <f t="shared" si="276"/>
        <v>1.0804854831203146</v>
      </c>
      <c r="AAM206" s="1004">
        <f t="shared" si="276"/>
        <v>1.0801568033697313</v>
      </c>
      <c r="AAN206" s="1004">
        <f t="shared" si="276"/>
        <v>1.0799601724343124</v>
      </c>
      <c r="AAO206" s="1004">
        <f t="shared" si="276"/>
        <v>1.0796253986765114</v>
      </c>
      <c r="AAP206" s="1004">
        <f t="shared" si="276"/>
        <v>1.0794231826013061</v>
      </c>
      <c r="AAQ206" s="1004">
        <f t="shared" si="276"/>
        <v>1.0792085563184615</v>
      </c>
      <c r="AAR206" s="1004">
        <f t="shared" si="276"/>
        <v>1.0788659790335167</v>
      </c>
      <c r="AAS206" s="1004">
        <f t="shared" si="276"/>
        <v>1.0786566136176026</v>
      </c>
      <c r="AAT206" s="1005">
        <v>34</v>
      </c>
      <c r="AAU206" s="958"/>
      <c r="AAV206" s="1058"/>
      <c r="AAW206" s="1058"/>
      <c r="AAX206" s="1058"/>
      <c r="AAY206" s="959"/>
      <c r="AAZ206" s="158"/>
      <c r="ABA206" s="158"/>
      <c r="ABB206" s="158"/>
      <c r="ABC206" s="158"/>
      <c r="ABD206" s="158"/>
      <c r="ABE206" s="158"/>
      <c r="ABF206" s="158"/>
      <c r="ABG206" s="158"/>
      <c r="ABH206" s="158"/>
      <c r="ABI206" s="158"/>
      <c r="ABJ206" s="158"/>
      <c r="ABK206" s="158"/>
      <c r="ABL206" s="158"/>
      <c r="ABM206" s="158"/>
      <c r="ABN206" s="158"/>
      <c r="ABO206" s="158"/>
      <c r="ABP206" s="163"/>
      <c r="ABS206" s="653"/>
      <c r="ABT206" s="653"/>
      <c r="ABU206" s="653"/>
      <c r="ABV206" s="653"/>
      <c r="ABW206" s="653"/>
      <c r="ABX206" s="653"/>
      <c r="ABY206" s="1285" t="s">
        <v>1711</v>
      </c>
      <c r="ABZ206" s="1286"/>
      <c r="ACA206" s="1286"/>
      <c r="ACB206" s="1286"/>
      <c r="ACC206" s="1286"/>
      <c r="ACD206" s="1286"/>
      <c r="ACE206" s="1286"/>
      <c r="ACF206" s="1286"/>
      <c r="ACG206" s="1286"/>
      <c r="ACH206" s="688"/>
      <c r="ACI206" s="653"/>
      <c r="ACJ206" s="653"/>
      <c r="ACK206" s="653"/>
      <c r="ACL206" s="653"/>
      <c r="ACM206" s="653"/>
      <c r="ACN206" s="653"/>
      <c r="ACO206" s="653"/>
      <c r="ACP206" s="653"/>
      <c r="ACQ206" s="653"/>
      <c r="ACR206" s="653"/>
      <c r="ACS206" s="653"/>
      <c r="ACT206" s="653"/>
      <c r="ACU206" s="653"/>
      <c r="ACV206" s="653"/>
      <c r="ACW206" s="653"/>
      <c r="ACX206" s="653"/>
      <c r="ACY206" s="653"/>
      <c r="ACZ206" s="653"/>
      <c r="ADA206" s="653"/>
      <c r="ADB206" s="653"/>
      <c r="ADV206" s="653"/>
      <c r="ADW206" s="653"/>
      <c r="ADX206" s="653"/>
      <c r="ADY206" s="653"/>
      <c r="ADZ206" s="653"/>
      <c r="AEA206" s="653"/>
      <c r="AEB206" s="653"/>
      <c r="AEC206" s="653"/>
      <c r="AIN206" s="15"/>
      <c r="AIO206" s="15"/>
      <c r="AIP206" s="15"/>
      <c r="AIQ206" s="199"/>
      <c r="AIR206" s="852" t="s">
        <v>867</v>
      </c>
      <c r="AIS206" s="923"/>
      <c r="AIT206" s="199"/>
      <c r="AIU206" s="1117" t="s">
        <v>130</v>
      </c>
      <c r="AIV206" s="1118"/>
      <c r="AIW206" s="1118"/>
      <c r="AIX206" s="1118"/>
      <c r="AIY206" s="1118"/>
      <c r="AIZ206" s="1118"/>
      <c r="AJA206" s="1118"/>
      <c r="AJB206" s="1118"/>
      <c r="AJC206" s="1118"/>
      <c r="AJD206" s="1118"/>
      <c r="AJE206" s="1119"/>
      <c r="AJF206" s="199"/>
      <c r="AKI206" s="130"/>
      <c r="AKJ206" s="130"/>
      <c r="AKK206" s="130"/>
      <c r="AKL206" s="130"/>
      <c r="ARU206" s="136"/>
      <c r="ARV206" s="891"/>
      <c r="ARW206" s="891"/>
      <c r="ARX206" s="891"/>
      <c r="ARY206" s="891"/>
      <c r="ARZ206" s="891"/>
      <c r="ASA206" s="891"/>
      <c r="ASB206" s="891"/>
      <c r="ASC206" s="891"/>
      <c r="ASD206" s="891"/>
      <c r="ASE206" s="891"/>
      <c r="ASF206" s="891"/>
      <c r="ASG206" s="891"/>
      <c r="ASH206" s="891"/>
      <c r="ASI206" s="891"/>
      <c r="ASJ206" s="891"/>
      <c r="ASK206" s="891"/>
      <c r="ASL206" s="891"/>
      <c r="ASM206" s="891"/>
      <c r="ASN206" s="891"/>
      <c r="ASO206" s="891"/>
      <c r="ASP206" s="891"/>
      <c r="ASQ206" s="891"/>
      <c r="ASR206" s="891"/>
      <c r="ASS206" s="891"/>
      <c r="AST206" s="891"/>
      <c r="ASU206" s="891"/>
      <c r="ASV206" s="891"/>
      <c r="ASW206" s="891"/>
      <c r="ASX206" s="891"/>
      <c r="ASY206" s="891"/>
      <c r="ASZ206" s="891"/>
      <c r="ATA206" s="891"/>
      <c r="ATB206" s="891"/>
      <c r="ATC206" s="891"/>
      <c r="ATD206" s="891"/>
      <c r="ATE206" s="891"/>
      <c r="ATF206" s="136"/>
    </row>
    <row r="207" spans="340:976 1165:1202" ht="48" customHeight="1" thickBot="1">
      <c r="MB207" s="851"/>
      <c r="MC207" s="385" t="s">
        <v>1018</v>
      </c>
      <c r="MD207" s="1187">
        <f>$AW$95</f>
        <v>0.19391178434038603</v>
      </c>
      <c r="ME207" s="1187"/>
      <c r="MF207" s="1163" t="s">
        <v>1266</v>
      </c>
      <c r="MG207" s="1163"/>
      <c r="MH207" s="774">
        <f>$MN$216</f>
        <v>1.2922478994547311</v>
      </c>
      <c r="MI207" s="774"/>
      <c r="MJ207" s="795"/>
      <c r="MK207" s="795"/>
      <c r="ML207" s="795"/>
      <c r="MM207" s="795"/>
      <c r="MN207" s="795"/>
      <c r="MO207" s="796"/>
      <c r="MP207" s="1430"/>
      <c r="MQ207" s="1431"/>
      <c r="MR207" s="1190"/>
      <c r="MS207" s="1191"/>
      <c r="MT207" s="1067"/>
      <c r="MU207" s="1173"/>
      <c r="MV207" s="1175"/>
      <c r="MW207" s="848"/>
      <c r="MX207" s="1053"/>
      <c r="MY207" s="1053"/>
      <c r="MZ207" s="1053"/>
      <c r="NA207" s="1053"/>
      <c r="NB207" s="1053"/>
      <c r="NC207" s="1053"/>
      <c r="ND207" s="1053"/>
      <c r="NE207" s="1053"/>
      <c r="NF207" s="1053"/>
      <c r="NG207" s="1053"/>
      <c r="WE207" s="996"/>
      <c r="WF207" s="997"/>
      <c r="WG207" s="175"/>
      <c r="WH207" s="173"/>
      <c r="WI207" s="173"/>
      <c r="WJ207" s="173"/>
      <c r="WK207" s="173"/>
      <c r="WL207" s="173"/>
      <c r="WM207" s="173"/>
      <c r="WN207" s="173"/>
      <c r="WO207" s="173"/>
      <c r="WP207" s="173"/>
      <c r="WQ207" s="173"/>
      <c r="WR207" s="173"/>
      <c r="WS207" s="173"/>
      <c r="WT207" s="173"/>
      <c r="WU207" s="173"/>
      <c r="WV207" s="173"/>
      <c r="WW207" s="173"/>
      <c r="WX207" s="173"/>
      <c r="WY207" s="174"/>
      <c r="WZ207" s="1000"/>
      <c r="XA207" s="1001"/>
      <c r="XB207" s="175"/>
      <c r="XC207" s="173"/>
      <c r="XD207" s="173"/>
      <c r="XE207" s="173"/>
      <c r="XF207" s="174"/>
      <c r="XG207" s="1004"/>
      <c r="XH207" s="1004"/>
      <c r="XI207" s="1004"/>
      <c r="XJ207" s="1004"/>
      <c r="XK207" s="1004"/>
      <c r="XL207" s="1004"/>
      <c r="XM207" s="1004"/>
      <c r="XN207" s="1004"/>
      <c r="XO207" s="1004"/>
      <c r="XP207" s="1004"/>
      <c r="XQ207" s="1004"/>
      <c r="XR207" s="1004"/>
      <c r="XS207" s="1004"/>
      <c r="XT207" s="1004"/>
      <c r="XU207" s="1004"/>
      <c r="XV207" s="1004"/>
      <c r="XW207" s="1004"/>
      <c r="XX207" s="1004"/>
      <c r="XY207" s="1004"/>
      <c r="XZ207" s="1004"/>
      <c r="YA207" s="1004"/>
      <c r="YB207" s="1004"/>
      <c r="YC207" s="1004"/>
      <c r="YD207" s="1004"/>
      <c r="YE207" s="1004"/>
      <c r="YF207" s="1004"/>
      <c r="YG207" s="1004"/>
      <c r="YH207" s="1004"/>
      <c r="YI207" s="1004"/>
      <c r="YJ207" s="1004"/>
      <c r="YK207" s="1004"/>
      <c r="YL207" s="1004"/>
      <c r="YM207" s="1004"/>
      <c r="YN207" s="1004"/>
      <c r="YO207" s="1004"/>
      <c r="YP207" s="1004"/>
      <c r="YQ207" s="1004"/>
      <c r="YR207" s="1004"/>
      <c r="YS207" s="1004"/>
      <c r="YT207" s="1004"/>
      <c r="YU207" s="1004"/>
      <c r="YV207" s="1004"/>
      <c r="YW207" s="1004"/>
      <c r="YX207" s="1004"/>
      <c r="YY207" s="1004"/>
      <c r="YZ207" s="1004"/>
      <c r="ZA207" s="1004"/>
      <c r="ZB207" s="1004"/>
      <c r="ZC207" s="1004"/>
      <c r="ZD207" s="1004"/>
      <c r="ZE207" s="1004"/>
      <c r="ZF207" s="1004"/>
      <c r="ZG207" s="1004"/>
      <c r="ZH207" s="1004"/>
      <c r="ZI207" s="1004"/>
      <c r="ZJ207" s="1004"/>
      <c r="ZK207" s="1004"/>
      <c r="ZL207" s="1004"/>
      <c r="ZM207" s="1004"/>
      <c r="ZN207" s="1004"/>
      <c r="ZO207" s="1004"/>
      <c r="ZP207" s="1004"/>
      <c r="ZQ207" s="1004"/>
      <c r="ZR207" s="1004"/>
      <c r="ZS207" s="1004"/>
      <c r="ZT207" s="1004"/>
      <c r="ZU207" s="1004"/>
      <c r="ZV207" s="1004"/>
      <c r="ZW207" s="1004"/>
      <c r="ZX207" s="1004"/>
      <c r="ZY207" s="1004"/>
      <c r="ZZ207" s="1004"/>
      <c r="AAA207" s="1004"/>
      <c r="AAB207" s="1004"/>
      <c r="AAC207" s="1004"/>
      <c r="AAD207" s="1004"/>
      <c r="AAE207" s="1004"/>
      <c r="AAF207" s="1004"/>
      <c r="AAG207" s="1004"/>
      <c r="AAH207" s="1004"/>
      <c r="AAI207" s="1004"/>
      <c r="AAJ207" s="1004"/>
      <c r="AAK207" s="1004"/>
      <c r="AAL207" s="1004"/>
      <c r="AAM207" s="1004"/>
      <c r="AAN207" s="1004"/>
      <c r="AAO207" s="1004"/>
      <c r="AAP207" s="1004"/>
      <c r="AAQ207" s="1004"/>
      <c r="AAR207" s="1004"/>
      <c r="AAS207" s="1004"/>
      <c r="AAT207" s="1006"/>
      <c r="AAU207" s="960"/>
      <c r="AAV207" s="1101"/>
      <c r="AAW207" s="1101"/>
      <c r="AAX207" s="1101"/>
      <c r="AAY207" s="961"/>
      <c r="AAZ207" s="158"/>
      <c r="ABA207" s="158"/>
      <c r="ABB207" s="158"/>
      <c r="ABC207" s="158"/>
      <c r="ABD207" s="158"/>
      <c r="ABE207" s="158"/>
      <c r="ABF207" s="158"/>
      <c r="ABG207" s="158"/>
      <c r="ABH207" s="158"/>
      <c r="ABI207" s="158"/>
      <c r="ABJ207" s="158"/>
      <c r="ABK207" s="158"/>
      <c r="ABL207" s="158"/>
      <c r="ABM207" s="158"/>
      <c r="ABN207" s="158"/>
      <c r="ABO207" s="158"/>
      <c r="ABP207" s="163"/>
      <c r="ABS207" s="653"/>
      <c r="ABT207" s="653"/>
      <c r="ABU207" s="653"/>
      <c r="ABV207" s="653"/>
      <c r="ABW207" s="653"/>
      <c r="ABX207" s="653"/>
      <c r="ABY207" s="1023"/>
      <c r="ABZ207" s="1024"/>
      <c r="ACA207" s="1024"/>
      <c r="ACB207" s="1024"/>
      <c r="ACC207" s="1024"/>
      <c r="ACD207" s="1024"/>
      <c r="ACE207" s="1024"/>
      <c r="ACF207" s="1024"/>
      <c r="ACG207" s="1024"/>
      <c r="ACH207" s="1025"/>
      <c r="ACI207" s="653"/>
      <c r="ACJ207" s="653"/>
      <c r="ACK207" s="653"/>
      <c r="ACL207" s="653"/>
      <c r="ACM207" s="653"/>
      <c r="ACN207" s="653"/>
      <c r="ACO207" s="653"/>
      <c r="ACP207" s="653"/>
      <c r="ACQ207" s="653"/>
      <c r="ACR207" s="591"/>
      <c r="ACS207" s="591"/>
      <c r="ACT207" s="591"/>
      <c r="ACU207" s="591"/>
      <c r="ACV207" s="591"/>
      <c r="ACW207" s="591"/>
      <c r="ACX207" s="591"/>
      <c r="ACY207" s="591"/>
      <c r="ACZ207" s="653"/>
      <c r="ADA207" s="653"/>
      <c r="ADB207" s="653"/>
      <c r="ADV207" s="653"/>
      <c r="ADW207" s="653"/>
      <c r="ADX207" s="653"/>
      <c r="ADY207" s="653"/>
      <c r="ADZ207" s="653"/>
      <c r="AEA207" s="653"/>
      <c r="AEB207" s="653"/>
      <c r="AEC207" s="653"/>
      <c r="AIN207" s="15"/>
      <c r="AIO207" s="15"/>
      <c r="AIP207" s="15"/>
      <c r="AIQ207" s="15"/>
      <c r="AKI207" s="130"/>
      <c r="AKJ207" s="130"/>
      <c r="AKK207" s="130"/>
      <c r="AKL207" s="130"/>
    </row>
    <row r="208" spans="340:976 1165:1202" ht="48" customHeight="1" thickBot="1">
      <c r="NB208" s="653"/>
      <c r="NC208" s="653"/>
      <c r="ND208" s="653"/>
      <c r="NE208" s="653"/>
      <c r="NF208" s="653"/>
      <c r="NG208" s="653"/>
      <c r="NH208" s="653"/>
      <c r="WE208" s="754"/>
      <c r="WF208" s="755"/>
      <c r="WG208" s="169"/>
      <c r="WH208" s="170"/>
      <c r="WI208" s="170"/>
      <c r="WJ208" s="170"/>
      <c r="WK208" s="170"/>
      <c r="WL208" s="170"/>
      <c r="WM208" s="170"/>
      <c r="WN208" s="170"/>
      <c r="WO208" s="170"/>
      <c r="WP208" s="170"/>
      <c r="WQ208" s="170"/>
      <c r="WR208" s="170"/>
      <c r="WS208" s="170"/>
      <c r="WT208" s="170"/>
      <c r="WU208" s="170"/>
      <c r="WV208" s="170"/>
      <c r="WW208" s="170"/>
      <c r="WX208" s="170"/>
      <c r="WY208" s="172"/>
      <c r="WZ208" s="1002"/>
      <c r="XA208" s="1003"/>
      <c r="XB208" s="169"/>
      <c r="XC208" s="170"/>
      <c r="XD208" s="170"/>
      <c r="XE208" s="170"/>
      <c r="XF208" s="172"/>
      <c r="XG208" s="1004"/>
      <c r="XH208" s="1004"/>
      <c r="XI208" s="1004"/>
      <c r="XJ208" s="1004"/>
      <c r="XK208" s="1004"/>
      <c r="XL208" s="1004"/>
      <c r="XM208" s="1004"/>
      <c r="XN208" s="1004"/>
      <c r="XO208" s="1004"/>
      <c r="XP208" s="1004"/>
      <c r="XQ208" s="1004"/>
      <c r="XR208" s="1004"/>
      <c r="XS208" s="1004"/>
      <c r="XT208" s="1004"/>
      <c r="XU208" s="1004"/>
      <c r="XV208" s="1004"/>
      <c r="XW208" s="1004"/>
      <c r="XX208" s="1004"/>
      <c r="XY208" s="1004"/>
      <c r="XZ208" s="1004"/>
      <c r="YA208" s="1004"/>
      <c r="YB208" s="1004"/>
      <c r="YC208" s="1004"/>
      <c r="YD208" s="1004"/>
      <c r="YE208" s="1004"/>
      <c r="YF208" s="1004"/>
      <c r="YG208" s="1004"/>
      <c r="YH208" s="1004"/>
      <c r="YI208" s="1004"/>
      <c r="YJ208" s="1004"/>
      <c r="YK208" s="1004"/>
      <c r="YL208" s="1004"/>
      <c r="YM208" s="1004"/>
      <c r="YN208" s="1004"/>
      <c r="YO208" s="1004"/>
      <c r="YP208" s="1004"/>
      <c r="YQ208" s="1004"/>
      <c r="YR208" s="1004"/>
      <c r="YS208" s="1004"/>
      <c r="YT208" s="1004"/>
      <c r="YU208" s="1004"/>
      <c r="YV208" s="1004"/>
      <c r="YW208" s="1004"/>
      <c r="YX208" s="1004"/>
      <c r="YY208" s="1004"/>
      <c r="YZ208" s="1004"/>
      <c r="ZA208" s="1004"/>
      <c r="ZB208" s="1004"/>
      <c r="ZC208" s="1004"/>
      <c r="ZD208" s="1004"/>
      <c r="ZE208" s="1004"/>
      <c r="ZF208" s="1004"/>
      <c r="ZG208" s="1004"/>
      <c r="ZH208" s="1004"/>
      <c r="ZI208" s="1004"/>
      <c r="ZJ208" s="1004"/>
      <c r="ZK208" s="1004"/>
      <c r="ZL208" s="1004"/>
      <c r="ZM208" s="1004"/>
      <c r="ZN208" s="1004"/>
      <c r="ZO208" s="1004"/>
      <c r="ZP208" s="1004"/>
      <c r="ZQ208" s="1004"/>
      <c r="ZR208" s="1004"/>
      <c r="ZS208" s="1004"/>
      <c r="ZT208" s="1004"/>
      <c r="ZU208" s="1004"/>
      <c r="ZV208" s="1004"/>
      <c r="ZW208" s="1004"/>
      <c r="ZX208" s="1004"/>
      <c r="ZY208" s="1004"/>
      <c r="ZZ208" s="1004"/>
      <c r="AAA208" s="1004"/>
      <c r="AAB208" s="1004"/>
      <c r="AAC208" s="1004"/>
      <c r="AAD208" s="1004"/>
      <c r="AAE208" s="1004"/>
      <c r="AAF208" s="1004"/>
      <c r="AAG208" s="1004"/>
      <c r="AAH208" s="1004"/>
      <c r="AAI208" s="1004"/>
      <c r="AAJ208" s="1004"/>
      <c r="AAK208" s="1004"/>
      <c r="AAL208" s="1004"/>
      <c r="AAM208" s="1004"/>
      <c r="AAN208" s="1004"/>
      <c r="AAO208" s="1004"/>
      <c r="AAP208" s="1004"/>
      <c r="AAQ208" s="1004"/>
      <c r="AAR208" s="1004"/>
      <c r="AAS208" s="1004"/>
      <c r="AAT208" s="1007"/>
      <c r="AAU208" s="960"/>
      <c r="AAV208" s="1101"/>
      <c r="AAW208" s="1101"/>
      <c r="AAX208" s="1101"/>
      <c r="AAY208" s="961"/>
      <c r="AAZ208" s="158"/>
      <c r="ABA208" s="158"/>
      <c r="ABB208" s="158"/>
      <c r="ABC208" s="158"/>
      <c r="ABD208" s="158"/>
      <c r="ABE208" s="158"/>
      <c r="ABF208" s="158"/>
      <c r="ABG208" s="158"/>
      <c r="ABH208" s="158"/>
      <c r="ABI208" s="158"/>
      <c r="ABJ208" s="158"/>
      <c r="ABK208" s="158"/>
      <c r="ABL208" s="158"/>
      <c r="ABM208" s="158"/>
      <c r="ABN208" s="158"/>
      <c r="ABO208" s="158"/>
      <c r="ABP208" s="163"/>
      <c r="ABS208" s="653"/>
      <c r="ABT208" s="653"/>
      <c r="ABU208" s="653"/>
      <c r="ABV208" s="653"/>
      <c r="ABW208" s="653"/>
      <c r="ABX208" s="653"/>
      <c r="ABY208" s="1026"/>
      <c r="ABZ208" s="1027"/>
      <c r="ACA208" s="1027"/>
      <c r="ACB208" s="1027"/>
      <c r="ACC208" s="1027"/>
      <c r="ACD208" s="1027"/>
      <c r="ACE208" s="1027"/>
      <c r="ACF208" s="1027"/>
      <c r="ACG208" s="1027"/>
      <c r="ACH208" s="1028"/>
      <c r="ACI208" s="653"/>
      <c r="ACJ208" s="653"/>
      <c r="ACK208" s="653"/>
      <c r="ACL208" s="653"/>
      <c r="ACM208" s="653"/>
      <c r="ACN208" s="653"/>
      <c r="ACO208" s="653"/>
      <c r="ACP208" s="653"/>
      <c r="ACQ208" s="653"/>
      <c r="ACR208" s="987" t="s">
        <v>1009</v>
      </c>
      <c r="ACS208" s="988"/>
      <c r="ACT208" s="988"/>
      <c r="ACU208" s="988"/>
      <c r="ACV208" s="988"/>
      <c r="ACW208" s="988"/>
      <c r="ACX208" s="988"/>
      <c r="ACY208" s="970"/>
      <c r="ACZ208" s="653"/>
      <c r="ADA208" s="653"/>
      <c r="ADB208" s="653"/>
      <c r="ADV208" s="653"/>
      <c r="ADW208" s="653"/>
      <c r="ADX208" s="653"/>
      <c r="ADY208" s="653"/>
      <c r="ADZ208" s="653"/>
      <c r="AEA208" s="653"/>
      <c r="AEB208" s="653"/>
      <c r="AEC208" s="653"/>
      <c r="AIN208" s="849"/>
      <c r="AIO208" s="852" t="s">
        <v>416</v>
      </c>
      <c r="AIP208" s="853"/>
      <c r="AIQ208" s="142"/>
      <c r="AIR208" s="1856" t="s">
        <v>1677</v>
      </c>
      <c r="AIS208" s="1857"/>
      <c r="AIT208" s="1857"/>
      <c r="AIU208" s="1857"/>
      <c r="AIV208" s="1857"/>
      <c r="AIW208" s="1858"/>
      <c r="AIX208" s="142"/>
      <c r="AIY208" s="76" t="s">
        <v>441</v>
      </c>
      <c r="AIZ208" s="854" t="s">
        <v>435</v>
      </c>
      <c r="AJA208" s="855"/>
      <c r="AJB208" s="920" t="s">
        <v>111</v>
      </c>
      <c r="AJC208" s="921"/>
      <c r="AJD208" s="916" t="s">
        <v>704</v>
      </c>
      <c r="AJE208" s="917"/>
      <c r="AJF208" s="906" t="s">
        <v>447</v>
      </c>
      <c r="AJG208" s="907"/>
      <c r="AJH208" s="907"/>
      <c r="AJI208" s="907"/>
      <c r="AJJ208" s="1051" t="s">
        <v>436</v>
      </c>
      <c r="AJK208" s="1051"/>
      <c r="AJL208" s="1051"/>
      <c r="AJM208" s="1051"/>
      <c r="AJN208" s="1051"/>
      <c r="AJO208" s="1051"/>
      <c r="AJP208" s="1051"/>
      <c r="AJQ208" s="1051"/>
      <c r="AJR208" s="1051"/>
      <c r="AJS208" s="1051"/>
      <c r="AJT208" s="1051"/>
      <c r="AJU208" s="1051"/>
      <c r="AJV208" s="1051"/>
      <c r="AJW208" s="1051"/>
      <c r="AJX208" s="1051"/>
      <c r="AJY208" s="1051"/>
      <c r="AJZ208" s="1051"/>
      <c r="AKA208" s="1051"/>
      <c r="AKB208" s="1051"/>
      <c r="AKC208" s="1051"/>
      <c r="AKD208" s="1051"/>
      <c r="AKE208" s="1051"/>
      <c r="AKF208" s="1051"/>
      <c r="AKG208" s="1051"/>
      <c r="AKH208" s="1051"/>
      <c r="AKI208" s="1051"/>
      <c r="AKJ208" s="1051"/>
      <c r="AKK208" s="1051"/>
      <c r="AKL208" s="1051"/>
      <c r="ARU208" s="849"/>
      <c r="ARV208" s="852" t="s">
        <v>416</v>
      </c>
      <c r="ARW208" s="853"/>
      <c r="ARX208" s="142"/>
      <c r="ARY208" s="78"/>
      <c r="ARZ208" s="78"/>
      <c r="ASA208" s="78"/>
      <c r="ASB208" s="78"/>
      <c r="ASC208" s="78"/>
      <c r="ASD208" s="78"/>
      <c r="ASE208" s="142"/>
      <c r="ASF208" s="76" t="s">
        <v>441</v>
      </c>
      <c r="ASG208" s="854" t="s">
        <v>435</v>
      </c>
      <c r="ASH208" s="1111"/>
      <c r="ASI208" s="924" t="s">
        <v>111</v>
      </c>
      <c r="ASJ208" s="925"/>
      <c r="ASK208" s="916" t="s">
        <v>704</v>
      </c>
      <c r="ASL208" s="917"/>
      <c r="ASM208" s="906" t="s">
        <v>447</v>
      </c>
      <c r="ASN208" s="907"/>
      <c r="ASO208" s="907"/>
      <c r="ASP208" s="908"/>
    </row>
    <row r="209" spans="340:976 1165:1222" ht="48" customHeight="1">
      <c r="MB209" s="1023"/>
      <c r="MC209" s="1025"/>
      <c r="MD209" s="791" t="s">
        <v>1255</v>
      </c>
      <c r="ME209" s="792"/>
      <c r="MF209" s="792"/>
      <c r="MG209" s="792"/>
      <c r="MH209" s="792"/>
      <c r="MI209" s="792"/>
      <c r="MJ209" s="792"/>
      <c r="MK209" s="358" t="s">
        <v>1257</v>
      </c>
      <c r="ML209" s="358" t="s">
        <v>1258</v>
      </c>
      <c r="MM209" s="358" t="s">
        <v>1259</v>
      </c>
      <c r="MN209" s="358" t="s">
        <v>1260</v>
      </c>
      <c r="MO209" s="358" t="s">
        <v>1261</v>
      </c>
      <c r="MP209" s="358" t="s">
        <v>1262</v>
      </c>
      <c r="MQ209" s="1271" t="str">
        <f>MK209</f>
        <v>[А]</v>
      </c>
      <c r="MR209" s="1272"/>
      <c r="MS209" s="159"/>
      <c r="MT209" s="160"/>
      <c r="MU209" s="160"/>
      <c r="MV209" s="160"/>
      <c r="MW209" s="160"/>
      <c r="MX209" s="160"/>
      <c r="MY209" s="160"/>
      <c r="MZ209" s="160"/>
      <c r="NA209" s="161"/>
      <c r="NB209" s="653"/>
      <c r="NC209" s="653"/>
      <c r="ND209" s="653"/>
      <c r="NE209" s="653"/>
      <c r="NF209" s="653"/>
      <c r="NG209" s="653"/>
      <c r="NH209" s="653"/>
      <c r="WE209" s="752">
        <v>35</v>
      </c>
      <c r="WF209" s="753"/>
      <c r="WG209" s="800" t="s">
        <v>1724</v>
      </c>
      <c r="WH209" s="801"/>
      <c r="WI209" s="761">
        <f>$XV$27</f>
        <v>39.918423323144204</v>
      </c>
      <c r="WJ209" s="761"/>
      <c r="WK209" s="168"/>
      <c r="WL209" s="168"/>
      <c r="WM209" s="168"/>
      <c r="WN209" s="168"/>
      <c r="WO209" s="168"/>
      <c r="WP209" s="168"/>
      <c r="WQ209" s="168"/>
      <c r="WR209" s="168"/>
      <c r="WS209" s="168"/>
      <c r="WT209" s="168"/>
      <c r="WU209" s="168"/>
      <c r="WV209" s="168"/>
      <c r="WW209" s="168"/>
      <c r="WX209" s="168"/>
      <c r="WY209" s="171"/>
      <c r="WZ209" s="998" t="s">
        <v>729</v>
      </c>
      <c r="XA209" s="999"/>
      <c r="XB209" s="167"/>
      <c r="XC209" s="168"/>
      <c r="XD209" s="168"/>
      <c r="XE209" s="168"/>
      <c r="XF209" s="171"/>
      <c r="XG209" s="1004">
        <f>(XG200/26)^2*XG101*0.2/XG79</f>
        <v>12.736974355132494</v>
      </c>
      <c r="XH209" s="1004">
        <f t="shared" ref="XH209:XT209" si="277">(XH200/26)^2*XH101*0.2/XH79</f>
        <v>24.877261838856711</v>
      </c>
      <c r="XI209" s="1004">
        <f t="shared" si="277"/>
        <v>36.314073762296516</v>
      </c>
      <c r="XJ209" s="1004">
        <f t="shared" si="277"/>
        <v>46.97109787442713</v>
      </c>
      <c r="XK209" s="1004">
        <f t="shared" si="277"/>
        <v>56.794325759108467</v>
      </c>
      <c r="XL209" s="1004">
        <f t="shared" si="277"/>
        <v>65.772100578723425</v>
      </c>
      <c r="XM209" s="1004">
        <f t="shared" si="277"/>
        <v>73.887905432053486</v>
      </c>
      <c r="XN209" s="1004">
        <f t="shared" si="277"/>
        <v>81.164881650293424</v>
      </c>
      <c r="XO209" s="1004">
        <f t="shared" si="277"/>
        <v>87.793580244864245</v>
      </c>
      <c r="XP209" s="1004">
        <f t="shared" si="277"/>
        <v>93.852059932613017</v>
      </c>
      <c r="XQ209" s="1004">
        <f t="shared" si="277"/>
        <v>98.981228351348875</v>
      </c>
      <c r="XR209" s="1004">
        <f t="shared" si="277"/>
        <v>103.75002058985528</v>
      </c>
      <c r="XS209" s="1004">
        <f t="shared" si="277"/>
        <v>107.66521994057371</v>
      </c>
      <c r="XT209" s="1004">
        <f t="shared" si="277"/>
        <v>110.29661863574054</v>
      </c>
      <c r="XU209" s="1004">
        <f t="shared" ref="XU209:YG209" si="278">(XU200/26)^2*XU101*0.2/XU79</f>
        <v>112.94656627403859</v>
      </c>
      <c r="XV209" s="1004">
        <f t="shared" si="278"/>
        <v>114.63576683323491</v>
      </c>
      <c r="XW209" s="1004">
        <f t="shared" si="278"/>
        <v>115.52465948358702</v>
      </c>
      <c r="XX209" s="1004">
        <f t="shared" si="278"/>
        <v>115.63359561506849</v>
      </c>
      <c r="XY209" s="1004">
        <f t="shared" si="278"/>
        <v>115.1148471058609</v>
      </c>
      <c r="XZ209" s="1004">
        <f t="shared" si="278"/>
        <v>114.06276249034943</v>
      </c>
      <c r="YA209" s="1004">
        <f t="shared" si="278"/>
        <v>114.96593364011237</v>
      </c>
      <c r="YB209" s="1004">
        <f t="shared" si="278"/>
        <v>112.83886368018139</v>
      </c>
      <c r="YC209" s="1004">
        <f t="shared" si="278"/>
        <v>110.24527793856993</v>
      </c>
      <c r="YD209" s="1004">
        <f t="shared" si="278"/>
        <v>107.70090566694964</v>
      </c>
      <c r="YE209" s="1004">
        <f t="shared" si="278"/>
        <v>104.73754360224711</v>
      </c>
      <c r="YF209" s="1004">
        <f t="shared" si="278"/>
        <v>101.95454423124264</v>
      </c>
      <c r="YG209" s="1004">
        <f t="shared" si="278"/>
        <v>98.574664517817823</v>
      </c>
      <c r="YH209" s="1004">
        <f>(YH200/26)^2*YH101*0.2/YH79</f>
        <v>95.659459483404405</v>
      </c>
      <c r="YI209" s="1004">
        <f t="shared" ref="YI209:YN209" si="279">(YI200/26)^2*YI101*0.2/YI79</f>
        <v>92.736237915490918</v>
      </c>
      <c r="YJ209" s="1004">
        <f t="shared" si="279"/>
        <v>89.338110330439108</v>
      </c>
      <c r="YK209" s="1004">
        <f t="shared" si="279"/>
        <v>86.481961092002607</v>
      </c>
      <c r="YL209" s="1004">
        <f t="shared" si="279"/>
        <v>83.488700064514447</v>
      </c>
      <c r="YM209" s="1004">
        <f t="shared" si="279"/>
        <v>80.760776933234808</v>
      </c>
      <c r="YN209" s="1004">
        <f t="shared" si="279"/>
        <v>78.10916833984669</v>
      </c>
      <c r="YO209" s="1004">
        <f>(YO200/26)^2*YO101*0.2/YO79</f>
        <v>75.358090001368481</v>
      </c>
      <c r="YP209" s="1004">
        <f>(YP200/26)^2*YP101*0.2/YP79</f>
        <v>72.878613483957679</v>
      </c>
      <c r="YQ209" s="1004">
        <f>(YQ200/26)^2*YQ101*0.2/YQ79</f>
        <v>70.313779190086905</v>
      </c>
      <c r="YR209" s="1004">
        <f>(YR200/26)^2*YR101*0.2/YR79</f>
        <v>67.845833101558938</v>
      </c>
      <c r="YS209" s="1004">
        <f>(YS200/26)^2*YS101*0.2/YS79</f>
        <v>65.639296348276943</v>
      </c>
      <c r="YT209" s="1004">
        <f t="shared" ref="YT209:AAI209" si="280">(YT200/26)^2*YT101*0.2/YT79</f>
        <v>63.711898730334099</v>
      </c>
      <c r="YU209" s="1004">
        <f t="shared" si="280"/>
        <v>61.510519622834416</v>
      </c>
      <c r="YV209" s="1004">
        <f t="shared" si="280"/>
        <v>59.553434332602826</v>
      </c>
      <c r="YW209" s="1004">
        <f t="shared" si="280"/>
        <v>57.52827757935512</v>
      </c>
      <c r="YX209" s="1004">
        <f t="shared" si="280"/>
        <v>55.889902610204786</v>
      </c>
      <c r="YY209" s="1004">
        <f t="shared" si="280"/>
        <v>54.020456890991355</v>
      </c>
      <c r="YZ209" s="1004">
        <f t="shared" si="280"/>
        <v>52.647877909648038</v>
      </c>
      <c r="ZA209" s="1004">
        <f t="shared" si="280"/>
        <v>50.91956184082472</v>
      </c>
      <c r="ZB209" s="1004">
        <f t="shared" si="280"/>
        <v>49.265303549944647</v>
      </c>
      <c r="ZC209" s="1004">
        <f t="shared" si="280"/>
        <v>47.929490588287678</v>
      </c>
      <c r="ZD209" s="1004">
        <f t="shared" si="280"/>
        <v>46.403174242714222</v>
      </c>
      <c r="ZE209" s="1004">
        <f t="shared" si="280"/>
        <v>45.292633866293187</v>
      </c>
      <c r="ZF209" s="1004">
        <f t="shared" si="280"/>
        <v>44.102856360584504</v>
      </c>
      <c r="ZG209" s="1004">
        <f t="shared" si="280"/>
        <v>42.740930572009162</v>
      </c>
      <c r="ZH209" s="1004">
        <f t="shared" si="280"/>
        <v>41.642457012645323</v>
      </c>
      <c r="ZI209" s="1004">
        <f t="shared" si="280"/>
        <v>40.383679600349332</v>
      </c>
      <c r="ZJ209" s="1004">
        <f t="shared" si="280"/>
        <v>39.368540283787162</v>
      </c>
      <c r="ZK209" s="1004">
        <f t="shared" si="280"/>
        <v>38.38922804234938</v>
      </c>
      <c r="ZL209" s="1004">
        <f t="shared" si="280"/>
        <v>37.366985263903899</v>
      </c>
      <c r="ZM209" s="1004">
        <f t="shared" si="280"/>
        <v>36.458284576467008</v>
      </c>
      <c r="ZN209" s="1004">
        <f t="shared" si="280"/>
        <v>35.580915134475532</v>
      </c>
      <c r="ZO209" s="1004">
        <f t="shared" si="280"/>
        <v>34.733559072445971</v>
      </c>
      <c r="ZP209" s="1004">
        <f t="shared" si="280"/>
        <v>33.757872960061952</v>
      </c>
      <c r="ZQ209" s="1004">
        <f t="shared" si="280"/>
        <v>32.971619465488992</v>
      </c>
      <c r="ZR209" s="1004">
        <f t="shared" si="280"/>
        <v>32.21159261451114</v>
      </c>
      <c r="ZS209" s="1004">
        <f t="shared" si="280"/>
        <v>31.476704717937547</v>
      </c>
      <c r="ZT209" s="1004">
        <f t="shared" si="280"/>
        <v>30.76591827822644</v>
      </c>
      <c r="ZU209" s="1004">
        <f t="shared" si="280"/>
        <v>29.944608335883864</v>
      </c>
      <c r="ZV209" s="1004">
        <f t="shared" si="280"/>
        <v>29.283030367974046</v>
      </c>
      <c r="ZW209" s="1004">
        <f t="shared" si="280"/>
        <v>28.642577132057752</v>
      </c>
      <c r="ZX209" s="1004">
        <f t="shared" si="280"/>
        <v>28.022396396628022</v>
      </c>
      <c r="ZY209" s="1004">
        <f t="shared" si="280"/>
        <v>27.498646460917389</v>
      </c>
      <c r="ZZ209" s="1004">
        <f t="shared" si="280"/>
        <v>26.915095537334125</v>
      </c>
      <c r="AAA209" s="1004">
        <f t="shared" si="280"/>
        <v>26.349531274891831</v>
      </c>
      <c r="AAB209" s="1004">
        <f t="shared" si="280"/>
        <v>25.80124726680101</v>
      </c>
      <c r="AAC209" s="1004">
        <f t="shared" si="280"/>
        <v>25.2695695370431</v>
      </c>
      <c r="AAD209" s="1004">
        <f t="shared" si="280"/>
        <v>24.753854939846764</v>
      </c>
      <c r="AAE209" s="1004">
        <f t="shared" si="280"/>
        <v>24.253489632659718</v>
      </c>
      <c r="AAF209" s="1004">
        <f t="shared" si="280"/>
        <v>23.767887621098993</v>
      </c>
      <c r="AAG209" s="1004">
        <f t="shared" si="280"/>
        <v>23.296489373987903</v>
      </c>
      <c r="AAH209" s="1004">
        <f t="shared" si="280"/>
        <v>22.838760506312607</v>
      </c>
      <c r="AAI209" s="1004">
        <f t="shared" si="280"/>
        <v>22.394190527737422</v>
      </c>
      <c r="AAJ209" s="1004">
        <f t="shared" ref="AAJ209:AAS209" si="281">(AAJ200/26)^2*AAJ101*0.2/AAJ79</f>
        <v>21.962291654189155</v>
      </c>
      <c r="AAK209" s="1004">
        <f t="shared" si="281"/>
        <v>21.54259767994435</v>
      </c>
      <c r="AAL209" s="1004">
        <f t="shared" si="281"/>
        <v>21.134662907619532</v>
      </c>
      <c r="AAM209" s="1004">
        <f t="shared" si="281"/>
        <v>20.738061133463098</v>
      </c>
      <c r="AAN209" s="1004">
        <f t="shared" si="281"/>
        <v>20.352384685372908</v>
      </c>
      <c r="AAO209" s="1004">
        <f t="shared" si="281"/>
        <v>19.977243511108949</v>
      </c>
      <c r="AAP209" s="1004">
        <f t="shared" si="281"/>
        <v>19.612264314230952</v>
      </c>
      <c r="AAQ209" s="1004">
        <f t="shared" si="281"/>
        <v>19.330210726377505</v>
      </c>
      <c r="AAR209" s="1004">
        <f t="shared" si="281"/>
        <v>18.982682701597877</v>
      </c>
      <c r="AAS209" s="1004">
        <f t="shared" si="281"/>
        <v>18.644347684712557</v>
      </c>
      <c r="AAT209" s="1005">
        <v>35</v>
      </c>
      <c r="AAU209" s="167"/>
      <c r="AAV209" s="168"/>
      <c r="AAW209" s="168"/>
      <c r="AAX209" s="168"/>
      <c r="AAY209" s="168"/>
      <c r="AAZ209" s="168"/>
      <c r="ABA209" s="168"/>
      <c r="ABB209" s="168"/>
      <c r="ABC209" s="168"/>
      <c r="ABD209" s="168"/>
      <c r="ABE209" s="168"/>
      <c r="ABF209" s="171"/>
      <c r="ABG209" s="158"/>
      <c r="ABH209" s="158"/>
      <c r="ABI209" s="158"/>
      <c r="ABJ209" s="158"/>
      <c r="ABK209" s="158"/>
      <c r="ABL209" s="158"/>
      <c r="ABM209" s="158"/>
      <c r="ABN209" s="158"/>
      <c r="ABO209" s="158"/>
      <c r="ABP209" s="163"/>
      <c r="ABS209" s="653"/>
      <c r="ABT209" s="653"/>
      <c r="ABU209" s="653"/>
      <c r="ABV209" s="653"/>
      <c r="ABW209" s="653"/>
      <c r="ABX209" s="653"/>
      <c r="ABY209" s="1026"/>
      <c r="ABZ209" s="1027"/>
      <c r="ACA209" s="1027"/>
      <c r="ACB209" s="1027"/>
      <c r="ACC209" s="1027"/>
      <c r="ACD209" s="1027"/>
      <c r="ACE209" s="1027"/>
      <c r="ACF209" s="1027"/>
      <c r="ACG209" s="1027"/>
      <c r="ACH209" s="1028"/>
      <c r="ACI209" s="653"/>
      <c r="ACJ209" s="653"/>
      <c r="ACK209" s="653"/>
      <c r="ACL209" s="653"/>
      <c r="ACM209" s="653"/>
      <c r="ACN209" s="653"/>
      <c r="ACO209" s="653"/>
      <c r="ACP209" s="653"/>
      <c r="ACQ209" s="653"/>
      <c r="ACR209" s="993"/>
      <c r="ACS209" s="994"/>
      <c r="ACT209" s="994"/>
      <c r="ACU209" s="994"/>
      <c r="ACV209" s="994"/>
      <c r="ACW209" s="994"/>
      <c r="ACX209" s="994"/>
      <c r="ACY209" s="972"/>
      <c r="ACZ209" s="653"/>
      <c r="ADA209" s="653"/>
      <c r="ADB209" s="653"/>
      <c r="ADV209" s="653"/>
      <c r="ADW209" s="653"/>
      <c r="ADX209" s="653"/>
      <c r="ADY209" s="653"/>
      <c r="ADZ209" s="653"/>
      <c r="AEA209" s="653"/>
      <c r="AEB209" s="653"/>
      <c r="AEC209" s="653"/>
      <c r="AGN209" s="199"/>
      <c r="AGO209" s="852" t="s">
        <v>1752</v>
      </c>
      <c r="AGP209" s="923"/>
      <c r="AGQ209" s="199"/>
      <c r="AGR209" s="1117" t="s">
        <v>1037</v>
      </c>
      <c r="AGS209" s="1118"/>
      <c r="AGT209" s="1118"/>
      <c r="AGU209" s="1118"/>
      <c r="AGV209" s="1118"/>
      <c r="AGW209" s="1118"/>
      <c r="AGX209" s="1118"/>
      <c r="AGY209" s="1118"/>
      <c r="AGZ209" s="1118"/>
      <c r="AHA209" s="1118"/>
      <c r="AHB209" s="1119"/>
      <c r="AHC209" s="199"/>
      <c r="AIN209" s="850"/>
      <c r="AIO209" s="809" t="s">
        <v>130</v>
      </c>
      <c r="AIP209" s="797"/>
      <c r="AIQ209" s="797"/>
      <c r="AIR209" s="797"/>
      <c r="AIS209" s="797"/>
      <c r="AIT209" s="797"/>
      <c r="AIU209" s="797"/>
      <c r="AIV209" s="797"/>
      <c r="AIW209" s="797"/>
      <c r="AIX209" s="797"/>
      <c r="AIY209" s="797"/>
      <c r="AIZ209" s="797"/>
      <c r="AJA209" s="798"/>
      <c r="AJB209" s="835">
        <f>AP7/(((((MP23+AGZ93)^2)/AGZ326)+(MP98+AGZ122)^2)^0.5)</f>
        <v>259.60947028232528</v>
      </c>
      <c r="AJC209" s="836"/>
      <c r="AJD209" s="839"/>
      <c r="AJE209" s="840"/>
      <c r="AJF209" s="1066"/>
      <c r="AJG209" s="843" t="s">
        <v>984</v>
      </c>
      <c r="AJH209" s="844"/>
      <c r="AJI209" s="847"/>
      <c r="AJJ209" s="1052"/>
      <c r="AJK209" s="1052"/>
      <c r="AJL209" s="1052"/>
      <c r="AJM209" s="1052"/>
      <c r="AJN209" s="1052"/>
      <c r="AJO209" s="1052"/>
      <c r="AJP209" s="1052"/>
      <c r="AJQ209" s="1052"/>
      <c r="AJR209" s="1052"/>
      <c r="AJS209" s="1052"/>
      <c r="AJT209" s="1052"/>
      <c r="AJU209" s="1052"/>
      <c r="AJV209" s="1052"/>
      <c r="AJW209" s="1052"/>
      <c r="AJX209" s="1052"/>
      <c r="AJY209" s="1052"/>
      <c r="AJZ209" s="1052"/>
      <c r="AKA209" s="1052"/>
      <c r="AKB209" s="1052"/>
      <c r="AKC209" s="1052"/>
      <c r="AKD209" s="1052"/>
      <c r="AKE209" s="1052"/>
      <c r="AKF209" s="1052"/>
      <c r="AKG209" s="1052"/>
      <c r="AKH209" s="1052"/>
      <c r="AKI209" s="1052"/>
      <c r="AKJ209" s="1052"/>
      <c r="AKK209" s="1052"/>
      <c r="AKL209" s="1052"/>
      <c r="ARU209" s="850"/>
      <c r="ARV209" s="957" t="s">
        <v>971</v>
      </c>
      <c r="ARW209" s="957"/>
      <c r="ARX209" s="957"/>
      <c r="ARY209" s="957"/>
      <c r="ARZ209" s="957"/>
      <c r="ASA209" s="957"/>
      <c r="ASB209" s="957"/>
      <c r="ASC209" s="957"/>
      <c r="ASD209" s="957"/>
      <c r="ASE209" s="957"/>
      <c r="ASF209" s="957"/>
      <c r="ASG209" s="957"/>
      <c r="ASH209" s="957"/>
      <c r="ASI209" s="835">
        <v>2.6</v>
      </c>
      <c r="ASJ209" s="836"/>
      <c r="ASK209" s="839"/>
      <c r="ASL209" s="840"/>
      <c r="ASM209" s="1066"/>
      <c r="ASN209" s="843" t="s">
        <v>416</v>
      </c>
      <c r="ASO209" s="844"/>
      <c r="ASP209" s="847"/>
    </row>
    <row r="210" spans="340:976 1165:1222" ht="48" customHeight="1" thickBot="1">
      <c r="MB210" s="1029"/>
      <c r="MC210" s="1031"/>
      <c r="MD210" s="909"/>
      <c r="ME210" s="910"/>
      <c r="MF210" s="910"/>
      <c r="MG210" s="910"/>
      <c r="MH210" s="910"/>
      <c r="MI210" s="910"/>
      <c r="MJ210" s="1239"/>
      <c r="MK210" s="1279" t="s">
        <v>1568</v>
      </c>
      <c r="ML210" s="1280"/>
      <c r="MM210" s="1280"/>
      <c r="MN210" s="1280"/>
      <c r="MO210" s="1280"/>
      <c r="MP210" s="1281"/>
      <c r="MQ210" s="1273"/>
      <c r="MR210" s="1274"/>
      <c r="MS210" s="164"/>
      <c r="MT210" s="165"/>
      <c r="MU210" s="165"/>
      <c r="MV210" s="165"/>
      <c r="MW210" s="165"/>
      <c r="MX210" s="165"/>
      <c r="MY210" s="165"/>
      <c r="MZ210" s="165"/>
      <c r="NA210" s="166"/>
      <c r="NB210" s="653"/>
      <c r="NC210" s="653"/>
      <c r="ND210" s="653"/>
      <c r="NE210" s="653"/>
      <c r="NF210" s="653"/>
      <c r="NG210" s="653"/>
      <c r="NH210" s="653"/>
      <c r="WE210" s="996"/>
      <c r="WF210" s="997"/>
      <c r="WG210" s="175"/>
      <c r="WH210" s="173"/>
      <c r="WI210" s="173"/>
      <c r="WJ210" s="173"/>
      <c r="WK210" s="173"/>
      <c r="WL210" s="173"/>
      <c r="WM210" s="173"/>
      <c r="WN210" s="173"/>
      <c r="WO210" s="173"/>
      <c r="WP210" s="173"/>
      <c r="WQ210" s="173"/>
      <c r="WR210" s="173"/>
      <c r="WS210" s="173"/>
      <c r="WT210" s="173"/>
      <c r="WU210" s="173"/>
      <c r="WV210" s="173"/>
      <c r="WW210" s="173"/>
      <c r="WX210" s="173"/>
      <c r="WY210" s="174"/>
      <c r="WZ210" s="1000"/>
      <c r="XA210" s="1001"/>
      <c r="XB210" s="175"/>
      <c r="XC210" s="173"/>
      <c r="XD210" s="173"/>
      <c r="XE210" s="173"/>
      <c r="XF210" s="174"/>
      <c r="XG210" s="1004"/>
      <c r="XH210" s="1004"/>
      <c r="XI210" s="1004"/>
      <c r="XJ210" s="1004"/>
      <c r="XK210" s="1004"/>
      <c r="XL210" s="1004"/>
      <c r="XM210" s="1004"/>
      <c r="XN210" s="1004"/>
      <c r="XO210" s="1004"/>
      <c r="XP210" s="1004"/>
      <c r="XQ210" s="1004"/>
      <c r="XR210" s="1004"/>
      <c r="XS210" s="1004"/>
      <c r="XT210" s="1004"/>
      <c r="XU210" s="1004"/>
      <c r="XV210" s="1004"/>
      <c r="XW210" s="1004"/>
      <c r="XX210" s="1004"/>
      <c r="XY210" s="1004"/>
      <c r="XZ210" s="1004"/>
      <c r="YA210" s="1004"/>
      <c r="YB210" s="1004"/>
      <c r="YC210" s="1004"/>
      <c r="YD210" s="1004"/>
      <c r="YE210" s="1004"/>
      <c r="YF210" s="1004"/>
      <c r="YG210" s="1004"/>
      <c r="YH210" s="1004"/>
      <c r="YI210" s="1004"/>
      <c r="YJ210" s="1004"/>
      <c r="YK210" s="1004"/>
      <c r="YL210" s="1004"/>
      <c r="YM210" s="1004"/>
      <c r="YN210" s="1004"/>
      <c r="YO210" s="1004"/>
      <c r="YP210" s="1004"/>
      <c r="YQ210" s="1004"/>
      <c r="YR210" s="1004"/>
      <c r="YS210" s="1004"/>
      <c r="YT210" s="1004"/>
      <c r="YU210" s="1004"/>
      <c r="YV210" s="1004"/>
      <c r="YW210" s="1004"/>
      <c r="YX210" s="1004"/>
      <c r="YY210" s="1004"/>
      <c r="YZ210" s="1004"/>
      <c r="ZA210" s="1004"/>
      <c r="ZB210" s="1004"/>
      <c r="ZC210" s="1004"/>
      <c r="ZD210" s="1004"/>
      <c r="ZE210" s="1004"/>
      <c r="ZF210" s="1004"/>
      <c r="ZG210" s="1004"/>
      <c r="ZH210" s="1004"/>
      <c r="ZI210" s="1004"/>
      <c r="ZJ210" s="1004"/>
      <c r="ZK210" s="1004"/>
      <c r="ZL210" s="1004"/>
      <c r="ZM210" s="1004"/>
      <c r="ZN210" s="1004"/>
      <c r="ZO210" s="1004"/>
      <c r="ZP210" s="1004"/>
      <c r="ZQ210" s="1004"/>
      <c r="ZR210" s="1004"/>
      <c r="ZS210" s="1004"/>
      <c r="ZT210" s="1004"/>
      <c r="ZU210" s="1004"/>
      <c r="ZV210" s="1004"/>
      <c r="ZW210" s="1004"/>
      <c r="ZX210" s="1004"/>
      <c r="ZY210" s="1004"/>
      <c r="ZZ210" s="1004"/>
      <c r="AAA210" s="1004"/>
      <c r="AAB210" s="1004"/>
      <c r="AAC210" s="1004"/>
      <c r="AAD210" s="1004"/>
      <c r="AAE210" s="1004"/>
      <c r="AAF210" s="1004"/>
      <c r="AAG210" s="1004"/>
      <c r="AAH210" s="1004"/>
      <c r="AAI210" s="1004"/>
      <c r="AAJ210" s="1004"/>
      <c r="AAK210" s="1004"/>
      <c r="AAL210" s="1004"/>
      <c r="AAM210" s="1004"/>
      <c r="AAN210" s="1004"/>
      <c r="AAO210" s="1004"/>
      <c r="AAP210" s="1004"/>
      <c r="AAQ210" s="1004"/>
      <c r="AAR210" s="1004"/>
      <c r="AAS210" s="1004"/>
      <c r="AAT210" s="1006"/>
      <c r="AAU210" s="175"/>
      <c r="AAV210" s="173"/>
      <c r="AAW210" s="173"/>
      <c r="AAX210" s="173"/>
      <c r="AAY210" s="173"/>
      <c r="AAZ210" s="173"/>
      <c r="ABA210" s="173"/>
      <c r="ABB210" s="173"/>
      <c r="ABC210" s="173"/>
      <c r="ABD210" s="173"/>
      <c r="ABE210" s="173"/>
      <c r="ABF210" s="174"/>
      <c r="ABG210" s="158"/>
      <c r="ABH210" s="158"/>
      <c r="ABI210" s="158"/>
      <c r="ABJ210" s="158"/>
      <c r="ABK210" s="158"/>
      <c r="ABL210" s="158"/>
      <c r="ABM210" s="158"/>
      <c r="ABN210" s="158"/>
      <c r="ABO210" s="158"/>
      <c r="ABP210" s="163"/>
      <c r="ABS210" s="653"/>
      <c r="ABT210" s="653"/>
      <c r="ABU210" s="653"/>
      <c r="ABV210" s="653"/>
      <c r="ABW210" s="653"/>
      <c r="ABX210" s="653"/>
      <c r="ABY210" s="1026"/>
      <c r="ABZ210" s="1027"/>
      <c r="ACA210" s="1027"/>
      <c r="ACB210" s="1027"/>
      <c r="ACC210" s="1027"/>
      <c r="ACD210" s="1027"/>
      <c r="ACE210" s="1027"/>
      <c r="ACF210" s="1027"/>
      <c r="ACG210" s="1027"/>
      <c r="ACH210" s="1028"/>
      <c r="ACI210" s="653"/>
      <c r="ACJ210" s="653"/>
      <c r="ACK210" s="653"/>
      <c r="ACL210" s="653"/>
      <c r="ACM210" s="653"/>
      <c r="ACN210" s="653"/>
      <c r="ACO210" s="653"/>
      <c r="ACP210" s="653"/>
      <c r="ACQ210" s="653"/>
      <c r="ACR210" s="591"/>
      <c r="ACS210" s="591"/>
      <c r="ACT210" s="591"/>
      <c r="ACU210" s="591"/>
      <c r="ACV210" s="591"/>
      <c r="ACW210" s="591"/>
      <c r="ACX210" s="591"/>
      <c r="ACY210" s="591"/>
      <c r="ACZ210" s="653"/>
      <c r="ADA210" s="653"/>
      <c r="ADB210" s="653"/>
      <c r="AIN210" s="850"/>
      <c r="AIO210" s="775"/>
      <c r="AIP210" s="776"/>
      <c r="AIQ210" s="776"/>
      <c r="AIR210" s="776"/>
      <c r="AIS210" s="776"/>
      <c r="AIT210" s="776"/>
      <c r="AIU210" s="776"/>
      <c r="AIV210" s="776"/>
      <c r="AIW210" s="776"/>
      <c r="AIX210" s="776"/>
      <c r="AIY210" s="776"/>
      <c r="AIZ210" s="776"/>
      <c r="AJA210" s="815"/>
      <c r="AJB210" s="837"/>
      <c r="AJC210" s="838"/>
      <c r="AJD210" s="777"/>
      <c r="AJE210" s="799"/>
      <c r="AJF210" s="1067"/>
      <c r="AJG210" s="845"/>
      <c r="AJH210" s="846"/>
      <c r="AJI210" s="848"/>
      <c r="AJJ210" s="1052"/>
      <c r="AJK210" s="1052"/>
      <c r="AJL210" s="1052"/>
      <c r="AJM210" s="1052"/>
      <c r="AJN210" s="1052"/>
      <c r="AJO210" s="1052"/>
      <c r="AJP210" s="1052"/>
      <c r="AJQ210" s="1052"/>
      <c r="AJR210" s="1052"/>
      <c r="AJS210" s="1052"/>
      <c r="AJT210" s="1052"/>
      <c r="AJU210" s="1052"/>
      <c r="AJV210" s="1052"/>
      <c r="AJW210" s="1052"/>
      <c r="AJX210" s="1052"/>
      <c r="AJY210" s="1052"/>
      <c r="AJZ210" s="1052"/>
      <c r="AKA210" s="1052"/>
      <c r="AKB210" s="1052"/>
      <c r="AKC210" s="1052"/>
      <c r="AKD210" s="1052"/>
      <c r="AKE210" s="1052"/>
      <c r="AKF210" s="1052"/>
      <c r="AKG210" s="1052"/>
      <c r="AKH210" s="1052"/>
      <c r="AKI210" s="1052"/>
      <c r="AKJ210" s="1052"/>
      <c r="AKK210" s="1052"/>
      <c r="AKL210" s="1052"/>
      <c r="ARU210" s="851"/>
      <c r="ARV210" s="1147"/>
      <c r="ARW210" s="1147"/>
      <c r="ARX210" s="1147"/>
      <c r="ARY210" s="1147"/>
      <c r="ARZ210" s="1147"/>
      <c r="ASA210" s="1147"/>
      <c r="ASB210" s="1147"/>
      <c r="ASC210" s="1147"/>
      <c r="ASD210" s="1147"/>
      <c r="ASE210" s="1147"/>
      <c r="ASF210" s="1147"/>
      <c r="ASG210" s="1147"/>
      <c r="ASH210" s="1147"/>
      <c r="ASI210" s="837"/>
      <c r="ASJ210" s="838"/>
      <c r="ASK210" s="777"/>
      <c r="ASL210" s="799"/>
      <c r="ASM210" s="1067"/>
      <c r="ASN210" s="845"/>
      <c r="ASO210" s="846"/>
      <c r="ASP210" s="848"/>
    </row>
    <row r="211" spans="340:976 1165:1222" ht="48" customHeight="1" thickBot="1">
      <c r="MB211" s="897" t="s">
        <v>973</v>
      </c>
      <c r="MC211" s="898"/>
      <c r="MD211" s="899"/>
      <c r="ME211" s="197" t="s">
        <v>849</v>
      </c>
      <c r="MF211" s="852" t="s">
        <v>416</v>
      </c>
      <c r="MG211" s="853"/>
      <c r="MH211" s="344"/>
      <c r="MI211" s="779" t="s">
        <v>1854</v>
      </c>
      <c r="MJ211" s="780"/>
      <c r="MK211" s="781"/>
      <c r="ML211" s="76" t="s">
        <v>451</v>
      </c>
      <c r="MM211" s="344"/>
      <c r="MN211" s="76" t="s">
        <v>441</v>
      </c>
      <c r="MO211" s="854" t="s">
        <v>435</v>
      </c>
      <c r="MP211" s="855"/>
      <c r="MQ211" s="920" t="s">
        <v>111</v>
      </c>
      <c r="MR211" s="921"/>
      <c r="MS211" s="916" t="s">
        <v>704</v>
      </c>
      <c r="MT211" s="917"/>
      <c r="MU211" s="906" t="s">
        <v>447</v>
      </c>
      <c r="MV211" s="907"/>
      <c r="MW211" s="907"/>
      <c r="MX211" s="908"/>
      <c r="MY211" s="906" t="s">
        <v>436</v>
      </c>
      <c r="MZ211" s="907"/>
      <c r="NA211" s="908"/>
      <c r="NB211" s="653"/>
      <c r="NC211" s="653"/>
      <c r="ND211" s="653"/>
      <c r="NE211" s="653"/>
      <c r="NF211" s="653"/>
      <c r="NG211" s="653"/>
      <c r="NH211" s="653"/>
      <c r="WE211" s="754"/>
      <c r="WF211" s="755"/>
      <c r="WG211" s="169"/>
      <c r="WH211" s="170"/>
      <c r="WI211" s="170"/>
      <c r="WJ211" s="170"/>
      <c r="WK211" s="170"/>
      <c r="WL211" s="170"/>
      <c r="WM211" s="170"/>
      <c r="WN211" s="170"/>
      <c r="WO211" s="170"/>
      <c r="WP211" s="170"/>
      <c r="WQ211" s="170"/>
      <c r="WR211" s="170"/>
      <c r="WS211" s="170"/>
      <c r="WT211" s="170"/>
      <c r="WU211" s="170"/>
      <c r="WV211" s="170"/>
      <c r="WW211" s="170"/>
      <c r="WX211" s="170"/>
      <c r="WY211" s="172"/>
      <c r="WZ211" s="1002"/>
      <c r="XA211" s="1003"/>
      <c r="XB211" s="169"/>
      <c r="XC211" s="170"/>
      <c r="XD211" s="170"/>
      <c r="XE211" s="170"/>
      <c r="XF211" s="172"/>
      <c r="XG211" s="1004"/>
      <c r="XH211" s="1004"/>
      <c r="XI211" s="1004"/>
      <c r="XJ211" s="1004"/>
      <c r="XK211" s="1004"/>
      <c r="XL211" s="1004"/>
      <c r="XM211" s="1004"/>
      <c r="XN211" s="1004"/>
      <c r="XO211" s="1004"/>
      <c r="XP211" s="1004"/>
      <c r="XQ211" s="1004"/>
      <c r="XR211" s="1004"/>
      <c r="XS211" s="1004"/>
      <c r="XT211" s="1004"/>
      <c r="XU211" s="1004"/>
      <c r="XV211" s="1004"/>
      <c r="XW211" s="1004"/>
      <c r="XX211" s="1004"/>
      <c r="XY211" s="1004"/>
      <c r="XZ211" s="1004"/>
      <c r="YA211" s="1004"/>
      <c r="YB211" s="1004"/>
      <c r="YC211" s="1004"/>
      <c r="YD211" s="1004"/>
      <c r="YE211" s="1004"/>
      <c r="YF211" s="1004"/>
      <c r="YG211" s="1004"/>
      <c r="YH211" s="1004"/>
      <c r="YI211" s="1004"/>
      <c r="YJ211" s="1004"/>
      <c r="YK211" s="1004"/>
      <c r="YL211" s="1004"/>
      <c r="YM211" s="1004"/>
      <c r="YN211" s="1004"/>
      <c r="YO211" s="1004"/>
      <c r="YP211" s="1004"/>
      <c r="YQ211" s="1004"/>
      <c r="YR211" s="1004"/>
      <c r="YS211" s="1004"/>
      <c r="YT211" s="1004"/>
      <c r="YU211" s="1004"/>
      <c r="YV211" s="1004"/>
      <c r="YW211" s="1004"/>
      <c r="YX211" s="1004"/>
      <c r="YY211" s="1004"/>
      <c r="YZ211" s="1004"/>
      <c r="ZA211" s="1004"/>
      <c r="ZB211" s="1004"/>
      <c r="ZC211" s="1004"/>
      <c r="ZD211" s="1004"/>
      <c r="ZE211" s="1004"/>
      <c r="ZF211" s="1004"/>
      <c r="ZG211" s="1004"/>
      <c r="ZH211" s="1004"/>
      <c r="ZI211" s="1004"/>
      <c r="ZJ211" s="1004"/>
      <c r="ZK211" s="1004"/>
      <c r="ZL211" s="1004"/>
      <c r="ZM211" s="1004"/>
      <c r="ZN211" s="1004"/>
      <c r="ZO211" s="1004"/>
      <c r="ZP211" s="1004"/>
      <c r="ZQ211" s="1004"/>
      <c r="ZR211" s="1004"/>
      <c r="ZS211" s="1004"/>
      <c r="ZT211" s="1004"/>
      <c r="ZU211" s="1004"/>
      <c r="ZV211" s="1004"/>
      <c r="ZW211" s="1004"/>
      <c r="ZX211" s="1004"/>
      <c r="ZY211" s="1004"/>
      <c r="ZZ211" s="1004"/>
      <c r="AAA211" s="1004"/>
      <c r="AAB211" s="1004"/>
      <c r="AAC211" s="1004"/>
      <c r="AAD211" s="1004"/>
      <c r="AAE211" s="1004"/>
      <c r="AAF211" s="1004"/>
      <c r="AAG211" s="1004"/>
      <c r="AAH211" s="1004"/>
      <c r="AAI211" s="1004"/>
      <c r="AAJ211" s="1004"/>
      <c r="AAK211" s="1004"/>
      <c r="AAL211" s="1004"/>
      <c r="AAM211" s="1004"/>
      <c r="AAN211" s="1004"/>
      <c r="AAO211" s="1004"/>
      <c r="AAP211" s="1004"/>
      <c r="AAQ211" s="1004"/>
      <c r="AAR211" s="1004"/>
      <c r="AAS211" s="1004"/>
      <c r="AAT211" s="1007"/>
      <c r="AAU211" s="169"/>
      <c r="AAV211" s="170"/>
      <c r="AAW211" s="170"/>
      <c r="AAX211" s="170"/>
      <c r="AAY211" s="170"/>
      <c r="AAZ211" s="170"/>
      <c r="ABA211" s="170"/>
      <c r="ABB211" s="170"/>
      <c r="ABC211" s="170"/>
      <c r="ABD211" s="170"/>
      <c r="ABE211" s="170"/>
      <c r="ABF211" s="172"/>
      <c r="ABG211" s="158"/>
      <c r="ABH211" s="158"/>
      <c r="ABI211" s="158"/>
      <c r="ABJ211" s="158"/>
      <c r="ABK211" s="158"/>
      <c r="ABL211" s="158"/>
      <c r="ABM211" s="158"/>
      <c r="ABN211" s="158"/>
      <c r="ABO211" s="158"/>
      <c r="ABP211" s="163"/>
      <c r="ABS211" s="653"/>
      <c r="ABT211" s="653"/>
      <c r="ABU211" s="653"/>
      <c r="ABV211" s="653"/>
      <c r="ABW211" s="653"/>
      <c r="ABX211" s="653"/>
      <c r="ABY211" s="1026"/>
      <c r="ABZ211" s="1027"/>
      <c r="ACA211" s="1027"/>
      <c r="ACB211" s="1027"/>
      <c r="ACC211" s="1027"/>
      <c r="ACD211" s="1027"/>
      <c r="ACE211" s="1027"/>
      <c r="ACF211" s="1027"/>
      <c r="ACG211" s="1027"/>
      <c r="ACH211" s="1028"/>
      <c r="ACI211" s="653"/>
      <c r="ACJ211" s="653"/>
      <c r="ACK211" s="653"/>
      <c r="ACL211" s="653"/>
      <c r="ACM211" s="653"/>
      <c r="ACN211" s="653"/>
      <c r="ACO211" s="653"/>
      <c r="ACP211" s="653"/>
      <c r="ACQ211" s="653"/>
      <c r="ACR211" s="856" t="s">
        <v>1692</v>
      </c>
      <c r="ACS211" s="856"/>
      <c r="ACT211" s="856" t="s">
        <v>1693</v>
      </c>
      <c r="ACU211" s="856"/>
      <c r="ACV211" s="856" t="s">
        <v>1585</v>
      </c>
      <c r="ACW211" s="856"/>
      <c r="ACX211" s="856" t="s">
        <v>829</v>
      </c>
      <c r="ACY211" s="856"/>
      <c r="ACZ211" s="653"/>
      <c r="ADA211" s="653"/>
      <c r="ADB211" s="653"/>
      <c r="AGL211" s="849"/>
      <c r="AGM211" s="852" t="s">
        <v>416</v>
      </c>
      <c r="AGN211" s="853"/>
      <c r="AGO211" s="142"/>
      <c r="AGP211" s="78"/>
      <c r="AGQ211" s="78"/>
      <c r="AGR211" s="78"/>
      <c r="AGS211" s="78"/>
      <c r="AGT211" s="78"/>
      <c r="AGU211" s="78"/>
      <c r="AGV211" s="142"/>
      <c r="AGW211" s="76" t="s">
        <v>441</v>
      </c>
      <c r="AGX211" s="854" t="s">
        <v>435</v>
      </c>
      <c r="AGY211" s="855"/>
      <c r="AGZ211" s="920" t="s">
        <v>111</v>
      </c>
      <c r="AHA211" s="921"/>
      <c r="AHB211" s="916" t="s">
        <v>704</v>
      </c>
      <c r="AHC211" s="922"/>
      <c r="AHD211" s="1051" t="s">
        <v>447</v>
      </c>
      <c r="AHE211" s="1051"/>
      <c r="AHF211" s="1051"/>
      <c r="AHG211" s="1051"/>
      <c r="AHH211" s="1051"/>
      <c r="AHI211" s="1051" t="s">
        <v>436</v>
      </c>
      <c r="AHJ211" s="1051"/>
      <c r="AHK211" s="1051"/>
      <c r="AHL211" s="1051"/>
      <c r="AHM211" s="1051"/>
      <c r="AHN211" s="1051"/>
      <c r="AIN211" s="876"/>
      <c r="AIO211" s="777"/>
      <c r="AIP211" s="778"/>
      <c r="AIQ211" s="778"/>
      <c r="AIR211" s="778"/>
      <c r="AIS211" s="778"/>
      <c r="AIT211" s="778"/>
      <c r="AIU211" s="778"/>
      <c r="AIV211" s="778"/>
      <c r="AIW211" s="778"/>
      <c r="AIX211" s="778"/>
      <c r="AIY211" s="778"/>
      <c r="AIZ211" s="778"/>
      <c r="AJA211" s="799"/>
      <c r="AJB211" s="812"/>
      <c r="AJC211" s="813"/>
      <c r="AJD211" s="813"/>
      <c r="AJE211" s="813"/>
      <c r="AJF211" s="813"/>
      <c r="AJG211" s="813"/>
      <c r="AJH211" s="813"/>
      <c r="AJI211" s="814"/>
      <c r="AJJ211" s="1499"/>
      <c r="AJK211" s="1053"/>
      <c r="AJL211" s="1053"/>
      <c r="AJM211" s="1053"/>
      <c r="AJN211" s="1053"/>
      <c r="AJO211" s="1053"/>
      <c r="AJP211" s="1053"/>
      <c r="AJQ211" s="1053"/>
      <c r="AJR211" s="1053"/>
      <c r="AJS211" s="1053"/>
      <c r="AJT211" s="1053"/>
      <c r="AJU211" s="1053"/>
      <c r="AJV211" s="1053"/>
      <c r="AJW211" s="1053"/>
      <c r="AJX211" s="1053"/>
      <c r="AJY211" s="1053"/>
      <c r="AJZ211" s="1053"/>
      <c r="AKA211" s="1053"/>
      <c r="AKB211" s="1053"/>
      <c r="AKC211" s="1053"/>
      <c r="AKD211" s="1053"/>
      <c r="AKE211" s="1053"/>
      <c r="AKF211" s="1053"/>
      <c r="AKG211" s="1053"/>
      <c r="AKH211" s="1053"/>
      <c r="AKI211" s="1053"/>
      <c r="AKJ211" s="1053"/>
      <c r="AKK211" s="1053"/>
      <c r="AKL211" s="1053"/>
    </row>
    <row r="212" spans="340:976 1165:1222" ht="48" customHeight="1" thickBot="1">
      <c r="MB212" s="900"/>
      <c r="MC212" s="901"/>
      <c r="MD212" s="902"/>
      <c r="ME212" s="849"/>
      <c r="MF212" s="791" t="s">
        <v>1859</v>
      </c>
      <c r="MG212" s="792"/>
      <c r="MH212" s="792"/>
      <c r="MI212" s="792"/>
      <c r="MJ212" s="792"/>
      <c r="MK212" s="792"/>
      <c r="ML212" s="792"/>
      <c r="MM212" s="792"/>
      <c r="MN212" s="792"/>
      <c r="MO212" s="792"/>
      <c r="MP212" s="793"/>
      <c r="MQ212" s="835">
        <f>'Программные таблицы'!AF348</f>
        <v>2.5479278737632125</v>
      </c>
      <c r="MR212" s="836"/>
      <c r="MS212" s="1183" t="s">
        <v>729</v>
      </c>
      <c r="MT212" s="1184"/>
      <c r="MU212" s="1066"/>
      <c r="MV212" s="893" t="s">
        <v>1270</v>
      </c>
      <c r="MW212" s="894"/>
      <c r="MX212" s="847"/>
      <c r="MY212" s="1203" t="s">
        <v>1654</v>
      </c>
      <c r="MZ212" s="1275"/>
      <c r="NA212" s="1204"/>
      <c r="NB212" s="653"/>
      <c r="NC212" s="653"/>
      <c r="ND212" s="653"/>
      <c r="NE212" s="653"/>
      <c r="NF212" s="653"/>
      <c r="NG212" s="653"/>
      <c r="NH212" s="653"/>
      <c r="WE212" s="752">
        <v>36</v>
      </c>
      <c r="WF212" s="753"/>
      <c r="WG212" s="800" t="s">
        <v>1078</v>
      </c>
      <c r="WH212" s="801"/>
      <c r="WI212" s="761">
        <f>$CN$54</f>
        <v>58.696468820435761</v>
      </c>
      <c r="WJ212" s="761"/>
      <c r="WK212" s="168"/>
      <c r="WL212" s="168"/>
      <c r="WM212" s="168"/>
      <c r="WN212" s="168"/>
      <c r="WO212" s="168"/>
      <c r="WP212" s="168"/>
      <c r="WQ212" s="168"/>
      <c r="WR212" s="168"/>
      <c r="WS212" s="168"/>
      <c r="WT212" s="168"/>
      <c r="WU212" s="168"/>
      <c r="WV212" s="168"/>
      <c r="WW212" s="168"/>
      <c r="WX212" s="168"/>
      <c r="WY212" s="171"/>
      <c r="WZ212" s="998" t="s">
        <v>729</v>
      </c>
      <c r="XA212" s="999"/>
      <c r="XB212" s="167"/>
      <c r="XC212" s="168"/>
      <c r="XD212" s="168"/>
      <c r="XE212" s="168"/>
      <c r="XF212" s="171"/>
      <c r="XG212" s="1004">
        <f>XG203/$WI$212</f>
        <v>0.31917689446217462</v>
      </c>
      <c r="XH212" s="1004">
        <f t="shared" ref="XH212:XO212" si="282">XH203/$WI$212</f>
        <v>0.51553680856815542</v>
      </c>
      <c r="XI212" s="1004">
        <f t="shared" si="282"/>
        <v>0.72649651799004877</v>
      </c>
      <c r="XJ212" s="1004">
        <f t="shared" si="282"/>
        <v>0.93659294906462132</v>
      </c>
      <c r="XK212" s="1004">
        <f t="shared" si="282"/>
        <v>1.1412544002375515</v>
      </c>
      <c r="XL212" s="1004">
        <f t="shared" si="282"/>
        <v>1.3386972519956186</v>
      </c>
      <c r="XM212" s="1004">
        <f t="shared" si="282"/>
        <v>1.5278996103849198</v>
      </c>
      <c r="XN212" s="1004">
        <f t="shared" si="282"/>
        <v>1.7084778654468935</v>
      </c>
      <c r="XO212" s="1004">
        <f t="shared" si="282"/>
        <v>1.8863473937922171</v>
      </c>
      <c r="XP212" s="1004">
        <f t="shared" ref="XP212:AAA212" si="283">XP203/$WI$212</f>
        <v>2.0655821392977054</v>
      </c>
      <c r="XQ212" s="1004">
        <f t="shared" si="283"/>
        <v>2.2307475236903493</v>
      </c>
      <c r="XR212" s="1004">
        <f t="shared" si="283"/>
        <v>2.4110449391074655</v>
      </c>
      <c r="XS212" s="1004">
        <f t="shared" si="283"/>
        <v>2.583629053074548</v>
      </c>
      <c r="XT212" s="1004">
        <f t="shared" si="283"/>
        <v>2.6949236935630023</v>
      </c>
      <c r="XU212" s="1004">
        <f t="shared" si="283"/>
        <v>2.8716101298966508</v>
      </c>
      <c r="XV212" s="1004">
        <f t="shared" si="283"/>
        <v>3.050563917244002</v>
      </c>
      <c r="XW212" s="1004">
        <f t="shared" si="283"/>
        <v>3.2075095109705587</v>
      </c>
      <c r="XX212" s="1004">
        <f t="shared" si="283"/>
        <v>3.3537636328746507</v>
      </c>
      <c r="XY212" s="1004">
        <f t="shared" si="283"/>
        <v>3.4902022223150939</v>
      </c>
      <c r="XZ212" s="1004">
        <f t="shared" si="283"/>
        <v>3.6171295122020068</v>
      </c>
      <c r="YA212" s="1004">
        <f t="shared" si="283"/>
        <v>3.6335543850018022</v>
      </c>
      <c r="YB212" s="1004">
        <f t="shared" si="283"/>
        <v>3.7701216047051616</v>
      </c>
      <c r="YC212" s="1004">
        <f t="shared" si="283"/>
        <v>3.8949472817312727</v>
      </c>
      <c r="YD212" s="1004">
        <f t="shared" si="283"/>
        <v>3.9954400205739802</v>
      </c>
      <c r="YE212" s="1004">
        <f t="shared" si="283"/>
        <v>4.1041728420910601</v>
      </c>
      <c r="YF212" s="1004">
        <f t="shared" si="283"/>
        <v>4.1909065487827712</v>
      </c>
      <c r="YG212" s="1004">
        <f t="shared" si="283"/>
        <v>4.2801505633060861</v>
      </c>
      <c r="YH212" s="1004">
        <f t="shared" si="283"/>
        <v>4.3535083904271188</v>
      </c>
      <c r="YI212" s="1004">
        <f t="shared" si="283"/>
        <v>4.4214153572812211</v>
      </c>
      <c r="YJ212" s="1004">
        <f t="shared" si="283"/>
        <v>4.4913328026214678</v>
      </c>
      <c r="YK212" s="1004">
        <f t="shared" si="283"/>
        <v>4.5492173209646616</v>
      </c>
      <c r="YL212" s="1004">
        <f t="shared" si="283"/>
        <v>4.5978479374623804</v>
      </c>
      <c r="YM212" s="1004">
        <f t="shared" si="283"/>
        <v>4.6478837506901414</v>
      </c>
      <c r="YN212" s="1004">
        <f t="shared" si="283"/>
        <v>4.6945910917597473</v>
      </c>
      <c r="YO212" s="1004">
        <f t="shared" si="283"/>
        <v>4.7327027025335271</v>
      </c>
      <c r="YP212" s="1004">
        <f t="shared" si="283"/>
        <v>4.7735461140552315</v>
      </c>
      <c r="YQ212" s="1004">
        <f t="shared" si="283"/>
        <v>4.8061153693111622</v>
      </c>
      <c r="YR212" s="1004">
        <f t="shared" si="283"/>
        <v>4.8362304229861968</v>
      </c>
      <c r="YS212" s="1004">
        <f t="shared" si="283"/>
        <v>4.870110574796664</v>
      </c>
      <c r="YT212" s="1004">
        <f t="shared" si="283"/>
        <v>4.8928947764497561</v>
      </c>
      <c r="YU212" s="1004">
        <f t="shared" si="283"/>
        <v>4.9172126052989196</v>
      </c>
      <c r="YV212" s="1004">
        <f t="shared" si="283"/>
        <v>4.9460438747858211</v>
      </c>
      <c r="YW212" s="1004">
        <f t="shared" si="283"/>
        <v>4.9671639100424834</v>
      </c>
      <c r="YX212" s="1004">
        <f t="shared" si="283"/>
        <v>4.9844381370916206</v>
      </c>
      <c r="YY212" s="1004">
        <f t="shared" si="283"/>
        <v>5.0029715150530807</v>
      </c>
      <c r="YZ212" s="1004">
        <f t="shared" si="283"/>
        <v>5.0246310033653998</v>
      </c>
      <c r="ZA212" s="1004">
        <f t="shared" si="283"/>
        <v>5.0410324529038517</v>
      </c>
      <c r="ZB212" s="1004">
        <f t="shared" si="283"/>
        <v>5.0563930486837538</v>
      </c>
      <c r="ZC212" s="1004">
        <f t="shared" si="283"/>
        <v>5.0690215318827914</v>
      </c>
      <c r="ZD212" s="1004">
        <f t="shared" si="283"/>
        <v>5.0826535827479509</v>
      </c>
      <c r="ZE212" s="1004">
        <f t="shared" si="283"/>
        <v>5.1005947635347022</v>
      </c>
      <c r="ZF212" s="1004">
        <f t="shared" si="283"/>
        <v>5.1112792203526247</v>
      </c>
      <c r="ZG212" s="1004">
        <f t="shared" si="283"/>
        <v>5.1228548307987625</v>
      </c>
      <c r="ZH212" s="1004">
        <f t="shared" si="283"/>
        <v>5.1324115037838256</v>
      </c>
      <c r="ZI212" s="1004">
        <f t="shared" si="283"/>
        <v>5.1427863810257453</v>
      </c>
      <c r="ZJ212" s="1004">
        <f t="shared" si="283"/>
        <v>5.1513668492694045</v>
      </c>
      <c r="ZK212" s="1004">
        <f t="shared" si="283"/>
        <v>5.1595359060766679</v>
      </c>
      <c r="ZL212" s="1004">
        <f t="shared" si="283"/>
        <v>5.1753861474834064</v>
      </c>
      <c r="ZM212" s="1004">
        <f t="shared" si="283"/>
        <v>5.1827892103666766</v>
      </c>
      <c r="ZN212" s="1004">
        <f t="shared" si="283"/>
        <v>5.1898542358649209</v>
      </c>
      <c r="ZO212" s="1004">
        <f t="shared" si="283"/>
        <v>5.1966015808161234</v>
      </c>
      <c r="ZP212" s="1004">
        <f t="shared" si="283"/>
        <v>5.2039768491727427</v>
      </c>
      <c r="ZQ212" s="1004">
        <f t="shared" si="283"/>
        <v>5.2101057347623607</v>
      </c>
      <c r="ZR212" s="1004">
        <f t="shared" si="283"/>
        <v>5.215971633369425</v>
      </c>
      <c r="ZS212" s="1004">
        <f t="shared" si="283"/>
        <v>5.2215895203222251</v>
      </c>
      <c r="ZT212" s="1004">
        <f t="shared" si="283"/>
        <v>5.2269733292823464</v>
      </c>
      <c r="ZU212" s="1004">
        <f t="shared" si="283"/>
        <v>5.2328826662392043</v>
      </c>
      <c r="ZV212" s="1004">
        <f t="shared" si="283"/>
        <v>5.2378074865354272</v>
      </c>
      <c r="ZW212" s="1004">
        <f t="shared" si="283"/>
        <v>5.2425360489219095</v>
      </c>
      <c r="ZX212" s="1004">
        <f t="shared" si="283"/>
        <v>5.2470788002245756</v>
      </c>
      <c r="ZY212" s="1004">
        <f t="shared" si="283"/>
        <v>5.258682100718528</v>
      </c>
      <c r="ZZ212" s="1004">
        <f t="shared" si="283"/>
        <v>5.2628993056859228</v>
      </c>
      <c r="AAA212" s="1004">
        <f t="shared" si="283"/>
        <v>5.2669575158998736</v>
      </c>
      <c r="AAB212" s="1004">
        <f t="shared" ref="AAB212:AAS212" si="284">AAB203/$WI$212</f>
        <v>5.2708647716927084</v>
      </c>
      <c r="AAC212" s="1004">
        <f t="shared" si="284"/>
        <v>5.2746286120601429</v>
      </c>
      <c r="AAD212" s="1004">
        <f t="shared" si="284"/>
        <v>5.2782561113644917</v>
      </c>
      <c r="AAE212" s="1004">
        <f t="shared" si="284"/>
        <v>5.2817539129833087</v>
      </c>
      <c r="AAF212" s="1004">
        <f t="shared" si="284"/>
        <v>5.2851282601858047</v>
      </c>
      <c r="AAG212" s="1004">
        <f t="shared" si="284"/>
        <v>5.2883850244908475</v>
      </c>
      <c r="AAH212" s="1004">
        <f t="shared" si="284"/>
        <v>5.2915297317350669</v>
      </c>
      <c r="AAI212" s="1004">
        <f t="shared" si="284"/>
        <v>5.294567586056858</v>
      </c>
      <c r="AAJ212" s="1004">
        <f t="shared" si="284"/>
        <v>5.2975034919819199</v>
      </c>
      <c r="AAK212" s="1004">
        <f t="shared" si="284"/>
        <v>5.3003420747777996</v>
      </c>
      <c r="AAL212" s="1004">
        <f t="shared" si="284"/>
        <v>5.3030876992288265</v>
      </c>
      <c r="AAM212" s="1004">
        <f t="shared" si="284"/>
        <v>5.3057444869682069</v>
      </c>
      <c r="AAN212" s="1004">
        <f t="shared" si="284"/>
        <v>5.3083163324911604</v>
      </c>
      <c r="AAO212" s="1004">
        <f t="shared" si="284"/>
        <v>5.310806917961246</v>
      </c>
      <c r="AAP212" s="1004">
        <f t="shared" si="284"/>
        <v>5.3132197269115506</v>
      </c>
      <c r="AAQ212" s="1004">
        <f t="shared" si="284"/>
        <v>5.3152098842903346</v>
      </c>
      <c r="AAR212" s="1004">
        <f t="shared" si="284"/>
        <v>5.3174873409455312</v>
      </c>
      <c r="AAS212" s="1004">
        <f t="shared" si="284"/>
        <v>5.319695983487895</v>
      </c>
      <c r="AAT212" s="1005">
        <v>36</v>
      </c>
      <c r="AAU212" s="167"/>
      <c r="AAV212" s="168"/>
      <c r="AAW212" s="168"/>
      <c r="AAX212" s="168"/>
      <c r="AAY212" s="168"/>
      <c r="AAZ212" s="159"/>
      <c r="ABA212" s="160"/>
      <c r="ABB212" s="160"/>
      <c r="ABC212" s="160"/>
      <c r="ABD212" s="160"/>
      <c r="ABE212" s="160"/>
      <c r="ABF212" s="160"/>
      <c r="ABG212" s="158"/>
      <c r="ABH212" s="158"/>
      <c r="ABI212" s="158"/>
      <c r="ABJ212" s="158"/>
      <c r="ABK212" s="158"/>
      <c r="ABL212" s="158"/>
      <c r="ABM212" s="158"/>
      <c r="ABN212" s="158"/>
      <c r="ABO212" s="158"/>
      <c r="ABP212" s="163"/>
      <c r="ABS212" s="653"/>
      <c r="ABT212" s="653"/>
      <c r="ABU212" s="653"/>
      <c r="ABV212" s="653"/>
      <c r="ABW212" s="653"/>
      <c r="ABX212" s="653"/>
      <c r="ABY212" s="1026"/>
      <c r="ABZ212" s="1027"/>
      <c r="ACA212" s="1027"/>
      <c r="ACB212" s="1027"/>
      <c r="ACC212" s="1027"/>
      <c r="ACD212" s="1027"/>
      <c r="ACE212" s="1027"/>
      <c r="ACF212" s="1027"/>
      <c r="ACG212" s="1027"/>
      <c r="ACH212" s="1028"/>
      <c r="ACI212" s="653"/>
      <c r="ACJ212" s="653"/>
      <c r="ACK212" s="653"/>
      <c r="ACL212" s="653"/>
      <c r="ACM212" s="653"/>
      <c r="ACN212" s="653"/>
      <c r="ACO212" s="653"/>
      <c r="ACP212" s="653"/>
      <c r="ACQ212" s="653"/>
      <c r="ACR212" s="1069">
        <v>0</v>
      </c>
      <c r="ACS212" s="1071"/>
      <c r="ACT212" s="1069">
        <v>0.96499999999999997</v>
      </c>
      <c r="ACU212" s="1071"/>
      <c r="ACV212" s="856">
        <f t="shared" ref="ACV212:ACV219" si="285">(ACT213-ACT212)/(ACR213-ACR212)</f>
        <v>-4.0624999999999967E-2</v>
      </c>
      <c r="ACW212" s="856"/>
      <c r="ACX212" s="856">
        <f>ACT212-ACV212*ACR212</f>
        <v>0.96499999999999997</v>
      </c>
      <c r="ACY212" s="856"/>
      <c r="ACZ212" s="653"/>
      <c r="ADA212" s="653"/>
      <c r="ADB212" s="653"/>
      <c r="AGL212" s="850"/>
      <c r="AGM212" s="791" t="s">
        <v>1385</v>
      </c>
      <c r="AGN212" s="792"/>
      <c r="AGO212" s="792"/>
      <c r="AGP212" s="792"/>
      <c r="AGQ212" s="792"/>
      <c r="AGR212" s="792"/>
      <c r="AGS212" s="792"/>
      <c r="AGT212" s="792"/>
      <c r="AGU212" s="792"/>
      <c r="AGV212" s="792"/>
      <c r="AGW212" s="792"/>
      <c r="AGX212" s="792"/>
      <c r="AGY212" s="793"/>
      <c r="AGZ212" s="835">
        <f>MP142*AHA188</f>
        <v>0.84788881638133295</v>
      </c>
      <c r="AHA212" s="836"/>
      <c r="AHB212" s="1167"/>
      <c r="AHC212" s="840"/>
      <c r="AHD212" s="1248"/>
      <c r="AHE212" s="1320" t="s">
        <v>1384</v>
      </c>
      <c r="AHF212" s="1320"/>
      <c r="AHG212" s="1320"/>
      <c r="AHH212" s="1289"/>
      <c r="AHI212" s="1052"/>
      <c r="AHJ212" s="1052"/>
      <c r="AHK212" s="1052"/>
      <c r="AHL212" s="1052"/>
      <c r="AHM212" s="1052"/>
      <c r="AHN212" s="1052"/>
      <c r="ARU212" s="849"/>
      <c r="ARV212" s="852" t="s">
        <v>416</v>
      </c>
      <c r="ARW212" s="853"/>
      <c r="ARX212" s="142"/>
      <c r="ARY212" s="78"/>
      <c r="ARZ212" s="78"/>
      <c r="ASA212" s="78"/>
      <c r="ASB212" s="78"/>
      <c r="ASC212" s="78"/>
      <c r="ASD212" s="78"/>
      <c r="ASE212" s="142"/>
      <c r="ASF212" s="76" t="s">
        <v>441</v>
      </c>
      <c r="ASG212" s="854" t="s">
        <v>435</v>
      </c>
      <c r="ASH212" s="1111"/>
      <c r="ASI212" s="924" t="s">
        <v>111</v>
      </c>
      <c r="ASJ212" s="925"/>
      <c r="ASK212" s="916" t="s">
        <v>704</v>
      </c>
      <c r="ASL212" s="917"/>
      <c r="ASM212" s="906" t="s">
        <v>447</v>
      </c>
      <c r="ASN212" s="907"/>
      <c r="ASO212" s="907"/>
      <c r="ASP212" s="908"/>
    </row>
    <row r="213" spans="340:976 1165:1222" ht="48" customHeight="1" thickBot="1">
      <c r="MB213" s="903"/>
      <c r="MC213" s="904"/>
      <c r="MD213" s="905"/>
      <c r="ME213" s="851"/>
      <c r="MF213" s="794"/>
      <c r="MG213" s="795"/>
      <c r="MH213" s="795"/>
      <c r="MI213" s="795"/>
      <c r="MJ213" s="795"/>
      <c r="MK213" s="795"/>
      <c r="ML213" s="795"/>
      <c r="MM213" s="795"/>
      <c r="MN213" s="795"/>
      <c r="MO213" s="795"/>
      <c r="MP213" s="796"/>
      <c r="MQ213" s="837"/>
      <c r="MR213" s="838"/>
      <c r="MS213" s="1185"/>
      <c r="MT213" s="1186"/>
      <c r="MU213" s="1067"/>
      <c r="MV213" s="918"/>
      <c r="MW213" s="919"/>
      <c r="MX213" s="848"/>
      <c r="MY213" s="1276"/>
      <c r="MZ213" s="1277"/>
      <c r="NA213" s="1278"/>
      <c r="NB213" s="653"/>
      <c r="NC213" s="653"/>
      <c r="ND213" s="653"/>
      <c r="NE213" s="653"/>
      <c r="NF213" s="653"/>
      <c r="NG213" s="653"/>
      <c r="NH213" s="653"/>
      <c r="WE213" s="996"/>
      <c r="WF213" s="997"/>
      <c r="WG213" s="175"/>
      <c r="WH213" s="173"/>
      <c r="WI213" s="173"/>
      <c r="WJ213" s="173"/>
      <c r="WK213" s="173"/>
      <c r="WL213" s="173"/>
      <c r="WM213" s="173"/>
      <c r="WN213" s="173"/>
      <c r="WO213" s="173"/>
      <c r="WP213" s="173"/>
      <c r="WQ213" s="173"/>
      <c r="WR213" s="173"/>
      <c r="WS213" s="173"/>
      <c r="WT213" s="173"/>
      <c r="WU213" s="173"/>
      <c r="WV213" s="173"/>
      <c r="WW213" s="173"/>
      <c r="WX213" s="173"/>
      <c r="WY213" s="174"/>
      <c r="WZ213" s="1000"/>
      <c r="XA213" s="1001"/>
      <c r="XB213" s="175"/>
      <c r="XC213" s="173"/>
      <c r="XD213" s="173"/>
      <c r="XE213" s="173"/>
      <c r="XF213" s="174"/>
      <c r="XG213" s="1004"/>
      <c r="XH213" s="1004"/>
      <c r="XI213" s="1004"/>
      <c r="XJ213" s="1004"/>
      <c r="XK213" s="1004"/>
      <c r="XL213" s="1004"/>
      <c r="XM213" s="1004"/>
      <c r="XN213" s="1004"/>
      <c r="XO213" s="1004"/>
      <c r="XP213" s="1004"/>
      <c r="XQ213" s="1004"/>
      <c r="XR213" s="1004"/>
      <c r="XS213" s="1004"/>
      <c r="XT213" s="1004"/>
      <c r="XU213" s="1004"/>
      <c r="XV213" s="1004"/>
      <c r="XW213" s="1004"/>
      <c r="XX213" s="1004"/>
      <c r="XY213" s="1004"/>
      <c r="XZ213" s="1004"/>
      <c r="YA213" s="1004"/>
      <c r="YB213" s="1004"/>
      <c r="YC213" s="1004"/>
      <c r="YD213" s="1004"/>
      <c r="YE213" s="1004"/>
      <c r="YF213" s="1004"/>
      <c r="YG213" s="1004"/>
      <c r="YH213" s="1004"/>
      <c r="YI213" s="1004"/>
      <c r="YJ213" s="1004"/>
      <c r="YK213" s="1004"/>
      <c r="YL213" s="1004"/>
      <c r="YM213" s="1004"/>
      <c r="YN213" s="1004"/>
      <c r="YO213" s="1004"/>
      <c r="YP213" s="1004"/>
      <c r="YQ213" s="1004"/>
      <c r="YR213" s="1004"/>
      <c r="YS213" s="1004"/>
      <c r="YT213" s="1004"/>
      <c r="YU213" s="1004"/>
      <c r="YV213" s="1004"/>
      <c r="YW213" s="1004"/>
      <c r="YX213" s="1004"/>
      <c r="YY213" s="1004"/>
      <c r="YZ213" s="1004"/>
      <c r="ZA213" s="1004"/>
      <c r="ZB213" s="1004"/>
      <c r="ZC213" s="1004"/>
      <c r="ZD213" s="1004"/>
      <c r="ZE213" s="1004"/>
      <c r="ZF213" s="1004"/>
      <c r="ZG213" s="1004"/>
      <c r="ZH213" s="1004"/>
      <c r="ZI213" s="1004"/>
      <c r="ZJ213" s="1004"/>
      <c r="ZK213" s="1004"/>
      <c r="ZL213" s="1004"/>
      <c r="ZM213" s="1004"/>
      <c r="ZN213" s="1004"/>
      <c r="ZO213" s="1004"/>
      <c r="ZP213" s="1004"/>
      <c r="ZQ213" s="1004"/>
      <c r="ZR213" s="1004"/>
      <c r="ZS213" s="1004"/>
      <c r="ZT213" s="1004"/>
      <c r="ZU213" s="1004"/>
      <c r="ZV213" s="1004"/>
      <c r="ZW213" s="1004"/>
      <c r="ZX213" s="1004"/>
      <c r="ZY213" s="1004"/>
      <c r="ZZ213" s="1004"/>
      <c r="AAA213" s="1004"/>
      <c r="AAB213" s="1004"/>
      <c r="AAC213" s="1004"/>
      <c r="AAD213" s="1004"/>
      <c r="AAE213" s="1004"/>
      <c r="AAF213" s="1004"/>
      <c r="AAG213" s="1004"/>
      <c r="AAH213" s="1004"/>
      <c r="AAI213" s="1004"/>
      <c r="AAJ213" s="1004"/>
      <c r="AAK213" s="1004"/>
      <c r="AAL213" s="1004"/>
      <c r="AAM213" s="1004"/>
      <c r="AAN213" s="1004"/>
      <c r="AAO213" s="1004"/>
      <c r="AAP213" s="1004"/>
      <c r="AAQ213" s="1004"/>
      <c r="AAR213" s="1004"/>
      <c r="AAS213" s="1004"/>
      <c r="AAT213" s="1006"/>
      <c r="AAU213" s="175"/>
      <c r="AAV213" s="173"/>
      <c r="AAW213" s="173"/>
      <c r="AAX213" s="173"/>
      <c r="AAY213" s="173"/>
      <c r="AAZ213" s="162"/>
      <c r="ABA213" s="158"/>
      <c r="ABB213" s="158"/>
      <c r="ABC213" s="158"/>
      <c r="ABD213" s="158"/>
      <c r="ABE213" s="158"/>
      <c r="ABF213" s="158"/>
      <c r="ABG213" s="158"/>
      <c r="ABH213" s="158"/>
      <c r="ABI213" s="158"/>
      <c r="ABJ213" s="158"/>
      <c r="ABK213" s="158"/>
      <c r="ABL213" s="158"/>
      <c r="ABM213" s="158"/>
      <c r="ABN213" s="158"/>
      <c r="ABO213" s="158"/>
      <c r="ABP213" s="163"/>
      <c r="ABS213" s="653"/>
      <c r="ABT213" s="653"/>
      <c r="ABU213" s="653"/>
      <c r="ABV213" s="653"/>
      <c r="ABW213" s="653"/>
      <c r="ABX213" s="653"/>
      <c r="ABY213" s="1026"/>
      <c r="ABZ213" s="1027"/>
      <c r="ACA213" s="1027"/>
      <c r="ACB213" s="1027"/>
      <c r="ACC213" s="1027"/>
      <c r="ACD213" s="1027"/>
      <c r="ACE213" s="1027"/>
      <c r="ACF213" s="1027"/>
      <c r="ACG213" s="1027"/>
      <c r="ACH213" s="1028"/>
      <c r="ACI213" s="653"/>
      <c r="ACJ213" s="653"/>
      <c r="ACK213" s="653"/>
      <c r="ACL213" s="653"/>
      <c r="ACM213" s="653"/>
      <c r="ACN213" s="653"/>
      <c r="ACO213" s="653"/>
      <c r="ACP213" s="653"/>
      <c r="ACQ213" s="653"/>
      <c r="ACR213" s="1069">
        <v>1.6</v>
      </c>
      <c r="ACS213" s="1071"/>
      <c r="ACT213" s="1069">
        <v>0.9</v>
      </c>
      <c r="ACU213" s="1071"/>
      <c r="ACV213" s="856">
        <f t="shared" si="285"/>
        <v>-0.10000000000000012</v>
      </c>
      <c r="ACW213" s="856"/>
      <c r="ACX213" s="856">
        <f t="shared" ref="ACX213:ACX219" si="286">ACT213-ACV213*ACR213</f>
        <v>1.0600000000000003</v>
      </c>
      <c r="ACY213" s="856"/>
      <c r="ACZ213" s="653"/>
      <c r="ADA213" s="653"/>
      <c r="ADB213" s="653"/>
      <c r="AGL213" s="851"/>
      <c r="AGM213" s="794"/>
      <c r="AGN213" s="795"/>
      <c r="AGO213" s="795"/>
      <c r="AGP213" s="795"/>
      <c r="AGQ213" s="795"/>
      <c r="AGR213" s="795"/>
      <c r="AGS213" s="795"/>
      <c r="AGT213" s="795"/>
      <c r="AGU213" s="795"/>
      <c r="AGV213" s="795"/>
      <c r="AGW213" s="795"/>
      <c r="AGX213" s="795"/>
      <c r="AGY213" s="796"/>
      <c r="AGZ213" s="837"/>
      <c r="AHA213" s="838"/>
      <c r="AHB213" s="1169"/>
      <c r="AHC213" s="799"/>
      <c r="AHD213" s="1249"/>
      <c r="AHE213" s="1321"/>
      <c r="AHF213" s="1321"/>
      <c r="AHG213" s="1321"/>
      <c r="AHH213" s="1290"/>
      <c r="AHI213" s="1053"/>
      <c r="AHJ213" s="1053"/>
      <c r="AHK213" s="1053"/>
      <c r="AHL213" s="1053"/>
      <c r="AHM213" s="1053"/>
      <c r="AHN213" s="1053"/>
      <c r="AIF213" s="130"/>
      <c r="AIG213" s="130"/>
      <c r="AIH213" s="130"/>
      <c r="AII213" s="130"/>
      <c r="AIJ213" s="130"/>
      <c r="AIK213" s="130"/>
      <c r="AIL213" s="130"/>
      <c r="AJI213" s="76" t="s">
        <v>1654</v>
      </c>
      <c r="AJJ213" s="906" t="s">
        <v>863</v>
      </c>
      <c r="AJK213" s="907"/>
      <c r="AJL213" s="908"/>
      <c r="AJO213" s="897" t="s">
        <v>929</v>
      </c>
      <c r="AJP213" s="898"/>
      <c r="AJQ213" s="898"/>
      <c r="AJR213" s="898"/>
      <c r="AJS213" s="898"/>
      <c r="AJT213" s="898"/>
      <c r="AJU213" s="898"/>
      <c r="AJV213" s="898"/>
      <c r="AJW213" s="898"/>
      <c r="AJX213" s="898"/>
      <c r="AJY213" s="898"/>
      <c r="AJZ213" s="898"/>
      <c r="AKA213" s="898"/>
      <c r="AKB213" s="898"/>
      <c r="AKC213" s="898"/>
      <c r="AKD213" s="898"/>
      <c r="AKE213" s="898"/>
      <c r="AKF213" s="899"/>
      <c r="AKH213" s="897" t="s">
        <v>973</v>
      </c>
      <c r="AKI213" s="898"/>
      <c r="AKJ213" s="899"/>
      <c r="AKL213" s="897" t="s">
        <v>974</v>
      </c>
      <c r="AKM213" s="898"/>
      <c r="AKN213" s="899"/>
      <c r="ARU213" s="850"/>
      <c r="ARV213" s="957" t="s">
        <v>387</v>
      </c>
      <c r="ARW213" s="957"/>
      <c r="ARX213" s="957"/>
      <c r="ARY213" s="957"/>
      <c r="ARZ213" s="957"/>
      <c r="ASA213" s="957"/>
      <c r="ASB213" s="957"/>
      <c r="ASC213" s="957"/>
      <c r="ASD213" s="957"/>
      <c r="ASE213" s="957"/>
      <c r="ASF213" s="957"/>
      <c r="ASG213" s="957"/>
      <c r="ASH213" s="957"/>
      <c r="ASI213" s="835" t="e">
        <f>ATR243/ASL221</f>
        <v>#REF!</v>
      </c>
      <c r="ASJ213" s="836"/>
      <c r="ASK213" s="839"/>
      <c r="ASL213" s="840"/>
      <c r="ASM213" s="1066"/>
      <c r="ASN213" s="843" t="s">
        <v>416</v>
      </c>
      <c r="ASO213" s="844"/>
      <c r="ASP213" s="847"/>
    </row>
    <row r="214" spans="340:976 1165:1222" ht="48" customHeight="1" thickBot="1">
      <c r="WE214" s="754"/>
      <c r="WF214" s="755"/>
      <c r="WG214" s="169"/>
      <c r="WH214" s="170"/>
      <c r="WI214" s="170"/>
      <c r="WJ214" s="170"/>
      <c r="WK214" s="170"/>
      <c r="WL214" s="170"/>
      <c r="WM214" s="170"/>
      <c r="WN214" s="170"/>
      <c r="WO214" s="170"/>
      <c r="WP214" s="170"/>
      <c r="WQ214" s="170"/>
      <c r="WR214" s="170"/>
      <c r="WS214" s="170"/>
      <c r="WT214" s="170"/>
      <c r="WU214" s="170"/>
      <c r="WV214" s="170"/>
      <c r="WW214" s="170"/>
      <c r="WX214" s="170"/>
      <c r="WY214" s="172"/>
      <c r="WZ214" s="1002"/>
      <c r="XA214" s="1003"/>
      <c r="XB214" s="169"/>
      <c r="XC214" s="170"/>
      <c r="XD214" s="170"/>
      <c r="XE214" s="170"/>
      <c r="XF214" s="172"/>
      <c r="XG214" s="1004"/>
      <c r="XH214" s="1004"/>
      <c r="XI214" s="1004"/>
      <c r="XJ214" s="1004"/>
      <c r="XK214" s="1004"/>
      <c r="XL214" s="1004"/>
      <c r="XM214" s="1004"/>
      <c r="XN214" s="1004"/>
      <c r="XO214" s="1004"/>
      <c r="XP214" s="1004"/>
      <c r="XQ214" s="1004"/>
      <c r="XR214" s="1004"/>
      <c r="XS214" s="1004"/>
      <c r="XT214" s="1004"/>
      <c r="XU214" s="1004"/>
      <c r="XV214" s="1004"/>
      <c r="XW214" s="1004"/>
      <c r="XX214" s="1004"/>
      <c r="XY214" s="1004"/>
      <c r="XZ214" s="1004"/>
      <c r="YA214" s="1004"/>
      <c r="YB214" s="1004"/>
      <c r="YC214" s="1004"/>
      <c r="YD214" s="1004"/>
      <c r="YE214" s="1004"/>
      <c r="YF214" s="1004"/>
      <c r="YG214" s="1004"/>
      <c r="YH214" s="1004"/>
      <c r="YI214" s="1004"/>
      <c r="YJ214" s="1004"/>
      <c r="YK214" s="1004"/>
      <c r="YL214" s="1004"/>
      <c r="YM214" s="1004"/>
      <c r="YN214" s="1004"/>
      <c r="YO214" s="1004"/>
      <c r="YP214" s="1004"/>
      <c r="YQ214" s="1004"/>
      <c r="YR214" s="1004"/>
      <c r="YS214" s="1004"/>
      <c r="YT214" s="1004"/>
      <c r="YU214" s="1004"/>
      <c r="YV214" s="1004"/>
      <c r="YW214" s="1004"/>
      <c r="YX214" s="1004"/>
      <c r="YY214" s="1004"/>
      <c r="YZ214" s="1004"/>
      <c r="ZA214" s="1004"/>
      <c r="ZB214" s="1004"/>
      <c r="ZC214" s="1004"/>
      <c r="ZD214" s="1004"/>
      <c r="ZE214" s="1004"/>
      <c r="ZF214" s="1004"/>
      <c r="ZG214" s="1004"/>
      <c r="ZH214" s="1004"/>
      <c r="ZI214" s="1004"/>
      <c r="ZJ214" s="1004"/>
      <c r="ZK214" s="1004"/>
      <c r="ZL214" s="1004"/>
      <c r="ZM214" s="1004"/>
      <c r="ZN214" s="1004"/>
      <c r="ZO214" s="1004"/>
      <c r="ZP214" s="1004"/>
      <c r="ZQ214" s="1004"/>
      <c r="ZR214" s="1004"/>
      <c r="ZS214" s="1004"/>
      <c r="ZT214" s="1004"/>
      <c r="ZU214" s="1004"/>
      <c r="ZV214" s="1004"/>
      <c r="ZW214" s="1004"/>
      <c r="ZX214" s="1004"/>
      <c r="ZY214" s="1004"/>
      <c r="ZZ214" s="1004"/>
      <c r="AAA214" s="1004"/>
      <c r="AAB214" s="1004"/>
      <c r="AAC214" s="1004"/>
      <c r="AAD214" s="1004"/>
      <c r="AAE214" s="1004"/>
      <c r="AAF214" s="1004"/>
      <c r="AAG214" s="1004"/>
      <c r="AAH214" s="1004"/>
      <c r="AAI214" s="1004"/>
      <c r="AAJ214" s="1004"/>
      <c r="AAK214" s="1004"/>
      <c r="AAL214" s="1004"/>
      <c r="AAM214" s="1004"/>
      <c r="AAN214" s="1004"/>
      <c r="AAO214" s="1004"/>
      <c r="AAP214" s="1004"/>
      <c r="AAQ214" s="1004"/>
      <c r="AAR214" s="1004"/>
      <c r="AAS214" s="1004"/>
      <c r="AAT214" s="1007"/>
      <c r="AAU214" s="169"/>
      <c r="AAV214" s="170"/>
      <c r="AAW214" s="170"/>
      <c r="AAX214" s="170"/>
      <c r="AAY214" s="170"/>
      <c r="AAZ214" s="164"/>
      <c r="ABA214" s="165"/>
      <c r="ABB214" s="165"/>
      <c r="ABC214" s="165"/>
      <c r="ABD214" s="165"/>
      <c r="ABE214" s="165"/>
      <c r="ABF214" s="165"/>
      <c r="ABG214" s="165"/>
      <c r="ABH214" s="165"/>
      <c r="ABI214" s="165"/>
      <c r="ABJ214" s="165"/>
      <c r="ABK214" s="165"/>
      <c r="ABL214" s="165"/>
      <c r="ABM214" s="165"/>
      <c r="ABN214" s="165"/>
      <c r="ABO214" s="165"/>
      <c r="ABP214" s="166"/>
      <c r="ABY214" s="1026"/>
      <c r="ABZ214" s="1027"/>
      <c r="ACA214" s="1027"/>
      <c r="ACB214" s="1027"/>
      <c r="ACC214" s="1027"/>
      <c r="ACD214" s="1027"/>
      <c r="ACE214" s="1027"/>
      <c r="ACF214" s="1027"/>
      <c r="ACG214" s="1027"/>
      <c r="ACH214" s="1028"/>
      <c r="ACR214" s="1069">
        <v>2</v>
      </c>
      <c r="ACS214" s="1071"/>
      <c r="ACT214" s="1069">
        <v>0.86</v>
      </c>
      <c r="ACU214" s="1071"/>
      <c r="ACV214" s="856">
        <f t="shared" si="285"/>
        <v>-0.11999999999999988</v>
      </c>
      <c r="ACW214" s="856"/>
      <c r="ACX214" s="856">
        <f t="shared" si="286"/>
        <v>1.0999999999999996</v>
      </c>
      <c r="ACY214" s="856"/>
      <c r="AIS214" s="653"/>
      <c r="AIT214" s="653"/>
      <c r="AIU214" s="653"/>
      <c r="AIV214" s="653"/>
      <c r="AIW214" s="653"/>
      <c r="AIX214" s="653"/>
      <c r="AIY214" s="653"/>
      <c r="AIZ214" s="653"/>
      <c r="AJA214" s="653"/>
      <c r="AJB214" s="653"/>
      <c r="AJC214" s="653"/>
      <c r="AJD214" s="653"/>
      <c r="AJE214" s="653"/>
      <c r="AJF214" s="653"/>
      <c r="AJG214" s="653"/>
      <c r="AJH214" s="653"/>
      <c r="AJI214" s="849"/>
      <c r="AJJ214" s="1203" t="s">
        <v>862</v>
      </c>
      <c r="AJK214" s="1275"/>
      <c r="AJL214" s="1204"/>
      <c r="AJO214" s="900"/>
      <c r="AJP214" s="901"/>
      <c r="AJQ214" s="901"/>
      <c r="AJR214" s="901"/>
      <c r="AJS214" s="901"/>
      <c r="AJT214" s="901"/>
      <c r="AJU214" s="901"/>
      <c r="AJV214" s="901"/>
      <c r="AJW214" s="901"/>
      <c r="AJX214" s="901"/>
      <c r="AJY214" s="901"/>
      <c r="AJZ214" s="901"/>
      <c r="AKA214" s="901"/>
      <c r="AKB214" s="901"/>
      <c r="AKC214" s="901"/>
      <c r="AKD214" s="901"/>
      <c r="AKE214" s="901"/>
      <c r="AKF214" s="902"/>
      <c r="AKH214" s="900"/>
      <c r="AKI214" s="901"/>
      <c r="AKJ214" s="902"/>
      <c r="AKL214" s="900"/>
      <c r="AKM214" s="901"/>
      <c r="AKN214" s="902"/>
      <c r="ARU214" s="851"/>
      <c r="ARV214" s="1147"/>
      <c r="ARW214" s="1147"/>
      <c r="ARX214" s="1147"/>
      <c r="ARY214" s="1147"/>
      <c r="ARZ214" s="1147"/>
      <c r="ASA214" s="1147"/>
      <c r="ASB214" s="1147"/>
      <c r="ASC214" s="1147"/>
      <c r="ASD214" s="1147"/>
      <c r="ASE214" s="1147"/>
      <c r="ASF214" s="1147"/>
      <c r="ASG214" s="1147"/>
      <c r="ASH214" s="1147"/>
      <c r="ASI214" s="837"/>
      <c r="ASJ214" s="838"/>
      <c r="ASK214" s="777"/>
      <c r="ASL214" s="799"/>
      <c r="ASM214" s="1067"/>
      <c r="ASN214" s="845"/>
      <c r="ASO214" s="846"/>
      <c r="ASP214" s="848"/>
    </row>
    <row r="215" spans="340:976 1165:1222" ht="48" customHeight="1" thickBot="1">
      <c r="MB215" s="1052"/>
      <c r="MC215" s="852" t="s">
        <v>416</v>
      </c>
      <c r="MD215" s="853"/>
      <c r="ME215" s="344"/>
      <c r="MF215" s="861" t="s">
        <v>1309</v>
      </c>
      <c r="MG215" s="861"/>
      <c r="MH215" s="937">
        <f>$MI$229</f>
        <v>1.0037276370510397</v>
      </c>
      <c r="MI215" s="937"/>
      <c r="MJ215" s="344"/>
      <c r="MK215" s="76" t="s">
        <v>441</v>
      </c>
      <c r="ML215" s="854" t="s">
        <v>435</v>
      </c>
      <c r="MM215" s="855"/>
      <c r="MN215" s="920" t="s">
        <v>111</v>
      </c>
      <c r="MO215" s="921"/>
      <c r="MP215" s="916" t="s">
        <v>704</v>
      </c>
      <c r="MQ215" s="917"/>
      <c r="MR215" s="906" t="s">
        <v>447</v>
      </c>
      <c r="MS215" s="907"/>
      <c r="MT215" s="907"/>
      <c r="MU215" s="908"/>
      <c r="MV215" s="1051" t="s">
        <v>436</v>
      </c>
      <c r="MW215" s="1051"/>
      <c r="MX215" s="1051"/>
      <c r="MY215" s="1051"/>
      <c r="MZ215" s="1051"/>
      <c r="NA215" s="1051"/>
      <c r="NB215" s="1051"/>
      <c r="XB215" s="705"/>
      <c r="XC215" s="705"/>
      <c r="XD215" s="705"/>
      <c r="XE215" s="705"/>
      <c r="XF215" s="970"/>
      <c r="XG215" s="160"/>
      <c r="XH215" s="160"/>
      <c r="XI215" s="160"/>
      <c r="XJ215" s="160"/>
      <c r="XK215" s="160"/>
      <c r="XL215" s="160"/>
      <c r="XM215" s="160"/>
      <c r="XN215" s="160"/>
      <c r="XO215" s="160"/>
      <c r="XP215" s="160"/>
      <c r="XQ215" s="160"/>
      <c r="XR215" s="160"/>
      <c r="XS215" s="160"/>
      <c r="XT215" s="160"/>
      <c r="XU215" s="160"/>
      <c r="XV215" s="160"/>
      <c r="XW215" s="160"/>
      <c r="XX215" s="160"/>
      <c r="XY215" s="160"/>
      <c r="XZ215" s="160"/>
      <c r="YA215" s="160"/>
      <c r="YB215" s="160"/>
      <c r="YC215" s="160"/>
      <c r="YD215" s="160"/>
      <c r="YE215" s="160"/>
      <c r="YF215" s="160"/>
      <c r="YG215" s="160"/>
      <c r="YH215" s="160"/>
      <c r="YI215" s="160"/>
      <c r="YJ215" s="160"/>
      <c r="YK215" s="160"/>
      <c r="YL215" s="160"/>
      <c r="YM215" s="160"/>
      <c r="YN215" s="160"/>
      <c r="YO215" s="160"/>
      <c r="YP215" s="160"/>
      <c r="YQ215" s="160"/>
      <c r="YR215" s="160"/>
      <c r="YS215" s="160"/>
      <c r="YT215" s="160"/>
      <c r="YU215" s="160"/>
      <c r="YV215" s="160"/>
      <c r="YW215" s="160"/>
      <c r="YX215" s="160"/>
      <c r="YY215" s="160"/>
      <c r="YZ215" s="160"/>
      <c r="ZA215" s="160"/>
      <c r="ZB215" s="160"/>
      <c r="ZC215" s="160"/>
      <c r="ZD215" s="160"/>
      <c r="ZE215" s="160"/>
      <c r="ZF215" s="160"/>
      <c r="ZG215" s="160"/>
      <c r="ZH215" s="160"/>
      <c r="ZI215" s="160"/>
      <c r="ZJ215" s="160"/>
      <c r="ZK215" s="160"/>
      <c r="ZL215" s="160"/>
      <c r="ZM215" s="160"/>
      <c r="ZN215" s="160"/>
      <c r="ZO215" s="160"/>
      <c r="ZP215" s="160"/>
      <c r="ZQ215" s="160"/>
      <c r="ZR215" s="160"/>
      <c r="ZS215" s="160"/>
      <c r="ZT215" s="160"/>
      <c r="ZU215" s="160"/>
      <c r="ZV215" s="160"/>
      <c r="ZW215" s="160"/>
      <c r="ZX215" s="160"/>
      <c r="ZY215" s="160"/>
      <c r="ZZ215" s="160"/>
      <c r="AAA215" s="160"/>
      <c r="AAB215" s="160"/>
      <c r="AAC215" s="160"/>
      <c r="AAD215" s="160"/>
      <c r="AAE215" s="160"/>
      <c r="AAF215" s="160"/>
      <c r="AAG215" s="160"/>
      <c r="AAH215" s="160"/>
      <c r="AAI215" s="160"/>
      <c r="AAJ215" s="160"/>
      <c r="AAK215" s="160"/>
      <c r="AAL215" s="160"/>
      <c r="AAM215" s="160"/>
      <c r="AAN215" s="160"/>
      <c r="AAO215" s="160"/>
      <c r="AAP215" s="160"/>
      <c r="AAQ215" s="160"/>
      <c r="AAR215" s="160"/>
      <c r="AAS215" s="160"/>
      <c r="AAT215" s="970"/>
      <c r="AAU215" s="653"/>
      <c r="AAV215" s="653"/>
      <c r="AAW215" s="653"/>
      <c r="AAX215" s="653"/>
      <c r="AAY215" s="653"/>
      <c r="AAZ215" s="653"/>
      <c r="ABA215" s="653"/>
      <c r="ABB215" s="653"/>
      <c r="ABC215" s="653"/>
      <c r="ABD215" s="653"/>
      <c r="ABE215" s="653"/>
      <c r="ABF215" s="653"/>
      <c r="ABG215" s="653"/>
      <c r="ABH215" s="653"/>
      <c r="ABI215" s="653"/>
      <c r="ABJ215" s="653"/>
      <c r="ABK215" s="653"/>
      <c r="ABL215" s="653"/>
      <c r="ABM215" s="653"/>
      <c r="ABN215" s="653"/>
      <c r="ABO215" s="653"/>
      <c r="ABP215" s="653"/>
      <c r="ABQ215" s="653"/>
      <c r="ABR215" s="653"/>
      <c r="ABS215" s="653"/>
      <c r="ABT215" s="653"/>
      <c r="ABU215" s="653"/>
      <c r="ABV215" s="653"/>
      <c r="ABW215" s="653"/>
      <c r="ABX215" s="653"/>
      <c r="ABY215" s="1026"/>
      <c r="ABZ215" s="1027"/>
      <c r="ACA215" s="1027"/>
      <c r="ACB215" s="1027"/>
      <c r="ACC215" s="1027"/>
      <c r="ACD215" s="1027"/>
      <c r="ACE215" s="1027"/>
      <c r="ACF215" s="1027"/>
      <c r="ACG215" s="1027"/>
      <c r="ACH215" s="1028"/>
      <c r="ACR215" s="1069">
        <v>2.5</v>
      </c>
      <c r="ACS215" s="1071"/>
      <c r="ACT215" s="1069">
        <v>0.8</v>
      </c>
      <c r="ACU215" s="1071"/>
      <c r="ACV215" s="856">
        <f t="shared" si="285"/>
        <v>-0.20000000000000018</v>
      </c>
      <c r="ACW215" s="856"/>
      <c r="ACX215" s="856">
        <f t="shared" si="286"/>
        <v>1.3000000000000005</v>
      </c>
      <c r="ACY215" s="856"/>
      <c r="AGN215" s="199"/>
      <c r="AGO215" s="852" t="s">
        <v>1751</v>
      </c>
      <c r="AGP215" s="923"/>
      <c r="AGQ215" s="199"/>
      <c r="AGR215" s="1117" t="s">
        <v>134</v>
      </c>
      <c r="AGS215" s="1118"/>
      <c r="AGT215" s="1118"/>
      <c r="AGU215" s="1118"/>
      <c r="AGV215" s="1118"/>
      <c r="AGW215" s="1118"/>
      <c r="AGX215" s="1118"/>
      <c r="AGY215" s="1118"/>
      <c r="AGZ215" s="1118"/>
      <c r="AHA215" s="1118"/>
      <c r="AHB215" s="1119"/>
      <c r="AHC215" s="199"/>
      <c r="AIS215" s="653"/>
      <c r="AIT215" s="653"/>
      <c r="AIU215" s="653"/>
      <c r="AIV215" s="653"/>
      <c r="AIW215" s="653"/>
      <c r="AIX215" s="653"/>
      <c r="AIY215" s="653"/>
      <c r="AIZ215" s="653"/>
      <c r="AJA215" s="653"/>
      <c r="AJB215" s="653"/>
      <c r="AJC215" s="653"/>
      <c r="AJD215" s="653"/>
      <c r="AJE215" s="653"/>
      <c r="AJF215" s="653"/>
      <c r="AJG215" s="653"/>
      <c r="AJH215" s="653"/>
      <c r="AJI215" s="851"/>
      <c r="AJJ215" s="1276"/>
      <c r="AJK215" s="1277"/>
      <c r="AJL215" s="1278"/>
      <c r="AJO215" s="903"/>
      <c r="AJP215" s="904"/>
      <c r="AJQ215" s="904"/>
      <c r="AJR215" s="904"/>
      <c r="AJS215" s="904"/>
      <c r="AJT215" s="904"/>
      <c r="AJU215" s="904"/>
      <c r="AJV215" s="904"/>
      <c r="AJW215" s="904"/>
      <c r="AJX215" s="904"/>
      <c r="AJY215" s="904"/>
      <c r="AJZ215" s="904"/>
      <c r="AKA215" s="904"/>
      <c r="AKB215" s="904"/>
      <c r="AKC215" s="904"/>
      <c r="AKD215" s="904"/>
      <c r="AKE215" s="904"/>
      <c r="AKF215" s="905"/>
      <c r="AKH215" s="903"/>
      <c r="AKI215" s="904"/>
      <c r="AKJ215" s="905"/>
      <c r="AKL215" s="903"/>
      <c r="AKM215" s="904"/>
      <c r="AKN215" s="905"/>
    </row>
    <row r="216" spans="340:976 1165:1222" ht="48" customHeight="1" thickBot="1">
      <c r="MB216" s="1052"/>
      <c r="MC216" s="387" t="s">
        <v>725</v>
      </c>
      <c r="MD216" s="761">
        <f>$GU$12</f>
        <v>0.8</v>
      </c>
      <c r="ME216" s="761"/>
      <c r="MF216" s="809" t="s">
        <v>112</v>
      </c>
      <c r="MG216" s="797"/>
      <c r="MH216" s="797"/>
      <c r="MI216" s="797"/>
      <c r="MJ216" s="797"/>
      <c r="MK216" s="797"/>
      <c r="ML216" s="797"/>
      <c r="MM216" s="797"/>
      <c r="MN216" s="1167">
        <f>(MD217*1000)/(12*MD216*MD218)*MH215</f>
        <v>1.2922478994547311</v>
      </c>
      <c r="MO216" s="840"/>
      <c r="MP216" s="1183" t="s">
        <v>729</v>
      </c>
      <c r="MQ216" s="1184"/>
      <c r="MR216" s="1066"/>
      <c r="MS216" s="893" t="s">
        <v>1272</v>
      </c>
      <c r="MT216" s="894"/>
      <c r="MU216" s="847"/>
      <c r="MV216" s="1052"/>
      <c r="MW216" s="1052"/>
      <c r="MX216" s="1052"/>
      <c r="MY216" s="1052"/>
      <c r="MZ216" s="1052"/>
      <c r="NA216" s="1052"/>
      <c r="NB216" s="1052"/>
      <c r="XB216" s="653"/>
      <c r="XC216" s="653"/>
      <c r="XD216" s="653"/>
      <c r="XE216" s="653"/>
      <c r="XF216" s="971"/>
      <c r="XG216" s="158"/>
      <c r="XH216" s="158"/>
      <c r="XI216" s="158"/>
      <c r="XJ216" s="158"/>
      <c r="XK216" s="158"/>
      <c r="XL216" s="158"/>
      <c r="XM216" s="158"/>
      <c r="XN216" s="158"/>
      <c r="XO216" s="158"/>
      <c r="XP216" s="158"/>
      <c r="XQ216" s="158"/>
      <c r="XR216" s="158"/>
      <c r="XS216" s="158"/>
      <c r="XT216" s="158"/>
      <c r="XU216" s="158"/>
      <c r="XV216" s="158"/>
      <c r="XW216" s="158"/>
      <c r="XX216" s="158"/>
      <c r="XY216" s="158"/>
      <c r="XZ216" s="158"/>
      <c r="YA216" s="158"/>
      <c r="YB216" s="158"/>
      <c r="YC216" s="158"/>
      <c r="YD216" s="158"/>
      <c r="YE216" s="158"/>
      <c r="YF216" s="158"/>
      <c r="YG216" s="158"/>
      <c r="YH216" s="158"/>
      <c r="YI216" s="158"/>
      <c r="YJ216" s="158"/>
      <c r="YK216" s="158"/>
      <c r="YL216" s="158"/>
      <c r="YM216" s="158"/>
      <c r="YN216" s="158"/>
      <c r="YO216" s="158"/>
      <c r="YP216" s="158"/>
      <c r="YQ216" s="158"/>
      <c r="YR216" s="158"/>
      <c r="YS216" s="158"/>
      <c r="YT216" s="158"/>
      <c r="YU216" s="158"/>
      <c r="YV216" s="158"/>
      <c r="YW216" s="158"/>
      <c r="YX216" s="158"/>
      <c r="YY216" s="158"/>
      <c r="YZ216" s="158"/>
      <c r="ZA216" s="158"/>
      <c r="ZB216" s="158"/>
      <c r="ZC216" s="158"/>
      <c r="ZD216" s="158"/>
      <c r="ZE216" s="158"/>
      <c r="ZF216" s="158"/>
      <c r="ZG216" s="158"/>
      <c r="ZH216" s="158"/>
      <c r="ZI216" s="158"/>
      <c r="ZJ216" s="158"/>
      <c r="ZK216" s="158"/>
      <c r="ZL216" s="158"/>
      <c r="ZM216" s="158"/>
      <c r="ZN216" s="158"/>
      <c r="ZO216" s="158"/>
      <c r="ZP216" s="158"/>
      <c r="ZQ216" s="158"/>
      <c r="ZR216" s="158"/>
      <c r="ZS216" s="158"/>
      <c r="ZT216" s="158"/>
      <c r="ZU216" s="158"/>
      <c r="ZV216" s="158"/>
      <c r="ZW216" s="158"/>
      <c r="ZX216" s="158"/>
      <c r="ZY216" s="158"/>
      <c r="ZZ216" s="158"/>
      <c r="AAA216" s="158"/>
      <c r="AAB216" s="158"/>
      <c r="AAC216" s="158"/>
      <c r="AAD216" s="158"/>
      <c r="AAE216" s="158"/>
      <c r="AAF216" s="158"/>
      <c r="AAG216" s="158"/>
      <c r="AAH216" s="158"/>
      <c r="AAI216" s="158"/>
      <c r="AAJ216" s="158"/>
      <c r="AAK216" s="158"/>
      <c r="AAL216" s="158"/>
      <c r="AAM216" s="158"/>
      <c r="AAN216" s="158"/>
      <c r="AAO216" s="158"/>
      <c r="AAP216" s="158"/>
      <c r="AAQ216" s="158"/>
      <c r="AAR216" s="158"/>
      <c r="AAS216" s="158"/>
      <c r="AAT216" s="971"/>
      <c r="AAU216" s="653"/>
      <c r="AAV216" s="653"/>
      <c r="AAW216" s="653"/>
      <c r="AAX216" s="653"/>
      <c r="AAY216" s="653"/>
      <c r="AAZ216" s="653"/>
      <c r="ABA216" s="653"/>
      <c r="ABB216" s="653"/>
      <c r="ABC216" s="653"/>
      <c r="ABD216" s="653"/>
      <c r="ABE216" s="653"/>
      <c r="ABF216" s="653"/>
      <c r="ABG216" s="653"/>
      <c r="ABH216" s="653"/>
      <c r="ABI216" s="653"/>
      <c r="ABJ216" s="653"/>
      <c r="ABK216" s="653"/>
      <c r="ABL216" s="653"/>
      <c r="ABM216" s="653"/>
      <c r="ABN216" s="653"/>
      <c r="ABO216" s="653"/>
      <c r="ABP216" s="653"/>
      <c r="ABQ216" s="653"/>
      <c r="ABR216" s="653"/>
      <c r="ABS216" s="653"/>
      <c r="ABT216" s="653"/>
      <c r="ABU216" s="653"/>
      <c r="ABV216" s="653"/>
      <c r="ABW216" s="653"/>
      <c r="ABX216" s="653"/>
      <c r="ABY216" s="1026"/>
      <c r="ABZ216" s="1027"/>
      <c r="ACA216" s="1027"/>
      <c r="ACB216" s="1027"/>
      <c r="ACC216" s="1027"/>
      <c r="ACD216" s="1027"/>
      <c r="ACE216" s="1027"/>
      <c r="ACF216" s="1027"/>
      <c r="ACG216" s="1027"/>
      <c r="ACH216" s="1028"/>
      <c r="ACR216" s="1069">
        <v>3</v>
      </c>
      <c r="ACS216" s="1071"/>
      <c r="ACT216" s="1069">
        <v>0.7</v>
      </c>
      <c r="ACU216" s="1071"/>
      <c r="ACV216" s="856">
        <f t="shared" si="285"/>
        <v>-0.12</v>
      </c>
      <c r="ACW216" s="856"/>
      <c r="ACX216" s="856">
        <f t="shared" si="286"/>
        <v>1.06</v>
      </c>
      <c r="ACY216" s="856"/>
      <c r="AIS216" s="653"/>
      <c r="AIT216" s="653"/>
      <c r="AIU216" s="653"/>
      <c r="AIV216" s="653"/>
      <c r="AIW216" s="653"/>
      <c r="AIX216" s="653"/>
      <c r="AIY216" s="653"/>
      <c r="AIZ216" s="653"/>
      <c r="AJA216" s="653"/>
      <c r="AJB216" s="653"/>
      <c r="AJC216" s="653"/>
      <c r="AJD216" s="653"/>
      <c r="AJE216" s="653"/>
      <c r="AJF216" s="653"/>
      <c r="AJG216" s="653"/>
      <c r="AJH216" s="653"/>
      <c r="AJI216" s="653"/>
      <c r="AJJ216" s="653"/>
      <c r="AJK216" s="653"/>
      <c r="AJL216" s="653"/>
      <c r="AJM216" s="653"/>
      <c r="AJN216" s="653"/>
      <c r="AJO216" s="653"/>
      <c r="AJP216" s="653"/>
      <c r="AJQ216" s="653"/>
      <c r="AJR216" s="653"/>
      <c r="AJS216" s="653"/>
      <c r="AJT216" s="653"/>
      <c r="AJU216" s="653"/>
      <c r="AJV216" s="653"/>
      <c r="AJW216" s="653"/>
      <c r="AJX216" s="653"/>
      <c r="AJY216" s="653"/>
      <c r="AJZ216" s="653"/>
      <c r="AKA216" s="653"/>
      <c r="AKB216" s="653"/>
      <c r="AKC216" s="653"/>
      <c r="AKD216" s="653"/>
      <c r="AKE216" s="653"/>
      <c r="AKF216" s="653"/>
      <c r="AKG216" s="653"/>
      <c r="AKH216" s="653"/>
      <c r="AKI216" s="653"/>
      <c r="AKJ216" s="653"/>
      <c r="AKK216" s="653"/>
      <c r="AKL216" s="653"/>
      <c r="AKM216" s="653"/>
      <c r="AKN216" s="653"/>
      <c r="ARU216" s="849"/>
      <c r="ARV216" s="852" t="s">
        <v>416</v>
      </c>
      <c r="ARW216" s="853"/>
      <c r="ARX216" s="142"/>
      <c r="ARY216" s="78"/>
      <c r="ARZ216" s="78"/>
      <c r="ASA216" s="78"/>
      <c r="ASB216" s="78"/>
      <c r="ASC216" s="78"/>
      <c r="ASD216" s="78"/>
      <c r="ASE216" s="142"/>
      <c r="ASF216" s="76" t="s">
        <v>441</v>
      </c>
      <c r="ASG216" s="854" t="s">
        <v>435</v>
      </c>
      <c r="ASH216" s="1111"/>
      <c r="ASI216" s="924" t="s">
        <v>111</v>
      </c>
      <c r="ASJ216" s="925"/>
      <c r="ASK216" s="916" t="s">
        <v>704</v>
      </c>
      <c r="ASL216" s="917"/>
      <c r="ASM216" s="906" t="s">
        <v>447</v>
      </c>
      <c r="ASN216" s="907"/>
      <c r="ASO216" s="907"/>
      <c r="ASP216" s="908"/>
    </row>
    <row r="217" spans="340:976 1165:1222" ht="48" customHeight="1" thickBot="1">
      <c r="MB217" s="1052"/>
      <c r="MC217" s="388" t="s">
        <v>1019</v>
      </c>
      <c r="MD217" s="890">
        <f>$GM$24</f>
        <v>1.4419426086956524E-2</v>
      </c>
      <c r="ME217" s="890"/>
      <c r="MF217" s="775"/>
      <c r="MG217" s="776"/>
      <c r="MH217" s="776"/>
      <c r="MI217" s="776"/>
      <c r="MJ217" s="776"/>
      <c r="MK217" s="776"/>
      <c r="ML217" s="776"/>
      <c r="MM217" s="776"/>
      <c r="MN217" s="1169"/>
      <c r="MO217" s="799"/>
      <c r="MP217" s="1185"/>
      <c r="MQ217" s="1186"/>
      <c r="MR217" s="1067"/>
      <c r="MS217" s="918"/>
      <c r="MT217" s="919"/>
      <c r="MU217" s="848"/>
      <c r="MV217" s="1052"/>
      <c r="MW217" s="1052"/>
      <c r="MX217" s="1052"/>
      <c r="MY217" s="1052"/>
      <c r="MZ217" s="1052"/>
      <c r="NA217" s="1052"/>
      <c r="NB217" s="1052"/>
      <c r="XB217" s="653"/>
      <c r="XC217" s="653"/>
      <c r="XD217" s="653"/>
      <c r="XE217" s="653"/>
      <c r="XF217" s="971"/>
      <c r="XG217" s="158"/>
      <c r="XH217" s="158"/>
      <c r="XI217" s="158"/>
      <c r="XJ217" s="158"/>
      <c r="XK217" s="158"/>
      <c r="XL217" s="158"/>
      <c r="XM217" s="158"/>
      <c r="XN217" s="158"/>
      <c r="XO217" s="158"/>
      <c r="XP217" s="158"/>
      <c r="XQ217" s="158"/>
      <c r="XR217" s="158"/>
      <c r="XS217" s="158"/>
      <c r="XT217" s="158"/>
      <c r="XU217" s="158"/>
      <c r="XV217" s="158"/>
      <c r="XW217" s="158"/>
      <c r="XX217" s="158"/>
      <c r="XY217" s="158"/>
      <c r="XZ217" s="158"/>
      <c r="YA217" s="158"/>
      <c r="YB217" s="158"/>
      <c r="YC217" s="158"/>
      <c r="YD217" s="158"/>
      <c r="YE217" s="158"/>
      <c r="YF217" s="158"/>
      <c r="YG217" s="158"/>
      <c r="YH217" s="158"/>
      <c r="YI217" s="158"/>
      <c r="YJ217" s="158"/>
      <c r="YK217" s="158"/>
      <c r="YL217" s="158"/>
      <c r="YM217" s="158"/>
      <c r="YN217" s="158"/>
      <c r="YO217" s="158"/>
      <c r="YP217" s="158"/>
      <c r="YQ217" s="158"/>
      <c r="YR217" s="158"/>
      <c r="YS217" s="158"/>
      <c r="YT217" s="158"/>
      <c r="YU217" s="158"/>
      <c r="YV217" s="158"/>
      <c r="YW217" s="158"/>
      <c r="YX217" s="158"/>
      <c r="YY217" s="158"/>
      <c r="YZ217" s="158"/>
      <c r="ZA217" s="158"/>
      <c r="ZB217" s="158"/>
      <c r="ZC217" s="158"/>
      <c r="ZD217" s="158"/>
      <c r="ZE217" s="158"/>
      <c r="ZF217" s="158"/>
      <c r="ZG217" s="158"/>
      <c r="ZH217" s="158"/>
      <c r="ZI217" s="158"/>
      <c r="ZJ217" s="158"/>
      <c r="ZK217" s="158"/>
      <c r="ZL217" s="158"/>
      <c r="ZM217" s="158"/>
      <c r="ZN217" s="158"/>
      <c r="ZO217" s="158"/>
      <c r="ZP217" s="158"/>
      <c r="ZQ217" s="158"/>
      <c r="ZR217" s="158"/>
      <c r="ZS217" s="158"/>
      <c r="ZT217" s="158"/>
      <c r="ZU217" s="158"/>
      <c r="ZV217" s="158"/>
      <c r="ZW217" s="158"/>
      <c r="ZX217" s="158"/>
      <c r="ZY217" s="158"/>
      <c r="ZZ217" s="158"/>
      <c r="AAA217" s="158"/>
      <c r="AAB217" s="158"/>
      <c r="AAC217" s="158"/>
      <c r="AAD217" s="158"/>
      <c r="AAE217" s="158"/>
      <c r="AAF217" s="158"/>
      <c r="AAG217" s="158"/>
      <c r="AAH217" s="158"/>
      <c r="AAI217" s="158"/>
      <c r="AAJ217" s="158"/>
      <c r="AAK217" s="158"/>
      <c r="AAL217" s="158"/>
      <c r="AAM217" s="158"/>
      <c r="AAN217" s="158"/>
      <c r="AAO217" s="158"/>
      <c r="AAP217" s="158"/>
      <c r="AAQ217" s="158"/>
      <c r="AAR217" s="158"/>
      <c r="AAS217" s="158"/>
      <c r="AAT217" s="971"/>
      <c r="AAU217" s="653"/>
      <c r="AAV217" s="653"/>
      <c r="AAW217" s="653"/>
      <c r="AAX217" s="653"/>
      <c r="AAY217" s="653"/>
      <c r="AAZ217" s="653"/>
      <c r="ABA217" s="653"/>
      <c r="ABB217" s="653"/>
      <c r="ABC217" s="653"/>
      <c r="ABD217" s="653"/>
      <c r="ABE217" s="653"/>
      <c r="ABF217" s="653"/>
      <c r="ABG217" s="653"/>
      <c r="ABH217" s="653"/>
      <c r="ABI217" s="653"/>
      <c r="ABJ217" s="653"/>
      <c r="ABK217" s="653"/>
      <c r="ABL217" s="653"/>
      <c r="ABM217" s="653"/>
      <c r="ABN217" s="653"/>
      <c r="ABO217" s="653"/>
      <c r="ABP217" s="653"/>
      <c r="ABQ217" s="653"/>
      <c r="ABR217" s="653"/>
      <c r="ABS217" s="653"/>
      <c r="ABT217" s="653"/>
      <c r="ABU217" s="653"/>
      <c r="ABV217" s="653"/>
      <c r="ABW217" s="653"/>
      <c r="ABX217" s="653"/>
      <c r="ABY217" s="1026"/>
      <c r="ABZ217" s="1027"/>
      <c r="ACA217" s="1027"/>
      <c r="ACB217" s="1027"/>
      <c r="ACC217" s="1027"/>
      <c r="ACD217" s="1027"/>
      <c r="ACE217" s="1027"/>
      <c r="ACF217" s="1027"/>
      <c r="ACG217" s="1027"/>
      <c r="ACH217" s="1028"/>
      <c r="ACR217" s="1069">
        <v>4</v>
      </c>
      <c r="ACS217" s="1071"/>
      <c r="ACT217" s="1069">
        <v>0.57999999999999996</v>
      </c>
      <c r="ACU217" s="1071"/>
      <c r="ACV217" s="856">
        <f t="shared" si="285"/>
        <v>-7.999999999999996E-2</v>
      </c>
      <c r="ACW217" s="856"/>
      <c r="ACX217" s="856">
        <f t="shared" si="286"/>
        <v>0.8999999999999998</v>
      </c>
      <c r="ACY217" s="856"/>
      <c r="AGL217" s="76" t="s">
        <v>793</v>
      </c>
      <c r="AGM217" s="852" t="s">
        <v>416</v>
      </c>
      <c r="AGN217" s="853"/>
      <c r="AGO217" s="425"/>
      <c r="AGP217" s="1583" t="s">
        <v>1335</v>
      </c>
      <c r="AGQ217" s="1585"/>
      <c r="AGR217" s="937">
        <f>$MP$98</f>
        <v>0.38958741854614803</v>
      </c>
      <c r="AGS217" s="937"/>
      <c r="AGT217" s="78"/>
      <c r="AGU217" s="78"/>
      <c r="AGV217" s="425"/>
      <c r="AGW217" s="76" t="s">
        <v>441</v>
      </c>
      <c r="AGX217" s="854" t="s">
        <v>435</v>
      </c>
      <c r="AGY217" s="1111"/>
      <c r="AGZ217" s="920" t="s">
        <v>111</v>
      </c>
      <c r="AHA217" s="921"/>
      <c r="AHB217" s="916" t="s">
        <v>704</v>
      </c>
      <c r="AHC217" s="917"/>
      <c r="AHD217" s="1051" t="s">
        <v>447</v>
      </c>
      <c r="AHE217" s="1051"/>
      <c r="AHF217" s="1051"/>
      <c r="AHG217" s="1051"/>
      <c r="AHH217" s="1051"/>
      <c r="AHI217" s="1051" t="s">
        <v>436</v>
      </c>
      <c r="AHJ217" s="1051"/>
      <c r="AHK217" s="1051"/>
      <c r="AHL217" s="1051"/>
      <c r="AHM217" s="1051"/>
      <c r="AHN217" s="1051"/>
      <c r="AHO217" s="1051"/>
      <c r="AHP217" s="1051"/>
      <c r="AHQ217" s="1051"/>
      <c r="AHR217" s="1051"/>
      <c r="AHS217" s="1051"/>
      <c r="AIS217" s="653"/>
      <c r="AIT217" s="653"/>
      <c r="AIU217" s="653"/>
      <c r="AIV217" s="653"/>
      <c r="AIW217" s="653"/>
      <c r="AIX217" s="653"/>
      <c r="AIY217" s="653"/>
      <c r="AIZ217" s="653"/>
      <c r="AJA217" s="653"/>
      <c r="AJB217" s="653"/>
      <c r="AJC217" s="653"/>
      <c r="AJD217" s="653"/>
      <c r="AJE217" s="653"/>
      <c r="AJF217" s="653"/>
      <c r="AJG217" s="653"/>
      <c r="AJH217" s="653"/>
      <c r="AJI217" s="653"/>
      <c r="AJJ217" s="653"/>
      <c r="AJK217" s="653"/>
      <c r="AJL217" s="653"/>
      <c r="AJM217" s="653"/>
      <c r="AJN217" s="653"/>
      <c r="AJO217" s="653"/>
      <c r="AJP217" s="653"/>
      <c r="AJQ217" s="653"/>
      <c r="AJR217" s="653"/>
      <c r="AJS217" s="653"/>
      <c r="AJT217" s="653"/>
      <c r="AJU217" s="653"/>
      <c r="AJV217" s="653"/>
      <c r="AJW217" s="653"/>
      <c r="AJX217" s="653"/>
      <c r="AJY217" s="653"/>
      <c r="AJZ217" s="653"/>
      <c r="AKA217" s="653"/>
      <c r="AKB217" s="653"/>
      <c r="AKC217" s="653"/>
      <c r="AKD217" s="653"/>
      <c r="AKE217" s="653"/>
      <c r="AKF217" s="653"/>
      <c r="AKG217" s="653"/>
      <c r="AKH217" s="653"/>
      <c r="AKI217" s="653"/>
      <c r="AKJ217" s="653"/>
      <c r="AKK217" s="653"/>
      <c r="AKL217" s="653"/>
      <c r="AKM217" s="653"/>
      <c r="AKN217" s="653"/>
      <c r="ARU217" s="850"/>
      <c r="ARV217" s="957" t="s">
        <v>388</v>
      </c>
      <c r="ARW217" s="957"/>
      <c r="ARX217" s="957"/>
      <c r="ARY217" s="957"/>
      <c r="ARZ217" s="957"/>
      <c r="ASA217" s="957"/>
      <c r="ASB217" s="957"/>
      <c r="ASC217" s="957"/>
      <c r="ASD217" s="957"/>
      <c r="ASE217" s="957"/>
      <c r="ASF217" s="957"/>
      <c r="ASG217" s="957"/>
      <c r="ASH217" s="957"/>
      <c r="ASI217" s="835">
        <f>0.1</f>
        <v>0.1</v>
      </c>
      <c r="ASJ217" s="836"/>
      <c r="ASK217" s="839"/>
      <c r="ASL217" s="840"/>
      <c r="ASM217" s="1066"/>
      <c r="ASN217" s="843" t="s">
        <v>416</v>
      </c>
      <c r="ASO217" s="844"/>
      <c r="ASP217" s="847"/>
    </row>
    <row r="218" spans="340:976 1165:1222" ht="48" customHeight="1" thickBot="1">
      <c r="MB218" s="1053"/>
      <c r="MC218" s="389" t="s">
        <v>1060</v>
      </c>
      <c r="MD218" s="774">
        <f>$KL$72</f>
        <v>1.1666666666666667</v>
      </c>
      <c r="ME218" s="774"/>
      <c r="MF218" s="777"/>
      <c r="MG218" s="778"/>
      <c r="MH218" s="778"/>
      <c r="MI218" s="778"/>
      <c r="MJ218" s="778"/>
      <c r="MK218" s="778"/>
      <c r="ML218" s="778"/>
      <c r="MM218" s="778"/>
      <c r="MN218" s="942"/>
      <c r="MO218" s="943"/>
      <c r="MP218" s="943"/>
      <c r="MQ218" s="943"/>
      <c r="MR218" s="943"/>
      <c r="MS218" s="943"/>
      <c r="MT218" s="943"/>
      <c r="MU218" s="944"/>
      <c r="MV218" s="1053"/>
      <c r="MW218" s="1053"/>
      <c r="MX218" s="1053"/>
      <c r="MY218" s="1053"/>
      <c r="MZ218" s="1053"/>
      <c r="NA218" s="1053"/>
      <c r="NB218" s="1053"/>
      <c r="XB218" s="653"/>
      <c r="XC218" s="653"/>
      <c r="XD218" s="653"/>
      <c r="XE218" s="653"/>
      <c r="XF218" s="971"/>
      <c r="XG218" s="158"/>
      <c r="XH218" s="158"/>
      <c r="XI218" s="158"/>
      <c r="XJ218" s="158"/>
      <c r="XK218" s="158"/>
      <c r="XL218" s="158"/>
      <c r="XM218" s="158"/>
      <c r="XN218" s="158"/>
      <c r="XO218" s="158"/>
      <c r="XP218" s="158"/>
      <c r="XQ218" s="158"/>
      <c r="XR218" s="158"/>
      <c r="XS218" s="158"/>
      <c r="XT218" s="158"/>
      <c r="XU218" s="158"/>
      <c r="XV218" s="158"/>
      <c r="XW218" s="158"/>
      <c r="XX218" s="158"/>
      <c r="XY218" s="158"/>
      <c r="XZ218" s="158"/>
      <c r="YA218" s="158"/>
      <c r="YB218" s="158"/>
      <c r="YC218" s="158"/>
      <c r="YD218" s="158"/>
      <c r="YE218" s="158"/>
      <c r="YF218" s="158"/>
      <c r="YG218" s="158"/>
      <c r="YH218" s="158"/>
      <c r="YI218" s="158"/>
      <c r="YJ218" s="158"/>
      <c r="YK218" s="158"/>
      <c r="YL218" s="158"/>
      <c r="YM218" s="158"/>
      <c r="YN218" s="158"/>
      <c r="YO218" s="158"/>
      <c r="YP218" s="158"/>
      <c r="YQ218" s="158"/>
      <c r="YR218" s="158"/>
      <c r="YS218" s="158"/>
      <c r="YT218" s="158"/>
      <c r="YU218" s="158"/>
      <c r="YV218" s="158"/>
      <c r="YW218" s="158"/>
      <c r="YX218" s="158"/>
      <c r="YY218" s="158"/>
      <c r="YZ218" s="158"/>
      <c r="ZA218" s="158"/>
      <c r="ZB218" s="158"/>
      <c r="ZC218" s="158"/>
      <c r="ZD218" s="158"/>
      <c r="ZE218" s="158"/>
      <c r="ZF218" s="158"/>
      <c r="ZG218" s="158"/>
      <c r="ZH218" s="158"/>
      <c r="ZI218" s="158"/>
      <c r="ZJ218" s="158"/>
      <c r="ZK218" s="158"/>
      <c r="ZL218" s="158"/>
      <c r="ZM218" s="158"/>
      <c r="ZN218" s="158"/>
      <c r="ZO218" s="158"/>
      <c r="ZP218" s="158"/>
      <c r="ZQ218" s="158"/>
      <c r="ZR218" s="158"/>
      <c r="ZS218" s="158"/>
      <c r="ZT218" s="158"/>
      <c r="ZU218" s="158"/>
      <c r="ZV218" s="158"/>
      <c r="ZW218" s="158"/>
      <c r="ZX218" s="158"/>
      <c r="ZY218" s="158"/>
      <c r="ZZ218" s="158"/>
      <c r="AAA218" s="158"/>
      <c r="AAB218" s="158"/>
      <c r="AAC218" s="158"/>
      <c r="AAD218" s="158"/>
      <c r="AAE218" s="158"/>
      <c r="AAF218" s="158"/>
      <c r="AAG218" s="158"/>
      <c r="AAH218" s="158"/>
      <c r="AAI218" s="158"/>
      <c r="AAJ218" s="158"/>
      <c r="AAK218" s="158"/>
      <c r="AAL218" s="158"/>
      <c r="AAM218" s="158"/>
      <c r="AAN218" s="158"/>
      <c r="AAO218" s="158"/>
      <c r="AAP218" s="158"/>
      <c r="AAQ218" s="158"/>
      <c r="AAR218" s="158"/>
      <c r="AAS218" s="158"/>
      <c r="AAT218" s="971"/>
      <c r="AAU218" s="653"/>
      <c r="AAV218" s="653"/>
      <c r="AAW218" s="653"/>
      <c r="AAX218" s="653"/>
      <c r="AAY218" s="653"/>
      <c r="AAZ218" s="653"/>
      <c r="ABA218" s="653"/>
      <c r="ABB218" s="653"/>
      <c r="ABC218" s="653"/>
      <c r="ABD218" s="653"/>
      <c r="ABE218" s="653"/>
      <c r="ABF218" s="653"/>
      <c r="ABG218" s="653"/>
      <c r="ABH218" s="653"/>
      <c r="ABI218" s="653"/>
      <c r="ABJ218" s="653"/>
      <c r="ABK218" s="653"/>
      <c r="ABL218" s="653"/>
      <c r="ABM218" s="653"/>
      <c r="ABN218" s="653"/>
      <c r="ABO218" s="653"/>
      <c r="ABP218" s="653"/>
      <c r="ABQ218" s="653"/>
      <c r="ABR218" s="653"/>
      <c r="ABS218" s="653"/>
      <c r="ABT218" s="653"/>
      <c r="ABU218" s="653"/>
      <c r="ABV218" s="653"/>
      <c r="ABW218" s="653"/>
      <c r="ABX218" s="653"/>
      <c r="ABY218" s="1026"/>
      <c r="ABZ218" s="1027"/>
      <c r="ACA218" s="1027"/>
      <c r="ACB218" s="1027"/>
      <c r="ACC218" s="1027"/>
      <c r="ACD218" s="1027"/>
      <c r="ACE218" s="1027"/>
      <c r="ACF218" s="1027"/>
      <c r="ACG218" s="1027"/>
      <c r="ACH218" s="1028"/>
      <c r="ACR218" s="1069">
        <v>5</v>
      </c>
      <c r="ACS218" s="1071"/>
      <c r="ACT218" s="1069">
        <v>0.5</v>
      </c>
      <c r="ACU218" s="1071"/>
      <c r="ACV218" s="856">
        <f t="shared" si="285"/>
        <v>-5.8823529411764684E-2</v>
      </c>
      <c r="ACW218" s="856"/>
      <c r="ACX218" s="856">
        <f t="shared" si="286"/>
        <v>0.79411764705882337</v>
      </c>
      <c r="ACY218" s="856"/>
      <c r="AGL218" s="849"/>
      <c r="AGM218" s="861" t="s">
        <v>1247</v>
      </c>
      <c r="AGN218" s="861"/>
      <c r="AGO218" s="937">
        <f>$MS$171</f>
        <v>1.42</v>
      </c>
      <c r="AGP218" s="1120"/>
      <c r="AGQ218" s="824" t="s">
        <v>134</v>
      </c>
      <c r="AGR218" s="824"/>
      <c r="AGS218" s="824"/>
      <c r="AGT218" s="792"/>
      <c r="AGU218" s="792"/>
      <c r="AGV218" s="792"/>
      <c r="AGW218" s="792"/>
      <c r="AGX218" s="792"/>
      <c r="AGY218" s="793"/>
      <c r="AGZ218" s="835">
        <f>AGR217*(AGZ198+AGZ212+AGO219)/(AGO218+AGO219+AGO220)</f>
        <v>0.19768511452075549</v>
      </c>
      <c r="AHA218" s="836"/>
      <c r="AHB218" s="839" t="s">
        <v>392</v>
      </c>
      <c r="AHC218" s="840"/>
      <c r="AHD218" s="1500"/>
      <c r="AHE218" s="1323" t="s">
        <v>1511</v>
      </c>
      <c r="AHF218" s="1323"/>
      <c r="AHG218" s="1323"/>
      <c r="AHH218" s="1289"/>
      <c r="AHI218" s="1052"/>
      <c r="AHJ218" s="1052"/>
      <c r="AHK218" s="1052"/>
      <c r="AHL218" s="1052"/>
      <c r="AHM218" s="1052"/>
      <c r="AHN218" s="1052"/>
      <c r="AHO218" s="1052"/>
      <c r="AHP218" s="1052"/>
      <c r="AHQ218" s="1052"/>
      <c r="AHR218" s="1052"/>
      <c r="AHS218" s="1052"/>
      <c r="AIS218" s="653"/>
      <c r="AIT218" s="653"/>
      <c r="AIU218" s="653"/>
      <c r="AIV218" s="653"/>
      <c r="AIW218" s="653"/>
      <c r="AIX218" s="653"/>
      <c r="AIY218" s="653"/>
      <c r="AIZ218" s="653"/>
      <c r="AJA218" s="653"/>
      <c r="AJB218" s="653"/>
      <c r="AJC218" s="653"/>
      <c r="AJD218" s="653"/>
      <c r="AJE218" s="653"/>
      <c r="AJF218" s="653"/>
      <c r="AJG218" s="653"/>
      <c r="AJH218" s="653"/>
      <c r="AJI218" s="653"/>
      <c r="AJJ218" s="653"/>
      <c r="AJK218" s="653"/>
      <c r="AJL218" s="653"/>
      <c r="AJM218" s="653"/>
      <c r="AJN218" s="653"/>
      <c r="AJO218" s="653"/>
      <c r="AJP218" s="653"/>
      <c r="AJQ218" s="653"/>
      <c r="AJR218" s="653"/>
      <c r="AJS218" s="653"/>
      <c r="AJT218" s="653"/>
      <c r="AJU218" s="653"/>
      <c r="AJV218" s="653"/>
      <c r="AJW218" s="653"/>
      <c r="AJX218" s="653"/>
      <c r="AJY218" s="653"/>
      <c r="AJZ218" s="653"/>
      <c r="AKA218" s="653"/>
      <c r="AKB218" s="653"/>
      <c r="AKC218" s="653"/>
      <c r="AKD218" s="653"/>
      <c r="AKE218" s="653"/>
      <c r="AKF218" s="653"/>
      <c r="AKG218" s="653"/>
      <c r="AKH218" s="653"/>
      <c r="AKI218" s="653"/>
      <c r="AKJ218" s="653"/>
      <c r="AKK218" s="653"/>
      <c r="AKL218" s="653"/>
      <c r="AKM218" s="653"/>
      <c r="AKN218" s="653"/>
      <c r="ARU218" s="851"/>
      <c r="ARV218" s="1147"/>
      <c r="ARW218" s="1147"/>
      <c r="ARX218" s="1147"/>
      <c r="ARY218" s="1147"/>
      <c r="ARZ218" s="1147"/>
      <c r="ASA218" s="1147"/>
      <c r="ASB218" s="1147"/>
      <c r="ASC218" s="1147"/>
      <c r="ASD218" s="1147"/>
      <c r="ASE218" s="1147"/>
      <c r="ASF218" s="1147"/>
      <c r="ASG218" s="1147"/>
      <c r="ASH218" s="1147"/>
      <c r="ASI218" s="837"/>
      <c r="ASJ218" s="838"/>
      <c r="ASK218" s="777"/>
      <c r="ASL218" s="799"/>
      <c r="ASM218" s="1067"/>
      <c r="ASN218" s="845"/>
      <c r="ASO218" s="846"/>
      <c r="ASP218" s="848"/>
    </row>
    <row r="219" spans="340:976 1165:1222" ht="48" customHeight="1" thickBot="1">
      <c r="XB219" s="653"/>
      <c r="XC219" s="653"/>
      <c r="XD219" s="653"/>
      <c r="XE219" s="653"/>
      <c r="XF219" s="971"/>
      <c r="XG219" s="158"/>
      <c r="XH219" s="158"/>
      <c r="XI219" s="158"/>
      <c r="XJ219" s="158"/>
      <c r="XK219" s="158"/>
      <c r="XL219" s="158"/>
      <c r="XM219" s="158"/>
      <c r="XN219" s="158"/>
      <c r="XO219" s="158"/>
      <c r="XP219" s="158"/>
      <c r="XQ219" s="158"/>
      <c r="XR219" s="158"/>
      <c r="XS219" s="158"/>
      <c r="XT219" s="158"/>
      <c r="XU219" s="158"/>
      <c r="XV219" s="158"/>
      <c r="XW219" s="158"/>
      <c r="XX219" s="158"/>
      <c r="XY219" s="158"/>
      <c r="XZ219" s="158"/>
      <c r="YA219" s="158"/>
      <c r="YB219" s="158"/>
      <c r="YC219" s="158"/>
      <c r="YD219" s="158"/>
      <c r="YE219" s="158"/>
      <c r="YF219" s="158"/>
      <c r="YG219" s="158"/>
      <c r="YH219" s="158"/>
      <c r="YI219" s="158"/>
      <c r="YJ219" s="158"/>
      <c r="YK219" s="158"/>
      <c r="YL219" s="158"/>
      <c r="YM219" s="158"/>
      <c r="YN219" s="158"/>
      <c r="YO219" s="158"/>
      <c r="YP219" s="158"/>
      <c r="YQ219" s="158"/>
      <c r="YR219" s="158"/>
      <c r="YS219" s="158"/>
      <c r="YT219" s="158"/>
      <c r="YU219" s="158"/>
      <c r="YV219" s="158"/>
      <c r="YW219" s="158"/>
      <c r="YX219" s="158"/>
      <c r="YY219" s="158"/>
      <c r="YZ219" s="158"/>
      <c r="ZA219" s="158"/>
      <c r="ZB219" s="158"/>
      <c r="ZC219" s="158"/>
      <c r="ZD219" s="158"/>
      <c r="ZE219" s="158"/>
      <c r="ZF219" s="158"/>
      <c r="ZG219" s="158"/>
      <c r="ZH219" s="158"/>
      <c r="ZI219" s="158"/>
      <c r="ZJ219" s="158"/>
      <c r="ZK219" s="158"/>
      <c r="ZL219" s="158"/>
      <c r="ZM219" s="158"/>
      <c r="ZN219" s="158"/>
      <c r="ZO219" s="158"/>
      <c r="ZP219" s="158"/>
      <c r="ZQ219" s="158"/>
      <c r="ZR219" s="158"/>
      <c r="ZS219" s="158"/>
      <c r="ZT219" s="158"/>
      <c r="ZU219" s="158"/>
      <c r="ZV219" s="158"/>
      <c r="ZW219" s="158"/>
      <c r="ZX219" s="158"/>
      <c r="ZY219" s="158"/>
      <c r="ZZ219" s="158"/>
      <c r="AAA219" s="158"/>
      <c r="AAB219" s="158"/>
      <c r="AAC219" s="158"/>
      <c r="AAD219" s="158"/>
      <c r="AAE219" s="158"/>
      <c r="AAF219" s="158"/>
      <c r="AAG219" s="158"/>
      <c r="AAH219" s="158"/>
      <c r="AAI219" s="158"/>
      <c r="AAJ219" s="158"/>
      <c r="AAK219" s="158"/>
      <c r="AAL219" s="158"/>
      <c r="AAM219" s="158"/>
      <c r="AAN219" s="158"/>
      <c r="AAO219" s="158"/>
      <c r="AAP219" s="158"/>
      <c r="AAQ219" s="158"/>
      <c r="AAR219" s="158"/>
      <c r="AAS219" s="158"/>
      <c r="AAT219" s="971"/>
      <c r="AAU219" s="653"/>
      <c r="AAV219" s="653"/>
      <c r="AAW219" s="653"/>
      <c r="AAX219" s="653"/>
      <c r="AAY219" s="653"/>
      <c r="AAZ219" s="653"/>
      <c r="ABA219" s="653"/>
      <c r="ABB219" s="653"/>
      <c r="ABC219" s="653"/>
      <c r="ABD219" s="653"/>
      <c r="ABE219" s="653"/>
      <c r="ABF219" s="653"/>
      <c r="ABG219" s="653"/>
      <c r="ABH219" s="653"/>
      <c r="ABI219" s="653"/>
      <c r="ABJ219" s="653"/>
      <c r="ABK219" s="653"/>
      <c r="ABL219" s="653"/>
      <c r="ABM219" s="653"/>
      <c r="ABN219" s="653"/>
      <c r="ABO219" s="653"/>
      <c r="ABP219" s="653"/>
      <c r="ABQ219" s="653"/>
      <c r="ABR219" s="653"/>
      <c r="ABS219" s="653"/>
      <c r="ABT219" s="653"/>
      <c r="ABU219" s="653"/>
      <c r="ABV219" s="653"/>
      <c r="ABW219" s="653"/>
      <c r="ABX219" s="653"/>
      <c r="ABY219" s="1029"/>
      <c r="ABZ219" s="1030"/>
      <c r="ACA219" s="1030"/>
      <c r="ACB219" s="1030"/>
      <c r="ACC219" s="1030"/>
      <c r="ACD219" s="1030"/>
      <c r="ACE219" s="1030"/>
      <c r="ACF219" s="1030"/>
      <c r="ACG219" s="1030"/>
      <c r="ACH219" s="1031"/>
      <c r="ACR219" s="1069">
        <v>6.7</v>
      </c>
      <c r="ACS219" s="1071"/>
      <c r="ACT219" s="1069">
        <v>0.4</v>
      </c>
      <c r="ACU219" s="1071"/>
      <c r="ACV219" s="856">
        <f t="shared" si="285"/>
        <v>-3.5714285714285726E-2</v>
      </c>
      <c r="ACW219" s="856"/>
      <c r="ACX219" s="856">
        <f t="shared" si="286"/>
        <v>0.63928571428571446</v>
      </c>
      <c r="ACY219" s="856"/>
      <c r="AGL219" s="850"/>
      <c r="AGM219" s="861" t="s">
        <v>1248</v>
      </c>
      <c r="AGN219" s="861"/>
      <c r="AGO219" s="937">
        <f>$MQ$137</f>
        <v>1.0957328694424708</v>
      </c>
      <c r="AGP219" s="937"/>
      <c r="AGQ219" s="824"/>
      <c r="AGR219" s="824"/>
      <c r="AGS219" s="824"/>
      <c r="AGT219" s="824"/>
      <c r="AGU219" s="824"/>
      <c r="AGV219" s="824"/>
      <c r="AGW219" s="824"/>
      <c r="AGX219" s="824"/>
      <c r="AGY219" s="1049"/>
      <c r="AGZ219" s="837"/>
      <c r="AHA219" s="838"/>
      <c r="AHB219" s="777"/>
      <c r="AHC219" s="799"/>
      <c r="AHD219" s="1501"/>
      <c r="AHE219" s="1324"/>
      <c r="AHF219" s="1324"/>
      <c r="AHG219" s="1324"/>
      <c r="AHH219" s="1290"/>
      <c r="AHI219" s="1052"/>
      <c r="AHJ219" s="1052"/>
      <c r="AHK219" s="1052"/>
      <c r="AHL219" s="1052"/>
      <c r="AHM219" s="1052"/>
      <c r="AHN219" s="1052"/>
      <c r="AHO219" s="1052"/>
      <c r="AHP219" s="1052"/>
      <c r="AHQ219" s="1052"/>
      <c r="AHR219" s="1052"/>
      <c r="AHS219" s="1052"/>
      <c r="AHV219" s="130"/>
      <c r="AHW219" s="130"/>
      <c r="AHX219" s="130"/>
      <c r="AHY219" s="130"/>
      <c r="AIS219" s="653"/>
      <c r="AIT219" s="653"/>
      <c r="AIU219" s="653"/>
      <c r="AIV219" s="653"/>
      <c r="AIW219" s="653"/>
      <c r="AIX219" s="653"/>
      <c r="AIY219" s="653"/>
      <c r="AIZ219" s="653"/>
      <c r="AJA219" s="653"/>
      <c r="AJB219" s="653"/>
      <c r="AJC219" s="653"/>
      <c r="AJD219" s="653"/>
      <c r="AJE219" s="653"/>
      <c r="AJF219" s="653"/>
      <c r="AJG219" s="653"/>
      <c r="AJH219" s="653"/>
      <c r="AJI219" s="653"/>
      <c r="AJJ219" s="653"/>
      <c r="AJK219" s="653"/>
      <c r="AJL219" s="653"/>
      <c r="AJM219" s="653"/>
      <c r="AJN219" s="653"/>
      <c r="AJO219" s="653"/>
      <c r="AJP219" s="653"/>
      <c r="AJQ219" s="653"/>
      <c r="AJR219" s="653"/>
      <c r="AJS219" s="653"/>
      <c r="AJT219" s="653"/>
      <c r="AJU219" s="653"/>
      <c r="AJV219" s="653"/>
      <c r="AJW219" s="653"/>
      <c r="AJX219" s="653"/>
      <c r="AJY219" s="653"/>
      <c r="AJZ219" s="653"/>
      <c r="AKA219" s="653"/>
      <c r="AKB219" s="653"/>
      <c r="AKC219" s="653"/>
      <c r="AKD219" s="653"/>
      <c r="AKE219" s="653"/>
      <c r="AKF219" s="653"/>
      <c r="AKG219" s="653"/>
      <c r="AKH219" s="653"/>
      <c r="AKI219" s="653"/>
      <c r="AKJ219" s="653"/>
      <c r="AKK219" s="653"/>
      <c r="AKL219" s="653"/>
      <c r="AKM219" s="653"/>
      <c r="AKN219" s="653"/>
    </row>
    <row r="220" spans="340:976 1165:1222" ht="48" customHeight="1" thickBot="1">
      <c r="MB220" s="76" t="s">
        <v>793</v>
      </c>
      <c r="MC220" s="852" t="s">
        <v>416</v>
      </c>
      <c r="MD220" s="853"/>
      <c r="ME220" s="344"/>
      <c r="MF220" s="78"/>
      <c r="MG220" s="78"/>
      <c r="MH220" s="78"/>
      <c r="MI220" s="344"/>
      <c r="MJ220" s="76" t="s">
        <v>441</v>
      </c>
      <c r="MK220" s="854" t="s">
        <v>435</v>
      </c>
      <c r="ML220" s="855"/>
      <c r="MM220" s="920" t="s">
        <v>111</v>
      </c>
      <c r="MN220" s="921"/>
      <c r="MO220" s="916" t="s">
        <v>704</v>
      </c>
      <c r="MP220" s="917"/>
      <c r="MQ220" s="906" t="s">
        <v>447</v>
      </c>
      <c r="MR220" s="907"/>
      <c r="MS220" s="907"/>
      <c r="MT220" s="908"/>
      <c r="XB220" s="653"/>
      <c r="XC220" s="653"/>
      <c r="XD220" s="653"/>
      <c r="XE220" s="653"/>
      <c r="XF220" s="971"/>
      <c r="XG220" s="158"/>
      <c r="XH220" s="158"/>
      <c r="XI220" s="158"/>
      <c r="XJ220" s="158"/>
      <c r="XK220" s="158"/>
      <c r="XL220" s="158"/>
      <c r="XM220" s="158"/>
      <c r="XN220" s="158"/>
      <c r="XO220" s="158"/>
      <c r="XP220" s="158"/>
      <c r="XQ220" s="158"/>
      <c r="XR220" s="158"/>
      <c r="XS220" s="158"/>
      <c r="XT220" s="158"/>
      <c r="XU220" s="158"/>
      <c r="XV220" s="158"/>
      <c r="XW220" s="158"/>
      <c r="XX220" s="158"/>
      <c r="XY220" s="158"/>
      <c r="XZ220" s="158"/>
      <c r="YA220" s="158"/>
      <c r="YB220" s="158"/>
      <c r="YC220" s="158"/>
      <c r="YD220" s="158"/>
      <c r="YE220" s="158"/>
      <c r="YF220" s="158"/>
      <c r="YG220" s="158"/>
      <c r="YH220" s="158"/>
      <c r="YI220" s="158"/>
      <c r="YJ220" s="158"/>
      <c r="YK220" s="158"/>
      <c r="YL220" s="158"/>
      <c r="YM220" s="158"/>
      <c r="YN220" s="158"/>
      <c r="YO220" s="158"/>
      <c r="YP220" s="158"/>
      <c r="YQ220" s="158"/>
      <c r="YR220" s="158"/>
      <c r="YS220" s="158"/>
      <c r="YT220" s="158"/>
      <c r="YU220" s="158"/>
      <c r="YV220" s="158"/>
      <c r="YW220" s="158"/>
      <c r="YX220" s="158"/>
      <c r="YY220" s="158"/>
      <c r="YZ220" s="158"/>
      <c r="ZA220" s="158"/>
      <c r="ZB220" s="158"/>
      <c r="ZC220" s="158"/>
      <c r="ZD220" s="158"/>
      <c r="ZE220" s="158"/>
      <c r="ZF220" s="158"/>
      <c r="ZG220" s="158"/>
      <c r="ZH220" s="158"/>
      <c r="ZI220" s="158"/>
      <c r="ZJ220" s="158"/>
      <c r="ZK220" s="158"/>
      <c r="ZL220" s="158"/>
      <c r="ZM220" s="158"/>
      <c r="ZN220" s="158"/>
      <c r="ZO220" s="158"/>
      <c r="ZP220" s="158"/>
      <c r="ZQ220" s="158"/>
      <c r="ZR220" s="158"/>
      <c r="ZS220" s="158"/>
      <c r="ZT220" s="158"/>
      <c r="ZU220" s="158"/>
      <c r="ZV220" s="158"/>
      <c r="ZW220" s="158"/>
      <c r="ZX220" s="158"/>
      <c r="ZY220" s="158"/>
      <c r="ZZ220" s="158"/>
      <c r="AAA220" s="158"/>
      <c r="AAB220" s="158"/>
      <c r="AAC220" s="158"/>
      <c r="AAD220" s="158"/>
      <c r="AAE220" s="158"/>
      <c r="AAF220" s="158"/>
      <c r="AAG220" s="158"/>
      <c r="AAH220" s="158"/>
      <c r="AAI220" s="158"/>
      <c r="AAJ220" s="158"/>
      <c r="AAK220" s="158"/>
      <c r="AAL220" s="158"/>
      <c r="AAM220" s="158"/>
      <c r="AAN220" s="158"/>
      <c r="AAO220" s="158"/>
      <c r="AAP220" s="158"/>
      <c r="AAQ220" s="158"/>
      <c r="AAR220" s="158"/>
      <c r="AAS220" s="158"/>
      <c r="AAT220" s="971"/>
      <c r="AAU220" s="653"/>
      <c r="AAV220" s="653"/>
      <c r="AAW220" s="653"/>
      <c r="AAX220" s="653"/>
      <c r="AAY220" s="653"/>
      <c r="AAZ220" s="653"/>
      <c r="ABA220" s="653"/>
      <c r="ABB220" s="653"/>
      <c r="ABC220" s="653"/>
      <c r="ABD220" s="653"/>
      <c r="ABE220" s="653"/>
      <c r="ABF220" s="653"/>
      <c r="ABG220" s="653"/>
      <c r="ABH220" s="653"/>
      <c r="ABI220" s="653"/>
      <c r="ABJ220" s="653"/>
      <c r="ABK220" s="653"/>
      <c r="ABL220" s="653"/>
      <c r="ABM220" s="653"/>
      <c r="ABN220" s="653"/>
      <c r="ABO220" s="653"/>
      <c r="ABP220" s="653"/>
      <c r="ABQ220" s="653"/>
      <c r="ABR220" s="653"/>
      <c r="ABS220" s="653"/>
      <c r="ABT220" s="653"/>
      <c r="ABU220" s="653"/>
      <c r="ABV220" s="653"/>
      <c r="ABW220" s="653"/>
      <c r="ABX220" s="653"/>
      <c r="ACR220" s="1069">
        <v>9.5</v>
      </c>
      <c r="ACS220" s="1071"/>
      <c r="ACT220" s="1069">
        <v>0.3</v>
      </c>
      <c r="ACU220" s="1071"/>
      <c r="ACV220" s="1124"/>
      <c r="ACW220" s="1125"/>
      <c r="ACX220" s="1125"/>
      <c r="ACY220" s="1126"/>
      <c r="AGL220" s="851"/>
      <c r="AGM220" s="1163" t="s">
        <v>1249</v>
      </c>
      <c r="AGN220" s="1163"/>
      <c r="AGO220" s="774">
        <f>$MP$142</f>
        <v>1.8841973697362955</v>
      </c>
      <c r="AGP220" s="774"/>
      <c r="AGQ220" s="795"/>
      <c r="AGR220" s="795"/>
      <c r="AGS220" s="795"/>
      <c r="AGT220" s="795"/>
      <c r="AGU220" s="795"/>
      <c r="AGV220" s="795"/>
      <c r="AGW220" s="795"/>
      <c r="AGX220" s="795"/>
      <c r="AGY220" s="796"/>
      <c r="AGZ220" s="204"/>
      <c r="AHA220" s="205"/>
      <c r="AHB220" s="205"/>
      <c r="AHC220" s="205"/>
      <c r="AHD220" s="205"/>
      <c r="AHE220" s="205"/>
      <c r="AHF220" s="205"/>
      <c r="AHG220" s="205"/>
      <c r="AHH220" s="390"/>
      <c r="AHI220" s="1053"/>
      <c r="AHJ220" s="1053"/>
      <c r="AHK220" s="1053"/>
      <c r="AHL220" s="1053"/>
      <c r="AHM220" s="1053"/>
      <c r="AHN220" s="1053"/>
      <c r="AHO220" s="1053"/>
      <c r="AHP220" s="1053"/>
      <c r="AHQ220" s="1053"/>
      <c r="AHR220" s="1053"/>
      <c r="AHS220" s="1053"/>
      <c r="AHY220" s="130"/>
      <c r="AIB220" s="130"/>
      <c r="AIS220" s="653"/>
      <c r="AIT220" s="653"/>
      <c r="AIU220" s="653"/>
      <c r="AIV220" s="653"/>
      <c r="AIW220" s="653"/>
      <c r="AIX220" s="653"/>
      <c r="AIY220" s="653"/>
      <c r="AIZ220" s="653"/>
      <c r="AJA220" s="653"/>
      <c r="AJB220" s="653"/>
      <c r="AJC220" s="653"/>
      <c r="AJD220" s="653"/>
      <c r="AJE220" s="653"/>
      <c r="AJF220" s="653"/>
      <c r="AJG220" s="653"/>
      <c r="AJH220" s="653"/>
      <c r="AJI220" s="653"/>
      <c r="AJJ220" s="653"/>
      <c r="AJK220" s="653"/>
      <c r="AJL220" s="653"/>
      <c r="AJM220" s="653"/>
      <c r="AJN220" s="653"/>
      <c r="AJO220" s="653"/>
      <c r="AJP220" s="653"/>
      <c r="AJQ220" s="653"/>
      <c r="AJR220" s="653"/>
      <c r="AJS220" s="653"/>
      <c r="AJT220" s="653"/>
      <c r="AJU220" s="653"/>
      <c r="AJV220" s="653"/>
      <c r="AJW220" s="653"/>
      <c r="AJX220" s="653"/>
      <c r="AJY220" s="653"/>
      <c r="AJZ220" s="653"/>
      <c r="AKA220" s="653"/>
      <c r="AKB220" s="653"/>
      <c r="AKC220" s="653"/>
      <c r="AKD220" s="653"/>
      <c r="AKE220" s="653"/>
      <c r="AKF220" s="653"/>
      <c r="AKG220" s="653"/>
      <c r="AKH220" s="653"/>
      <c r="AKI220" s="653"/>
      <c r="AKJ220" s="653"/>
      <c r="AKK220" s="653"/>
      <c r="AKL220" s="653"/>
      <c r="AKM220" s="653"/>
      <c r="AKN220" s="653"/>
      <c r="ARU220" s="897" t="s">
        <v>929</v>
      </c>
      <c r="ARV220" s="898"/>
      <c r="ARW220" s="899"/>
      <c r="ARX220" s="849"/>
      <c r="ARY220" s="133" t="s">
        <v>416</v>
      </c>
      <c r="ARZ220" s="134"/>
      <c r="ASA220" s="142"/>
      <c r="ASB220" s="78"/>
      <c r="ASC220" s="78"/>
      <c r="ASD220" s="78"/>
      <c r="ASE220" s="78"/>
      <c r="ASF220" s="78"/>
      <c r="ASG220" s="78"/>
      <c r="ASH220" s="142"/>
      <c r="ASI220" s="76" t="s">
        <v>441</v>
      </c>
      <c r="ASJ220" s="854" t="s">
        <v>435</v>
      </c>
      <c r="ASK220" s="855"/>
      <c r="ASL220" s="920" t="s">
        <v>111</v>
      </c>
      <c r="ASM220" s="921"/>
      <c r="ASN220" s="916" t="s">
        <v>704</v>
      </c>
      <c r="ASO220" s="917"/>
      <c r="ASP220" s="906" t="s">
        <v>447</v>
      </c>
      <c r="ASQ220" s="907"/>
      <c r="ASR220" s="907"/>
      <c r="ASS220" s="908"/>
      <c r="ATE220" s="197" t="s">
        <v>849</v>
      </c>
      <c r="ATF220" s="133" t="s">
        <v>416</v>
      </c>
      <c r="ATG220" s="134"/>
      <c r="ATH220" s="142"/>
      <c r="ATI220" s="78"/>
      <c r="ATJ220" s="78"/>
      <c r="ATK220" s="78"/>
      <c r="ATL220" s="78"/>
      <c r="ATM220" s="78"/>
      <c r="ATN220" s="78"/>
      <c r="ATO220" s="142"/>
      <c r="ATP220" s="76" t="s">
        <v>441</v>
      </c>
      <c r="ATQ220" s="854" t="s">
        <v>435</v>
      </c>
      <c r="ATR220" s="855"/>
      <c r="ATS220" s="920" t="s">
        <v>111</v>
      </c>
      <c r="ATT220" s="921"/>
      <c r="ATU220" s="916" t="s">
        <v>704</v>
      </c>
      <c r="ATV220" s="917"/>
      <c r="ATW220" s="906" t="s">
        <v>447</v>
      </c>
      <c r="ATX220" s="907"/>
      <c r="ATY220" s="907"/>
      <c r="ATZ220" s="908"/>
    </row>
    <row r="221" spans="340:976 1165:1222" ht="48" customHeight="1">
      <c r="MB221" s="849"/>
      <c r="MC221" s="861" t="s">
        <v>1090</v>
      </c>
      <c r="MD221" s="861"/>
      <c r="ME221" s="761">
        <f>'Вывод расчетов'!$GQ$78</f>
        <v>4.847402946961874</v>
      </c>
      <c r="MF221" s="761"/>
      <c r="MG221" s="1411" t="s">
        <v>1346</v>
      </c>
      <c r="MH221" s="1412"/>
      <c r="MI221" s="1412"/>
      <c r="MJ221" s="1412"/>
      <c r="MK221" s="1412"/>
      <c r="ML221" s="1413"/>
      <c r="MM221" s="1766">
        <f>ME222+0.4*ME221</f>
        <v>24.767145947405268</v>
      </c>
      <c r="MN221" s="1767"/>
      <c r="MO221" s="1563" t="s">
        <v>45</v>
      </c>
      <c r="MP221" s="1564"/>
      <c r="MQ221" s="1066"/>
      <c r="MR221" s="1170" t="s">
        <v>1607</v>
      </c>
      <c r="MS221" s="1172"/>
      <c r="MT221" s="847"/>
      <c r="XB221" s="653"/>
      <c r="XC221" s="653"/>
      <c r="XD221" s="653"/>
      <c r="XE221" s="653"/>
      <c r="XF221" s="971"/>
      <c r="XG221" s="158"/>
      <c r="XH221" s="158"/>
      <c r="XI221" s="158"/>
      <c r="XJ221" s="158"/>
      <c r="XK221" s="158"/>
      <c r="XL221" s="158"/>
      <c r="XM221" s="158"/>
      <c r="XN221" s="158"/>
      <c r="XO221" s="158"/>
      <c r="XP221" s="158"/>
      <c r="XQ221" s="158"/>
      <c r="XR221" s="158"/>
      <c r="XS221" s="158"/>
      <c r="XT221" s="158"/>
      <c r="XU221" s="158"/>
      <c r="XV221" s="158"/>
      <c r="XW221" s="158"/>
      <c r="XX221" s="158"/>
      <c r="XY221" s="158"/>
      <c r="XZ221" s="158"/>
      <c r="YA221" s="158"/>
      <c r="YB221" s="158"/>
      <c r="YC221" s="158"/>
      <c r="YD221" s="158"/>
      <c r="YE221" s="158"/>
      <c r="YF221" s="158"/>
      <c r="YG221" s="158"/>
      <c r="YH221" s="158"/>
      <c r="YI221" s="158"/>
      <c r="YJ221" s="158"/>
      <c r="YK221" s="158"/>
      <c r="YL221" s="158"/>
      <c r="YM221" s="158"/>
      <c r="YN221" s="158"/>
      <c r="YO221" s="158"/>
      <c r="YP221" s="158"/>
      <c r="YQ221" s="158"/>
      <c r="YR221" s="158"/>
      <c r="YS221" s="158"/>
      <c r="YT221" s="158"/>
      <c r="YU221" s="158"/>
      <c r="YV221" s="158"/>
      <c r="YW221" s="158"/>
      <c r="YX221" s="158"/>
      <c r="YY221" s="158"/>
      <c r="YZ221" s="158"/>
      <c r="ZA221" s="158"/>
      <c r="ZB221" s="158"/>
      <c r="ZC221" s="158"/>
      <c r="ZD221" s="158"/>
      <c r="ZE221" s="158"/>
      <c r="ZF221" s="158"/>
      <c r="ZG221" s="158"/>
      <c r="ZH221" s="158"/>
      <c r="ZI221" s="158"/>
      <c r="ZJ221" s="158"/>
      <c r="ZK221" s="158"/>
      <c r="ZL221" s="158"/>
      <c r="ZM221" s="158"/>
      <c r="ZN221" s="158"/>
      <c r="ZO221" s="158"/>
      <c r="ZP221" s="158"/>
      <c r="ZQ221" s="158"/>
      <c r="ZR221" s="158"/>
      <c r="ZS221" s="158"/>
      <c r="ZT221" s="158"/>
      <c r="ZU221" s="158"/>
      <c r="ZV221" s="158"/>
      <c r="ZW221" s="158"/>
      <c r="ZX221" s="158"/>
      <c r="ZY221" s="158"/>
      <c r="ZZ221" s="158"/>
      <c r="AAA221" s="158"/>
      <c r="AAB221" s="158"/>
      <c r="AAC221" s="158"/>
      <c r="AAD221" s="158"/>
      <c r="AAE221" s="158"/>
      <c r="AAF221" s="158"/>
      <c r="AAG221" s="158"/>
      <c r="AAH221" s="158"/>
      <c r="AAI221" s="158"/>
      <c r="AAJ221" s="158"/>
      <c r="AAK221" s="158"/>
      <c r="AAL221" s="158"/>
      <c r="AAM221" s="158"/>
      <c r="AAN221" s="158"/>
      <c r="AAO221" s="158"/>
      <c r="AAP221" s="158"/>
      <c r="AAQ221" s="158"/>
      <c r="AAR221" s="158"/>
      <c r="AAS221" s="158"/>
      <c r="AAT221" s="971"/>
      <c r="AAU221" s="653"/>
      <c r="AAV221" s="653"/>
      <c r="AAW221" s="653"/>
      <c r="AAX221" s="653"/>
      <c r="AAY221" s="653"/>
      <c r="AAZ221" s="653"/>
      <c r="ABA221" s="653"/>
      <c r="ABB221" s="653"/>
      <c r="ABC221" s="653"/>
      <c r="ABD221" s="653"/>
      <c r="ABE221" s="653"/>
      <c r="ABF221" s="653"/>
      <c r="ABG221" s="653"/>
      <c r="ABH221" s="653"/>
      <c r="ABI221" s="653"/>
      <c r="ABJ221" s="653"/>
      <c r="ABK221" s="653"/>
      <c r="ABL221" s="653"/>
      <c r="ABM221" s="653"/>
      <c r="ABN221" s="653"/>
      <c r="ABO221" s="653"/>
      <c r="ABP221" s="653"/>
      <c r="ABQ221" s="653"/>
      <c r="ABR221" s="653"/>
      <c r="ABS221" s="653"/>
      <c r="ABT221" s="653"/>
      <c r="ABU221" s="653"/>
      <c r="ABV221" s="653"/>
      <c r="ABW221" s="653"/>
      <c r="ABX221" s="653"/>
      <c r="AHY221" s="130"/>
      <c r="AIS221" s="653"/>
      <c r="AIT221" s="653"/>
      <c r="AIU221" s="653"/>
      <c r="AIV221" s="653"/>
      <c r="AIW221" s="653"/>
      <c r="AIX221" s="653"/>
      <c r="AIY221" s="653"/>
      <c r="AIZ221" s="653"/>
      <c r="AJA221" s="653"/>
      <c r="AJB221" s="653"/>
      <c r="AJC221" s="653"/>
      <c r="AJD221" s="653"/>
      <c r="AJE221" s="653"/>
      <c r="AJF221" s="653"/>
      <c r="AJG221" s="653"/>
      <c r="AJH221" s="653"/>
      <c r="AJI221" s="653"/>
      <c r="AJJ221" s="653"/>
      <c r="AJK221" s="653"/>
      <c r="AJL221" s="653"/>
      <c r="AJM221" s="653"/>
      <c r="AJN221" s="653"/>
      <c r="AJO221" s="653"/>
      <c r="AJP221" s="653"/>
      <c r="AJQ221" s="653"/>
      <c r="AJR221" s="653"/>
      <c r="AJS221" s="653"/>
      <c r="AJT221" s="653"/>
      <c r="AJU221" s="653"/>
      <c r="AJV221" s="653"/>
      <c r="AJW221" s="653"/>
      <c r="AJX221" s="653"/>
      <c r="AJY221" s="653"/>
      <c r="AJZ221" s="653"/>
      <c r="AKA221" s="653"/>
      <c r="AKB221" s="653"/>
      <c r="AKC221" s="653"/>
      <c r="AKD221" s="653"/>
      <c r="AKE221" s="653"/>
      <c r="AKF221" s="653"/>
      <c r="AKG221" s="653"/>
      <c r="AKH221" s="653"/>
      <c r="AKI221" s="653"/>
      <c r="AKJ221" s="653"/>
      <c r="AKK221" s="653"/>
      <c r="AKL221" s="653"/>
      <c r="AKM221" s="653"/>
      <c r="AKN221" s="653"/>
      <c r="ARU221" s="900"/>
      <c r="ARV221" s="901"/>
      <c r="ARW221" s="902"/>
      <c r="ARX221" s="850"/>
      <c r="ARY221" s="957" t="s">
        <v>913</v>
      </c>
      <c r="ARZ221" s="957"/>
      <c r="ASA221" s="957"/>
      <c r="ASB221" s="957"/>
      <c r="ASC221" s="957"/>
      <c r="ASD221" s="957"/>
      <c r="ASE221" s="957"/>
      <c r="ASF221" s="957"/>
      <c r="ASG221" s="957"/>
      <c r="ASH221" s="957"/>
      <c r="ASI221" s="957"/>
      <c r="ASJ221" s="957"/>
      <c r="ASK221" s="957"/>
      <c r="ASL221" s="835">
        <v>0.08</v>
      </c>
      <c r="ASM221" s="836"/>
      <c r="ASN221" s="1183" t="s">
        <v>729</v>
      </c>
      <c r="ASO221" s="1184"/>
      <c r="ASP221" s="841"/>
      <c r="ASQ221" s="893" t="s">
        <v>912</v>
      </c>
      <c r="ASR221" s="894"/>
      <c r="ASS221" s="847"/>
      <c r="ATE221" s="849"/>
      <c r="ATF221" s="1502"/>
      <c r="ATG221" s="1502"/>
      <c r="ATH221" s="1502"/>
      <c r="ATI221" s="1502"/>
      <c r="ATJ221" s="1502"/>
      <c r="ATK221" s="1502"/>
      <c r="ATL221" s="1502"/>
      <c r="ATM221" s="1502"/>
      <c r="ATN221" s="1502"/>
      <c r="ATO221" s="1502"/>
      <c r="ATP221" s="1502"/>
      <c r="ATQ221" s="1502"/>
      <c r="ATR221" s="1502"/>
      <c r="ATS221" s="1488"/>
      <c r="ATT221" s="1489"/>
      <c r="ATU221" s="839"/>
      <c r="ATV221" s="840"/>
      <c r="ATW221" s="841"/>
      <c r="ATX221" s="843" t="s">
        <v>416</v>
      </c>
      <c r="ATY221" s="844"/>
      <c r="ATZ221" s="847"/>
    </row>
    <row r="222" spans="340:976 1165:1222" ht="48" customHeight="1" thickBot="1">
      <c r="MB222" s="851"/>
      <c r="MC222" s="1163" t="s">
        <v>1102</v>
      </c>
      <c r="MD222" s="1163"/>
      <c r="ME222" s="804">
        <f>'Вывод расчетов'!$GQ$84</f>
        <v>22.82818476862052</v>
      </c>
      <c r="MF222" s="804"/>
      <c r="MG222" s="1303"/>
      <c r="MH222" s="1414"/>
      <c r="MI222" s="1414"/>
      <c r="MJ222" s="1414"/>
      <c r="MK222" s="1414"/>
      <c r="ML222" s="1304"/>
      <c r="MM222" s="1768"/>
      <c r="MN222" s="1769"/>
      <c r="MO222" s="1565"/>
      <c r="MP222" s="1566"/>
      <c r="MQ222" s="1067"/>
      <c r="MR222" s="1173"/>
      <c r="MS222" s="1175"/>
      <c r="MT222" s="848"/>
      <c r="XB222" s="653"/>
      <c r="XC222" s="653"/>
      <c r="XD222" s="653"/>
      <c r="XE222" s="653"/>
      <c r="XF222" s="971"/>
      <c r="XG222" s="158"/>
      <c r="XH222" s="158"/>
      <c r="XI222" s="158"/>
      <c r="XJ222" s="158"/>
      <c r="XK222" s="158"/>
      <c r="XL222" s="158"/>
      <c r="XM222" s="158"/>
      <c r="XN222" s="158"/>
      <c r="XO222" s="158"/>
      <c r="XP222" s="158"/>
      <c r="XQ222" s="158"/>
      <c r="XR222" s="158"/>
      <c r="XS222" s="158"/>
      <c r="XT222" s="158"/>
      <c r="XU222" s="158"/>
      <c r="XV222" s="158"/>
      <c r="XW222" s="158"/>
      <c r="XX222" s="158"/>
      <c r="XY222" s="158"/>
      <c r="XZ222" s="158"/>
      <c r="YA222" s="158"/>
      <c r="YB222" s="158"/>
      <c r="YC222" s="158"/>
      <c r="YD222" s="158"/>
      <c r="YE222" s="158"/>
      <c r="YF222" s="158"/>
      <c r="YG222" s="158"/>
      <c r="YH222" s="158"/>
      <c r="YI222" s="158"/>
      <c r="YJ222" s="158"/>
      <c r="YK222" s="158"/>
      <c r="YL222" s="158"/>
      <c r="YM222" s="158"/>
      <c r="YN222" s="158"/>
      <c r="YO222" s="158"/>
      <c r="YP222" s="158"/>
      <c r="YQ222" s="158"/>
      <c r="YR222" s="158"/>
      <c r="YS222" s="158"/>
      <c r="YT222" s="158"/>
      <c r="YU222" s="158"/>
      <c r="YV222" s="158"/>
      <c r="YW222" s="158"/>
      <c r="YX222" s="158"/>
      <c r="YY222" s="158"/>
      <c r="YZ222" s="158"/>
      <c r="ZA222" s="158"/>
      <c r="ZB222" s="158"/>
      <c r="ZC222" s="158"/>
      <c r="ZD222" s="158"/>
      <c r="ZE222" s="158"/>
      <c r="ZF222" s="158"/>
      <c r="ZG222" s="158"/>
      <c r="ZH222" s="158"/>
      <c r="ZI222" s="158"/>
      <c r="ZJ222" s="158"/>
      <c r="ZK222" s="158"/>
      <c r="ZL222" s="158"/>
      <c r="ZM222" s="158"/>
      <c r="ZN222" s="158"/>
      <c r="ZO222" s="158"/>
      <c r="ZP222" s="158"/>
      <c r="ZQ222" s="158"/>
      <c r="ZR222" s="158"/>
      <c r="ZS222" s="158"/>
      <c r="ZT222" s="158"/>
      <c r="ZU222" s="158"/>
      <c r="ZV222" s="158"/>
      <c r="ZW222" s="158"/>
      <c r="ZX222" s="158"/>
      <c r="ZY222" s="158"/>
      <c r="ZZ222" s="158"/>
      <c r="AAA222" s="158"/>
      <c r="AAB222" s="158"/>
      <c r="AAC222" s="158"/>
      <c r="AAD222" s="158"/>
      <c r="AAE222" s="158"/>
      <c r="AAF222" s="158"/>
      <c r="AAG222" s="158"/>
      <c r="AAH222" s="158"/>
      <c r="AAI222" s="158"/>
      <c r="AAJ222" s="158"/>
      <c r="AAK222" s="158"/>
      <c r="AAL222" s="158"/>
      <c r="AAM222" s="158"/>
      <c r="AAN222" s="158"/>
      <c r="AAO222" s="158"/>
      <c r="AAP222" s="158"/>
      <c r="AAQ222" s="158"/>
      <c r="AAR222" s="158"/>
      <c r="AAS222" s="158"/>
      <c r="AAT222" s="971"/>
      <c r="AAU222" s="653"/>
      <c r="AAV222" s="653"/>
      <c r="AAW222" s="653"/>
      <c r="AAX222" s="653"/>
      <c r="AAY222" s="653"/>
      <c r="AAZ222" s="653"/>
      <c r="ABA222" s="653"/>
      <c r="ABB222" s="653"/>
      <c r="ABC222" s="653"/>
      <c r="ABD222" s="653"/>
      <c r="ABE222" s="653"/>
      <c r="ABF222" s="653"/>
      <c r="ABG222" s="653"/>
      <c r="ABH222" s="653"/>
      <c r="ABI222" s="653"/>
      <c r="ABJ222" s="653"/>
      <c r="ABK222" s="653"/>
      <c r="ABL222" s="653"/>
      <c r="ABM222" s="653"/>
      <c r="ABN222" s="653"/>
      <c r="ABO222" s="653"/>
      <c r="ABP222" s="653"/>
      <c r="ABQ222" s="653"/>
      <c r="ABR222" s="653"/>
      <c r="ABS222" s="653"/>
      <c r="ABT222" s="653"/>
      <c r="ABU222" s="653"/>
      <c r="ABV222" s="653"/>
      <c r="ABW222" s="653"/>
      <c r="ABX222" s="653"/>
      <c r="AGL222" s="849"/>
      <c r="AGM222" s="852" t="s">
        <v>416</v>
      </c>
      <c r="AGN222" s="853"/>
      <c r="AGO222" s="142"/>
      <c r="AGP222" s="78"/>
      <c r="AGQ222" s="78"/>
      <c r="AGR222" s="78"/>
      <c r="AGS222" s="78"/>
      <c r="AGT222" s="78"/>
      <c r="AGU222" s="78"/>
      <c r="AGV222" s="142"/>
      <c r="AGW222" s="76" t="s">
        <v>441</v>
      </c>
      <c r="AGX222" s="854" t="s">
        <v>435</v>
      </c>
      <c r="AGY222" s="855"/>
      <c r="AGZ222" s="920" t="s">
        <v>111</v>
      </c>
      <c r="AHA222" s="921"/>
      <c r="AHB222" s="916" t="s">
        <v>704</v>
      </c>
      <c r="AHC222" s="917"/>
      <c r="AHD222" s="906" t="s">
        <v>447</v>
      </c>
      <c r="AHE222" s="907"/>
      <c r="AHF222" s="907"/>
      <c r="AHG222" s="908"/>
      <c r="AHH222" s="1051" t="s">
        <v>436</v>
      </c>
      <c r="AHI222" s="1051"/>
      <c r="AHJ222" s="1051"/>
      <c r="AHK222" s="1051"/>
      <c r="AHL222" s="1051"/>
      <c r="AHM222" s="1051"/>
      <c r="AHN222" s="1051"/>
      <c r="AHO222" s="1051"/>
      <c r="AHY222" s="130"/>
      <c r="AIB222" s="211"/>
      <c r="AIV222" s="653"/>
      <c r="AIW222" s="653"/>
      <c r="AIX222" s="653"/>
      <c r="AIY222" s="653"/>
      <c r="AIZ222" s="653"/>
      <c r="AJA222" s="653"/>
      <c r="AJB222" s="653"/>
      <c r="AJC222" s="653"/>
      <c r="AJD222" s="653"/>
      <c r="AJE222" s="653"/>
      <c r="AJF222" s="653"/>
      <c r="AJG222" s="653"/>
      <c r="AJH222" s="653"/>
      <c r="AJI222" s="653"/>
      <c r="AJJ222" s="653"/>
      <c r="AJK222" s="653"/>
      <c r="AJL222" s="653"/>
      <c r="AJM222" s="653"/>
      <c r="AJN222" s="653"/>
      <c r="AJO222" s="653"/>
      <c r="AJP222" s="653"/>
      <c r="AJQ222" s="653"/>
      <c r="AJR222" s="653"/>
      <c r="AJS222" s="653"/>
      <c r="AJT222" s="653"/>
      <c r="AJU222" s="653"/>
      <c r="AJV222" s="653"/>
      <c r="AJW222" s="653"/>
      <c r="AJX222" s="653"/>
      <c r="AJY222" s="653"/>
      <c r="AJZ222" s="653"/>
      <c r="AKA222" s="653"/>
      <c r="AKB222" s="653"/>
      <c r="AKC222" s="653"/>
      <c r="AKD222" s="653"/>
      <c r="AKE222" s="653"/>
      <c r="AKF222" s="653"/>
      <c r="AKG222" s="653"/>
      <c r="AKH222" s="653"/>
      <c r="AKI222" s="653"/>
      <c r="AKJ222" s="653"/>
      <c r="AKK222" s="653"/>
      <c r="AKL222" s="653"/>
      <c r="AKM222" s="653"/>
      <c r="AKN222" s="653"/>
      <c r="ARU222" s="903"/>
      <c r="ARV222" s="904"/>
      <c r="ARW222" s="905"/>
      <c r="ARX222" s="876"/>
      <c r="ARY222" s="1147"/>
      <c r="ARZ222" s="1147"/>
      <c r="ASA222" s="1147"/>
      <c r="ASB222" s="1147"/>
      <c r="ASC222" s="1147"/>
      <c r="ASD222" s="1147"/>
      <c r="ASE222" s="1147"/>
      <c r="ASF222" s="1147"/>
      <c r="ASG222" s="1147"/>
      <c r="ASH222" s="1147"/>
      <c r="ASI222" s="1147"/>
      <c r="ASJ222" s="1147"/>
      <c r="ASK222" s="1147"/>
      <c r="ASL222" s="837"/>
      <c r="ASM222" s="838"/>
      <c r="ASN222" s="1185"/>
      <c r="ASO222" s="1186"/>
      <c r="ASP222" s="842"/>
      <c r="ASQ222" s="918"/>
      <c r="ASR222" s="919"/>
      <c r="ASS222" s="848"/>
      <c r="ATE222" s="851"/>
      <c r="ATF222" s="1503"/>
      <c r="ATG222" s="1503"/>
      <c r="ATH222" s="1503"/>
      <c r="ATI222" s="1503"/>
      <c r="ATJ222" s="1503"/>
      <c r="ATK222" s="1503"/>
      <c r="ATL222" s="1503"/>
      <c r="ATM222" s="1503"/>
      <c r="ATN222" s="1503"/>
      <c r="ATO222" s="1503"/>
      <c r="ATP222" s="1503"/>
      <c r="ATQ222" s="1503"/>
      <c r="ATR222" s="1503"/>
      <c r="ATS222" s="1490"/>
      <c r="ATT222" s="1491"/>
      <c r="ATU222" s="777"/>
      <c r="ATV222" s="799"/>
      <c r="ATW222" s="842"/>
      <c r="ATX222" s="845"/>
      <c r="ATY222" s="846"/>
      <c r="ATZ222" s="848"/>
    </row>
    <row r="223" spans="340:976 1165:1222" ht="48" customHeight="1">
      <c r="XB223" s="653"/>
      <c r="XC223" s="653"/>
      <c r="XD223" s="653"/>
      <c r="XE223" s="653"/>
      <c r="XF223" s="971"/>
      <c r="XG223" s="158"/>
      <c r="XH223" s="158"/>
      <c r="XI223" s="158"/>
      <c r="XJ223" s="158"/>
      <c r="XK223" s="158"/>
      <c r="XL223" s="158"/>
      <c r="XM223" s="158"/>
      <c r="XN223" s="158"/>
      <c r="XO223" s="158"/>
      <c r="XP223" s="158"/>
      <c r="XQ223" s="158"/>
      <c r="XR223" s="158"/>
      <c r="XS223" s="158"/>
      <c r="XT223" s="158"/>
      <c r="XU223" s="158"/>
      <c r="XV223" s="158"/>
      <c r="XW223" s="158"/>
      <c r="XX223" s="158"/>
      <c r="XY223" s="158"/>
      <c r="XZ223" s="158"/>
      <c r="YA223" s="158"/>
      <c r="YB223" s="158"/>
      <c r="YC223" s="158"/>
      <c r="YD223" s="158"/>
      <c r="YE223" s="158"/>
      <c r="YF223" s="158"/>
      <c r="YG223" s="158"/>
      <c r="YH223" s="158"/>
      <c r="YI223" s="158"/>
      <c r="YJ223" s="158"/>
      <c r="YK223" s="158"/>
      <c r="YL223" s="158"/>
      <c r="YM223" s="158"/>
      <c r="YN223" s="158"/>
      <c r="YO223" s="158"/>
      <c r="YP223" s="158"/>
      <c r="YQ223" s="158"/>
      <c r="YR223" s="158"/>
      <c r="YS223" s="158"/>
      <c r="YT223" s="158"/>
      <c r="YU223" s="158"/>
      <c r="YV223" s="158"/>
      <c r="YW223" s="158"/>
      <c r="YX223" s="158"/>
      <c r="YY223" s="158"/>
      <c r="YZ223" s="158"/>
      <c r="ZA223" s="158"/>
      <c r="ZB223" s="158"/>
      <c r="ZC223" s="158"/>
      <c r="ZD223" s="158"/>
      <c r="ZE223" s="158"/>
      <c r="ZF223" s="158"/>
      <c r="ZG223" s="158"/>
      <c r="ZH223" s="158"/>
      <c r="ZI223" s="158"/>
      <c r="ZJ223" s="158"/>
      <c r="ZK223" s="158"/>
      <c r="ZL223" s="158"/>
      <c r="ZM223" s="158"/>
      <c r="ZN223" s="158"/>
      <c r="ZO223" s="158"/>
      <c r="ZP223" s="158"/>
      <c r="ZQ223" s="158"/>
      <c r="ZR223" s="158"/>
      <c r="ZS223" s="158"/>
      <c r="ZT223" s="158"/>
      <c r="ZU223" s="158"/>
      <c r="ZV223" s="158"/>
      <c r="ZW223" s="158"/>
      <c r="ZX223" s="158"/>
      <c r="ZY223" s="158"/>
      <c r="ZZ223" s="158"/>
      <c r="AAA223" s="158"/>
      <c r="AAB223" s="158"/>
      <c r="AAC223" s="158"/>
      <c r="AAD223" s="158"/>
      <c r="AAE223" s="158"/>
      <c r="AAF223" s="158"/>
      <c r="AAG223" s="158"/>
      <c r="AAH223" s="158"/>
      <c r="AAI223" s="158"/>
      <c r="AAJ223" s="158"/>
      <c r="AAK223" s="158"/>
      <c r="AAL223" s="158"/>
      <c r="AAM223" s="158"/>
      <c r="AAN223" s="158"/>
      <c r="AAO223" s="158"/>
      <c r="AAP223" s="158"/>
      <c r="AAQ223" s="158"/>
      <c r="AAR223" s="158"/>
      <c r="AAS223" s="158"/>
      <c r="AAT223" s="971"/>
      <c r="AAU223" s="653"/>
      <c r="AAV223" s="653"/>
      <c r="AAW223" s="653"/>
      <c r="AAX223" s="653"/>
      <c r="AAY223" s="653"/>
      <c r="AAZ223" s="653"/>
      <c r="ABA223" s="653"/>
      <c r="ABB223" s="653"/>
      <c r="ABC223" s="653"/>
      <c r="ABD223" s="653"/>
      <c r="ABE223" s="653"/>
      <c r="ABF223" s="653"/>
      <c r="ABG223" s="653"/>
      <c r="ABH223" s="653"/>
      <c r="ABI223" s="653"/>
      <c r="ABJ223" s="653"/>
      <c r="ABK223" s="653"/>
      <c r="ABL223" s="653"/>
      <c r="ABM223" s="653"/>
      <c r="ABN223" s="653"/>
      <c r="ABO223" s="653"/>
      <c r="ABP223" s="653"/>
      <c r="ABQ223" s="653"/>
      <c r="ABR223" s="653"/>
      <c r="ABS223" s="653"/>
      <c r="ABT223" s="653"/>
      <c r="ABU223" s="653"/>
      <c r="ABV223" s="653"/>
      <c r="ABW223" s="653"/>
      <c r="ABX223" s="653"/>
      <c r="AGL223" s="850"/>
      <c r="AGM223" s="856" t="s">
        <v>1405</v>
      </c>
      <c r="AGN223" s="856"/>
      <c r="AGO223" s="856"/>
      <c r="AGP223" s="856"/>
      <c r="AGQ223" s="856"/>
      <c r="AGR223" s="856"/>
      <c r="AGS223" s="856"/>
      <c r="AGT223" s="856"/>
      <c r="AGU223" s="856"/>
      <c r="AGV223" s="856"/>
      <c r="AGW223" s="856"/>
      <c r="AGX223" s="856"/>
      <c r="AGY223" s="856"/>
      <c r="AGZ223" s="835">
        <f>(CL40*1000-EQ45)*(1-AHA188)</f>
        <v>5.4578058333333344</v>
      </c>
      <c r="AHA223" s="836"/>
      <c r="AHB223" s="839"/>
      <c r="AHC223" s="840"/>
      <c r="AHD223" s="841"/>
      <c r="AHE223" s="843" t="s">
        <v>1489</v>
      </c>
      <c r="AHF223" s="844"/>
      <c r="AHG223" s="847"/>
      <c r="AHH223" s="1052"/>
      <c r="AHI223" s="1052"/>
      <c r="AHJ223" s="1052"/>
      <c r="AHK223" s="1052"/>
      <c r="AHL223" s="1052"/>
      <c r="AHM223" s="1052"/>
      <c r="AHN223" s="1052"/>
      <c r="AHO223" s="1052"/>
      <c r="AHY223" s="130"/>
      <c r="AIC223" s="130"/>
      <c r="AID223" s="130"/>
      <c r="AIE223" s="130"/>
      <c r="AIF223" s="130"/>
      <c r="AIG223" s="130"/>
      <c r="AIH223" s="130"/>
      <c r="AII223" s="130"/>
      <c r="AIJ223" s="130"/>
      <c r="AIK223" s="130"/>
      <c r="AIL223" s="130"/>
      <c r="AIV223" s="653"/>
      <c r="AIW223" s="653"/>
      <c r="AIX223" s="653"/>
      <c r="AIY223" s="653"/>
      <c r="AIZ223" s="653"/>
      <c r="AJA223" s="653"/>
      <c r="AJB223" s="653"/>
      <c r="AJC223" s="653"/>
      <c r="AJD223" s="653"/>
      <c r="AJE223" s="653"/>
      <c r="AJF223" s="653"/>
      <c r="AJG223" s="653"/>
      <c r="AJH223" s="653"/>
      <c r="AJI223" s="653"/>
      <c r="AJJ223" s="653"/>
      <c r="AJK223" s="653"/>
      <c r="AJL223" s="653"/>
      <c r="AJM223" s="653"/>
      <c r="AJN223" s="653"/>
      <c r="AJO223" s="653"/>
      <c r="AJP223" s="653"/>
      <c r="AJQ223" s="653"/>
      <c r="AJR223" s="653"/>
      <c r="AJS223" s="653"/>
      <c r="AJT223" s="653"/>
      <c r="AJU223" s="653"/>
      <c r="AJV223" s="653"/>
      <c r="AJW223" s="653"/>
      <c r="AJX223" s="653"/>
      <c r="AJY223" s="653"/>
      <c r="AJZ223" s="653"/>
      <c r="AKA223" s="653"/>
      <c r="AKB223" s="653"/>
      <c r="AKC223" s="653"/>
      <c r="AKD223" s="653"/>
      <c r="AKE223" s="653"/>
      <c r="AKF223" s="653"/>
      <c r="AKG223" s="653"/>
      <c r="AKH223" s="653"/>
      <c r="AKI223" s="653"/>
      <c r="AKJ223" s="653"/>
      <c r="AKK223" s="653"/>
      <c r="AKL223" s="653"/>
      <c r="AKM223" s="653"/>
      <c r="AKN223" s="653"/>
    </row>
    <row r="224" spans="340:976 1165:1222" ht="48" customHeight="1" thickBot="1">
      <c r="MB224" s="897" t="s">
        <v>974</v>
      </c>
      <c r="MC224" s="898"/>
      <c r="MD224" s="899"/>
      <c r="ME224" s="849"/>
      <c r="MF224" s="852" t="s">
        <v>416</v>
      </c>
      <c r="MG224" s="853"/>
      <c r="MH224" s="138"/>
      <c r="MI224" s="76" t="s">
        <v>441</v>
      </c>
      <c r="MJ224" s="854" t="s">
        <v>435</v>
      </c>
      <c r="MK224" s="1111"/>
      <c r="ML224" s="924" t="s">
        <v>111</v>
      </c>
      <c r="MM224" s="925"/>
      <c r="MN224" s="916" t="s">
        <v>704</v>
      </c>
      <c r="MO224" s="917"/>
      <c r="MP224" s="906" t="s">
        <v>447</v>
      </c>
      <c r="MQ224" s="907"/>
      <c r="MR224" s="907"/>
      <c r="MS224" s="908"/>
      <c r="XB224" s="653"/>
      <c r="XC224" s="653"/>
      <c r="XD224" s="653"/>
      <c r="XE224" s="653"/>
      <c r="XF224" s="971"/>
      <c r="XG224" s="158"/>
      <c r="XH224" s="158"/>
      <c r="XI224" s="158"/>
      <c r="XJ224" s="158"/>
      <c r="XK224" s="158"/>
      <c r="XL224" s="158"/>
      <c r="XM224" s="158"/>
      <c r="XN224" s="158"/>
      <c r="XO224" s="158"/>
      <c r="XP224" s="158"/>
      <c r="XQ224" s="158"/>
      <c r="XR224" s="158"/>
      <c r="XS224" s="158"/>
      <c r="XT224" s="158"/>
      <c r="XU224" s="158"/>
      <c r="XV224" s="158"/>
      <c r="XW224" s="158"/>
      <c r="XX224" s="158"/>
      <c r="XY224" s="158"/>
      <c r="XZ224" s="158"/>
      <c r="YA224" s="158"/>
      <c r="YB224" s="158"/>
      <c r="YC224" s="158"/>
      <c r="YD224" s="158"/>
      <c r="YE224" s="158"/>
      <c r="YF224" s="158"/>
      <c r="YG224" s="158"/>
      <c r="YH224" s="158"/>
      <c r="YI224" s="158"/>
      <c r="YJ224" s="158"/>
      <c r="YK224" s="158"/>
      <c r="YL224" s="158"/>
      <c r="YM224" s="158"/>
      <c r="YN224" s="158"/>
      <c r="YO224" s="158"/>
      <c r="YP224" s="158"/>
      <c r="YQ224" s="158"/>
      <c r="YR224" s="158"/>
      <c r="YS224" s="158"/>
      <c r="YT224" s="158"/>
      <c r="YU224" s="158"/>
      <c r="YV224" s="158"/>
      <c r="YW224" s="158"/>
      <c r="YX224" s="158"/>
      <c r="YY224" s="158"/>
      <c r="YZ224" s="158"/>
      <c r="ZA224" s="158"/>
      <c r="ZB224" s="158"/>
      <c r="ZC224" s="158"/>
      <c r="ZD224" s="158"/>
      <c r="ZE224" s="158"/>
      <c r="ZF224" s="158"/>
      <c r="ZG224" s="158"/>
      <c r="ZH224" s="158"/>
      <c r="ZI224" s="158"/>
      <c r="ZJ224" s="158"/>
      <c r="ZK224" s="158"/>
      <c r="ZL224" s="158"/>
      <c r="ZM224" s="158"/>
      <c r="ZN224" s="158"/>
      <c r="ZO224" s="158"/>
      <c r="ZP224" s="158"/>
      <c r="ZQ224" s="158"/>
      <c r="ZR224" s="158"/>
      <c r="ZS224" s="158"/>
      <c r="ZT224" s="158"/>
      <c r="ZU224" s="158"/>
      <c r="ZV224" s="158"/>
      <c r="ZW224" s="158"/>
      <c r="ZX224" s="158"/>
      <c r="ZY224" s="158"/>
      <c r="ZZ224" s="158"/>
      <c r="AAA224" s="158"/>
      <c r="AAB224" s="158"/>
      <c r="AAC224" s="158"/>
      <c r="AAD224" s="158"/>
      <c r="AAE224" s="158"/>
      <c r="AAF224" s="158"/>
      <c r="AAG224" s="158"/>
      <c r="AAH224" s="158"/>
      <c r="AAI224" s="158"/>
      <c r="AAJ224" s="158"/>
      <c r="AAK224" s="158"/>
      <c r="AAL224" s="158"/>
      <c r="AAM224" s="158"/>
      <c r="AAN224" s="158"/>
      <c r="AAO224" s="158"/>
      <c r="AAP224" s="158"/>
      <c r="AAQ224" s="158"/>
      <c r="AAR224" s="158"/>
      <c r="AAS224" s="158"/>
      <c r="AAT224" s="971"/>
      <c r="AAU224" s="653"/>
      <c r="AAV224" s="653"/>
      <c r="AAW224" s="653"/>
      <c r="AAX224" s="653"/>
      <c r="AAY224" s="653"/>
      <c r="AAZ224" s="653"/>
      <c r="ABA224" s="653"/>
      <c r="ABB224" s="653"/>
      <c r="ABC224" s="653"/>
      <c r="ABD224" s="653"/>
      <c r="ABE224" s="653"/>
      <c r="ABF224" s="653"/>
      <c r="ABG224" s="653"/>
      <c r="ABH224" s="653"/>
      <c r="ABI224" s="653"/>
      <c r="ABJ224" s="653"/>
      <c r="ABK224" s="653"/>
      <c r="ABL224" s="653"/>
      <c r="ABM224" s="653"/>
      <c r="ABN224" s="653"/>
      <c r="ABO224" s="653"/>
      <c r="ABP224" s="653"/>
      <c r="ABQ224" s="653"/>
      <c r="ABR224" s="653"/>
      <c r="ABS224" s="653"/>
      <c r="ABT224" s="653"/>
      <c r="ABU224" s="653"/>
      <c r="ABV224" s="653"/>
      <c r="ABW224" s="653"/>
      <c r="ABX224" s="653"/>
      <c r="AGL224" s="851"/>
      <c r="AGM224" s="857"/>
      <c r="AGN224" s="857"/>
      <c r="AGO224" s="857"/>
      <c r="AGP224" s="857"/>
      <c r="AGQ224" s="857"/>
      <c r="AGR224" s="857"/>
      <c r="AGS224" s="857"/>
      <c r="AGT224" s="857"/>
      <c r="AGU224" s="857"/>
      <c r="AGV224" s="857"/>
      <c r="AGW224" s="857"/>
      <c r="AGX224" s="857"/>
      <c r="AGY224" s="857"/>
      <c r="AGZ224" s="837"/>
      <c r="AHA224" s="838"/>
      <c r="AHB224" s="777"/>
      <c r="AHC224" s="799"/>
      <c r="AHD224" s="842"/>
      <c r="AHE224" s="845"/>
      <c r="AHF224" s="846"/>
      <c r="AHG224" s="848"/>
      <c r="AHH224" s="1053"/>
      <c r="AHI224" s="1053"/>
      <c r="AHJ224" s="1053"/>
      <c r="AHK224" s="1053"/>
      <c r="AHL224" s="1053"/>
      <c r="AHM224" s="1053"/>
      <c r="AHN224" s="1053"/>
      <c r="AHO224" s="1053"/>
      <c r="AHV224" s="130"/>
      <c r="AHW224" s="130"/>
      <c r="AHX224" s="130"/>
      <c r="AHY224" s="130"/>
      <c r="AIC224" s="130"/>
      <c r="AID224" s="130"/>
      <c r="AIE224" s="130"/>
      <c r="AIF224" s="130"/>
      <c r="AIG224" s="130"/>
      <c r="AIH224" s="130"/>
      <c r="AII224" s="130"/>
      <c r="AIJ224" s="130"/>
      <c r="AIK224" s="130"/>
      <c r="AIL224" s="130"/>
      <c r="AIS224" s="653"/>
      <c r="AIT224" s="653"/>
      <c r="AIU224" s="653"/>
      <c r="AIV224" s="653"/>
      <c r="AIW224" s="653"/>
      <c r="AIX224" s="653"/>
      <c r="AIY224" s="653"/>
      <c r="AIZ224" s="653"/>
      <c r="AJA224" s="653"/>
      <c r="AJB224" s="653"/>
      <c r="AJC224" s="653"/>
      <c r="AJD224" s="653"/>
      <c r="AJE224" s="653"/>
      <c r="AJF224" s="653"/>
      <c r="AJG224" s="653"/>
      <c r="AJH224" s="653"/>
      <c r="AJI224" s="653"/>
      <c r="AJJ224" s="653"/>
      <c r="AJK224" s="653"/>
      <c r="AJL224" s="653"/>
      <c r="AJM224" s="653"/>
      <c r="AJN224" s="653"/>
      <c r="AJO224" s="653"/>
      <c r="AJP224" s="653"/>
      <c r="AJQ224" s="653"/>
      <c r="AJR224" s="653"/>
      <c r="AJS224" s="653"/>
      <c r="AJT224" s="653"/>
      <c r="AJU224" s="653"/>
      <c r="AJV224" s="653"/>
      <c r="AJW224" s="653"/>
      <c r="AJX224" s="653"/>
      <c r="AJY224" s="653"/>
      <c r="AJZ224" s="653"/>
      <c r="AKA224" s="653"/>
      <c r="AKB224" s="653"/>
      <c r="AKC224" s="653"/>
      <c r="AKD224" s="653"/>
      <c r="AKE224" s="653"/>
      <c r="AKF224" s="653"/>
      <c r="AKG224" s="653"/>
      <c r="AKH224" s="653"/>
      <c r="AKI224" s="653"/>
      <c r="AKJ224" s="653"/>
      <c r="AKK224" s="653"/>
      <c r="AKL224" s="653"/>
      <c r="AKM224" s="653"/>
      <c r="AKN224" s="653"/>
      <c r="ATE224" s="197" t="s">
        <v>849</v>
      </c>
      <c r="ATF224" s="133" t="s">
        <v>416</v>
      </c>
      <c r="ATG224" s="134"/>
      <c r="ATH224" s="142"/>
      <c r="ATI224" s="78"/>
      <c r="ATJ224" s="78"/>
      <c r="ATK224" s="78"/>
      <c r="ATL224" s="78"/>
      <c r="ATM224" s="78"/>
      <c r="ATN224" s="78"/>
      <c r="ATO224" s="142"/>
      <c r="ATP224" s="76" t="s">
        <v>441</v>
      </c>
      <c r="ATQ224" s="854" t="s">
        <v>435</v>
      </c>
      <c r="ATR224" s="1111"/>
      <c r="ATS224" s="924" t="s">
        <v>111</v>
      </c>
      <c r="ATT224" s="925"/>
      <c r="ATU224" s="916" t="s">
        <v>704</v>
      </c>
      <c r="ATV224" s="917"/>
      <c r="ATW224" s="906" t="s">
        <v>447</v>
      </c>
      <c r="ATX224" s="907"/>
      <c r="ATY224" s="907"/>
      <c r="ATZ224" s="908"/>
    </row>
    <row r="225" spans="8:1005 1137:1418" ht="48" customHeight="1">
      <c r="MB225" s="900"/>
      <c r="MC225" s="901"/>
      <c r="MD225" s="902"/>
      <c r="ME225" s="850"/>
      <c r="MF225" s="791" t="s">
        <v>1790</v>
      </c>
      <c r="MG225" s="792"/>
      <c r="MH225" s="792"/>
      <c r="MI225" s="792"/>
      <c r="MJ225" s="792"/>
      <c r="MK225" s="792"/>
      <c r="ML225" s="1193">
        <v>1</v>
      </c>
      <c r="MM225" s="1194"/>
      <c r="MN225" s="1183" t="s">
        <v>729</v>
      </c>
      <c r="MO225" s="1184"/>
      <c r="MP225" s="1066"/>
      <c r="MQ225" s="843" t="s">
        <v>1606</v>
      </c>
      <c r="MR225" s="844"/>
      <c r="MS225" s="847"/>
      <c r="XB225" s="653"/>
      <c r="XC225" s="653"/>
      <c r="XD225" s="653"/>
      <c r="XE225" s="653"/>
      <c r="XF225" s="971"/>
      <c r="XG225" s="158"/>
      <c r="XH225" s="158"/>
      <c r="XI225" s="158"/>
      <c r="XJ225" s="158"/>
      <c r="XK225" s="158"/>
      <c r="XL225" s="158"/>
      <c r="XM225" s="158"/>
      <c r="XN225" s="158"/>
      <c r="XO225" s="158"/>
      <c r="XP225" s="158"/>
      <c r="XQ225" s="158"/>
      <c r="XR225" s="158"/>
      <c r="XS225" s="158"/>
      <c r="XT225" s="158"/>
      <c r="XU225" s="158"/>
      <c r="XV225" s="158"/>
      <c r="XW225" s="158"/>
      <c r="XX225" s="158"/>
      <c r="XY225" s="158"/>
      <c r="XZ225" s="158"/>
      <c r="YA225" s="158"/>
      <c r="YB225" s="158"/>
      <c r="YC225" s="158"/>
      <c r="YD225" s="158"/>
      <c r="YE225" s="158"/>
      <c r="YF225" s="158"/>
      <c r="YG225" s="158"/>
      <c r="YH225" s="158"/>
      <c r="YI225" s="158"/>
      <c r="YJ225" s="158"/>
      <c r="YK225" s="158"/>
      <c r="YL225" s="158"/>
      <c r="YM225" s="158"/>
      <c r="YN225" s="158"/>
      <c r="YO225" s="158"/>
      <c r="YP225" s="158"/>
      <c r="YQ225" s="158"/>
      <c r="YR225" s="158"/>
      <c r="YS225" s="158"/>
      <c r="YT225" s="158"/>
      <c r="YU225" s="158"/>
      <c r="YV225" s="158"/>
      <c r="YW225" s="158"/>
      <c r="YX225" s="158"/>
      <c r="YY225" s="158"/>
      <c r="YZ225" s="158"/>
      <c r="ZA225" s="158"/>
      <c r="ZB225" s="158"/>
      <c r="ZC225" s="158"/>
      <c r="ZD225" s="158"/>
      <c r="ZE225" s="158"/>
      <c r="ZF225" s="158"/>
      <c r="ZG225" s="158"/>
      <c r="ZH225" s="158"/>
      <c r="ZI225" s="158"/>
      <c r="ZJ225" s="158"/>
      <c r="ZK225" s="158"/>
      <c r="ZL225" s="158"/>
      <c r="ZM225" s="158"/>
      <c r="ZN225" s="158"/>
      <c r="ZO225" s="158"/>
      <c r="ZP225" s="158"/>
      <c r="ZQ225" s="158"/>
      <c r="ZR225" s="158"/>
      <c r="ZS225" s="158"/>
      <c r="ZT225" s="158"/>
      <c r="ZU225" s="158"/>
      <c r="ZV225" s="158"/>
      <c r="ZW225" s="158"/>
      <c r="ZX225" s="158"/>
      <c r="ZY225" s="158"/>
      <c r="ZZ225" s="158"/>
      <c r="AAA225" s="158"/>
      <c r="AAB225" s="158"/>
      <c r="AAC225" s="158"/>
      <c r="AAD225" s="158"/>
      <c r="AAE225" s="158"/>
      <c r="AAF225" s="158"/>
      <c r="AAG225" s="158"/>
      <c r="AAH225" s="158"/>
      <c r="AAI225" s="158"/>
      <c r="AAJ225" s="158"/>
      <c r="AAK225" s="158"/>
      <c r="AAL225" s="158"/>
      <c r="AAM225" s="158"/>
      <c r="AAN225" s="158"/>
      <c r="AAO225" s="158"/>
      <c r="AAP225" s="158"/>
      <c r="AAQ225" s="158"/>
      <c r="AAR225" s="158"/>
      <c r="AAS225" s="158"/>
      <c r="AAT225" s="971"/>
      <c r="AAU225" s="653"/>
      <c r="AAV225" s="653"/>
      <c r="AAW225" s="653"/>
      <c r="AAX225" s="653"/>
      <c r="AAY225" s="653"/>
      <c r="AAZ225" s="653"/>
      <c r="ABA225" s="653"/>
      <c r="ABB225" s="653"/>
      <c r="ABC225" s="653"/>
      <c r="ABD225" s="653"/>
      <c r="ABE225" s="653"/>
      <c r="ABF225" s="653"/>
      <c r="ABG225" s="653"/>
      <c r="ABH225" s="653"/>
      <c r="ABI225" s="653"/>
      <c r="ABJ225" s="653"/>
      <c r="ABK225" s="653"/>
      <c r="ABL225" s="653"/>
      <c r="ABM225" s="653"/>
      <c r="ABN225" s="653"/>
      <c r="ABO225" s="653"/>
      <c r="ABP225" s="653"/>
      <c r="ABQ225" s="653"/>
      <c r="ABR225" s="653"/>
      <c r="ABS225" s="653"/>
      <c r="ABT225" s="653"/>
      <c r="ABU225" s="653"/>
      <c r="ABV225" s="653"/>
      <c r="ABW225" s="653"/>
      <c r="ABX225" s="653"/>
      <c r="AIC225" s="130"/>
      <c r="AID225" s="130"/>
      <c r="AIE225" s="130"/>
      <c r="AIF225" s="130"/>
      <c r="AIG225" s="130"/>
      <c r="AIH225" s="130"/>
      <c r="AII225" s="130"/>
      <c r="AIJ225" s="130"/>
      <c r="AIK225" s="130"/>
      <c r="AIL225" s="130"/>
      <c r="AIS225" s="653"/>
      <c r="AIT225" s="653"/>
      <c r="AIU225" s="653"/>
      <c r="AIV225" s="653"/>
      <c r="AIW225" s="653"/>
      <c r="AIX225" s="653"/>
      <c r="AIY225" s="653"/>
      <c r="AIZ225" s="653"/>
      <c r="AJA225" s="653"/>
      <c r="AJB225" s="653"/>
      <c r="AJC225" s="653"/>
      <c r="AJD225" s="653"/>
      <c r="AJE225" s="653"/>
      <c r="AJF225" s="653"/>
      <c r="AJG225" s="653"/>
      <c r="AJH225" s="653"/>
      <c r="AJI225" s="653"/>
      <c r="AJJ225" s="653"/>
      <c r="AJK225" s="653"/>
      <c r="AJL225" s="653"/>
      <c r="AJM225" s="653"/>
      <c r="AJN225" s="653"/>
      <c r="AJO225" s="653"/>
      <c r="AJP225" s="653"/>
      <c r="AJQ225" s="653"/>
      <c r="AJR225" s="653"/>
      <c r="AJS225" s="653"/>
      <c r="AJT225" s="653"/>
      <c r="AJU225" s="653"/>
      <c r="AJV225" s="653"/>
      <c r="AJW225" s="653"/>
      <c r="AJX225" s="653"/>
      <c r="AJY225" s="653"/>
      <c r="AJZ225" s="653"/>
      <c r="AKA225" s="653"/>
      <c r="AKB225" s="653"/>
      <c r="AKC225" s="653"/>
      <c r="AKD225" s="653"/>
      <c r="AKE225" s="653"/>
      <c r="AKF225" s="653"/>
      <c r="AKG225" s="653"/>
      <c r="AKH225" s="653"/>
      <c r="AKI225" s="653"/>
      <c r="AKJ225" s="653"/>
      <c r="AKK225" s="653"/>
      <c r="AKL225" s="653"/>
      <c r="AKM225" s="653"/>
      <c r="AKN225" s="653"/>
      <c r="ATE225" s="849"/>
      <c r="ATF225" s="791" t="s">
        <v>884</v>
      </c>
      <c r="ATG225" s="792"/>
      <c r="ATH225" s="792"/>
      <c r="ATI225" s="792"/>
      <c r="ATJ225" s="792"/>
      <c r="ATK225" s="792"/>
      <c r="ATL225" s="792"/>
      <c r="ATM225" s="792"/>
      <c r="ATN225" s="792"/>
      <c r="ATO225" s="792"/>
      <c r="ATP225" s="792"/>
      <c r="ATQ225" s="792"/>
      <c r="ATR225" s="793"/>
      <c r="ATS225" s="835"/>
      <c r="ATT225" s="836"/>
      <c r="ATU225" s="839"/>
      <c r="ATV225" s="840"/>
      <c r="ATW225" s="1066"/>
      <c r="ATX225" s="843" t="s">
        <v>416</v>
      </c>
      <c r="ATY225" s="844"/>
      <c r="ATZ225" s="847"/>
    </row>
    <row r="226" spans="8:1005 1137:1418" ht="48" customHeight="1" thickBot="1">
      <c r="MB226" s="903"/>
      <c r="MC226" s="904"/>
      <c r="MD226" s="905"/>
      <c r="ME226" s="851"/>
      <c r="MF226" s="794"/>
      <c r="MG226" s="795"/>
      <c r="MH226" s="795"/>
      <c r="MI226" s="795"/>
      <c r="MJ226" s="795"/>
      <c r="MK226" s="795"/>
      <c r="ML226" s="1195"/>
      <c r="MM226" s="1196"/>
      <c r="MN226" s="1185"/>
      <c r="MO226" s="1186"/>
      <c r="MP226" s="1067"/>
      <c r="MQ226" s="845"/>
      <c r="MR226" s="846"/>
      <c r="MS226" s="848"/>
      <c r="XB226" s="653"/>
      <c r="XC226" s="653"/>
      <c r="XD226" s="653"/>
      <c r="XE226" s="653"/>
      <c r="XF226" s="971"/>
      <c r="XG226" s="158"/>
      <c r="XH226" s="158"/>
      <c r="XI226" s="158"/>
      <c r="XJ226" s="158"/>
      <c r="XK226" s="158"/>
      <c r="XL226" s="158"/>
      <c r="XM226" s="158"/>
      <c r="XN226" s="158"/>
      <c r="XO226" s="158"/>
      <c r="XP226" s="158"/>
      <c r="XQ226" s="158"/>
      <c r="XR226" s="158"/>
      <c r="XS226" s="158"/>
      <c r="XT226" s="158"/>
      <c r="XU226" s="158"/>
      <c r="XV226" s="158"/>
      <c r="XW226" s="158"/>
      <c r="XX226" s="158"/>
      <c r="XY226" s="158"/>
      <c r="XZ226" s="158"/>
      <c r="YA226" s="158"/>
      <c r="YB226" s="158"/>
      <c r="YC226" s="158"/>
      <c r="YD226" s="158"/>
      <c r="YE226" s="158"/>
      <c r="YF226" s="158"/>
      <c r="YG226" s="158"/>
      <c r="YH226" s="158"/>
      <c r="YI226" s="158"/>
      <c r="YJ226" s="158"/>
      <c r="YK226" s="158"/>
      <c r="YL226" s="158"/>
      <c r="YM226" s="158"/>
      <c r="YN226" s="158"/>
      <c r="YO226" s="158"/>
      <c r="YP226" s="158"/>
      <c r="YQ226" s="158"/>
      <c r="YR226" s="158"/>
      <c r="YS226" s="158"/>
      <c r="YT226" s="158"/>
      <c r="YU226" s="158"/>
      <c r="YV226" s="158"/>
      <c r="YW226" s="158"/>
      <c r="YX226" s="158"/>
      <c r="YY226" s="158"/>
      <c r="YZ226" s="158"/>
      <c r="ZA226" s="158"/>
      <c r="ZB226" s="158"/>
      <c r="ZC226" s="158"/>
      <c r="ZD226" s="158"/>
      <c r="ZE226" s="158"/>
      <c r="ZF226" s="158"/>
      <c r="ZG226" s="158"/>
      <c r="ZH226" s="158"/>
      <c r="ZI226" s="158"/>
      <c r="ZJ226" s="158"/>
      <c r="ZK226" s="158"/>
      <c r="ZL226" s="158"/>
      <c r="ZM226" s="158"/>
      <c r="ZN226" s="158"/>
      <c r="ZO226" s="158"/>
      <c r="ZP226" s="158"/>
      <c r="ZQ226" s="158"/>
      <c r="ZR226" s="158"/>
      <c r="ZS226" s="158"/>
      <c r="ZT226" s="158"/>
      <c r="ZU226" s="158"/>
      <c r="ZV226" s="158"/>
      <c r="ZW226" s="158"/>
      <c r="ZX226" s="158"/>
      <c r="ZY226" s="158"/>
      <c r="ZZ226" s="158"/>
      <c r="AAA226" s="158"/>
      <c r="AAB226" s="158"/>
      <c r="AAC226" s="158"/>
      <c r="AAD226" s="158"/>
      <c r="AAE226" s="158"/>
      <c r="AAF226" s="158"/>
      <c r="AAG226" s="158"/>
      <c r="AAH226" s="158"/>
      <c r="AAI226" s="158"/>
      <c r="AAJ226" s="158"/>
      <c r="AAK226" s="158"/>
      <c r="AAL226" s="158"/>
      <c r="AAM226" s="158"/>
      <c r="AAN226" s="158"/>
      <c r="AAO226" s="158"/>
      <c r="AAP226" s="158"/>
      <c r="AAQ226" s="158"/>
      <c r="AAR226" s="158"/>
      <c r="AAS226" s="158"/>
      <c r="AAT226" s="971"/>
      <c r="AAU226" s="653"/>
      <c r="AAV226" s="653"/>
      <c r="AAW226" s="653"/>
      <c r="AAX226" s="653"/>
      <c r="AAY226" s="653"/>
      <c r="AAZ226" s="653"/>
      <c r="ABA226" s="653"/>
      <c r="ABB226" s="653"/>
      <c r="ABC226" s="653"/>
      <c r="ABD226" s="653"/>
      <c r="ABE226" s="653"/>
      <c r="ABF226" s="653"/>
      <c r="ABG226" s="653"/>
      <c r="ABH226" s="653"/>
      <c r="ABI226" s="653"/>
      <c r="ABJ226" s="653"/>
      <c r="ABK226" s="653"/>
      <c r="ABL226" s="653"/>
      <c r="ABM226" s="653"/>
      <c r="ABN226" s="653"/>
      <c r="ABO226" s="653"/>
      <c r="ABP226" s="653"/>
      <c r="ABQ226" s="653"/>
      <c r="ABR226" s="653"/>
      <c r="ABS226" s="653"/>
      <c r="ABT226" s="653"/>
      <c r="ABU226" s="653"/>
      <c r="ABV226" s="653"/>
      <c r="ABW226" s="653"/>
      <c r="ABX226" s="653"/>
      <c r="ACJ226" s="800" t="s">
        <v>1698</v>
      </c>
      <c r="ACK226" s="801"/>
      <c r="ACL226" s="761">
        <f>$AGZ$175</f>
        <v>4.9483406222879935</v>
      </c>
      <c r="ACM226" s="761"/>
      <c r="ACN226" s="1032" t="s">
        <v>17</v>
      </c>
      <c r="ACO226" s="1040"/>
      <c r="ACP226" s="1033"/>
      <c r="ACQ226" s="985" t="str">
        <f>IF(ACQ228&lt;0,"Ошибка",
IF(OR(AND(ACQ228&gt;ACM226,ACM226&gt;1    ),ACM226 = ACQ228),ACO228,
IF(OR(AND(ACQ229&gt;ACM226,ACM226&gt;ACQ228),ACM226 = ACQ229),ACO229,
IF(OR(AND(ACQ230&gt;ACM226,ACM226&gt;ACQ229),ACM226 = ACQ230),ACO230,
IF(OR(AND(ACQ231&gt;ACM226,ACM226&gt;ACQ230),ACM226 = ACQ231),ACO231,
IF(OR(AND(ACQ232&gt;ACM226,ACM226&gt;ACQ231),ACM226 = ACQ232),ACO232,
IF(OR(AND(ACQ233&gt;ACM226,ACM226&gt;ACQ232),ACM226 = ACQ233),ACO233,
IF(OR(AND(ACQ234&gt;ACM226,ACM226&gt;ACQ233),ACM226 = ACQ234),ACO234,
IF(OR(AND(ACQ235&gt;ACM226,ACM226&gt;ACQ234),ACM226 = ACQ235),ACO235,
IF(OR(AND(ACQ236&gt;ACM226,ACM226&gt;ACQ235),ACM226 = ACQ236),ACO236,
IF(OR(AND(ACQ237&gt;ACM226,ACM226&gt;ACQ236),ACM226 = ACQ237),ACO237,
IF(OR(AND(ACQ238&gt;ACM226,ACM226&gt;ACQ237),ACM226 = ACQ238),ACO238,
IF(OR(AND(ACQ239&gt;ACM226,ACM226&gt;ACQ238),ACM226 = ACQ239),ACO239,
IF(OR(AND(ACQ240&gt;ACM226,ACM226&gt;ACQ239),ACM226 = ACQ240),ACO240,
IF(OR(AND(ACQ241&gt;ACM226,ACM226&gt;ACQ240),ACM226 = ACQ241),ACO241,
IF(OR(AND(ACQ242&gt;ACM226,ACM226&gt;ACQ241),ACM226 = ACQ242),ACO242,
IF(OR(AND(ACQ243&gt;ACM226,ACM226&gt;ACQ242),ACM226 = ACQ243),ACO243,
IF(OR(AND(ACQ244&gt;ACM226,ACM226&gt;ACQ243),ACM226 = ACQ244),ACO244,
IF(OR(AND(ACQ245&gt;ACM226,ACM226&gt;ACQ244),ACM226 = ACQ245),ACO245,
IF(OR(AND(ACQ246&gt;ACM226,ACM226&gt;ACQ245),ACM226 = ACQ246),ACO246,
IF(OR(AND(ACQ247&gt;ACM226,ACM226&gt;ACQ246),ACM226 = ACQ247),ACO247,
IF(OR(AND(ACQ248&gt;ACM226,ACM226&gt;ACQ247),ACM226 = ACQ248),ACO248,
IF(OR(AND(ACQ249&gt;ACM226,ACM226&gt;ACQ248),ACM226 = ACQ249),ACO249,
IF(OR(AND(ACQ250&gt;ACM226,ACM226&gt;ACQ249),ACM226 = ACQ250),ACO250,
IF(OR(AND(ACQ251&gt;ACM226,ACM226&gt;ACQ250),ACM226 = ACQ251),ACO251,
IF(OR(AND(ACQ252&gt;ACM226,ACM226&gt;ACQ251),ACM226 = ACQ252),ACO252,
IF(OR(AND(ACQ253&gt;ACM226,ACM226&gt;ACQ252),ACM226 = ACQ253),ACO253,
IF(OR(AND(ACQ254&gt;ACM226,ACM226&gt;ACQ253),ACM226 = ACQ254),ACO254,
IF(OR(AND(ACQ255&gt;ACM226,ACM226&gt;ACQ254),ACM226 = ACQ255),ACO255,
IF(OR(AND(ACQ256&gt;ACM226,ACM226&gt;ACQ255),ACM226 = ACQ256),ACO256,
IF(OR(AND(ACQ257&gt;ACM226,ACM226&gt;ACQ256),ACM226 = ACQ257),ACO257,
IF(OR(AND(ACQ258&gt;ACM226,ACM226&gt;ACQ257),ACM226 = ACQ258),ACO258,
IF(OR(AND(ACQ259&gt;ACM226,ACM226&gt;ACQ258),ACM226 = ACQ259),ACO259,
IF(OR(AND(ACQ260&gt;ACM226,ACM226&gt;ACQ259),ACM226 = ACQ260),ACO260,
IF(OR(AND(ACQ261&gt;ACM226,ACM226&gt;ACQ260),ACM226 = ACQ261),ACO261,
IF(OR(AND(ACQ262&gt;ACM226,ACM226&gt;ACQ261),ACM226 = ACQ262),ACO262,
IF(OR(AND(ACQ263&gt;ACM226,ACM226&gt;ACQ262),ACM226 = ACQ263),ACO263,
IF(OR(AND(ACQ264&gt;ACM226,ACM226&gt;ACQ263),ACM226 = ACQ264),ACO264,
IF(OR(AND(ACQ265&gt;ACM226,ACM226&gt;ACQ264),ACM226 = ACQ265),ACO265,
IF(OR(AND(ACQ266&gt;ACM226,ACM226&gt;ACQ265),ACM226 = ACQ266),ACO266,
IF(OR(AND(ACQ267&gt;ACM226,ACM226&gt;ACQ266),ACM226 = ACQ267),ACO267,
IF(OR(AND(ACQ268&gt;ACM226,ACM226&gt;ACQ267),ACM226 = ACQ268),ACO268,
IF(OR(AND(ACQ269&gt;ACM226,ACM226&gt;ACQ268),ACM226 = ACQ269),ACO269,
IF(OR(AND(ACQ270&gt;ACM226,ACM226&gt;ACQ269),ACM226 = ACQ270),ACO270,
IF(OR(AND(ACQ271&gt;ACM226,ACM226&gt;ACQ270),ACM226 = ACQ271),ACO271,
IF(OR(AND(ACQ272&gt;ACM226,ACM226&gt;ACQ271),ACM226 = ACQ272),ACO272,
IF(OR(AND(ACQ273&gt;ACM226,ACM226&gt;ACQ272),ACM226 = ACQ273),ACO273,
IF(OR(AND(ACQ274&gt;ACM226,ACM226&gt;ACQ273),ACM226 = ACQ274),ACO274,
IF(OR(AND(ACQ275&gt;ACM226,ACM226&gt;ACQ274),ACM226 = ACQ275),ACO275,
IF(OR(AND(ACQ276&gt;ACM226,ACM226&gt;ACQ275),ACM226 = ACQ276),ACO276,
IF(OR(AND(ACQ277&gt;ACM226,ACM226&gt;ACQ276),ACM226 = ACQ277),ACO277,
"Y")))))))))))))))))))))))))))))))))))))))))))))))))))</f>
        <v>Y</v>
      </c>
      <c r="ACR226" s="986"/>
      <c r="ACT226" s="800" t="s">
        <v>1698</v>
      </c>
      <c r="ACU226" s="801"/>
      <c r="ACV226" s="761">
        <f>$AGZ$175</f>
        <v>4.9483406222879935</v>
      </c>
      <c r="ACW226" s="761"/>
      <c r="ACX226" s="1032" t="s">
        <v>17</v>
      </c>
      <c r="ACY226" s="1040"/>
      <c r="ACZ226" s="1033"/>
      <c r="ADA226" s="985" t="str">
        <f>IF(ADA228&lt;0,"Ошибка",
IF(OR(AND(ADA228&gt;ACW226,ACW226&gt;ACQ277),ACW226 = ADA228),ACY228,
IF(OR(AND(ADA229&gt;ACW226,ACW226&gt;ADA228),ACW226 = ADA229),ACY229,
IF(OR(AND(ADA230&gt;ACW226,ACW226&gt;ADA229),ACW226 = ADA230),ACY230,
IF(OR(AND(ADA231&gt;ACW226,ACW226&gt;ADA230),ACW226 = ADA231),ACY231,
IF(OR(AND(ADA232&gt;ACW226,ACW226&gt;ADA231),ACW226 = ADA232),ACY232,
IF(OR(AND(ADA233&gt;ACW226,ACW226&gt;ADA232),ACW226 = ADA233),ACY233,
IF(OR(AND(ADA234&gt;ACW226,ACW226&gt;ADA233),ACW226 = ADA234),ACY234,
IF(OR(AND(ADA235&gt;ACW226,ACW226&gt;ADA234),ACW226 = ADA235),ACY235,
IF(OR(AND(ADA236&gt;ACW226,ACW226&gt;ADA235),ACW226 = ADA236),ACY236,
IF(OR(AND(ADA237&gt;ACW226,ACW226&gt;ADA236),ACW226 = ADA237),ACY237,
IF(OR(AND(ADA238&gt;ACW226,ACW226&gt;ADA237),ACW226 = ADA238),ACY238,
IF(OR(AND(ADA239&gt;ACW226,ACW226&gt;ADA238),ACW226 = ADA239),ACY239,
IF(OR(AND(ADA240&gt;ACW226,ACW226&gt;ADA239),ACW226 = ADA240),ACY240,
IF(OR(AND(ADA241&gt;ACW226,ACW226&gt;ADA240),ACW226 = ADA241),ACY241,
IF(OR(AND(ADA242&gt;ACW226,ACW226&gt;ADA241),ACW226 = ADA242),ACY242,
IF(OR(AND(ADA243&gt;ACW226,ACW226&gt;ADA242),ACW226 = ADA243),ACY243,
IF(OR(AND(ADA244&gt;ACW226,ACW226&gt;ADA243),ACW226 = ADA244),ACY244,
IF(OR(AND(ADA245&gt;ACW226,ACW226&gt;ADA244),ACW226 = ADA245),ACY245,
IF(OR(AND(ADA246&gt;ACW226,ACW226&gt;ADA245),ACW226 = ADA246),ACY246,
IF(OR(AND(ADA247&gt;ACW226,ACW226&gt;ADA246),ACW226 = ADA247),ACY247,
IF(OR(AND(ADA248&gt;ACW226,ACW226&gt;ADA247),ACW226 = ADA248),ACY248,
IF(OR(AND(ADA249&gt;ACW226,ACW226&gt;ADA248),ACW226 = ADA249),ACY249,
IF(OR(AND(ADA250&gt;ACW226,ACW226&gt;ADA249),ACW226 = ADA250),ACY250,
IF(OR(AND(ADA251&gt;ACW226,ACW226&gt;ADA250),ACW226 = ADA251),ACY251,
IF(OR(AND(ADA252&gt;ACW226,ACW226&gt;ADA251),ACW226 = ADA252),ACY252,
IF(OR(AND(ADA253&gt;ACW226,ACW226&gt;ADA252),ACW226 = ADA253),ACY253,
IF(OR(AND(ADA254&gt;ACW226,ACW226&gt;ADA253),ACW226 = ADA254),ACY254,
IF(OR(AND(ADA255&gt;ACW226,ACW226&gt;ADA254),ACW226 = ADA255),ACY255,
IF(OR(AND(ADA256&gt;ACW226,ACW226&gt;ADA255),ACW226 = ADA256),ACY256,
IF(OR(AND(ADA257&gt;ACW226,ACW226&gt;ADA256),ACW226 = ADA257),ACY257,
IF(OR(AND(ADA258&gt;ACW226,ACW226&gt;ADA257),ACW226 = ADA258),ACY258,
IF(OR(AND(ADA259&gt;ACW226,ACW226&gt;ADA258),ACW226 = ADA259),ACY259,
IF(OR(AND(ADA260&gt;ACW226,ACW226&gt;ADA259),ACW226 = ADA260),ACY260,
IF(OR(AND(ADA261&gt;ACW226,ACW226&gt;ADA260),ACW226 = ADA261),ACY261,
IF(OR(AND(ADA262&gt;ACW226,ACW226&gt;ADA261),ACW226 = ADA262),ACY262,
IF(OR(AND(ADA263&gt;ACW226,ACW226&gt;ADA262),ACW226 = ADA263),ACY263,
IF(OR(AND(ADA264&gt;ACW226,ACW226&gt;ADA263),ACW226 = ADA264),ACY264,
IF(OR(AND(ADA265&gt;ACW226,ACW226&gt;ADA264),ACW226 = ADA265),ACY265,
IF(OR(AND(ADA266&gt;ACW226,ACW226&gt;ADA265),ACW226 = ADA266),ACY266,
IF(OR(AND(ADA267&gt;ACW226,ACW226&gt;ADA266),ACW226 = ADA267),ACY267,
IF(OR(AND(ADA268&gt;ACW226,ACW226&gt;ADA267),ACW226 = ADA268),ACY268,
IF(OR(AND(ADA269&gt;ACW226,ACW226&gt;ADA268),ACW226 = ADA269),ACY269,
IF(OR(AND(ADA270&gt;ACW226,ACW226&gt;ADA269),ACW226 = ADA270),ACY270,
IF(OR(AND(ADA271&gt;ACW226,ACW226&gt;ADA270),ACW226 = ADA271),ACY271,
IF(OR(AND(ADA272&gt;ACW226,ACW226&gt;ADA271),ACW226 = ADA272),ACY272,
IF(OR(AND(ADA273&gt;ACW226,ACW226&gt;ADA272),ACW226 = ADA273),ACY273,
IF(OR(AND(ADA274&gt;ACW226,ACW226&gt;ADA273),ACW226 = ADA274),ACY274,
IF(OR(AND(ADA275&gt;ACW226,ACW226&gt;ADA274),ACW226 = ADA275),ACY275,
IF(OR(AND(ADA276&gt;ACW226,ACW226&gt;ADA275),ACW226 = ADA276),ACY276,
IF(OR(AND(ADA277&gt;ACW226,ACW226&gt;ADA276),ACW226 = ADA277),ACY277,
"Y")))))))))))))))))))))))))))))))))))))))))))))))))))</f>
        <v>Y</v>
      </c>
      <c r="ADB226" s="986"/>
      <c r="ADD226" s="800" t="s">
        <v>1698</v>
      </c>
      <c r="ADE226" s="801"/>
      <c r="ADF226" s="761">
        <f>$AGZ$175</f>
        <v>4.9483406222879935</v>
      </c>
      <c r="ADG226" s="761"/>
      <c r="ADH226" s="1032" t="s">
        <v>17</v>
      </c>
      <c r="ADI226" s="1040"/>
      <c r="ADJ226" s="1033"/>
      <c r="ADK226" s="985" t="str">
        <f>IF(ADK228&lt;0,"Ошибка",
IF(OR(AND(ADK228&gt;ADG226,ADG226&gt;ADA277),ADG226 = ADK228),ADI228,
IF(OR(AND(ADK229&gt;ADG226,ADG226&gt;ADK228),ADG226 = ADK229),ADI229,
IF(OR(AND(ADK230&gt;ADG226,ADG226&gt;ADK229),ADG226 = ADK230),ADI230,
IF(OR(AND(ADK231&gt;ADG226,ADG226&gt;ADK230),ADG226 = ADK231),ADI231,
IF(OR(AND(ADK232&gt;ADG226,ADG226&gt;ADK231),ADG226 = ADK232),ADI232,
IF(OR(AND(ADK233&gt;ADG226,ADG226&gt;ADK232),ADG226 = ADK233),ADI233,
IF(OR(AND(ADK234&gt;ADG226,ADG226&gt;ADK233),ADG226 = ADK234),ADI234,
IF(OR(AND(ADK235&gt;ADG226,ADG226&gt;ADK234),ADG226 = ADK235),ADI235,
IF(OR(AND(ADK236&gt;ADG226,ADG226&gt;ADK235),ADG226 = ADK236),ADI236,
IF(OR(AND(ADK237&gt;ADG226,ADG226&gt;ADK236),ADG226 = ADK237),ADI237,
IF(OR(AND(ADK238&gt;ADG226,ADG226&gt;ADK237),ADG226 = ADK238),ADI238,
IF(OR(AND(ADK239&gt;ADG226,ADG226&gt;ADK238),ADG226 = ADK239),ADI239,
IF(OR(AND(ADK240&gt;ADG226,ADG226&gt;ADK239),ADG226 = ADK240),ADI240,
IF(OR(AND(ADK241&gt;ADG226,ADG226&gt;ADK240),ADG226 = ADK241),ADI241,
IF(OR(AND(ADK242&gt;ADG226,ADG226&gt;ADK241),ADG226 = ADK242),ADI242,
IF(OR(AND(ADK243&gt;ADG226,ADG226&gt;ADK242),ADG226 = ADK243),ADI243,
IF(OR(AND(ADK244&gt;ADG226,ADG226&gt;ADK243),ADG226 = ADK244),ADI244,
IF(OR(AND(ADK245&gt;ADG226,ADG226&gt;ADK244),ADG226 = ADK245),ADI245,
IF(OR(AND(ADK246&gt;ADG226,ADG226&gt;ADK245),ADG226 = ADK246),ADI246,
IF(OR(AND(ADK247&gt;ADG226,ADG226&gt;ADK246),ADG226 = ADK247),ADI247,
IF(OR(AND(ADK248&gt;ADG226,ADG226&gt;ADK247),ADG226 = ADK248),ADI248,
IF(OR(AND(ADK249&gt;ADG226,ADG226&gt;ADK248),ADG226 = ADK249),ADI249,
IF(OR(AND(ADK250&gt;ADG226,ADG226&gt;ADK249),ADG226 = ADK250),ADI250,
IF(OR(AND(ADK251&gt;ADG226,ADG226&gt;ADK250),ADG226 = ADK251),ADI251,
IF(OR(AND(ADK252&gt;ADG226,ADG226&gt;ADK251),ADG226 = ADK252),ADI252,
IF(OR(AND(ADK253&gt;ADG226,ADG226&gt;ADK252),ADG226 = ADK253),ADI253,
IF(OR(AND(ADK254&gt;ADG226,ADG226&gt;ADK253),ADG226 = ADK254),ADI254,
IF(OR(AND(ADK255&gt;ADG226,ADG226&gt;ADK254),ADG226 = ADK255),ADI255,
IF(OR(AND(ADK256&gt;ADG226,ADG226&gt;ADK255),ADG226 = ADK256),ADI256,
IF(OR(AND(ADK257&gt;ADG226,ADG226&gt;ADK256),ADG226 = ADK257),ADI257,
IF(OR(AND(ADK258&gt;ADG226,ADG226&gt;ADK257),ADG226 = ADK258),ADI258,
IF(OR(AND(ADK259&gt;ADG226,ADG226&gt;ADK258),ADG226 = ADK259),ADI259,
IF(OR(AND(ADK260&gt;ADG226,ADG226&gt;ADK259),ADG226 = ADK260),ADI260,
IF(OR(AND(ADK261&gt;ADG226,ADG226&gt;ADK260),ADG226 = ADK261),ADI261,
IF(OR(AND(ADK262&gt;ADG226,ADG226&gt;ADK261),ADG226 = ADK262),ADI262,
IF(OR(AND(ADK263&gt;ADG226,ADG226&gt;ADK262),ADG226 = ADK263),ADI263,
IF(OR(AND(ADK264&gt;ADG226,ADG226&gt;ADK263),ADG226 = ADK264),ADI264,
IF(OR(AND(ADK265&gt;ADG226,ADG226&gt;ADK264),ADG226 = ADK265),ADI265,
IF(OR(AND(ADK266&gt;ADG226,ADG226&gt;ADK265),ADG226 = ADK266),ADI266,
IF(OR(AND(ADK267&gt;ADG226,ADG226&gt;ADK266),ADG226 = ADK267),ADI267,
IF(OR(AND(ADK268&gt;ADG226,ADG226&gt;ADK267),ADG226 = ADK268),ADI268,
IF(OR(AND(ADK269&gt;ADG226,ADG226&gt;ADK268),ADG226 = ADK269),ADI269,
IF(OR(AND(ADK270&gt;ADG226,ADG226&gt;ADK269),ADG226 = ADK270),ADI270,
IF(OR(AND(ADK271&gt;ADG226,ADG226&gt;ADK270),ADG226 = ADK271),ADI271,
IF(OR(AND(ADK272&gt;ADG226,ADG226&gt;ADK271),ADG226 = ADK272),ADI272,
IF(OR(AND(ADK273&gt;ADG226,ADG226&gt;ADK272),ADG226 = ADK273),ADI273,
IF(OR(AND(ADK274&gt;ADG226,ADG226&gt;ADK273),ADG226 = ADK274),ADI274,
IF(OR(AND(ADK275&gt;ADG226,ADG226&gt;ADK274),ADG226 = ADK275),ADI275,
IF(OR(AND(ADK276&gt;ADG226,ADG226&gt;ADK275),ADG226 = ADK276),ADI276,
IF(OR(AND(ADK277&gt;ADG226,ADG226&gt;ADK276),ADG226 = ADK277),ADI277,
"Y")))))))))))))))))))))))))))))))))))))))))))))))))))</f>
        <v>Y</v>
      </c>
      <c r="ADL226" s="986"/>
      <c r="ADN226" s="800" t="s">
        <v>1698</v>
      </c>
      <c r="ADO226" s="801"/>
      <c r="ADP226" s="761">
        <f>$AGZ$175</f>
        <v>4.9483406222879935</v>
      </c>
      <c r="ADQ226" s="761"/>
      <c r="ADR226" s="1032" t="s">
        <v>17</v>
      </c>
      <c r="ADS226" s="1040"/>
      <c r="ADT226" s="1033"/>
      <c r="ADU226" s="985" t="str">
        <f>IF(ADU228&lt;0,"Ошибка",
IF(OR(AND(ADU228&gt;ADQ226,ADQ226&gt;ADK277),ADQ226 = ADU228),ADS228,
IF(OR(AND(ADU229&gt;ADQ226,ADQ226&gt;ADU228),ADQ226 = ADU229),ADS229,
IF(OR(AND(ADU230&gt;ADQ226,ADQ226&gt;ADU229),ADQ226 = ADU230),ADS230,
IF(OR(AND(ADU231&gt;ADQ226,ADQ226&gt;ADU230),ADQ226 = ADU231),ADS231,
IF(OR(AND(ADU232&gt;ADQ226,ADQ226&gt;ADU231),ADQ226 = ADU232),ADS232,
IF(OR(AND(ADU233&gt;ADQ226,ADQ226&gt;ADU232),ADQ226 = ADU233),ADS233,
IF(OR(AND(ADU234&gt;ADQ226,ADQ226&gt;ADU233),ADQ226 = ADU234),ADS234,
IF(OR(AND(ADU235&gt;ADQ226,ADQ226&gt;ADU234),ADQ226 = ADU235),ADS235,
IF(OR(AND(ADU236&gt;ADQ226,ADQ226&gt;ADU235),ADQ226 = ADU236),ADS236,
IF(OR(AND(ADU237&gt;ADQ226,ADQ226&gt;ADU236),ADQ226 = ADU237),ADS237,
IF(OR(AND(ADU238&gt;ADQ226,ADQ226&gt;ADU237),ADQ226 = ADU238),ADS238,
IF(OR(AND(ADU239&gt;ADQ226,ADQ226&gt;ADU238),ADQ226 = ADU239),ADS239,
IF(OR(AND(ADU240&gt;ADQ226,ADQ226&gt;ADU239),ADQ226 = ADU240),ADS240,
IF(OR(AND(ADU241&gt;ADQ226,ADQ226&gt;ADU240),ADQ226 = ADU241),ADS241,
IF(OR(AND(ADU242&gt;ADQ226,ADQ226&gt;ADU241),ADQ226 = ADU242),ADS242,
IF(OR(AND(ADU243&gt;ADQ226,ADQ226&gt;ADU242),ADQ226 = ADU243),ADS243,
IF(OR(AND(ADU244&gt;ADQ226,ADQ226&gt;ADU243),ADQ226 = ADU244),ADS244,
IF(OR(AND(ADU245&gt;ADQ226,ADQ226&gt;ADU244),ADQ226 = ADU245),ADS245,
IF(OR(AND(ADU246&gt;ADQ226,ADQ226&gt;ADU245),ADQ226 = ADU246),ADS246,
IF(OR(AND(ADU247&gt;ADQ226,ADQ226&gt;ADU246),ADQ226 = ADU247),ADS247,
IF(OR(AND(ADU248&gt;ADQ226,ADQ226&gt;ADU247),ADQ226 = ADU248),ADS248,
IF(OR(AND(ADU249&gt;ADQ226,ADQ226&gt;ADU248),ADQ226 = ADU249),ADS249,
IF(OR(AND(ADU250&gt;ADQ226,ADQ226&gt;ADU249),ADQ226 = ADU250),ADS250,
IF(OR(AND(ADU251&gt;ADQ226,ADQ226&gt;ADU250),ADQ226 = ADU251),ADS251,
IF(OR(AND(ADU252&gt;ADQ226,ADQ226&gt;ADU251),ADQ226 = ADU252),ADS252,
IF(OR(AND(ADU253&gt;ADQ226,ADQ226&gt;ADU252),ADQ226 = ADU253),ADS253,
IF(OR(AND(ADU254&gt;ADQ226,ADQ226&gt;ADU253),ADQ226 = ADU254),ADS254,
IF(OR(AND(ADU255&gt;ADQ226,ADQ226&gt;ADU254),ADQ226 = ADU255),ADS255,
IF(OR(AND(ADU256&gt;ADQ226,ADQ226&gt;ADU255),ADQ226 = ADU256),ADS256,
IF(OR(AND(ADU257&gt;ADQ226,ADQ226&gt;ADU256),ADQ226 = ADU257),ADS257,
IF(OR(AND(ADU258&gt;ADQ226,ADQ226&gt;ADU257),ADQ226 = ADU258),ADS258,
IF(OR(AND(ADU259&gt;ADQ226,ADQ226&gt;ADU258),ADQ226 = ADU259),ADS259,
IF(OR(AND(ADU260&gt;ADQ226,ADQ226&gt;ADU259),ADQ226 = ADU260),ADS260,
IF(OR(AND(ADU261&gt;ADQ226,ADQ226&gt;ADU260),ADQ226 = ADU261),ADS261,
IF(OR(AND(ADU262&gt;ADQ226,ADQ226&gt;ADU261),ADQ226 = ADU262),ADS262,
IF(OR(AND(ADU263&gt;ADQ226,ADQ226&gt;ADU262),ADQ226 = ADU263),ADS263,
IF(OR(AND(ADU264&gt;ADQ226,ADQ226&gt;ADU263),ADQ226 = ADU264),ADS264,
IF(OR(AND(ADU265&gt;ADQ226,ADQ226&gt;ADU264),ADQ226 = ADU265),ADS265,
IF(OR(AND(ADU266&gt;ADQ226,ADQ226&gt;ADU265),ADQ226 = ADU266),ADS266,
IF(OR(AND(ADU267&gt;ADQ226,ADQ226&gt;ADU266),ADQ226 = ADU267),ADS267,
IF(OR(AND(ADU268&gt;ADQ226,ADQ226&gt;ADU267),ADQ226 = ADU268),ADS268,
IF(OR(AND(ADU269&gt;ADQ226,ADQ226&gt;ADU268),ADQ226 = ADU269),ADS269,
IF(OR(AND(ADU270&gt;ADQ226,ADQ226&gt;ADU269),ADQ226 = ADU270),ADS270,
IF(OR(AND(ADU271&gt;ADQ226,ADQ226&gt;ADU270),ADQ226 = ADU271),ADS271,
IF(OR(AND(ADU272&gt;ADQ226,ADQ226&gt;ADU271),ADQ226 = ADU272),ADS272,
IF(OR(AND(ADU273&gt;ADQ226,ADQ226&gt;ADU272),ADQ226 = ADU273),ADS273,
IF(OR(AND(ADU274&gt;ADQ226,ADQ226&gt;ADU273),ADQ226 = ADU274),ADS274,
IF(OR(AND(ADU275&gt;ADQ226,ADQ226&gt;ADU274),ADQ226 = ADU275),ADS275,
IF(OR(AND(ADU276&gt;ADQ226,ADQ226&gt;ADU275),ADQ226 = ADU276),ADS276,
IF(OR(AND(ADU277&gt;ADQ226,ADQ226&gt;ADU276),ADQ226 = ADU277),ADS277,
"Y")))))))))))))))))))))))))))))))))))))))))))))))))))</f>
        <v>Y</v>
      </c>
      <c r="ADV226" s="986"/>
      <c r="ADX226" s="800" t="s">
        <v>1698</v>
      </c>
      <c r="ADY226" s="801"/>
      <c r="ADZ226" s="761">
        <f>$AGZ$175</f>
        <v>4.9483406222879935</v>
      </c>
      <c r="AEA226" s="761"/>
      <c r="AEB226" s="1032" t="s">
        <v>17</v>
      </c>
      <c r="AEC226" s="1040"/>
      <c r="AED226" s="1033"/>
      <c r="AEE226" s="985" t="str">
        <f>IF(AEE228&lt;0,"Ошибка",
IF(OR(AND(AEE228&gt;AEA226,AEA226&gt;ADU277),AEA226 = AEE228),AEC228,
IF(OR(AND(AEE229&gt;AEA226,AEA226&gt;AEE228),AEA226 = AEE229),AEC229,
IF(OR(AND(AEE230&gt;AEA226,AEA226&gt;AEE229),AEA226 = AEE230),AEC230,
IF(OR(AND(AEE231&gt;AEA226,AEA226&gt;AEE230),AEA226 = AEE231),AEC231,
IF(OR(AND(AEE232&gt;AEA226,AEA226&gt;AEE231),AEA226 = AEE232),AEC232,
IF(OR(AND(AEE233&gt;AEA226,AEA226&gt;AEE232),AEA226 = AEE233),AEC233,
IF(OR(AND(AEE234&gt;AEA226,AEA226&gt;AEE233),AEA226 = AEE234),AEC234,
IF(OR(AND(AEE235&gt;AEA226,AEA226&gt;AEE234),AEA226 = AEE235),AEC235,
IF(OR(AND(AEE236&gt;AEA226,AEA226&gt;AEE235),AEA226 = AEE236),AEC236,
IF(OR(AND(AEE237&gt;AEA226,AEA226&gt;AEE236),AEA226 = AEE237),AEC237,
IF(OR(AND(AEE238&gt;AEA226,AEA226&gt;AEE237),AEA226 = AEE238),AEC238,
IF(OR(AND(AEE239&gt;AEA226,AEA226&gt;AEE238),AEA226 = AEE239),AEC239,
IF(OR(AND(AEE240&gt;AEA226,AEA226&gt;AEE239),AEA226 = AEE240),AEC240,
IF(OR(AND(AEE241&gt;AEA226,AEA226&gt;AEE240),AEA226 = AEE241),AEC241,
IF(OR(AND(AEE242&gt;AEA226,AEA226&gt;AEE241),AEA226 = AEE242),AEC242,
IF(OR(AND(AEE243&gt;AEA226,AEA226&gt;AEE242),AEA226 = AEE243),AEC243,
IF(OR(AND(AEE244&gt;AEA226,AEA226&gt;AEE243),AEA226 = AEE244),AEC244,
IF(OR(AND(AEE245&gt;AEA226,AEA226&gt;AEE244),AEA226 = AEE245),AEC245,
IF(OR(AND(AEE246&gt;AEA226,AEA226&gt;AEE245),AEA226 = AEE246),AEC246,
IF(OR(AND(AEE247&gt;AEA226,AEA226&gt;AEE246),AEA226 = AEE247),AEC247,
IF(OR(AND(AEE248&gt;AEA226,AEA226&gt;AEE247),AEA226 = AEE248),AEC248,
IF(OR(AND(AEE249&gt;AEA226,AEA226&gt;AEE248),AEA226 = AEE249),AEC249,
IF(OR(AND(AEE250&gt;AEA226,AEA226&gt;AEE249),AEA226 = AEE250),AEC250,
IF(OR(AND(AEE251&gt;AEA226,AEA226&gt;AEE250),AEA226 = AEE251),AEC251,
IF(OR(AND(AEE252&gt;AEA226,AEA226&gt;AEE251),AEA226 = AEE252),AEC252,
IF(OR(AND(AEE253&gt;AEA226,AEA226&gt;AEE252),AEA226 = AEE253),AEC253,
IF(OR(AND(AEE254&gt;AEA226,AEA226&gt;AEE253),AEA226 = AEE254),AEC254,
IF(OR(AND(AEE255&gt;AEA226,AEA226&gt;AEE254),AEA226 = AEE255),AEC255,
IF(OR(AND(AEE256&gt;AEA226,AEA226&gt;AEE255),AEA226 = AEE256),AEC256,
IF(OR(AND(AEE257&gt;AEA226,AEA226&gt;AEE256),AEA226 = AEE257),AEC257,
IF(OR(AND(AEE258&gt;AEA226,AEA226&gt;AEE257),AEA226 = AEE258),AEC258,
IF(OR(AND(AEE259&gt;AEA226,AEA226&gt;AEE258),AEA226 = AEE259),AEC259,
IF(OR(AND(AEE260&gt;AEA226,AEA226&gt;AEE259),AEA226 = AEE260),AEC260,
IF(OR(AND(AEE261&gt;AEA226,AEA226&gt;AEE260),AEA226 = AEE261),AEC261,
IF(OR(AND(AEE262&gt;AEA226,AEA226&gt;AEE261),AEA226 = AEE262),AEC262,
IF(OR(AND(AEE263&gt;AEA226,AEA226&gt;AEE262),AEA226 = AEE263),AEC263,
IF(OR(AND(AEE264&gt;AEA226,AEA226&gt;AEE263),AEA226 = AEE264),AEC264,
IF(OR(AND(AEE265&gt;AEA226,AEA226&gt;AEE264),AEA226 = AEE265),AEC265,
IF(OR(AND(AEE266&gt;AEA226,AEA226&gt;AEE265),AEA226 = AEE266),AEC266,
IF(OR(AND(AEE267&gt;AEA226,AEA226&gt;AEE266),AEA226 = AEE267),AEC267,
IF(OR(AND(AEE268&gt;AEA226,AEA226&gt;AEE267),AEA226 = AEE268),AEC268,
IF(OR(AND(AEE269&gt;AEA226,AEA226&gt;AEE268),AEA226 = AEE269),AEC269,
IF(OR(AND(AEE270&gt;AEA226,AEA226&gt;AEE269),AEA226 = AEE270),AEC270,
IF(OR(AND(AEE271&gt;AEA226,AEA226&gt;AEE270),AEA226 = AEE271),AEC271,
IF(OR(AND(AEE272&gt;AEA226,AEA226&gt;AEE271),AEA226 = AEE272),AEC272,
IF(OR(AND(AEE273&gt;AEA226,AEA226&gt;AEE272),AEA226 = AEE273),AEC273,
IF(OR(AND(AEE274&gt;AEA226,AEA226&gt;AEE273),AEA226 = AEE274),AEC274,
IF(OR(AND(AEE275&gt;AEA226,AEA226&gt;AEE274),AEA226 = AEE275),AEC275,
IF(OR(AND(AEE276&gt;AEA226,AEA226&gt;AEE275),AEA226 = AEE276),AEC276,
IF(OR(AND(AEE277&gt;AEA226,AEA226&gt;AEE276),AEA226 = AEE277),AEC277,
"Y")))))))))))))))))))))))))))))))))))))))))))))))))))</f>
        <v>Y</v>
      </c>
      <c r="AEF226" s="986"/>
      <c r="AEH226" s="800" t="s">
        <v>1698</v>
      </c>
      <c r="AEI226" s="801"/>
      <c r="AEJ226" s="761">
        <f>$AGZ$175</f>
        <v>4.9483406222879935</v>
      </c>
      <c r="AEK226" s="761"/>
      <c r="AEL226" s="1032" t="s">
        <v>17</v>
      </c>
      <c r="AEM226" s="1040"/>
      <c r="AEN226" s="1033"/>
      <c r="AEO226" s="985" t="str">
        <f>IF(AEO228&lt;0,"Ошибка",
IF(OR(AND(AEO228&gt;AEK226,AEK226&gt;AEE277),AEK226 = AEO228),AEM228,
IF(OR(AND(AEO229&gt;AEK226,AEK226&gt;AEO228),AEK226 = AEO229),AEM229,
IF(OR(AND(AEO230&gt;AEK226,AEK226&gt;AEO229),AEK226 = AEO230),AEM230,
IF(OR(AND(AEO231&gt;AEK226,AEK226&gt;AEO230),AEK226 = AEO231),AEM231,
IF(OR(AND(AEO232&gt;AEK226,AEK226&gt;AEO231),AEK226 = AEO232),AEM232,
IF(OR(AND(AEO233&gt;AEK226,AEK226&gt;AEO232),AEK226 = AEO233),AEM233,
IF(OR(AND(AEO234&gt;AEK226,AEK226&gt;AEO233),AEK226 = AEO234),AEM234,
IF(OR(AND(AEO235&gt;AEK226,AEK226&gt;AEO234),AEK226 = AEO235),AEM235,
IF(OR(AND(AEO236&gt;AEK226,AEK226&gt;AEO235),AEK226 = AEO236),AEM236,
IF(OR(AND(AEO237&gt;AEK226,AEK226&gt;AEO236),AEK226 = AEO237),AEM237,
IF(OR(AND(AEO238&gt;AEK226,AEK226&gt;AEO237),AEK226 = AEO238),AEM238,
IF(OR(AND(AEO239&gt;AEK226,AEK226&gt;AEO238),AEK226 = AEO239),AEM239,
IF(OR(AND(AEO240&gt;AEK226,AEK226&gt;AEO239),AEK226 = AEO240),AEM240,
IF(OR(AND(AEO241&gt;AEK226,AEK226&gt;AEO240),AEK226 = AEO241),AEM241,
IF(OR(AND(AEO242&gt;AEK226,AEK226&gt;AEO241),AEK226 = AEO242),AEM242,
IF(OR(AND(AEO243&gt;AEK226,AEK226&gt;AEO242),AEK226 = AEO243),AEM243,
IF(OR(AND(AEO244&gt;AEK226,AEK226&gt;AEO243),AEK226 = AEO244),AEM244,
IF(OR(AND(AEO245&gt;AEK226,AEK226&gt;AEO244),AEK226 = AEO245),AEM245,
IF(OR(AND(AEO246&gt;AEK226,AEK226&gt;AEO245),AEK226 = AEO246),AEM246,
IF(OR(AND(AEO247&gt;AEK226,AEK226&gt;AEO246),AEK226 = AEO247),AEM247,
IF(OR(AND(AEO248&gt;AEK226,AEK226&gt;AEO247),AEK226 = AEO248),AEM248,
IF(OR(AND(AEO249&gt;AEK226,AEK226&gt;AEO248),AEK226 = AEO249),AEM249,
IF(OR(AND(AEO250&gt;AEK226,AEK226&gt;AEO249),AEK226 = AEO250),AEM250,
IF(OR(AND(AEO251&gt;AEK226,AEK226&gt;AEO250),AEK226 = AEO251),AEM251,
IF(OR(AND(AEO252&gt;AEK226,AEK226&gt;AEO251),AEK226 = AEO252),AEM252,
IF(OR(AND(AEO253&gt;AEK226,AEK226&gt;AEO252),AEK226 = AEO253),AEM253,
IF(OR(AND(AEO254&gt;AEK226,AEK226&gt;AEO253),AEK226 = AEO254),AEM254,
IF(OR(AND(AEO255&gt;AEK226,AEK226&gt;AEO254),AEK226 = AEO255),AEM255,
IF(OR(AND(AEO256&gt;AEK226,AEK226&gt;AEO255),AEK226 = AEO256),AEM256,
IF(OR(AND(AEO257&gt;AEK226,AEK226&gt;AEO256),AEK226 = AEO257),AEM257,
IF(OR(AND(AEO258&gt;AEK226,AEK226&gt;AEO257),AEK226 = AEO258),AEM258,
IF(OR(AND(AEO259&gt;AEK226,AEK226&gt;AEO258),AEK226 = AEO259),AEM259,
IF(OR(AND(AEO260&gt;AEK226,AEK226&gt;AEO259),AEK226 = AEO260),AEM260,
IF(OR(AND(AEO261&gt;AEK226,AEK226&gt;AEO260),AEK226 = AEO261),AEM261,
IF(OR(AND(AEO262&gt;AEK226,AEK226&gt;AEO261),AEK226 = AEO262),AEM262,
IF(OR(AND(AEO263&gt;AEK226,AEK226&gt;AEO262),AEK226 = AEO263),AEM263,
IF(OR(AND(AEO264&gt;AEK226,AEK226&gt;AEO263),AEK226 = AEO264),AEM264,
IF(OR(AND(AEO265&gt;AEK226,AEK226&gt;AEO264),AEK226 = AEO265),AEM265,
IF(OR(AND(AEO266&gt;AEK226,AEK226&gt;AEO265),AEK226 = AEO266),AEM266,
IF(OR(AND(AEO267&gt;AEK226,AEK226&gt;AEO266),AEK226 = AEO267),AEM267,
IF(OR(AND(AEO268&gt;AEK226,AEK226&gt;AEO267),AEK226 = AEO268),AEM268,
IF(OR(AND(AEO269&gt;AEK226,AEK226&gt;AEO268),AEK226 = AEO269),AEM269,
IF(OR(AND(AEO270&gt;AEK226,AEK226&gt;AEO269),AEK226 = AEO270),AEM270,
IF(OR(AND(AEO271&gt;AEK226,AEK226&gt;AEO270),AEK226 = AEO271),AEM271,
IF(OR(AND(AEO272&gt;AEK226,AEK226&gt;AEO271),AEK226 = AEO272),AEM272,
IF(OR(AND(AEO273&gt;AEK226,AEK226&gt;AEO272),AEK226 = AEO273),AEM273,
IF(OR(AND(AEO274&gt;AEK226,AEK226&gt;AEO273),AEK226 = AEO274),AEM274,
IF(OR(AND(AEO275&gt;AEK226,AEK226&gt;AEO274),AEK226 = AEO275),AEM275,
IF(OR(AND(AEO276&gt;AEK226,AEK226&gt;AEO275),AEK226 = AEO276),AEM276,
IF(OR(AND(AEO277&gt;AEK226,AEK226&gt;AEO276),AEK226 = AEO277),AEM277,
"Y")))))))))))))))))))))))))))))))))))))))))))))))))))</f>
        <v>Y</v>
      </c>
      <c r="AEP226" s="986"/>
      <c r="AER226" s="800" t="s">
        <v>1698</v>
      </c>
      <c r="AES226" s="801"/>
      <c r="AET226" s="761">
        <f>$AGZ$175</f>
        <v>4.9483406222879935</v>
      </c>
      <c r="AEU226" s="761"/>
      <c r="AEV226" s="1032" t="s">
        <v>17</v>
      </c>
      <c r="AEW226" s="1040"/>
      <c r="AEX226" s="1033"/>
      <c r="AEY226" s="985" t="str">
        <f>IF(AEY228&lt;0,"Ошибка",
IF(OR(AND(AEY228&gt;AEU226,AEU226&gt;AEO277),AEU226 = AEY228),AEW228,
IF(OR(AND(AEY229&gt;AEU226,AEU226&gt;AEY228),AEU226 = AEY229),AEW229,
IF(OR(AND(AEY230&gt;AEU226,AEU226&gt;AEY229),AEU226 = AEY230),AEW230,
IF(OR(AND(AEY231&gt;AEU226,AEU226&gt;AEY230),AEU226 = AEY231),AEW231,
IF(OR(AND(AEY232&gt;AEU226,AEU226&gt;AEY231),AEU226 = AEY232),AEW232,
IF(OR(AND(AEY233&gt;AEU226,AEU226&gt;AEY232),AEU226 = AEY233),AEW233,
IF(OR(AND(AEY234&gt;AEU226,AEU226&gt;AEY233),AEU226 = AEY234),AEW234,
IF(OR(AND(AEY235&gt;AEU226,AEU226&gt;AEY234),AEU226 = AEY235),AEW235,
IF(OR(AND(AEY236&gt;AEU226,AEU226&gt;AEY235),AEU226 = AEY236),AEW236,
IF(OR(AND(AEY237&gt;AEU226,AEU226&gt;AEY236),AEU226 = AEY237),AEW237,
IF(OR(AND(AEY238&gt;AEU226,AEU226&gt;AEY237),AEU226 = AEY238),AEW238,
IF(OR(AND(AEY239&gt;AEU226,AEU226&gt;AEY238),AEU226 = AEY239),AEW239,
IF(OR(AND(AEY240&gt;AEU226,AEU226&gt;AEY239),AEU226 = AEY240),AEW240,
IF(OR(AND(AEY241&gt;AEU226,AEU226&gt;AEY240),AEU226 = AEY241),AEW241,
IF(OR(AND(AEY242&gt;AEU226,AEU226&gt;AEY241),AEU226 = AEY242),AEW242,
IF(OR(AND(AEY243&gt;AEU226,AEU226&gt;AEY242),AEU226 = AEY243),AEW243,
IF(OR(AND(AEY244&gt;AEU226,AEU226&gt;AEY243),AEU226 = AEY244),AEW244,
IF(OR(AND(AEY245&gt;AEU226,AEU226&gt;AEY244),AEU226 = AEY245),AEW245,
IF(OR(AND(AEY246&gt;AEU226,AEU226&gt;AEY245),AEU226 = AEY246),AEW246,
IF(OR(AND(AEY247&gt;AEU226,AEU226&gt;AEY246),AEU226 = AEY247),AEW247,
IF(OR(AND(AEY248&gt;AEU226,AEU226&gt;AEY247),AEU226 = AEY248),AEW248,
IF(OR(AND(AEY249&gt;AEU226,AEU226&gt;AEY248),AEU226 = AEY249),AEW249,
IF(OR(AND(AEY250&gt;AEU226,AEU226&gt;AEY249),AEU226 = AEY250),AEW250,
IF(OR(AND(AEY251&gt;AEU226,AEU226&gt;AEY250),AEU226 = AEY251),AEW251,
IF(OR(AND(AEY252&gt;AEU226,AEU226&gt;AEY251),AEU226 = AEY252),AEW252,
IF(OR(AND(AEY253&gt;AEU226,AEU226&gt;AEY252),AEU226 = AEY253),AEW253,
IF(OR(AND(AEY254&gt;AEU226,AEU226&gt;AEY253),AEU226 = AEY254),AEW254,
IF(OR(AND(AEY255&gt;AEU226,AEU226&gt;AEY254),AEU226 = AEY255),AEW255,
IF(OR(AND(AEY256&gt;AEU226,AEU226&gt;AEY255),AEU226 = AEY256),AEW256,
IF(OR(AND(AEY257&gt;AEU226,AEU226&gt;AEY256),AEU226 = AEY257),AEW257,
IF(OR(AND(AEY258&gt;AEU226,AEU226&gt;AEY257),AEU226 = AEY258),AEW258,
IF(OR(AND(AEY259&gt;AEU226,AEU226&gt;AEY258),AEU226 = AEY259),AEW259,
IF(OR(AND(AEY260&gt;AEU226,AEU226&gt;AEY259),AEU226 = AEY260),AEW260,
IF(OR(AND(AEY261&gt;AEU226,AEU226&gt;AEY260),AEU226 = AEY261),AEW261,
IF(OR(AND(AEY262&gt;AEU226,AEU226&gt;AEY261),AEU226 = AEY262),AEW262,
IF(OR(AND(AEY263&gt;AEU226,AEU226&gt;AEY262),AEU226 = AEY263),AEW263,
IF(OR(AND(AEY264&gt;AEU226,AEU226&gt;AEY263),AEU226 = AEY264),AEW264,
IF(OR(AND(AEY265&gt;AEU226,AEU226&gt;AEY264),AEU226 = AEY265),AEW265,
IF(OR(AND(AEY266&gt;AEU226,AEU226&gt;AEY265),AEU226 = AEY266),AEW266,
IF(OR(AND(AEY267&gt;AEU226,AEU226&gt;AEY266),AEU226 = AEY267),AEW267,
IF(OR(AND(AEY268&gt;AEU226,AEU226&gt;AEY267),AEU226 = AEY268),AEW268,
IF(OR(AND(AEY269&gt;AEU226,AEU226&gt;AEY268),AEU226 = AEY269),AEW269,
IF(OR(AND(AEY270&gt;AEU226,AEU226&gt;AEY269),AEU226 = AEY270),AEW270,
IF(OR(AND(AEY271&gt;AEU226,AEU226&gt;AEY270),AEU226 = AEY271),AEW271,
IF(OR(AND(AEY272&gt;AEU226,AEU226&gt;AEY271),AEU226 = AEY272),AEW272,
IF(OR(AND(AEY273&gt;AEU226,AEU226&gt;AEY272),AEU226 = AEY273),AEW273,
IF(OR(AND(AEY274&gt;AEU226,AEU226&gt;AEY273),AEU226 = AEY274),AEW274,
IF(OR(AND(AEY275&gt;AEU226,AEU226&gt;AEY274),AEU226 = AEY275),AEW275,
IF(OR(AND(AEY276&gt;AEU226,AEU226&gt;AEY275),AEU226 = AEY276),AEW276,
IF(OR(AND(AEY277&gt;AEU226,AEU226&gt;AEY276),AEU226 = AEY277),AEW277,
"Y")))))))))))))))))))))))))))))))))))))))))))))))))))</f>
        <v>Y</v>
      </c>
      <c r="AEZ226" s="986"/>
      <c r="AFB226" s="800" t="s">
        <v>1698</v>
      </c>
      <c r="AFC226" s="801"/>
      <c r="AFD226" s="761">
        <f>$AGZ$175</f>
        <v>4.9483406222879935</v>
      </c>
      <c r="AFE226" s="761"/>
      <c r="AFF226" s="1032" t="s">
        <v>17</v>
      </c>
      <c r="AFG226" s="1040"/>
      <c r="AFH226" s="1033"/>
      <c r="AFI226" s="985" t="str">
        <f>IF(AFI228&lt;0,"Ошибка",
IF(OR(AND(AFI228&gt;AFE226,AFE226&gt;AEY277),AFE226 = AFI228),AFG228,
IF(OR(AND(AFI229&gt;AFE226,AFE226&gt;AFI228),AFE226 = AFI229),AFG229,
IF(OR(AND(AFI230&gt;AFE226,AFE226&gt;AFI229),AFE226 = AFI230),AFG230,
IF(OR(AND(AFI231&gt;AFE226,AFE226&gt;AFI230),AFE226 = AFI231),AFG231,
IF(OR(AND(AFI232&gt;AFE226,AFE226&gt;AFI231),AFE226 = AFI232),AFG232,
IF(OR(AND(AFI233&gt;AFE226,AFE226&gt;AFI232),AFE226 = AFI233),AFG233,
IF(OR(AND(AFI234&gt;AFE226,AFE226&gt;AFI233),AFE226 = AFI234),AFG234,
IF(OR(AND(AFI235&gt;AFE226,AFE226&gt;AFI234),AFE226 = AFI235),AFG235,
IF(OR(AND(AFI236&gt;AFE226,AFE226&gt;AFI235),AFE226 = AFI236),AFG236,
IF(OR(AND(AFI237&gt;AFE226,AFE226&gt;AFI236),AFE226 = AFI237),AFG237,
IF(OR(AND(AFI238&gt;AFE226,AFE226&gt;AFI237),AFE226 = AFI238),AFG238,
IF(OR(AND(AFI239&gt;AFE226,AFE226&gt;AFI238),AFE226 = AFI239),AFG239,
IF(OR(AND(AFI240&gt;AFE226,AFE226&gt;AFI239),AFE226 = AFI240),AFG240,
IF(OR(AND(AFI241&gt;AFE226,AFE226&gt;AFI240),AFE226 = AFI241),AFG241,
IF(OR(AND(AFI242&gt;AFE226,AFE226&gt;AFI241),AFE226 = AFI242),AFG242,
IF(OR(AND(AFI243&gt;AFE226,AFE226&gt;AFI242),AFE226 = AFI243),AFG243,
IF(OR(AND(AFI244&gt;AFE226,AFE226&gt;AFI243),AFE226 = AFI244),AFG244,
IF(OR(AND(AFI245&gt;AFE226,AFE226&gt;AFI244),AFE226 = AFI245),AFG245,
IF(OR(AND(AFI246&gt;AFE226,AFE226&gt;AFI245),AFE226 = AFI246),AFG246,
IF(OR(AND(AFI247&gt;AFE226,AFE226&gt;AFI246),AFE226 = AFI247),AFG247,
IF(OR(AND(AFI248&gt;AFE226,AFE226&gt;AFI247),AFE226 = AFI248),AFG248,
IF(OR(AND(AFI249&gt;AFE226,AFE226&gt;AFI248),AFE226 = AFI249),AFG249,
IF(OR(AND(AFI250&gt;AFE226,AFE226&gt;AFI249),AFE226 = AFI250),AFG250,
IF(OR(AND(AFI251&gt;AFE226,AFE226&gt;AFI250),AFE226 = AFI251),AFG251,
IF(OR(AND(AFI252&gt;AFE226,AFE226&gt;AFI251),AFE226 = AFI252),AFG252,
IF(OR(AND(AFI253&gt;AFE226,AFE226&gt;AFI252),AFE226 = AFI253),AFG253,
IF(OR(AND(AFI254&gt;AFE226,AFE226&gt;AFI253),AFE226 = AFI254),AFG254,
IF(OR(AND(AFI255&gt;AFE226,AFE226&gt;AFI254),AFE226 = AFI255),AFG255,
IF(OR(AND(AFI256&gt;AFE226,AFE226&gt;AFI255),AFE226 = AFI256),AFG256,
IF(OR(AND(AFI257&gt;AFE226,AFE226&gt;AFI256),AFE226 = AFI257),AFG257,
IF(OR(AND(AFI258&gt;AFE226,AFE226&gt;AFI257),AFE226 = AFI258),AFG258,
IF(OR(AND(AFI259&gt;AFE226,AFE226&gt;AFI258),AFE226 = AFI259),AFG259,
IF(OR(AND(AFI260&gt;AFE226,AFE226&gt;AFI259),AFE226 = AFI260),AFG260,
IF(OR(AND(AFI261&gt;AFE226,AFE226&gt;AFI260),AFE226 = AFI261),AFG261,
IF(OR(AND(AFI262&gt;AFE226,AFE226&gt;AFI261),AFE226 = AFI262),AFG262,
IF(OR(AND(AFI263&gt;AFE226,AFE226&gt;AFI262),AFE226 = AFI263),AFG263,
IF(OR(AND(AFI264&gt;AFE226,AFE226&gt;AFI263),AFE226 = AFI264),AFG264,
IF(OR(AND(AFI265&gt;AFE226,AFE226&gt;AFI264),AFE226 = AFI265),AFG265,
IF(OR(AND(AFI266&gt;AFE226,AFE226&gt;AFI265),AFE226 = AFI266),AFG266,
IF(OR(AND(AFI267&gt;AFE226,AFE226&gt;AFI266),AFE226 = AFI267),AFG267,
IF(OR(AND(AFI268&gt;AFE226,AFE226&gt;AFI267),AFE226 = AFI268),AFG268,
IF(OR(AND(AFI269&gt;AFE226,AFE226&gt;AFI268),AFE226 = AFI269),AFG269,
IF(OR(AND(AFI270&gt;AFE226,AFE226&gt;AFI269),AFE226 = AFI270),AFG270,
IF(OR(AND(AFI271&gt;AFE226,AFE226&gt;AFI270),AFE226 = AFI271),AFG271,
IF(OR(AND(AFI272&gt;AFE226,AFE226&gt;AFI271),AFE226 = AFI272),AFG272,
IF(OR(AND(AFI273&gt;AFE226,AFE226&gt;AFI272),AFE226 = AFI273),AFG273,
IF(OR(AND(AFI274&gt;AFE226,AFE226&gt;AFI273),AFE226 = AFI274),AFG274,
IF(OR(AND(AFI275&gt;AFE226,AFE226&gt;AFI274),AFE226 = AFI275),AFG275,
IF(OR(AND(AFI276&gt;AFE226,AFE226&gt;AFI275),AFE226 = AFI276),AFG276,
IF(OR(AND(AFI277&gt;AFE226,AFE226&gt;AFI276),AFE226 = AFI277),AFG277,
"Y")))))))))))))))))))))))))))))))))))))))))))))))))))</f>
        <v>Y</v>
      </c>
      <c r="AFJ226" s="986"/>
      <c r="AGL226" s="849"/>
      <c r="AGM226" s="852" t="s">
        <v>416</v>
      </c>
      <c r="AGN226" s="853"/>
      <c r="AGO226" s="142"/>
      <c r="AGP226" s="78"/>
      <c r="AGQ226" s="78"/>
      <c r="AGR226" s="78"/>
      <c r="AGS226" s="78"/>
      <c r="AGT226" s="78"/>
      <c r="AGU226" s="78"/>
      <c r="AGV226" s="142"/>
      <c r="AGW226" s="76" t="s">
        <v>441</v>
      </c>
      <c r="AGX226" s="854" t="s">
        <v>435</v>
      </c>
      <c r="AGY226" s="855"/>
      <c r="AGZ226" s="920" t="s">
        <v>111</v>
      </c>
      <c r="AHA226" s="921"/>
      <c r="AHB226" s="916" t="s">
        <v>704</v>
      </c>
      <c r="AHC226" s="917"/>
      <c r="AHD226" s="906" t="s">
        <v>447</v>
      </c>
      <c r="AHE226" s="907"/>
      <c r="AHF226" s="907"/>
      <c r="AHG226" s="908"/>
      <c r="AHH226" s="1051" t="s">
        <v>436</v>
      </c>
      <c r="AHI226" s="1051"/>
      <c r="AHJ226" s="1051"/>
      <c r="AHK226" s="1051"/>
      <c r="AHL226" s="1051"/>
      <c r="AHM226" s="1051"/>
      <c r="AHN226" s="1051"/>
      <c r="AHO226" s="1051"/>
      <c r="AIC226" s="130"/>
      <c r="AID226" s="130"/>
      <c r="AIE226" s="130"/>
      <c r="AIF226" s="130"/>
      <c r="AIG226" s="130"/>
      <c r="AIH226" s="130"/>
      <c r="AII226" s="130"/>
      <c r="AIJ226" s="130"/>
      <c r="AIK226" s="130"/>
      <c r="AIL226" s="130"/>
      <c r="ARZ226" s="199"/>
      <c r="ASA226" s="852" t="s">
        <v>876</v>
      </c>
      <c r="ASB226" s="923"/>
      <c r="ASC226" s="199"/>
      <c r="ASD226" s="1117" t="s">
        <v>891</v>
      </c>
      <c r="ASE226" s="1118"/>
      <c r="ASF226" s="1118"/>
      <c r="ASG226" s="1118"/>
      <c r="ASH226" s="1118"/>
      <c r="ASI226" s="1118"/>
      <c r="ASJ226" s="1118"/>
      <c r="ASK226" s="1118"/>
      <c r="ASL226" s="1118"/>
      <c r="ASM226" s="1118"/>
      <c r="ASN226" s="1119"/>
      <c r="ASO226" s="199"/>
      <c r="ATE226" s="851"/>
      <c r="ATF226" s="794"/>
      <c r="ATG226" s="795"/>
      <c r="ATH226" s="795"/>
      <c r="ATI226" s="795"/>
      <c r="ATJ226" s="795"/>
      <c r="ATK226" s="795"/>
      <c r="ATL226" s="795"/>
      <c r="ATM226" s="795"/>
      <c r="ATN226" s="795"/>
      <c r="ATO226" s="795"/>
      <c r="ATP226" s="795"/>
      <c r="ATQ226" s="795"/>
      <c r="ATR226" s="796"/>
      <c r="ATS226" s="837"/>
      <c r="ATT226" s="838"/>
      <c r="ATU226" s="777"/>
      <c r="ATV226" s="799"/>
      <c r="ATW226" s="1067"/>
      <c r="ATX226" s="845"/>
      <c r="ATY226" s="846"/>
      <c r="ATZ226" s="848"/>
    </row>
    <row r="227" spans="8:1005 1137:1418" ht="48" customHeight="1">
      <c r="XB227" s="653"/>
      <c r="XC227" s="653"/>
      <c r="XD227" s="653"/>
      <c r="XE227" s="653"/>
      <c r="XF227" s="971"/>
      <c r="XG227" s="158"/>
      <c r="XH227" s="158"/>
      <c r="XI227" s="158"/>
      <c r="XJ227" s="158"/>
      <c r="XK227" s="158"/>
      <c r="XL227" s="158"/>
      <c r="XM227" s="158"/>
      <c r="XN227" s="158"/>
      <c r="XO227" s="158"/>
      <c r="XP227" s="158"/>
      <c r="XQ227" s="158"/>
      <c r="XR227" s="158"/>
      <c r="XS227" s="158"/>
      <c r="XT227" s="158"/>
      <c r="XU227" s="158"/>
      <c r="XV227" s="158"/>
      <c r="XW227" s="158"/>
      <c r="XX227" s="158"/>
      <c r="XY227" s="158"/>
      <c r="XZ227" s="158"/>
      <c r="YA227" s="158"/>
      <c r="YB227" s="158"/>
      <c r="YC227" s="158"/>
      <c r="YD227" s="158"/>
      <c r="YE227" s="158"/>
      <c r="YF227" s="158"/>
      <c r="YG227" s="158"/>
      <c r="YH227" s="158"/>
      <c r="YI227" s="158"/>
      <c r="YJ227" s="158"/>
      <c r="YK227" s="158"/>
      <c r="YL227" s="158"/>
      <c r="YM227" s="158"/>
      <c r="YN227" s="158"/>
      <c r="YO227" s="158"/>
      <c r="YP227" s="158"/>
      <c r="YQ227" s="158"/>
      <c r="YR227" s="158"/>
      <c r="YS227" s="158"/>
      <c r="YT227" s="158"/>
      <c r="YU227" s="158"/>
      <c r="YV227" s="158"/>
      <c r="YW227" s="158"/>
      <c r="YX227" s="158"/>
      <c r="YY227" s="158"/>
      <c r="YZ227" s="158"/>
      <c r="ZA227" s="158"/>
      <c r="ZB227" s="158"/>
      <c r="ZC227" s="158"/>
      <c r="ZD227" s="158"/>
      <c r="ZE227" s="158"/>
      <c r="ZF227" s="158"/>
      <c r="ZG227" s="158"/>
      <c r="ZH227" s="158"/>
      <c r="ZI227" s="158"/>
      <c r="ZJ227" s="158"/>
      <c r="ZK227" s="158"/>
      <c r="ZL227" s="158"/>
      <c r="ZM227" s="158"/>
      <c r="ZN227" s="158"/>
      <c r="ZO227" s="158"/>
      <c r="ZP227" s="158"/>
      <c r="ZQ227" s="158"/>
      <c r="ZR227" s="158"/>
      <c r="ZS227" s="158"/>
      <c r="ZT227" s="158"/>
      <c r="ZU227" s="158"/>
      <c r="ZV227" s="158"/>
      <c r="ZW227" s="158"/>
      <c r="ZX227" s="158"/>
      <c r="ZY227" s="158"/>
      <c r="ZZ227" s="158"/>
      <c r="AAA227" s="158"/>
      <c r="AAB227" s="158"/>
      <c r="AAC227" s="158"/>
      <c r="AAD227" s="158"/>
      <c r="AAE227" s="158"/>
      <c r="AAF227" s="158"/>
      <c r="AAG227" s="158"/>
      <c r="AAH227" s="158"/>
      <c r="AAI227" s="158"/>
      <c r="AAJ227" s="158"/>
      <c r="AAK227" s="158"/>
      <c r="AAL227" s="158"/>
      <c r="AAM227" s="158"/>
      <c r="AAN227" s="158"/>
      <c r="AAO227" s="158"/>
      <c r="AAP227" s="158"/>
      <c r="AAQ227" s="158"/>
      <c r="AAR227" s="158"/>
      <c r="AAS227" s="158"/>
      <c r="AAT227" s="971"/>
      <c r="AAU227" s="653"/>
      <c r="AAV227" s="653"/>
      <c r="AAW227" s="653"/>
      <c r="AAX227" s="653"/>
      <c r="AAY227" s="653"/>
      <c r="AAZ227" s="653"/>
      <c r="ABA227" s="653"/>
      <c r="ABB227" s="653"/>
      <c r="ABC227" s="653"/>
      <c r="ABD227" s="653"/>
      <c r="ABE227" s="653"/>
      <c r="ABF227" s="653"/>
      <c r="ABG227" s="653"/>
      <c r="ABH227" s="653"/>
      <c r="ABI227" s="653"/>
      <c r="ABJ227" s="653"/>
      <c r="ABK227" s="653"/>
      <c r="ABL227" s="653"/>
      <c r="ABM227" s="653"/>
      <c r="ABN227" s="653"/>
      <c r="ABO227" s="653"/>
      <c r="ABP227" s="653"/>
      <c r="ABQ227" s="653"/>
      <c r="ABR227" s="653"/>
      <c r="ABS227" s="653"/>
      <c r="ABT227" s="653"/>
      <c r="ABU227" s="653"/>
      <c r="ABV227" s="653"/>
      <c r="ABW227" s="653"/>
      <c r="ABX227" s="653"/>
      <c r="ACJ227" s="856" t="s">
        <v>1585</v>
      </c>
      <c r="ACK227" s="856"/>
      <c r="ACL227" s="856" t="s">
        <v>829</v>
      </c>
      <c r="ACM227" s="856"/>
      <c r="ACN227" s="489" t="s">
        <v>410</v>
      </c>
      <c r="ACO227" s="759" t="s">
        <v>1655</v>
      </c>
      <c r="ACP227" s="760"/>
      <c r="ACQ227" s="1102" t="s">
        <v>1656</v>
      </c>
      <c r="ACR227" s="1103"/>
      <c r="ACT227" s="856" t="s">
        <v>1585</v>
      </c>
      <c r="ACU227" s="856"/>
      <c r="ACV227" s="856" t="s">
        <v>829</v>
      </c>
      <c r="ACW227" s="856"/>
      <c r="ACX227" s="489" t="s">
        <v>410</v>
      </c>
      <c r="ACY227" s="759" t="s">
        <v>1655</v>
      </c>
      <c r="ACZ227" s="760"/>
      <c r="ADA227" s="1102" t="s">
        <v>1656</v>
      </c>
      <c r="ADB227" s="1103"/>
      <c r="ADD227" s="856" t="s">
        <v>1585</v>
      </c>
      <c r="ADE227" s="856"/>
      <c r="ADF227" s="856" t="s">
        <v>829</v>
      </c>
      <c r="ADG227" s="856"/>
      <c r="ADH227" s="489" t="s">
        <v>410</v>
      </c>
      <c r="ADI227" s="759" t="s">
        <v>1655</v>
      </c>
      <c r="ADJ227" s="760"/>
      <c r="ADK227" s="1102" t="s">
        <v>1656</v>
      </c>
      <c r="ADL227" s="1103"/>
      <c r="ADN227" s="856" t="s">
        <v>1585</v>
      </c>
      <c r="ADO227" s="856"/>
      <c r="ADP227" s="856" t="s">
        <v>829</v>
      </c>
      <c r="ADQ227" s="856"/>
      <c r="ADR227" s="489" t="s">
        <v>410</v>
      </c>
      <c r="ADS227" s="759" t="s">
        <v>1655</v>
      </c>
      <c r="ADT227" s="760"/>
      <c r="ADU227" s="1102" t="s">
        <v>1656</v>
      </c>
      <c r="ADV227" s="1103"/>
      <c r="ADX227" s="856" t="s">
        <v>1585</v>
      </c>
      <c r="ADY227" s="856"/>
      <c r="ADZ227" s="856" t="s">
        <v>829</v>
      </c>
      <c r="AEA227" s="856"/>
      <c r="AEB227" s="489" t="s">
        <v>410</v>
      </c>
      <c r="AEC227" s="759" t="s">
        <v>1655</v>
      </c>
      <c r="AED227" s="760"/>
      <c r="AEE227" s="1102" t="s">
        <v>1656</v>
      </c>
      <c r="AEF227" s="1103"/>
      <c r="AEH227" s="856" t="s">
        <v>1585</v>
      </c>
      <c r="AEI227" s="856"/>
      <c r="AEJ227" s="856" t="s">
        <v>829</v>
      </c>
      <c r="AEK227" s="856"/>
      <c r="AEL227" s="685" t="s">
        <v>410</v>
      </c>
      <c r="AEM227" s="759" t="s">
        <v>1655</v>
      </c>
      <c r="AEN227" s="760"/>
      <c r="AEO227" s="1102" t="s">
        <v>1656</v>
      </c>
      <c r="AEP227" s="1103"/>
      <c r="AER227" s="856" t="s">
        <v>1585</v>
      </c>
      <c r="AES227" s="856"/>
      <c r="AET227" s="856" t="s">
        <v>829</v>
      </c>
      <c r="AEU227" s="856"/>
      <c r="AEV227" s="685" t="s">
        <v>410</v>
      </c>
      <c r="AEW227" s="759" t="s">
        <v>1655</v>
      </c>
      <c r="AEX227" s="760"/>
      <c r="AEY227" s="1102" t="s">
        <v>1656</v>
      </c>
      <c r="AEZ227" s="1103"/>
      <c r="AFB227" s="856" t="s">
        <v>1585</v>
      </c>
      <c r="AFC227" s="856"/>
      <c r="AFD227" s="856" t="s">
        <v>829</v>
      </c>
      <c r="AFE227" s="856"/>
      <c r="AFF227" s="685" t="s">
        <v>410</v>
      </c>
      <c r="AFG227" s="759" t="s">
        <v>1655</v>
      </c>
      <c r="AFH227" s="760"/>
      <c r="AFI227" s="1102" t="s">
        <v>1656</v>
      </c>
      <c r="AFJ227" s="1103"/>
      <c r="AGL227" s="850"/>
      <c r="AGM227" s="856" t="s">
        <v>1406</v>
      </c>
      <c r="AGN227" s="856"/>
      <c r="AGO227" s="856"/>
      <c r="AGP227" s="856"/>
      <c r="AGQ227" s="856"/>
      <c r="AGR227" s="856"/>
      <c r="AGS227" s="856"/>
      <c r="AGT227" s="856"/>
      <c r="AGU227" s="856"/>
      <c r="AGV227" s="856"/>
      <c r="AGW227" s="856"/>
      <c r="AGX227" s="856"/>
      <c r="AGY227" s="856"/>
      <c r="AGZ227" s="835">
        <f>(GM24*1000-GP57)*(1-AHA188)</f>
        <v>7.1056843478260898</v>
      </c>
      <c r="AHA227" s="836"/>
      <c r="AHB227" s="839"/>
      <c r="AHC227" s="840"/>
      <c r="AHD227" s="841"/>
      <c r="AHE227" s="843" t="s">
        <v>1488</v>
      </c>
      <c r="AHF227" s="844"/>
      <c r="AHG227" s="847"/>
      <c r="AHH227" s="1052"/>
      <c r="AHI227" s="1052"/>
      <c r="AHJ227" s="1052"/>
      <c r="AHK227" s="1052"/>
      <c r="AHL227" s="1052"/>
      <c r="AHM227" s="1052"/>
      <c r="AHN227" s="1052"/>
      <c r="AHO227" s="1052"/>
      <c r="AIC227" s="130"/>
      <c r="AID227" s="130"/>
      <c r="AIE227" s="130"/>
      <c r="AIF227" s="130"/>
      <c r="AIG227" s="130"/>
      <c r="AIH227" s="130"/>
      <c r="AII227" s="130"/>
      <c r="AIJ227" s="130"/>
      <c r="AIK227" s="130"/>
      <c r="AIL227" s="130"/>
    </row>
    <row r="228" spans="8:1005 1137:1418" ht="48" customHeight="1" thickBot="1">
      <c r="MB228" s="849"/>
      <c r="MC228" s="852" t="s">
        <v>416</v>
      </c>
      <c r="MD228" s="853"/>
      <c r="ME228" s="386"/>
      <c r="MF228" s="76" t="s">
        <v>441</v>
      </c>
      <c r="MG228" s="854" t="s">
        <v>435</v>
      </c>
      <c r="MH228" s="1111"/>
      <c r="MI228" s="920" t="s">
        <v>111</v>
      </c>
      <c r="MJ228" s="921"/>
      <c r="MK228" s="916" t="s">
        <v>704</v>
      </c>
      <c r="ML228" s="917"/>
      <c r="MM228" s="906" t="s">
        <v>447</v>
      </c>
      <c r="MN228" s="907"/>
      <c r="MO228" s="907"/>
      <c r="MP228" s="907"/>
      <c r="MQ228" s="907"/>
      <c r="MR228" s="1051" t="s">
        <v>436</v>
      </c>
      <c r="MS228" s="1051"/>
      <c r="MT228" s="1051"/>
      <c r="MU228" s="1051"/>
      <c r="MV228" s="1051"/>
      <c r="MW228" s="1051"/>
      <c r="MX228" s="1051"/>
      <c r="MY228" s="1051"/>
      <c r="MZ228" s="1051"/>
      <c r="NA228" s="1051"/>
      <c r="XB228" s="653"/>
      <c r="XC228" s="653"/>
      <c r="XD228" s="653"/>
      <c r="XE228" s="653"/>
      <c r="XF228" s="971"/>
      <c r="XG228" s="158"/>
      <c r="XH228" s="158"/>
      <c r="XI228" s="158"/>
      <c r="XJ228" s="158"/>
      <c r="XK228" s="158"/>
      <c r="XL228" s="158"/>
      <c r="XM228" s="158"/>
      <c r="XN228" s="158"/>
      <c r="XO228" s="158"/>
      <c r="XP228" s="158"/>
      <c r="XQ228" s="158"/>
      <c r="XR228" s="158"/>
      <c r="XS228" s="158"/>
      <c r="XT228" s="158"/>
      <c r="XU228" s="158"/>
      <c r="XV228" s="158"/>
      <c r="XW228" s="158"/>
      <c r="XX228" s="158"/>
      <c r="XY228" s="158"/>
      <c r="XZ228" s="158"/>
      <c r="YA228" s="158"/>
      <c r="YB228" s="158"/>
      <c r="YC228" s="158"/>
      <c r="YD228" s="158"/>
      <c r="YE228" s="158"/>
      <c r="YF228" s="158"/>
      <c r="YG228" s="158"/>
      <c r="YH228" s="158"/>
      <c r="YI228" s="158"/>
      <c r="YJ228" s="158"/>
      <c r="YK228" s="158"/>
      <c r="YL228" s="158"/>
      <c r="YM228" s="158"/>
      <c r="YN228" s="158"/>
      <c r="YO228" s="158"/>
      <c r="YP228" s="158"/>
      <c r="YQ228" s="158"/>
      <c r="YR228" s="158"/>
      <c r="YS228" s="158"/>
      <c r="YT228" s="158"/>
      <c r="YU228" s="158"/>
      <c r="YV228" s="158"/>
      <c r="YW228" s="158"/>
      <c r="YX228" s="158"/>
      <c r="YY228" s="158"/>
      <c r="YZ228" s="158"/>
      <c r="ZA228" s="158"/>
      <c r="ZB228" s="158"/>
      <c r="ZC228" s="158"/>
      <c r="ZD228" s="158"/>
      <c r="ZE228" s="158"/>
      <c r="ZF228" s="158"/>
      <c r="ZG228" s="158"/>
      <c r="ZH228" s="158"/>
      <c r="ZI228" s="158"/>
      <c r="ZJ228" s="158"/>
      <c r="ZK228" s="158"/>
      <c r="ZL228" s="158"/>
      <c r="ZM228" s="158"/>
      <c r="ZN228" s="158"/>
      <c r="ZO228" s="158"/>
      <c r="ZP228" s="158"/>
      <c r="ZQ228" s="158"/>
      <c r="ZR228" s="158"/>
      <c r="ZS228" s="158"/>
      <c r="ZT228" s="158"/>
      <c r="ZU228" s="158"/>
      <c r="ZV228" s="158"/>
      <c r="ZW228" s="158"/>
      <c r="ZX228" s="158"/>
      <c r="ZY228" s="158"/>
      <c r="ZZ228" s="158"/>
      <c r="AAA228" s="158"/>
      <c r="AAB228" s="158"/>
      <c r="AAC228" s="158"/>
      <c r="AAD228" s="158"/>
      <c r="AAE228" s="158"/>
      <c r="AAF228" s="158"/>
      <c r="AAG228" s="158"/>
      <c r="AAH228" s="158"/>
      <c r="AAI228" s="158"/>
      <c r="AAJ228" s="158"/>
      <c r="AAK228" s="158"/>
      <c r="AAL228" s="158"/>
      <c r="AAM228" s="158"/>
      <c r="AAN228" s="158"/>
      <c r="AAO228" s="158"/>
      <c r="AAP228" s="158"/>
      <c r="AAQ228" s="158"/>
      <c r="AAR228" s="158"/>
      <c r="AAS228" s="158"/>
      <c r="AAT228" s="971"/>
      <c r="AAU228" s="653"/>
      <c r="AAV228" s="653"/>
      <c r="AAW228" s="653"/>
      <c r="AAX228" s="653"/>
      <c r="AAY228" s="653"/>
      <c r="AAZ228" s="653"/>
      <c r="ABA228" s="653"/>
      <c r="ABB228" s="653"/>
      <c r="ABC228" s="653"/>
      <c r="ABD228" s="653"/>
      <c r="ABE228" s="653"/>
      <c r="ABF228" s="653"/>
      <c r="ABG228" s="653"/>
      <c r="ABH228" s="653"/>
      <c r="ABI228" s="653"/>
      <c r="ABJ228" s="653"/>
      <c r="ABK228" s="653"/>
      <c r="ABL228" s="653"/>
      <c r="ABM228" s="653"/>
      <c r="ABN228" s="653"/>
      <c r="ABO228" s="653"/>
      <c r="ABP228" s="653"/>
      <c r="ABQ228" s="653"/>
      <c r="ABR228" s="653"/>
      <c r="ABS228" s="653"/>
      <c r="ABT228" s="653"/>
      <c r="ABU228" s="653"/>
      <c r="ABV228" s="653"/>
      <c r="ABW228" s="653"/>
      <c r="ABX228" s="653"/>
      <c r="ACJ228" s="759">
        <v>-4.0624999999999967E-2</v>
      </c>
      <c r="ACK228" s="760"/>
      <c r="ACL228" s="759">
        <v>0.96499999999999997</v>
      </c>
      <c r="ACM228" s="760"/>
      <c r="ACN228" s="591">
        <v>1</v>
      </c>
      <c r="ACO228" s="759">
        <f>ACJ228*ACQ228+ACL228</f>
        <v>0.96403515625000002</v>
      </c>
      <c r="ACP228" s="760"/>
      <c r="ACQ228" s="757">
        <f>(9.5/400*ACN228)</f>
        <v>2.375E-2</v>
      </c>
      <c r="ACR228" s="758"/>
      <c r="ACT228" s="759">
        <v>-4.0625000000000001E-2</v>
      </c>
      <c r="ACU228" s="760"/>
      <c r="ACV228" s="759">
        <v>0.96499999999999997</v>
      </c>
      <c r="ACW228" s="760"/>
      <c r="ACX228" s="591">
        <v>51</v>
      </c>
      <c r="ACY228" s="759">
        <f>ACT228*ADA228+ACV228</f>
        <v>0.91579296874999994</v>
      </c>
      <c r="ACZ228" s="760"/>
      <c r="ADA228" s="757">
        <f>(9.5/400*ACX228)</f>
        <v>1.2112499999999999</v>
      </c>
      <c r="ADB228" s="758"/>
      <c r="ADD228" s="759">
        <v>-0.12</v>
      </c>
      <c r="ADE228" s="760"/>
      <c r="ADF228" s="759">
        <v>1.1000000000000001</v>
      </c>
      <c r="ADG228" s="760"/>
      <c r="ADH228" s="591">
        <v>101</v>
      </c>
      <c r="ADI228" s="759">
        <f>ADD228*ADK228+ADF228</f>
        <v>0.81215000000000015</v>
      </c>
      <c r="ADJ228" s="760"/>
      <c r="ADK228" s="757">
        <f>(9.5/400*ADH228)</f>
        <v>2.3987500000000002</v>
      </c>
      <c r="ADL228" s="758"/>
      <c r="ADN228" s="1112">
        <v>-0.12</v>
      </c>
      <c r="ADO228" s="1112"/>
      <c r="ADP228" s="1112">
        <v>1.06</v>
      </c>
      <c r="ADQ228" s="1112"/>
      <c r="ADR228" s="591">
        <v>151</v>
      </c>
      <c r="ADS228" s="759">
        <f>ADN228*ADU228+ADP228</f>
        <v>0.62965000000000004</v>
      </c>
      <c r="ADT228" s="760"/>
      <c r="ADU228" s="757">
        <f>(9.5/400*ADR228)</f>
        <v>3.5862500000000002</v>
      </c>
      <c r="ADV228" s="758"/>
      <c r="ADX228" s="1112">
        <v>-0.08</v>
      </c>
      <c r="ADY228" s="1112"/>
      <c r="ADZ228" s="1112">
        <v>0.9</v>
      </c>
      <c r="AEA228" s="1112"/>
      <c r="AEB228" s="592">
        <v>201</v>
      </c>
      <c r="AEC228" s="759">
        <f>ADX228*AEE228+ADZ228</f>
        <v>0.5181</v>
      </c>
      <c r="AED228" s="760"/>
      <c r="AEE228" s="757">
        <f>(9.5/400*AEB228)</f>
        <v>4.7737499999999997</v>
      </c>
      <c r="AEF228" s="758"/>
      <c r="AEH228" s="1112">
        <v>-5.8823529411764698E-2</v>
      </c>
      <c r="AEI228" s="1112"/>
      <c r="AEJ228" s="1112">
        <v>0.79411764705882304</v>
      </c>
      <c r="AEK228" s="1112"/>
      <c r="AEL228" s="591">
        <v>251</v>
      </c>
      <c r="AEM228" s="759">
        <f>AEH228*AEO228+AEJ228</f>
        <v>0.44345588235294076</v>
      </c>
      <c r="AEN228" s="760"/>
      <c r="AEO228" s="757">
        <f>(9.5/400*AEL228)</f>
        <v>5.9612499999999997</v>
      </c>
      <c r="AEP228" s="758"/>
      <c r="AER228" s="1112">
        <v>-3.5714285714285698E-2</v>
      </c>
      <c r="AES228" s="1112"/>
      <c r="AET228" s="1112">
        <v>0.63928571428571401</v>
      </c>
      <c r="AEU228" s="1112"/>
      <c r="AEV228" s="592">
        <v>301</v>
      </c>
      <c r="AEW228" s="759">
        <f>AER228*AEY228+AET228</f>
        <v>0.38397321428571413</v>
      </c>
      <c r="AEX228" s="760"/>
      <c r="AEY228" s="757">
        <f>(9.5/400*AEV228)</f>
        <v>7.1487499999999997</v>
      </c>
      <c r="AEZ228" s="758"/>
      <c r="AFB228" s="1112">
        <v>-3.5714285714285698E-2</v>
      </c>
      <c r="AFC228" s="1112"/>
      <c r="AFD228" s="1112">
        <v>0.63928571428571401</v>
      </c>
      <c r="AFE228" s="1112"/>
      <c r="AFF228" s="592">
        <v>351</v>
      </c>
      <c r="AFG228" s="759">
        <f>AFB228*AFI228+AFD228</f>
        <v>0.34156249999999988</v>
      </c>
      <c r="AFH228" s="760"/>
      <c r="AFI228" s="757">
        <f>(9.5/400*AFF228)</f>
        <v>8.3362499999999997</v>
      </c>
      <c r="AFJ228" s="758"/>
      <c r="AGL228" s="851"/>
      <c r="AGM228" s="857"/>
      <c r="AGN228" s="857"/>
      <c r="AGO228" s="857"/>
      <c r="AGP228" s="857"/>
      <c r="AGQ228" s="857"/>
      <c r="AGR228" s="857"/>
      <c r="AGS228" s="857"/>
      <c r="AGT228" s="857"/>
      <c r="AGU228" s="857"/>
      <c r="AGV228" s="857"/>
      <c r="AGW228" s="857"/>
      <c r="AGX228" s="857"/>
      <c r="AGY228" s="857"/>
      <c r="AGZ228" s="837"/>
      <c r="AHA228" s="838"/>
      <c r="AHB228" s="777"/>
      <c r="AHC228" s="799"/>
      <c r="AHD228" s="842"/>
      <c r="AHE228" s="845"/>
      <c r="AHF228" s="846"/>
      <c r="AHG228" s="848"/>
      <c r="AHH228" s="1053"/>
      <c r="AHI228" s="1053"/>
      <c r="AHJ228" s="1053"/>
      <c r="AHK228" s="1053"/>
      <c r="AHL228" s="1053"/>
      <c r="AHM228" s="1053"/>
      <c r="AHN228" s="1053"/>
      <c r="AHO228" s="1053"/>
      <c r="AIC228" s="130"/>
      <c r="AID228" s="130"/>
      <c r="AIE228" s="130"/>
      <c r="AIF228" s="130"/>
      <c r="AIG228" s="130"/>
      <c r="AIH228" s="130"/>
      <c r="AII228" s="130"/>
      <c r="AIJ228" s="130"/>
      <c r="AIK228" s="130"/>
      <c r="AIL228" s="130"/>
    </row>
    <row r="229" spans="8:1005 1137:1418" ht="48" customHeight="1">
      <c r="LY229" s="211"/>
      <c r="LZ229" s="211"/>
      <c r="MA229" s="211"/>
      <c r="MB229" s="850"/>
      <c r="MC229" s="388" t="s">
        <v>1307</v>
      </c>
      <c r="MD229" s="890">
        <f>$MQ$185</f>
        <v>0</v>
      </c>
      <c r="ME229" s="890"/>
      <c r="MF229" s="809" t="s">
        <v>1789</v>
      </c>
      <c r="MG229" s="797"/>
      <c r="MH229" s="797"/>
      <c r="MI229" s="835">
        <f>1+1/5*((3.14*MD230/GU16)^2)-MQ185/((1-(AP16/GU16))^2)</f>
        <v>1.0037276370510397</v>
      </c>
      <c r="MJ229" s="836"/>
      <c r="MK229" s="1183" t="s">
        <v>729</v>
      </c>
      <c r="ML229" s="1184"/>
      <c r="MM229" s="1066"/>
      <c r="MN229" s="895" t="s">
        <v>1308</v>
      </c>
      <c r="MO229" s="1090"/>
      <c r="MP229" s="896"/>
      <c r="MQ229" s="1255"/>
      <c r="MR229" s="1052"/>
      <c r="MS229" s="1052"/>
      <c r="MT229" s="1052"/>
      <c r="MU229" s="1052"/>
      <c r="MV229" s="1052"/>
      <c r="MW229" s="1052"/>
      <c r="MX229" s="1052"/>
      <c r="MY229" s="1052"/>
      <c r="MZ229" s="1052"/>
      <c r="NA229" s="1052"/>
      <c r="OQ229" s="211"/>
      <c r="OR229" s="211"/>
      <c r="OS229" s="211"/>
      <c r="OT229" s="211"/>
      <c r="OU229" s="211"/>
      <c r="OV229" s="211"/>
      <c r="OW229" s="211"/>
      <c r="OX229" s="211"/>
      <c r="OY229" s="211"/>
      <c r="OZ229" s="211"/>
      <c r="XB229" s="653"/>
      <c r="XC229" s="653"/>
      <c r="XD229" s="653"/>
      <c r="XE229" s="653"/>
      <c r="XF229" s="972"/>
      <c r="XG229" s="165"/>
      <c r="XH229" s="165"/>
      <c r="XI229" s="165"/>
      <c r="XJ229" s="165"/>
      <c r="XK229" s="165"/>
      <c r="XL229" s="165"/>
      <c r="XM229" s="165"/>
      <c r="XN229" s="165"/>
      <c r="XO229" s="165"/>
      <c r="XP229" s="165"/>
      <c r="XQ229" s="165"/>
      <c r="XR229" s="165"/>
      <c r="XS229" s="165"/>
      <c r="XT229" s="165"/>
      <c r="XU229" s="165"/>
      <c r="XV229" s="165"/>
      <c r="XW229" s="165"/>
      <c r="XX229" s="165"/>
      <c r="XY229" s="165"/>
      <c r="XZ229" s="165"/>
      <c r="YA229" s="165"/>
      <c r="YB229" s="165"/>
      <c r="YC229" s="165"/>
      <c r="YD229" s="165"/>
      <c r="YE229" s="165"/>
      <c r="YF229" s="165"/>
      <c r="YG229" s="165"/>
      <c r="YH229" s="165"/>
      <c r="YI229" s="165"/>
      <c r="YJ229" s="165"/>
      <c r="YK229" s="165"/>
      <c r="YL229" s="165"/>
      <c r="YM229" s="165"/>
      <c r="YN229" s="165"/>
      <c r="YO229" s="165"/>
      <c r="YP229" s="165"/>
      <c r="YQ229" s="165"/>
      <c r="YR229" s="165"/>
      <c r="YS229" s="165"/>
      <c r="YT229" s="165"/>
      <c r="YU229" s="165"/>
      <c r="YV229" s="165"/>
      <c r="YW229" s="165"/>
      <c r="YX229" s="165"/>
      <c r="YY229" s="165"/>
      <c r="YZ229" s="165"/>
      <c r="ZA229" s="165"/>
      <c r="ZB229" s="165"/>
      <c r="ZC229" s="165"/>
      <c r="ZD229" s="165"/>
      <c r="ZE229" s="165"/>
      <c r="ZF229" s="165"/>
      <c r="ZG229" s="165"/>
      <c r="ZH229" s="165"/>
      <c r="ZI229" s="165"/>
      <c r="ZJ229" s="165"/>
      <c r="ZK229" s="165"/>
      <c r="ZL229" s="165"/>
      <c r="ZM229" s="165"/>
      <c r="ZN229" s="165"/>
      <c r="ZO229" s="165"/>
      <c r="ZP229" s="165"/>
      <c r="ZQ229" s="165"/>
      <c r="ZR229" s="165"/>
      <c r="ZS229" s="165"/>
      <c r="ZT229" s="165"/>
      <c r="ZU229" s="165"/>
      <c r="ZV229" s="165"/>
      <c r="ZW229" s="165"/>
      <c r="ZX229" s="165"/>
      <c r="ZY229" s="165"/>
      <c r="ZZ229" s="165"/>
      <c r="AAA229" s="165"/>
      <c r="AAB229" s="165"/>
      <c r="AAC229" s="165"/>
      <c r="AAD229" s="165"/>
      <c r="AAE229" s="165"/>
      <c r="AAF229" s="165"/>
      <c r="AAG229" s="165"/>
      <c r="AAH229" s="165"/>
      <c r="AAI229" s="165"/>
      <c r="AAJ229" s="165"/>
      <c r="AAK229" s="165"/>
      <c r="AAL229" s="165"/>
      <c r="AAM229" s="165"/>
      <c r="AAN229" s="165"/>
      <c r="AAO229" s="165"/>
      <c r="AAP229" s="165"/>
      <c r="AAQ229" s="165"/>
      <c r="AAR229" s="165"/>
      <c r="AAS229" s="165"/>
      <c r="AAT229" s="972"/>
      <c r="AAU229" s="653"/>
      <c r="AAV229" s="653"/>
      <c r="AAW229" s="653"/>
      <c r="AAX229" s="653"/>
      <c r="AAY229" s="653"/>
      <c r="AAZ229" s="653"/>
      <c r="ABA229" s="653"/>
      <c r="ABB229" s="653"/>
      <c r="ABC229" s="653"/>
      <c r="ABD229" s="653"/>
      <c r="ABE229" s="653"/>
      <c r="ABF229" s="653"/>
      <c r="ABG229" s="653"/>
      <c r="ABH229" s="653"/>
      <c r="ABI229" s="653"/>
      <c r="ABJ229" s="653"/>
      <c r="ABK229" s="653"/>
      <c r="ABL229" s="653"/>
      <c r="ABM229" s="653"/>
      <c r="ABN229" s="653"/>
      <c r="ABO229" s="653"/>
      <c r="ABP229" s="653"/>
      <c r="ABQ229" s="653"/>
      <c r="ABR229" s="653"/>
      <c r="ABS229" s="653"/>
      <c r="ABT229" s="653"/>
      <c r="ABU229" s="653"/>
      <c r="ABV229" s="653"/>
      <c r="ABW229" s="653"/>
      <c r="ABX229" s="653"/>
      <c r="ACJ229" s="759">
        <v>-4.0624999999999967E-2</v>
      </c>
      <c r="ACK229" s="760"/>
      <c r="ACL229" s="759">
        <v>0.96499999999999997</v>
      </c>
      <c r="ACM229" s="760"/>
      <c r="ACN229" s="591">
        <v>2</v>
      </c>
      <c r="ACO229" s="759">
        <f t="shared" ref="ACO229:ACO277" si="287">ACJ229*ACQ229+ACL229</f>
        <v>0.96307031249999997</v>
      </c>
      <c r="ACP229" s="760"/>
      <c r="ACQ229" s="757">
        <f t="shared" ref="ACQ229:ACQ277" si="288">(9.5/400*ACN229)</f>
        <v>4.7500000000000001E-2</v>
      </c>
      <c r="ACR229" s="758"/>
      <c r="ACT229" s="759">
        <v>-4.0625000000000001E-2</v>
      </c>
      <c r="ACU229" s="760"/>
      <c r="ACV229" s="759">
        <v>0.96499999999999997</v>
      </c>
      <c r="ACW229" s="760"/>
      <c r="ACX229" s="591">
        <v>52</v>
      </c>
      <c r="ACY229" s="759">
        <f t="shared" ref="ACY229:ACY277" si="289">ACT229*ADA229+ACV229</f>
        <v>0.91482812499999999</v>
      </c>
      <c r="ACZ229" s="760"/>
      <c r="ADA229" s="757">
        <f t="shared" ref="ADA229:ADA277" si="290">(9.5/400*ACX229)</f>
        <v>1.2350000000000001</v>
      </c>
      <c r="ADB229" s="758"/>
      <c r="ADD229" s="759">
        <v>-0.12</v>
      </c>
      <c r="ADE229" s="760"/>
      <c r="ADF229" s="759">
        <v>1.1000000000000001</v>
      </c>
      <c r="ADG229" s="760"/>
      <c r="ADH229" s="591">
        <v>102</v>
      </c>
      <c r="ADI229" s="759">
        <f t="shared" ref="ADI229:ADI276" si="291">ADD229*ADK229+ADF229</f>
        <v>0.80930000000000013</v>
      </c>
      <c r="ADJ229" s="760"/>
      <c r="ADK229" s="757">
        <f t="shared" ref="ADK229:ADK277" si="292">(9.5/400*ADH229)</f>
        <v>2.4224999999999999</v>
      </c>
      <c r="ADL229" s="758"/>
      <c r="ADN229" s="1112">
        <v>-0.12</v>
      </c>
      <c r="ADO229" s="1112"/>
      <c r="ADP229" s="1112">
        <v>1.06</v>
      </c>
      <c r="ADQ229" s="1112"/>
      <c r="ADR229" s="591">
        <v>152</v>
      </c>
      <c r="ADS229" s="759">
        <f t="shared" ref="ADS229:ADS277" si="293">ADN229*ADU229+ADP229</f>
        <v>0.62680000000000002</v>
      </c>
      <c r="ADT229" s="760"/>
      <c r="ADU229" s="757">
        <f t="shared" ref="ADU229:ADU277" si="294">(9.5/400*ADR229)</f>
        <v>3.61</v>
      </c>
      <c r="ADV229" s="758"/>
      <c r="ADX229" s="1112">
        <v>-0.08</v>
      </c>
      <c r="ADY229" s="1112"/>
      <c r="ADZ229" s="1112">
        <v>0.9</v>
      </c>
      <c r="AEA229" s="1112"/>
      <c r="AEB229" s="592">
        <v>202</v>
      </c>
      <c r="AEC229" s="759">
        <f t="shared" ref="AEC229:AEC277" si="295">ADX229*AEE229+ADZ229</f>
        <v>0.51619999999999999</v>
      </c>
      <c r="AED229" s="760"/>
      <c r="AEE229" s="757">
        <f t="shared" ref="AEE229:AEE277" si="296">(9.5/400*AEB229)</f>
        <v>4.7975000000000003</v>
      </c>
      <c r="AEF229" s="758"/>
      <c r="AEH229" s="1112">
        <v>-5.8823529411764698E-2</v>
      </c>
      <c r="AEI229" s="1112"/>
      <c r="AEJ229" s="1112">
        <v>0.79411764705882304</v>
      </c>
      <c r="AEK229" s="1112"/>
      <c r="AEL229" s="591">
        <v>252</v>
      </c>
      <c r="AEM229" s="759">
        <f t="shared" ref="AEM229:AEM277" si="297">AEH229*AEO229+AEJ229</f>
        <v>0.44205882352941128</v>
      </c>
      <c r="AEN229" s="760"/>
      <c r="AEO229" s="757">
        <f t="shared" ref="AEO229:AEO277" si="298">(9.5/400*AEL229)</f>
        <v>5.9850000000000003</v>
      </c>
      <c r="AEP229" s="758"/>
      <c r="AER229" s="1112">
        <v>-3.5714285714285698E-2</v>
      </c>
      <c r="AES229" s="1112"/>
      <c r="AET229" s="1112">
        <v>0.63928571428571401</v>
      </c>
      <c r="AEU229" s="1112"/>
      <c r="AEV229" s="592">
        <v>302</v>
      </c>
      <c r="AEW229" s="759">
        <f t="shared" ref="AEW229:AEW277" si="299">AER229*AEY229+AET229</f>
        <v>0.38312499999999983</v>
      </c>
      <c r="AEX229" s="760"/>
      <c r="AEY229" s="757">
        <f t="shared" ref="AEY229:AEY277" si="300">(9.5/400*AEV229)</f>
        <v>7.1725000000000003</v>
      </c>
      <c r="AEZ229" s="758"/>
      <c r="AFB229" s="1112">
        <v>-3.5714285714285698E-2</v>
      </c>
      <c r="AFC229" s="1112"/>
      <c r="AFD229" s="1112">
        <v>0.63928571428571401</v>
      </c>
      <c r="AFE229" s="1112"/>
      <c r="AFF229" s="592">
        <v>352</v>
      </c>
      <c r="AFG229" s="759">
        <f t="shared" ref="AFG229:AFG277" si="301">AFB229*AFI229+AFD229</f>
        <v>0.34071428571428558</v>
      </c>
      <c r="AFH229" s="760"/>
      <c r="AFI229" s="757">
        <f t="shared" ref="AFI229:AFI277" si="302">(9.5/400*AFF229)</f>
        <v>8.36</v>
      </c>
      <c r="AFJ229" s="758"/>
      <c r="AIC229" s="130"/>
      <c r="AID229" s="130"/>
      <c r="AIE229" s="130"/>
      <c r="AIF229" s="130"/>
      <c r="AIG229" s="130"/>
      <c r="AIH229" s="130"/>
      <c r="AII229" s="130"/>
      <c r="AIJ229" s="130"/>
      <c r="AIK229" s="130"/>
      <c r="AIL229" s="130"/>
    </row>
    <row r="230" spans="8:1005 1137:1418" ht="48" customHeight="1" thickBot="1">
      <c r="MB230" s="850"/>
      <c r="MC230" s="387" t="s">
        <v>448</v>
      </c>
      <c r="MD230" s="761">
        <f>$AP$16</f>
        <v>2</v>
      </c>
      <c r="ME230" s="761"/>
      <c r="MF230" s="775"/>
      <c r="MG230" s="776"/>
      <c r="MH230" s="776"/>
      <c r="MI230" s="837"/>
      <c r="MJ230" s="838"/>
      <c r="MK230" s="1185"/>
      <c r="ML230" s="1186"/>
      <c r="MM230" s="1067"/>
      <c r="MN230" s="918"/>
      <c r="MO230" s="1082"/>
      <c r="MP230" s="919"/>
      <c r="MQ230" s="1256"/>
      <c r="MR230" s="1052"/>
      <c r="MS230" s="1052"/>
      <c r="MT230" s="1052"/>
      <c r="MU230" s="1052"/>
      <c r="MV230" s="1052"/>
      <c r="MW230" s="1052"/>
      <c r="MX230" s="1052"/>
      <c r="MY230" s="1052"/>
      <c r="MZ230" s="1052"/>
      <c r="NA230" s="1052"/>
      <c r="XB230" s="653"/>
      <c r="XC230" s="653"/>
      <c r="XD230" s="653"/>
      <c r="XE230" s="653"/>
      <c r="AAU230" s="653"/>
      <c r="AAV230" s="653"/>
      <c r="AAW230" s="653"/>
      <c r="AAX230" s="653"/>
      <c r="AAY230" s="653"/>
      <c r="AAZ230" s="653"/>
      <c r="ABA230" s="653"/>
      <c r="ABB230" s="653"/>
      <c r="ABC230" s="653"/>
      <c r="ABD230" s="653"/>
      <c r="ABE230" s="653"/>
      <c r="ABF230" s="653"/>
      <c r="ABG230" s="653"/>
      <c r="ABH230" s="653"/>
      <c r="ABI230" s="653"/>
      <c r="ABJ230" s="653"/>
      <c r="ABK230" s="653"/>
      <c r="ABL230" s="653"/>
      <c r="ABM230" s="653"/>
      <c r="ABN230" s="653"/>
      <c r="ABO230" s="653"/>
      <c r="ABP230" s="653"/>
      <c r="ABQ230" s="653"/>
      <c r="ABR230" s="653"/>
      <c r="ABS230" s="653"/>
      <c r="ABT230" s="653"/>
      <c r="ABU230" s="653"/>
      <c r="ABV230" s="653"/>
      <c r="ABW230" s="653"/>
      <c r="ABX230" s="653"/>
      <c r="ACJ230" s="759">
        <v>-4.0625000000000001E-2</v>
      </c>
      <c r="ACK230" s="760"/>
      <c r="ACL230" s="759">
        <v>0.96499999999999997</v>
      </c>
      <c r="ACM230" s="760"/>
      <c r="ACN230" s="591">
        <v>3</v>
      </c>
      <c r="ACO230" s="759">
        <f t="shared" si="287"/>
        <v>0.96210546874999991</v>
      </c>
      <c r="ACP230" s="760"/>
      <c r="ACQ230" s="757">
        <f t="shared" si="288"/>
        <v>7.1250000000000008E-2</v>
      </c>
      <c r="ACR230" s="758"/>
      <c r="ACT230" s="759">
        <v>-4.0625000000000001E-2</v>
      </c>
      <c r="ACU230" s="760"/>
      <c r="ACV230" s="759">
        <v>0.96499999999999997</v>
      </c>
      <c r="ACW230" s="760"/>
      <c r="ACX230" s="591">
        <v>53</v>
      </c>
      <c r="ACY230" s="759">
        <f t="shared" si="289"/>
        <v>0.91386328124999994</v>
      </c>
      <c r="ACZ230" s="760"/>
      <c r="ADA230" s="757">
        <f t="shared" si="290"/>
        <v>1.25875</v>
      </c>
      <c r="ADB230" s="758"/>
      <c r="ADD230" s="759">
        <v>-0.12</v>
      </c>
      <c r="ADE230" s="760"/>
      <c r="ADF230" s="759">
        <v>1.1000000000000001</v>
      </c>
      <c r="ADG230" s="760"/>
      <c r="ADH230" s="591">
        <v>103</v>
      </c>
      <c r="ADI230" s="759">
        <f t="shared" si="291"/>
        <v>0.80645000000000011</v>
      </c>
      <c r="ADJ230" s="760"/>
      <c r="ADK230" s="757">
        <f t="shared" si="292"/>
        <v>2.44625</v>
      </c>
      <c r="ADL230" s="758"/>
      <c r="ADN230" s="1112">
        <v>-0.12</v>
      </c>
      <c r="ADO230" s="1112"/>
      <c r="ADP230" s="1112">
        <v>1.06</v>
      </c>
      <c r="ADQ230" s="1112"/>
      <c r="ADR230" s="591">
        <v>153</v>
      </c>
      <c r="ADS230" s="759">
        <f t="shared" si="293"/>
        <v>0.62395</v>
      </c>
      <c r="ADT230" s="760"/>
      <c r="ADU230" s="757">
        <f t="shared" si="294"/>
        <v>3.63375</v>
      </c>
      <c r="ADV230" s="758"/>
      <c r="ADX230" s="759">
        <v>-0.08</v>
      </c>
      <c r="ADY230" s="760"/>
      <c r="ADZ230" s="759">
        <v>0.9</v>
      </c>
      <c r="AEA230" s="760"/>
      <c r="AEB230" s="592">
        <v>203</v>
      </c>
      <c r="AEC230" s="759">
        <f t="shared" si="295"/>
        <v>0.51429999999999998</v>
      </c>
      <c r="AED230" s="760"/>
      <c r="AEE230" s="757">
        <f t="shared" si="296"/>
        <v>4.82125</v>
      </c>
      <c r="AEF230" s="758"/>
      <c r="AEH230" s="1112">
        <v>-5.8823529411764698E-2</v>
      </c>
      <c r="AEI230" s="1112"/>
      <c r="AEJ230" s="1112">
        <v>0.79411764705882304</v>
      </c>
      <c r="AEK230" s="1112"/>
      <c r="AEL230" s="591">
        <v>253</v>
      </c>
      <c r="AEM230" s="759">
        <f t="shared" si="297"/>
        <v>0.44066176470588192</v>
      </c>
      <c r="AEN230" s="760"/>
      <c r="AEO230" s="757">
        <f t="shared" si="298"/>
        <v>6.00875</v>
      </c>
      <c r="AEP230" s="758"/>
      <c r="AER230" s="1112">
        <v>-3.5714285714285698E-2</v>
      </c>
      <c r="AES230" s="1112"/>
      <c r="AET230" s="1112">
        <v>0.63928571428571401</v>
      </c>
      <c r="AEU230" s="1112"/>
      <c r="AEV230" s="592">
        <v>303</v>
      </c>
      <c r="AEW230" s="759">
        <f t="shared" si="299"/>
        <v>0.38227678571428553</v>
      </c>
      <c r="AEX230" s="760"/>
      <c r="AEY230" s="757">
        <f t="shared" si="300"/>
        <v>7.19625</v>
      </c>
      <c r="AEZ230" s="758"/>
      <c r="AFB230" s="1112">
        <v>-3.5714285714285698E-2</v>
      </c>
      <c r="AFC230" s="1112"/>
      <c r="AFD230" s="1112">
        <v>0.63928571428571401</v>
      </c>
      <c r="AFE230" s="1112"/>
      <c r="AFF230" s="592">
        <v>353</v>
      </c>
      <c r="AFG230" s="759">
        <f t="shared" si="301"/>
        <v>0.33986607142857128</v>
      </c>
      <c r="AFH230" s="760"/>
      <c r="AFI230" s="757">
        <f t="shared" si="302"/>
        <v>8.3837500000000009</v>
      </c>
      <c r="AFJ230" s="758"/>
      <c r="AGN230" s="199"/>
      <c r="AGO230" s="852" t="s">
        <v>1750</v>
      </c>
      <c r="AGP230" s="923"/>
      <c r="AGQ230" s="199"/>
      <c r="AGR230" s="1117" t="s">
        <v>1038</v>
      </c>
      <c r="AGS230" s="1118"/>
      <c r="AGT230" s="1118"/>
      <c r="AGU230" s="1118"/>
      <c r="AGV230" s="1118"/>
      <c r="AGW230" s="1118"/>
      <c r="AGX230" s="1118"/>
      <c r="AGY230" s="1118"/>
      <c r="AGZ230" s="1118"/>
      <c r="AHA230" s="1118"/>
      <c r="AHB230" s="1119"/>
      <c r="AHC230" s="199"/>
      <c r="AIC230" s="130"/>
      <c r="AID230" s="130"/>
      <c r="AIE230" s="130"/>
      <c r="AIF230" s="130"/>
      <c r="AIG230" s="130"/>
      <c r="AIH230" s="130"/>
      <c r="AII230" s="130"/>
      <c r="AIJ230" s="130"/>
      <c r="AIK230" s="130"/>
      <c r="AIL230" s="130"/>
    </row>
    <row r="231" spans="8:1005 1137:1418" ht="48" customHeight="1" thickBot="1">
      <c r="MB231" s="851"/>
      <c r="MC231" s="385" t="s">
        <v>1070</v>
      </c>
      <c r="MD231" s="774">
        <f>$GU$16</f>
        <v>46</v>
      </c>
      <c r="ME231" s="774"/>
      <c r="MF231" s="777"/>
      <c r="MG231" s="778"/>
      <c r="MH231" s="778"/>
      <c r="MI231" s="204"/>
      <c r="MJ231" s="205"/>
      <c r="MK231" s="205"/>
      <c r="ML231" s="205"/>
      <c r="MM231" s="205"/>
      <c r="MN231" s="205"/>
      <c r="MO231" s="205"/>
      <c r="MP231" s="205"/>
      <c r="MQ231" s="205"/>
      <c r="MR231" s="1053"/>
      <c r="MS231" s="1053"/>
      <c r="MT231" s="1053"/>
      <c r="MU231" s="1053"/>
      <c r="MV231" s="1053"/>
      <c r="MW231" s="1053"/>
      <c r="MX231" s="1053"/>
      <c r="MY231" s="1053"/>
      <c r="MZ231" s="1053"/>
      <c r="NA231" s="1053"/>
      <c r="AAU231" s="653"/>
      <c r="AAV231" s="653"/>
      <c r="AAW231" s="653"/>
      <c r="AAX231" s="653"/>
      <c r="AAY231" s="653"/>
      <c r="AAZ231" s="653"/>
      <c r="ABA231" s="653"/>
      <c r="ABB231" s="653"/>
      <c r="ABC231" s="653"/>
      <c r="ABD231" s="653"/>
      <c r="ABE231" s="653"/>
      <c r="ABF231" s="653"/>
      <c r="ABG231" s="653"/>
      <c r="ABH231" s="653"/>
      <c r="ABI231" s="653"/>
      <c r="ABJ231" s="653"/>
      <c r="ABK231" s="653"/>
      <c r="ABL231" s="653"/>
      <c r="ABM231" s="653"/>
      <c r="ABN231" s="653"/>
      <c r="ABO231" s="653"/>
      <c r="ABP231" s="653"/>
      <c r="ABQ231" s="653"/>
      <c r="ABR231" s="653"/>
      <c r="ABS231" s="653"/>
      <c r="ABT231" s="653"/>
      <c r="ABU231" s="653"/>
      <c r="ABV231" s="653"/>
      <c r="ABW231" s="653"/>
      <c r="ABX231" s="653"/>
      <c r="ACJ231" s="759">
        <v>-4.0625000000000001E-2</v>
      </c>
      <c r="ACK231" s="760"/>
      <c r="ACL231" s="759">
        <v>0.96499999999999997</v>
      </c>
      <c r="ACM231" s="760"/>
      <c r="ACN231" s="591">
        <v>4</v>
      </c>
      <c r="ACO231" s="759">
        <f t="shared" si="287"/>
        <v>0.96114062499999997</v>
      </c>
      <c r="ACP231" s="760"/>
      <c r="ACQ231" s="757">
        <f t="shared" si="288"/>
        <v>9.5000000000000001E-2</v>
      </c>
      <c r="ACR231" s="758"/>
      <c r="ACT231" s="759">
        <v>-4.0625000000000001E-2</v>
      </c>
      <c r="ACU231" s="760"/>
      <c r="ACV231" s="759">
        <v>0.96499999999999997</v>
      </c>
      <c r="ACW231" s="760"/>
      <c r="ACX231" s="591">
        <v>54</v>
      </c>
      <c r="ACY231" s="759">
        <f t="shared" si="289"/>
        <v>0.91289843749999999</v>
      </c>
      <c r="ACZ231" s="760"/>
      <c r="ADA231" s="757">
        <f t="shared" si="290"/>
        <v>1.2825</v>
      </c>
      <c r="ADB231" s="758"/>
      <c r="ADD231" s="759">
        <v>-0.12</v>
      </c>
      <c r="ADE231" s="760"/>
      <c r="ADF231" s="759">
        <v>1.1000000000000001</v>
      </c>
      <c r="ADG231" s="760"/>
      <c r="ADH231" s="591">
        <v>104</v>
      </c>
      <c r="ADI231" s="759">
        <f t="shared" si="291"/>
        <v>0.80360000000000009</v>
      </c>
      <c r="ADJ231" s="760"/>
      <c r="ADK231" s="757">
        <f t="shared" si="292"/>
        <v>2.4700000000000002</v>
      </c>
      <c r="ADL231" s="758"/>
      <c r="ADN231" s="1112">
        <v>-0.12</v>
      </c>
      <c r="ADO231" s="1112"/>
      <c r="ADP231" s="1112">
        <v>1.06</v>
      </c>
      <c r="ADQ231" s="1112"/>
      <c r="ADR231" s="591">
        <v>154</v>
      </c>
      <c r="ADS231" s="759">
        <f t="shared" si="293"/>
        <v>0.62109999999999999</v>
      </c>
      <c r="ADT231" s="760"/>
      <c r="ADU231" s="757">
        <f t="shared" si="294"/>
        <v>3.6575000000000002</v>
      </c>
      <c r="ADV231" s="758"/>
      <c r="ADX231" s="759">
        <v>-0.08</v>
      </c>
      <c r="ADY231" s="760"/>
      <c r="ADZ231" s="759">
        <v>0.9</v>
      </c>
      <c r="AEA231" s="760"/>
      <c r="AEB231" s="592">
        <v>204</v>
      </c>
      <c r="AEC231" s="759">
        <f t="shared" si="295"/>
        <v>0.51239999999999997</v>
      </c>
      <c r="AED231" s="760"/>
      <c r="AEE231" s="757">
        <f t="shared" si="296"/>
        <v>4.8449999999999998</v>
      </c>
      <c r="AEF231" s="758"/>
      <c r="AEH231" s="1112">
        <v>-5.8823529411764698E-2</v>
      </c>
      <c r="AEI231" s="1112"/>
      <c r="AEJ231" s="1112">
        <v>0.79411764705882304</v>
      </c>
      <c r="AEK231" s="1112"/>
      <c r="AEL231" s="591">
        <v>254</v>
      </c>
      <c r="AEM231" s="759">
        <f t="shared" si="297"/>
        <v>0.4392647058823525</v>
      </c>
      <c r="AEN231" s="760"/>
      <c r="AEO231" s="757">
        <f t="shared" si="298"/>
        <v>6.0324999999999998</v>
      </c>
      <c r="AEP231" s="758"/>
      <c r="AER231" s="1112">
        <v>-3.5714285714285698E-2</v>
      </c>
      <c r="AES231" s="1112"/>
      <c r="AET231" s="1112">
        <v>0.63928571428571401</v>
      </c>
      <c r="AEU231" s="1112"/>
      <c r="AEV231" s="592">
        <v>304</v>
      </c>
      <c r="AEW231" s="759">
        <f t="shared" si="299"/>
        <v>0.38142857142857128</v>
      </c>
      <c r="AEX231" s="760"/>
      <c r="AEY231" s="757">
        <f t="shared" si="300"/>
        <v>7.22</v>
      </c>
      <c r="AEZ231" s="758"/>
      <c r="AFB231" s="1112">
        <v>-3.5714285714285698E-2</v>
      </c>
      <c r="AFC231" s="1112"/>
      <c r="AFD231" s="1112">
        <v>0.63928571428571401</v>
      </c>
      <c r="AFE231" s="1112"/>
      <c r="AFF231" s="592">
        <v>354</v>
      </c>
      <c r="AFG231" s="759">
        <f t="shared" si="301"/>
        <v>0.33901785714285698</v>
      </c>
      <c r="AFH231" s="760"/>
      <c r="AFI231" s="757">
        <f t="shared" si="302"/>
        <v>8.4075000000000006</v>
      </c>
      <c r="AFJ231" s="758"/>
      <c r="AIJ231" s="130"/>
      <c r="AIK231" s="130"/>
      <c r="AIL231" s="130"/>
    </row>
    <row r="232" spans="8:1005 1137:1418" ht="48" customHeight="1" thickBot="1">
      <c r="NI232" s="211"/>
      <c r="QW232" s="130"/>
      <c r="QX232" s="130"/>
      <c r="QY232" s="130"/>
      <c r="QZ232" s="130"/>
      <c r="RA232" s="130"/>
      <c r="RB232" s="130"/>
      <c r="RC232" s="130"/>
      <c r="RD232" s="130"/>
      <c r="RE232" s="130"/>
      <c r="RF232" s="130"/>
      <c r="RG232" s="130"/>
      <c r="RH232" s="130"/>
      <c r="RI232" s="130"/>
      <c r="AAU232" s="653"/>
      <c r="AAV232" s="653"/>
      <c r="AAW232" s="653"/>
      <c r="AAX232" s="653"/>
      <c r="AAY232" s="653"/>
      <c r="AAZ232" s="653"/>
      <c r="ABA232" s="653"/>
      <c r="ABB232" s="653"/>
      <c r="ABC232" s="653"/>
      <c r="ABD232" s="653"/>
      <c r="ABE232" s="653"/>
      <c r="ABF232" s="653"/>
      <c r="ABG232" s="653"/>
      <c r="ABH232" s="653"/>
      <c r="ABI232" s="653"/>
      <c r="ABJ232" s="653"/>
      <c r="ABK232" s="653"/>
      <c r="ABL232" s="653"/>
      <c r="ABM232" s="653"/>
      <c r="ABN232" s="653"/>
      <c r="ABO232" s="653"/>
      <c r="ABP232" s="653"/>
      <c r="ABQ232" s="653"/>
      <c r="ABR232" s="653"/>
      <c r="ABS232" s="653"/>
      <c r="ABT232" s="653"/>
      <c r="ABU232" s="653"/>
      <c r="ABV232" s="653"/>
      <c r="ABW232" s="653"/>
      <c r="ABX232" s="653"/>
      <c r="ACJ232" s="759">
        <v>-4.0625000000000001E-2</v>
      </c>
      <c r="ACK232" s="760"/>
      <c r="ACL232" s="759">
        <v>0.96499999999999997</v>
      </c>
      <c r="ACM232" s="760"/>
      <c r="ACN232" s="591">
        <v>5</v>
      </c>
      <c r="ACO232" s="759">
        <f t="shared" si="287"/>
        <v>0.96017578124999992</v>
      </c>
      <c r="ACP232" s="760"/>
      <c r="ACQ232" s="757">
        <f t="shared" si="288"/>
        <v>0.11874999999999999</v>
      </c>
      <c r="ACR232" s="758"/>
      <c r="ACT232" s="759">
        <v>-4.0625000000000001E-2</v>
      </c>
      <c r="ACU232" s="760"/>
      <c r="ACV232" s="759">
        <v>0.96499999999999997</v>
      </c>
      <c r="ACW232" s="760"/>
      <c r="ACX232" s="591">
        <v>55</v>
      </c>
      <c r="ACY232" s="759">
        <f t="shared" si="289"/>
        <v>0.91193359374999994</v>
      </c>
      <c r="ACZ232" s="760"/>
      <c r="ADA232" s="757">
        <f t="shared" si="290"/>
        <v>1.3062499999999999</v>
      </c>
      <c r="ADB232" s="758"/>
      <c r="ADD232" s="759">
        <v>-0.12</v>
      </c>
      <c r="ADE232" s="760"/>
      <c r="ADF232" s="759">
        <v>1.1000000000000001</v>
      </c>
      <c r="ADG232" s="760"/>
      <c r="ADH232" s="591">
        <v>105</v>
      </c>
      <c r="ADI232" s="759">
        <f t="shared" si="291"/>
        <v>0.80075000000000007</v>
      </c>
      <c r="ADJ232" s="760"/>
      <c r="ADK232" s="757">
        <f t="shared" si="292"/>
        <v>2.4937499999999999</v>
      </c>
      <c r="ADL232" s="758"/>
      <c r="ADN232" s="1112">
        <v>-0.12</v>
      </c>
      <c r="ADO232" s="1112"/>
      <c r="ADP232" s="1112">
        <v>1.06</v>
      </c>
      <c r="ADQ232" s="1112"/>
      <c r="ADR232" s="591">
        <v>155</v>
      </c>
      <c r="ADS232" s="759">
        <f t="shared" si="293"/>
        <v>0.61825000000000008</v>
      </c>
      <c r="ADT232" s="760"/>
      <c r="ADU232" s="757">
        <f t="shared" si="294"/>
        <v>3.6812499999999999</v>
      </c>
      <c r="ADV232" s="758"/>
      <c r="ADX232" s="759">
        <v>-0.08</v>
      </c>
      <c r="ADY232" s="760"/>
      <c r="ADZ232" s="759">
        <v>0.9</v>
      </c>
      <c r="AEA232" s="760"/>
      <c r="AEB232" s="592">
        <v>205</v>
      </c>
      <c r="AEC232" s="759">
        <f t="shared" si="295"/>
        <v>0.51049999999999995</v>
      </c>
      <c r="AED232" s="760"/>
      <c r="AEE232" s="757">
        <f t="shared" si="296"/>
        <v>4.8687500000000004</v>
      </c>
      <c r="AEF232" s="758"/>
      <c r="AEH232" s="1112">
        <v>-5.8823529411764698E-2</v>
      </c>
      <c r="AEI232" s="1112"/>
      <c r="AEJ232" s="1112">
        <v>0.79411764705882304</v>
      </c>
      <c r="AEK232" s="1112"/>
      <c r="AEL232" s="591">
        <v>255</v>
      </c>
      <c r="AEM232" s="759">
        <f t="shared" si="297"/>
        <v>0.43786764705882308</v>
      </c>
      <c r="AEN232" s="760"/>
      <c r="AEO232" s="757">
        <f t="shared" si="298"/>
        <v>6.0562500000000004</v>
      </c>
      <c r="AEP232" s="758"/>
      <c r="AER232" s="1112">
        <v>-3.5714285714285698E-2</v>
      </c>
      <c r="AES232" s="1112"/>
      <c r="AET232" s="1112">
        <v>0.63928571428571401</v>
      </c>
      <c r="AEU232" s="1112"/>
      <c r="AEV232" s="592">
        <v>305</v>
      </c>
      <c r="AEW232" s="759">
        <f t="shared" si="299"/>
        <v>0.38058035714285698</v>
      </c>
      <c r="AEX232" s="760"/>
      <c r="AEY232" s="757">
        <f t="shared" si="300"/>
        <v>7.2437500000000004</v>
      </c>
      <c r="AEZ232" s="758"/>
      <c r="AFB232" s="1112">
        <v>-3.5714285714285698E-2</v>
      </c>
      <c r="AFC232" s="1112"/>
      <c r="AFD232" s="1112">
        <v>0.63928571428571401</v>
      </c>
      <c r="AFE232" s="1112"/>
      <c r="AFF232" s="592">
        <v>355</v>
      </c>
      <c r="AFG232" s="759">
        <f t="shared" si="301"/>
        <v>0.33816964285714268</v>
      </c>
      <c r="AFH232" s="760"/>
      <c r="AFI232" s="757">
        <f t="shared" si="302"/>
        <v>8.4312500000000004</v>
      </c>
      <c r="AFJ232" s="758"/>
      <c r="AGL232" s="849"/>
      <c r="AGM232" s="852" t="s">
        <v>416</v>
      </c>
      <c r="AGN232" s="853"/>
      <c r="AGO232" s="142"/>
      <c r="AGP232" s="78"/>
      <c r="AGQ232" s="78"/>
      <c r="AGR232" s="78"/>
      <c r="AGS232" s="78"/>
      <c r="AGT232" s="78"/>
      <c r="AGU232" s="78"/>
      <c r="AGV232" s="142"/>
      <c r="AGW232" s="76" t="s">
        <v>441</v>
      </c>
      <c r="AGX232" s="854" t="s">
        <v>435</v>
      </c>
      <c r="AGY232" s="1111"/>
      <c r="AGZ232" s="924" t="s">
        <v>111</v>
      </c>
      <c r="AHA232" s="925"/>
      <c r="AHB232" s="916" t="s">
        <v>704</v>
      </c>
      <c r="AHC232" s="917"/>
      <c r="AHD232" s="1051" t="s">
        <v>447</v>
      </c>
      <c r="AHE232" s="1051"/>
      <c r="AHF232" s="1051"/>
      <c r="AHG232" s="1051"/>
      <c r="AHH232" s="1051"/>
      <c r="AHI232" s="1051" t="s">
        <v>436</v>
      </c>
      <c r="AHJ232" s="1051"/>
      <c r="AHK232" s="1051"/>
      <c r="AHL232" s="1051"/>
      <c r="AHM232" s="1051"/>
      <c r="AHN232" s="1051"/>
      <c r="AHO232" s="1051"/>
      <c r="AHP232" s="1051"/>
    </row>
    <row r="233" spans="8:1005 1137:1418" ht="48" customHeight="1" thickBot="1">
      <c r="MB233" s="849"/>
      <c r="MC233" s="852" t="s">
        <v>416</v>
      </c>
      <c r="MD233" s="853"/>
      <c r="ME233" s="344"/>
      <c r="MF233" s="861" t="s">
        <v>1221</v>
      </c>
      <c r="MG233" s="861"/>
      <c r="MH233" s="937">
        <f>$GM$131</f>
        <v>173.44767567689519</v>
      </c>
      <c r="MI233" s="937"/>
      <c r="MJ233" s="78"/>
      <c r="MK233" s="78"/>
      <c r="ML233" s="344"/>
      <c r="MM233" s="76" t="s">
        <v>441</v>
      </c>
      <c r="MN233" s="854" t="s">
        <v>435</v>
      </c>
      <c r="MO233" s="855"/>
      <c r="MP233" s="924" t="s">
        <v>111</v>
      </c>
      <c r="MQ233" s="925"/>
      <c r="MR233" s="916" t="s">
        <v>704</v>
      </c>
      <c r="MS233" s="917"/>
      <c r="MT233" s="906" t="s">
        <v>447</v>
      </c>
      <c r="MU233" s="907"/>
      <c r="MV233" s="907"/>
      <c r="MW233" s="908"/>
      <c r="MX233" s="1051" t="s">
        <v>436</v>
      </c>
      <c r="MY233" s="1051"/>
      <c r="MZ233" s="1051"/>
      <c r="NA233" s="1051"/>
      <c r="NB233" s="1051"/>
      <c r="NC233" s="1051"/>
      <c r="ND233" s="1051"/>
      <c r="NE233" s="1051"/>
      <c r="NF233" s="1051"/>
      <c r="NI233" s="653"/>
      <c r="QW233" s="130"/>
      <c r="QX233" s="130"/>
      <c r="QY233" s="130"/>
      <c r="QZ233" s="130"/>
      <c r="RA233" s="130"/>
      <c r="RB233" s="130"/>
      <c r="RC233" s="130"/>
      <c r="RD233" s="130"/>
      <c r="RE233" s="130"/>
      <c r="RF233" s="130"/>
      <c r="RG233" s="130"/>
      <c r="RH233" s="130"/>
      <c r="RI233" s="130"/>
      <c r="AAU233" s="653"/>
      <c r="AAV233" s="653"/>
      <c r="AAW233" s="653"/>
      <c r="AAX233" s="653"/>
      <c r="AAY233" s="653"/>
      <c r="AAZ233" s="653"/>
      <c r="ABA233" s="653"/>
      <c r="ABB233" s="653"/>
      <c r="ABC233" s="653"/>
      <c r="ABD233" s="653"/>
      <c r="ABE233" s="653"/>
      <c r="ABF233" s="653"/>
      <c r="ABG233" s="653"/>
      <c r="ABH233" s="653"/>
      <c r="ABI233" s="653"/>
      <c r="ABJ233" s="653"/>
      <c r="ABK233" s="653"/>
      <c r="ABL233" s="653"/>
      <c r="ABM233" s="653"/>
      <c r="ABN233" s="653"/>
      <c r="ABO233" s="653"/>
      <c r="ABP233" s="653"/>
      <c r="ABQ233" s="653"/>
      <c r="ABR233" s="653"/>
      <c r="ABS233" s="653"/>
      <c r="ABT233" s="653"/>
      <c r="ABU233" s="653"/>
      <c r="ABV233" s="653"/>
      <c r="ABW233" s="653"/>
      <c r="ABX233" s="653"/>
      <c r="ACJ233" s="759">
        <v>-4.0625000000000001E-2</v>
      </c>
      <c r="ACK233" s="760"/>
      <c r="ACL233" s="759">
        <v>0.96499999999999997</v>
      </c>
      <c r="ACM233" s="760"/>
      <c r="ACN233" s="591">
        <v>6</v>
      </c>
      <c r="ACO233" s="759">
        <f t="shared" si="287"/>
        <v>0.95921093749999997</v>
      </c>
      <c r="ACP233" s="760"/>
      <c r="ACQ233" s="757">
        <f t="shared" si="288"/>
        <v>0.14250000000000002</v>
      </c>
      <c r="ACR233" s="758"/>
      <c r="ACT233" s="759">
        <v>-4.0625000000000001E-2</v>
      </c>
      <c r="ACU233" s="760"/>
      <c r="ACV233" s="759">
        <v>0.96499999999999997</v>
      </c>
      <c r="ACW233" s="760"/>
      <c r="ACX233" s="591">
        <v>56</v>
      </c>
      <c r="ACY233" s="759">
        <f t="shared" si="289"/>
        <v>0.91096874999999999</v>
      </c>
      <c r="ACZ233" s="760"/>
      <c r="ADA233" s="757">
        <f t="shared" si="290"/>
        <v>1.33</v>
      </c>
      <c r="ADB233" s="758"/>
      <c r="ADD233" s="759">
        <v>-0.12</v>
      </c>
      <c r="ADE233" s="760"/>
      <c r="ADF233" s="759">
        <v>1.1000000000000001</v>
      </c>
      <c r="ADG233" s="760"/>
      <c r="ADH233" s="591">
        <v>106</v>
      </c>
      <c r="ADI233" s="759">
        <f t="shared" si="291"/>
        <v>0.79790000000000005</v>
      </c>
      <c r="ADJ233" s="760"/>
      <c r="ADK233" s="757">
        <f t="shared" si="292"/>
        <v>2.5175000000000001</v>
      </c>
      <c r="ADL233" s="758"/>
      <c r="ADN233" s="1112">
        <v>-0.12</v>
      </c>
      <c r="ADO233" s="1112"/>
      <c r="ADP233" s="1112">
        <v>1.06</v>
      </c>
      <c r="ADQ233" s="1112"/>
      <c r="ADR233" s="591">
        <v>156</v>
      </c>
      <c r="ADS233" s="759">
        <f t="shared" si="293"/>
        <v>0.61540000000000006</v>
      </c>
      <c r="ADT233" s="760"/>
      <c r="ADU233" s="757">
        <f t="shared" si="294"/>
        <v>3.7050000000000001</v>
      </c>
      <c r="ADV233" s="758"/>
      <c r="ADX233" s="759">
        <v>-0.08</v>
      </c>
      <c r="ADY233" s="760"/>
      <c r="ADZ233" s="759">
        <v>0.9</v>
      </c>
      <c r="AEA233" s="760"/>
      <c r="AEB233" s="592">
        <v>206</v>
      </c>
      <c r="AEC233" s="759">
        <f t="shared" si="295"/>
        <v>0.50859999999999994</v>
      </c>
      <c r="AED233" s="760"/>
      <c r="AEE233" s="757">
        <f t="shared" si="296"/>
        <v>4.8925000000000001</v>
      </c>
      <c r="AEF233" s="758"/>
      <c r="AEH233" s="1112">
        <v>-5.8823529411764698E-2</v>
      </c>
      <c r="AEI233" s="1112"/>
      <c r="AEJ233" s="1112">
        <v>0.79411764705882304</v>
      </c>
      <c r="AEK233" s="1112"/>
      <c r="AEL233" s="591">
        <v>256</v>
      </c>
      <c r="AEM233" s="759">
        <f t="shared" si="297"/>
        <v>0.43647058823529367</v>
      </c>
      <c r="AEN233" s="760"/>
      <c r="AEO233" s="757">
        <f t="shared" si="298"/>
        <v>6.08</v>
      </c>
      <c r="AEP233" s="758"/>
      <c r="AER233" s="1112">
        <v>-3.5714285714285698E-2</v>
      </c>
      <c r="AES233" s="1112"/>
      <c r="AET233" s="1112">
        <v>0.63928571428571401</v>
      </c>
      <c r="AEU233" s="1112"/>
      <c r="AEV233" s="592">
        <v>306</v>
      </c>
      <c r="AEW233" s="759">
        <f t="shared" si="299"/>
        <v>0.37973214285714268</v>
      </c>
      <c r="AEX233" s="760"/>
      <c r="AEY233" s="757">
        <f t="shared" si="300"/>
        <v>7.2675000000000001</v>
      </c>
      <c r="AEZ233" s="758"/>
      <c r="AFB233" s="1112">
        <v>-3.5714285714285698E-2</v>
      </c>
      <c r="AFC233" s="1112"/>
      <c r="AFD233" s="1112">
        <v>0.63928571428571401</v>
      </c>
      <c r="AFE233" s="1112"/>
      <c r="AFF233" s="592">
        <v>356</v>
      </c>
      <c r="AFG233" s="759">
        <f t="shared" si="301"/>
        <v>0.33732142857142844</v>
      </c>
      <c r="AFH233" s="760"/>
      <c r="AFI233" s="757">
        <f t="shared" si="302"/>
        <v>8.4550000000000001</v>
      </c>
      <c r="AFJ233" s="758"/>
      <c r="AGL233" s="850"/>
      <c r="AGM233" s="809" t="s">
        <v>135</v>
      </c>
      <c r="AGN233" s="797"/>
      <c r="AGO233" s="797"/>
      <c r="AGP233" s="797"/>
      <c r="AGQ233" s="797"/>
      <c r="AGR233" s="797"/>
      <c r="AGS233" s="797"/>
      <c r="AGT233" s="797"/>
      <c r="AGU233" s="797"/>
      <c r="AGV233" s="797"/>
      <c r="AGW233" s="797"/>
      <c r="AGX233" s="797"/>
      <c r="AGY233" s="798"/>
      <c r="AGZ233" s="835">
        <f>MQ212-AGZ237</f>
        <v>2.1626027915315862</v>
      </c>
      <c r="AHA233" s="836"/>
      <c r="AHB233" s="839"/>
      <c r="AHC233" s="840"/>
      <c r="AHD233" s="1500"/>
      <c r="AHE233" s="1320" t="s">
        <v>1475</v>
      </c>
      <c r="AHF233" s="1320"/>
      <c r="AHG233" s="1320"/>
      <c r="AHH233" s="1289"/>
      <c r="AHI233" s="1052"/>
      <c r="AHJ233" s="1052"/>
      <c r="AHK233" s="1052"/>
      <c r="AHL233" s="1052"/>
      <c r="AHM233" s="1052"/>
      <c r="AHN233" s="1052"/>
      <c r="AHO233" s="1052"/>
      <c r="AHP233" s="1052"/>
      <c r="AJE233" s="130"/>
      <c r="AJF233" s="130"/>
      <c r="AJG233" s="130"/>
      <c r="AJH233" s="130"/>
      <c r="AJI233" s="130"/>
      <c r="AJJ233" s="130"/>
      <c r="AJK233" s="130"/>
      <c r="AJL233" s="130"/>
      <c r="AJM233" s="130"/>
      <c r="AJN233" s="130"/>
    </row>
    <row r="234" spans="8:1005 1137:1418" ht="48" customHeight="1" thickBot="1">
      <c r="MB234" s="850"/>
      <c r="MC234" s="398" t="s">
        <v>53</v>
      </c>
      <c r="MD234" s="937">
        <f>$GM$115</f>
        <v>0.27219609584157206</v>
      </c>
      <c r="ME234" s="937"/>
      <c r="MF234" s="861" t="s">
        <v>1341</v>
      </c>
      <c r="MG234" s="861"/>
      <c r="MH234" s="890">
        <f>$GM$123</f>
        <v>37.79232432310485</v>
      </c>
      <c r="MI234" s="951"/>
      <c r="MJ234" s="791" t="s">
        <v>1409</v>
      </c>
      <c r="MK234" s="792"/>
      <c r="ML234" s="792"/>
      <c r="MM234" s="792"/>
      <c r="MN234" s="792"/>
      <c r="MO234" s="793"/>
      <c r="MP234" s="1382">
        <f>((2.3*MH233/1000)/(MD236*MD235*(MD234^2)))*LOG((4.7*(MH233/1000))/(2*(MH235/1000)+MH234/1000),10)</f>
        <v>0.61171910270933894</v>
      </c>
      <c r="MQ234" s="1383"/>
      <c r="MR234" s="1183" t="s">
        <v>729</v>
      </c>
      <c r="MS234" s="1184"/>
      <c r="MT234" s="1066"/>
      <c r="MU234" s="893" t="s">
        <v>1271</v>
      </c>
      <c r="MV234" s="894"/>
      <c r="MW234" s="847"/>
      <c r="MX234" s="1052"/>
      <c r="MY234" s="1052"/>
      <c r="MZ234" s="1052"/>
      <c r="NA234" s="1052"/>
      <c r="NB234" s="1052"/>
      <c r="NC234" s="1052"/>
      <c r="ND234" s="1052"/>
      <c r="NE234" s="1052"/>
      <c r="NF234" s="1052"/>
      <c r="NI234" s="653"/>
      <c r="QW234" s="130"/>
      <c r="QX234" s="130"/>
      <c r="QY234" s="130"/>
      <c r="QZ234" s="130"/>
      <c r="RA234" s="130"/>
      <c r="RB234" s="130"/>
      <c r="RC234" s="130"/>
      <c r="RD234" s="130"/>
      <c r="RE234" s="130"/>
      <c r="RF234" s="130"/>
      <c r="RG234" s="130"/>
      <c r="RH234" s="130"/>
      <c r="RI234" s="130"/>
      <c r="AAU234" s="653"/>
      <c r="AAV234" s="653"/>
      <c r="AAW234" s="653"/>
      <c r="AAX234" s="653"/>
      <c r="AAY234" s="653"/>
      <c r="AAZ234" s="653"/>
      <c r="ABA234" s="653"/>
      <c r="ABB234" s="653"/>
      <c r="ABC234" s="653"/>
      <c r="ABD234" s="653"/>
      <c r="ABE234" s="653"/>
      <c r="ABF234" s="653"/>
      <c r="ABG234" s="653"/>
      <c r="ABH234" s="653"/>
      <c r="ABI234" s="653"/>
      <c r="ABJ234" s="653"/>
      <c r="ABK234" s="653"/>
      <c r="ABL234" s="653"/>
      <c r="ABM234" s="653"/>
      <c r="ABN234" s="653"/>
      <c r="ABO234" s="653"/>
      <c r="ABP234" s="653"/>
      <c r="ABQ234" s="653"/>
      <c r="ABR234" s="653"/>
      <c r="ABS234" s="653"/>
      <c r="ABT234" s="653"/>
      <c r="ABU234" s="653"/>
      <c r="ABV234" s="653"/>
      <c r="ABW234" s="653"/>
      <c r="ABX234" s="653"/>
      <c r="ACJ234" s="759">
        <v>-4.0625000000000001E-2</v>
      </c>
      <c r="ACK234" s="760"/>
      <c r="ACL234" s="759">
        <v>0.96499999999999997</v>
      </c>
      <c r="ACM234" s="760"/>
      <c r="ACN234" s="591">
        <v>7</v>
      </c>
      <c r="ACO234" s="759">
        <f t="shared" si="287"/>
        <v>0.95824609374999992</v>
      </c>
      <c r="ACP234" s="760"/>
      <c r="ACQ234" s="757">
        <f t="shared" si="288"/>
        <v>0.16625000000000001</v>
      </c>
      <c r="ACR234" s="758"/>
      <c r="ACT234" s="759">
        <v>-4.0625000000000001E-2</v>
      </c>
      <c r="ACU234" s="760"/>
      <c r="ACV234" s="759">
        <v>0.96499999999999997</v>
      </c>
      <c r="ACW234" s="760"/>
      <c r="ACX234" s="591">
        <v>57</v>
      </c>
      <c r="ACY234" s="759">
        <f t="shared" si="289"/>
        <v>0.91000390624999994</v>
      </c>
      <c r="ACZ234" s="760"/>
      <c r="ADA234" s="757">
        <f t="shared" si="290"/>
        <v>1.35375</v>
      </c>
      <c r="ADB234" s="758"/>
      <c r="ADD234" s="1112">
        <v>-0.20000000000000018</v>
      </c>
      <c r="ADE234" s="1112"/>
      <c r="ADF234" s="1112">
        <v>1.3000000000000005</v>
      </c>
      <c r="ADG234" s="1112"/>
      <c r="ADH234" s="592">
        <v>107</v>
      </c>
      <c r="ADI234" s="759">
        <f t="shared" si="291"/>
        <v>0.79174999999999995</v>
      </c>
      <c r="ADJ234" s="760"/>
      <c r="ADK234" s="757">
        <f t="shared" si="292"/>
        <v>2.5412500000000002</v>
      </c>
      <c r="ADL234" s="758"/>
      <c r="ADN234" s="1112">
        <v>-0.12</v>
      </c>
      <c r="ADO234" s="1112"/>
      <c r="ADP234" s="1112">
        <v>1.06</v>
      </c>
      <c r="ADQ234" s="1112"/>
      <c r="ADR234" s="591">
        <v>157</v>
      </c>
      <c r="ADS234" s="759">
        <f t="shared" si="293"/>
        <v>0.61255000000000004</v>
      </c>
      <c r="ADT234" s="760"/>
      <c r="ADU234" s="757">
        <f t="shared" si="294"/>
        <v>3.7287500000000002</v>
      </c>
      <c r="ADV234" s="758"/>
      <c r="ADX234" s="759">
        <v>-0.08</v>
      </c>
      <c r="ADY234" s="760"/>
      <c r="ADZ234" s="759">
        <v>0.9</v>
      </c>
      <c r="AEA234" s="760"/>
      <c r="AEB234" s="592">
        <v>207</v>
      </c>
      <c r="AEC234" s="759">
        <f t="shared" si="295"/>
        <v>0.50670000000000004</v>
      </c>
      <c r="AED234" s="760"/>
      <c r="AEE234" s="757">
        <f t="shared" si="296"/>
        <v>4.9162499999999998</v>
      </c>
      <c r="AEF234" s="758"/>
      <c r="AEH234" s="1112">
        <v>-5.8823529411764698E-2</v>
      </c>
      <c r="AEI234" s="1112"/>
      <c r="AEJ234" s="1112">
        <v>0.79411764705882304</v>
      </c>
      <c r="AEK234" s="1112"/>
      <c r="AEL234" s="591">
        <v>257</v>
      </c>
      <c r="AEM234" s="759">
        <f t="shared" si="297"/>
        <v>0.43507352941176425</v>
      </c>
      <c r="AEN234" s="760"/>
      <c r="AEO234" s="757">
        <f t="shared" si="298"/>
        <v>6.1037499999999998</v>
      </c>
      <c r="AEP234" s="758"/>
      <c r="AER234" s="1112">
        <v>-3.5714285714285698E-2</v>
      </c>
      <c r="AES234" s="1112"/>
      <c r="AET234" s="1112">
        <v>0.63928571428571401</v>
      </c>
      <c r="AEU234" s="1112"/>
      <c r="AEV234" s="592">
        <v>307</v>
      </c>
      <c r="AEW234" s="759">
        <f t="shared" si="299"/>
        <v>0.37888392857142844</v>
      </c>
      <c r="AEX234" s="760"/>
      <c r="AEY234" s="757">
        <f t="shared" si="300"/>
        <v>7.2912499999999998</v>
      </c>
      <c r="AEZ234" s="758"/>
      <c r="AFB234" s="1112">
        <v>-3.5714285714285698E-2</v>
      </c>
      <c r="AFC234" s="1112"/>
      <c r="AFD234" s="1112">
        <v>0.63928571428571401</v>
      </c>
      <c r="AFE234" s="1112"/>
      <c r="AFF234" s="592">
        <v>357</v>
      </c>
      <c r="AFG234" s="759">
        <f t="shared" si="301"/>
        <v>0.33647321428571414</v>
      </c>
      <c r="AFH234" s="760"/>
      <c r="AFI234" s="757">
        <f t="shared" si="302"/>
        <v>8.4787499999999998</v>
      </c>
      <c r="AFJ234" s="758"/>
      <c r="AGL234" s="851"/>
      <c r="AGM234" s="777"/>
      <c r="AGN234" s="778"/>
      <c r="AGO234" s="778"/>
      <c r="AGP234" s="778"/>
      <c r="AGQ234" s="778"/>
      <c r="AGR234" s="778"/>
      <c r="AGS234" s="778"/>
      <c r="AGT234" s="778"/>
      <c r="AGU234" s="778"/>
      <c r="AGV234" s="778"/>
      <c r="AGW234" s="778"/>
      <c r="AGX234" s="778"/>
      <c r="AGY234" s="799"/>
      <c r="AGZ234" s="837"/>
      <c r="AHA234" s="838"/>
      <c r="AHB234" s="777"/>
      <c r="AHC234" s="799"/>
      <c r="AHD234" s="1501"/>
      <c r="AHE234" s="1321"/>
      <c r="AHF234" s="1321"/>
      <c r="AHG234" s="1321"/>
      <c r="AHH234" s="1290"/>
      <c r="AHI234" s="1053"/>
      <c r="AHJ234" s="1053"/>
      <c r="AHK234" s="1053"/>
      <c r="AHL234" s="1053"/>
      <c r="AHM234" s="1053"/>
      <c r="AHN234" s="1053"/>
      <c r="AHO234" s="1053"/>
      <c r="AHP234" s="1053"/>
      <c r="AJE234" s="130"/>
      <c r="AJF234" s="130"/>
      <c r="AJG234" s="130"/>
      <c r="AJH234" s="130"/>
      <c r="AJI234" s="130"/>
      <c r="AJJ234" s="130"/>
      <c r="AJK234" s="130"/>
      <c r="AJL234" s="130"/>
      <c r="AJM234" s="130"/>
      <c r="AJN234" s="130"/>
      <c r="ATD234" s="849"/>
      <c r="ATE234" s="852" t="s">
        <v>416</v>
      </c>
      <c r="ATF234" s="853"/>
      <c r="ATG234" s="142"/>
      <c r="ATH234" s="78"/>
      <c r="ATI234" s="78"/>
      <c r="ATJ234" s="78"/>
      <c r="ATK234" s="78"/>
      <c r="ATL234" s="78"/>
      <c r="ATM234" s="78"/>
      <c r="ATN234" s="142"/>
      <c r="ATO234" s="76" t="s">
        <v>441</v>
      </c>
      <c r="ATP234" s="854" t="s">
        <v>435</v>
      </c>
      <c r="ATQ234" s="855"/>
      <c r="ATR234" s="920" t="s">
        <v>111</v>
      </c>
      <c r="ATS234" s="921"/>
      <c r="ATT234" s="916" t="s">
        <v>704</v>
      </c>
      <c r="ATU234" s="917"/>
      <c r="ATV234" s="906" t="s">
        <v>447</v>
      </c>
      <c r="ATW234" s="907"/>
      <c r="ATX234" s="907"/>
      <c r="ATY234" s="908"/>
    </row>
    <row r="235" spans="8:1005 1137:1418" ht="48" customHeight="1" thickBot="1">
      <c r="MB235" s="850"/>
      <c r="MC235" s="393" t="s">
        <v>1018</v>
      </c>
      <c r="MD235" s="761">
        <f>$AW$95</f>
        <v>0.19391178434038603</v>
      </c>
      <c r="ME235" s="761"/>
      <c r="MF235" s="861" t="s">
        <v>1340</v>
      </c>
      <c r="MG235" s="861"/>
      <c r="MH235" s="890">
        <f>$GM$127</f>
        <v>20.62546824302779</v>
      </c>
      <c r="MI235" s="951"/>
      <c r="MJ235" s="823"/>
      <c r="MK235" s="824"/>
      <c r="ML235" s="824"/>
      <c r="MM235" s="824"/>
      <c r="MN235" s="824"/>
      <c r="MO235" s="1049"/>
      <c r="MP235" s="1384"/>
      <c r="MQ235" s="1385"/>
      <c r="MR235" s="1185"/>
      <c r="MS235" s="1186"/>
      <c r="MT235" s="1067"/>
      <c r="MU235" s="918"/>
      <c r="MV235" s="919"/>
      <c r="MW235" s="848"/>
      <c r="MX235" s="1052"/>
      <c r="MY235" s="1052"/>
      <c r="MZ235" s="1052"/>
      <c r="NA235" s="1052"/>
      <c r="NB235" s="1052"/>
      <c r="NC235" s="1052"/>
      <c r="ND235" s="1052"/>
      <c r="NE235" s="1052"/>
      <c r="NF235" s="1052"/>
      <c r="NI235" s="653"/>
      <c r="QW235" s="130"/>
      <c r="QX235" s="130"/>
      <c r="QY235" s="130"/>
      <c r="QZ235" s="130"/>
      <c r="RA235" s="130"/>
      <c r="RB235" s="130"/>
      <c r="RC235" s="130"/>
      <c r="RD235" s="130"/>
      <c r="RE235" s="130"/>
      <c r="RF235" s="130"/>
      <c r="RG235" s="130"/>
      <c r="RH235" s="130"/>
      <c r="RI235" s="130"/>
      <c r="AAU235" s="653"/>
      <c r="AAV235" s="653"/>
      <c r="AAW235" s="653"/>
      <c r="AAX235" s="653"/>
      <c r="AAY235" s="653"/>
      <c r="AAZ235" s="653"/>
      <c r="ABA235" s="653"/>
      <c r="ABB235" s="653"/>
      <c r="ABC235" s="653"/>
      <c r="ABD235" s="653"/>
      <c r="ABE235" s="653"/>
      <c r="ABF235" s="653"/>
      <c r="ABG235" s="653"/>
      <c r="ABH235" s="653"/>
      <c r="ABI235" s="653"/>
      <c r="ABJ235" s="653"/>
      <c r="ABK235" s="653"/>
      <c r="ABL235" s="653"/>
      <c r="ABM235" s="653"/>
      <c r="ABN235" s="653"/>
      <c r="ABO235" s="653"/>
      <c r="ABP235" s="653"/>
      <c r="ABQ235" s="653"/>
      <c r="ABR235" s="653"/>
      <c r="ABS235" s="653"/>
      <c r="ABT235" s="653"/>
      <c r="ABU235" s="653"/>
      <c r="ABV235" s="653"/>
      <c r="ABW235" s="653"/>
      <c r="ABX235" s="653"/>
      <c r="ACJ235" s="759">
        <v>-4.0625000000000001E-2</v>
      </c>
      <c r="ACK235" s="760"/>
      <c r="ACL235" s="759">
        <v>0.96499999999999997</v>
      </c>
      <c r="ACM235" s="760"/>
      <c r="ACN235" s="591">
        <v>8</v>
      </c>
      <c r="ACO235" s="759">
        <f t="shared" si="287"/>
        <v>0.95728124999999997</v>
      </c>
      <c r="ACP235" s="760"/>
      <c r="ACQ235" s="757">
        <f t="shared" si="288"/>
        <v>0.19</v>
      </c>
      <c r="ACR235" s="758"/>
      <c r="ACT235" s="759">
        <v>-4.0625000000000001E-2</v>
      </c>
      <c r="ACU235" s="760"/>
      <c r="ACV235" s="759">
        <v>0.96499999999999997</v>
      </c>
      <c r="ACW235" s="760"/>
      <c r="ACX235" s="591">
        <v>58</v>
      </c>
      <c r="ACY235" s="759">
        <f t="shared" si="289"/>
        <v>0.90903906249999999</v>
      </c>
      <c r="ACZ235" s="760"/>
      <c r="ADA235" s="757">
        <f t="shared" si="290"/>
        <v>1.3774999999999999</v>
      </c>
      <c r="ADB235" s="758"/>
      <c r="ADD235" s="1112">
        <v>-0.20000000000000018</v>
      </c>
      <c r="ADE235" s="1112"/>
      <c r="ADF235" s="1112">
        <v>1.3000000000000005</v>
      </c>
      <c r="ADG235" s="1112"/>
      <c r="ADH235" s="592">
        <v>108</v>
      </c>
      <c r="ADI235" s="759">
        <f t="shared" si="291"/>
        <v>0.78700000000000003</v>
      </c>
      <c r="ADJ235" s="760"/>
      <c r="ADK235" s="757">
        <f t="shared" si="292"/>
        <v>2.5649999999999999</v>
      </c>
      <c r="ADL235" s="758"/>
      <c r="ADN235" s="1112">
        <v>-0.12</v>
      </c>
      <c r="ADO235" s="1112"/>
      <c r="ADP235" s="1112">
        <v>1.06</v>
      </c>
      <c r="ADQ235" s="1112"/>
      <c r="ADR235" s="591">
        <v>158</v>
      </c>
      <c r="ADS235" s="759">
        <f t="shared" si="293"/>
        <v>0.60970000000000013</v>
      </c>
      <c r="ADT235" s="760"/>
      <c r="ADU235" s="757">
        <f t="shared" si="294"/>
        <v>3.7524999999999999</v>
      </c>
      <c r="ADV235" s="758"/>
      <c r="ADX235" s="759">
        <v>-0.08</v>
      </c>
      <c r="ADY235" s="760"/>
      <c r="ADZ235" s="759">
        <v>0.9</v>
      </c>
      <c r="AEA235" s="760"/>
      <c r="AEB235" s="592">
        <v>208</v>
      </c>
      <c r="AEC235" s="759">
        <f t="shared" si="295"/>
        <v>0.50479999999999992</v>
      </c>
      <c r="AED235" s="760"/>
      <c r="AEE235" s="757">
        <f t="shared" si="296"/>
        <v>4.9400000000000004</v>
      </c>
      <c r="AEF235" s="758"/>
      <c r="AEH235" s="1112">
        <v>-5.8823529411764698E-2</v>
      </c>
      <c r="AEI235" s="1112"/>
      <c r="AEJ235" s="1112">
        <v>0.79411764705882304</v>
      </c>
      <c r="AEK235" s="1112"/>
      <c r="AEL235" s="591">
        <v>258</v>
      </c>
      <c r="AEM235" s="759">
        <f t="shared" si="297"/>
        <v>0.43367647058823483</v>
      </c>
      <c r="AEN235" s="760"/>
      <c r="AEO235" s="757">
        <f t="shared" si="298"/>
        <v>6.1275000000000004</v>
      </c>
      <c r="AEP235" s="758"/>
      <c r="AER235" s="1112">
        <v>-3.5714285714285698E-2</v>
      </c>
      <c r="AES235" s="1112"/>
      <c r="AET235" s="1112">
        <v>0.63928571428571401</v>
      </c>
      <c r="AEU235" s="1112"/>
      <c r="AEV235" s="592">
        <v>308</v>
      </c>
      <c r="AEW235" s="759">
        <f t="shared" si="299"/>
        <v>0.37803571428571414</v>
      </c>
      <c r="AEX235" s="760"/>
      <c r="AEY235" s="757">
        <f t="shared" si="300"/>
        <v>7.3150000000000004</v>
      </c>
      <c r="AEZ235" s="758"/>
      <c r="AFB235" s="1112">
        <v>-3.5714285714285698E-2</v>
      </c>
      <c r="AFC235" s="1112"/>
      <c r="AFD235" s="1112">
        <v>0.63928571428571401</v>
      </c>
      <c r="AFE235" s="1112"/>
      <c r="AFF235" s="592">
        <v>358</v>
      </c>
      <c r="AFG235" s="759">
        <f t="shared" si="301"/>
        <v>0.3356249999999999</v>
      </c>
      <c r="AFH235" s="760"/>
      <c r="AFI235" s="757">
        <f t="shared" si="302"/>
        <v>8.5024999999999995</v>
      </c>
      <c r="AFJ235" s="758"/>
      <c r="AJE235" s="130"/>
      <c r="AJF235" s="130"/>
      <c r="AJG235" s="130"/>
      <c r="AJH235" s="130"/>
      <c r="AJI235" s="130"/>
      <c r="AJJ235" s="130"/>
      <c r="AJK235" s="130"/>
      <c r="AJL235" s="130"/>
      <c r="AJM235" s="130"/>
      <c r="AJN235" s="130"/>
      <c r="ATD235" s="850"/>
      <c r="ATE235" s="1486" t="s">
        <v>383</v>
      </c>
      <c r="ATF235" s="1486"/>
      <c r="ATG235" s="1486"/>
      <c r="ATH235" s="1486"/>
      <c r="ATI235" s="1486"/>
      <c r="ATJ235" s="1486"/>
      <c r="ATK235" s="1486"/>
      <c r="ATL235" s="1486"/>
      <c r="ATM235" s="1486"/>
      <c r="ATN235" s="1486"/>
      <c r="ATO235" s="1486"/>
      <c r="ATP235" s="1486"/>
      <c r="ATQ235" s="1486"/>
      <c r="ATR235" s="1488">
        <f>CO123</f>
        <v>1.06</v>
      </c>
      <c r="ATS235" s="1489"/>
      <c r="ATT235" s="1482" t="s">
        <v>959</v>
      </c>
      <c r="ATU235" s="1483"/>
      <c r="ATV235" s="841"/>
      <c r="ATW235" s="843" t="s">
        <v>416</v>
      </c>
      <c r="ATX235" s="844"/>
      <c r="ATY235" s="847"/>
    </row>
    <row r="236" spans="8:1005 1137:1418" ht="48" customHeight="1" thickBot="1">
      <c r="MB236" s="851"/>
      <c r="MC236" s="237" t="s">
        <v>1070</v>
      </c>
      <c r="MD236" s="1433">
        <f>$GU$16</f>
        <v>46</v>
      </c>
      <c r="ME236" s="1433"/>
      <c r="MF236" s="1060"/>
      <c r="MG236" s="1061"/>
      <c r="MH236" s="1061"/>
      <c r="MI236" s="1062"/>
      <c r="MJ236" s="794"/>
      <c r="MK236" s="795"/>
      <c r="ML236" s="795"/>
      <c r="MM236" s="795"/>
      <c r="MN236" s="795"/>
      <c r="MO236" s="796"/>
      <c r="MP236" s="942"/>
      <c r="MQ236" s="943"/>
      <c r="MR236" s="943"/>
      <c r="MS236" s="943"/>
      <c r="MT236" s="943"/>
      <c r="MU236" s="943"/>
      <c r="MV236" s="943"/>
      <c r="MW236" s="944"/>
      <c r="MX236" s="1053"/>
      <c r="MY236" s="1053"/>
      <c r="MZ236" s="1053"/>
      <c r="NA236" s="1053"/>
      <c r="NB236" s="1053"/>
      <c r="NC236" s="1053"/>
      <c r="ND236" s="1053"/>
      <c r="NE236" s="1053"/>
      <c r="NF236" s="1053"/>
      <c r="NI236" s="211"/>
      <c r="QW236" s="130"/>
      <c r="QX236" s="130"/>
      <c r="QY236" s="130"/>
      <c r="QZ236" s="130"/>
      <c r="RA236" s="130"/>
      <c r="RB236" s="130"/>
      <c r="RC236" s="130"/>
      <c r="RD236" s="130"/>
      <c r="RE236" s="130"/>
      <c r="RF236" s="130"/>
      <c r="RG236" s="130"/>
      <c r="RH236" s="130"/>
      <c r="RI236" s="130"/>
      <c r="ACJ236" s="759">
        <v>-4.0625000000000001E-2</v>
      </c>
      <c r="ACK236" s="760"/>
      <c r="ACL236" s="759">
        <v>0.96499999999999997</v>
      </c>
      <c r="ACM236" s="760"/>
      <c r="ACN236" s="591">
        <v>9</v>
      </c>
      <c r="ACO236" s="759">
        <f t="shared" si="287"/>
        <v>0.95631640624999992</v>
      </c>
      <c r="ACP236" s="760"/>
      <c r="ACQ236" s="757">
        <f t="shared" si="288"/>
        <v>0.21375</v>
      </c>
      <c r="ACR236" s="758"/>
      <c r="ACT236" s="759">
        <v>-4.0625000000000001E-2</v>
      </c>
      <c r="ACU236" s="760"/>
      <c r="ACV236" s="759">
        <v>0.96499999999999997</v>
      </c>
      <c r="ACW236" s="760"/>
      <c r="ACX236" s="591">
        <v>59</v>
      </c>
      <c r="ACY236" s="759">
        <f t="shared" si="289"/>
        <v>0.90807421874999994</v>
      </c>
      <c r="ACZ236" s="760"/>
      <c r="ADA236" s="757">
        <f t="shared" si="290"/>
        <v>1.4012500000000001</v>
      </c>
      <c r="ADB236" s="758"/>
      <c r="ADD236" s="1112">
        <v>-0.2</v>
      </c>
      <c r="ADE236" s="1112"/>
      <c r="ADF236" s="1112">
        <v>1.3</v>
      </c>
      <c r="ADG236" s="1112"/>
      <c r="ADH236" s="592">
        <v>109</v>
      </c>
      <c r="ADI236" s="759">
        <f t="shared" si="291"/>
        <v>0.78225</v>
      </c>
      <c r="ADJ236" s="760"/>
      <c r="ADK236" s="757">
        <f t="shared" si="292"/>
        <v>2.5887500000000001</v>
      </c>
      <c r="ADL236" s="758"/>
      <c r="ADN236" s="1112">
        <v>-0.12</v>
      </c>
      <c r="ADO236" s="1112"/>
      <c r="ADP236" s="1112">
        <v>1.06</v>
      </c>
      <c r="ADQ236" s="1112"/>
      <c r="ADR236" s="591">
        <v>159</v>
      </c>
      <c r="ADS236" s="759">
        <f t="shared" si="293"/>
        <v>0.60685000000000011</v>
      </c>
      <c r="ADT236" s="760"/>
      <c r="ADU236" s="757">
        <f t="shared" si="294"/>
        <v>3.7762500000000001</v>
      </c>
      <c r="ADV236" s="758"/>
      <c r="ADX236" s="759">
        <v>-0.08</v>
      </c>
      <c r="ADY236" s="760"/>
      <c r="ADZ236" s="759">
        <v>0.9</v>
      </c>
      <c r="AEA236" s="760"/>
      <c r="AEB236" s="592">
        <v>209</v>
      </c>
      <c r="AEC236" s="759">
        <f t="shared" si="295"/>
        <v>0.50290000000000001</v>
      </c>
      <c r="AED236" s="760"/>
      <c r="AEE236" s="757">
        <f t="shared" si="296"/>
        <v>4.9637500000000001</v>
      </c>
      <c r="AEF236" s="758"/>
      <c r="AEH236" s="1112">
        <v>-5.8823529411764698E-2</v>
      </c>
      <c r="AEI236" s="1112"/>
      <c r="AEJ236" s="1112">
        <v>0.79411764705882304</v>
      </c>
      <c r="AEK236" s="1112"/>
      <c r="AEL236" s="591">
        <v>259</v>
      </c>
      <c r="AEM236" s="759">
        <f t="shared" si="297"/>
        <v>0.43227941176470541</v>
      </c>
      <c r="AEN236" s="760"/>
      <c r="AEO236" s="757">
        <f t="shared" si="298"/>
        <v>6.1512500000000001</v>
      </c>
      <c r="AEP236" s="758"/>
      <c r="AER236" s="1112">
        <v>-3.5714285714285698E-2</v>
      </c>
      <c r="AES236" s="1112"/>
      <c r="AET236" s="1112">
        <v>0.63928571428571401</v>
      </c>
      <c r="AEU236" s="1112"/>
      <c r="AEV236" s="592">
        <v>309</v>
      </c>
      <c r="AEW236" s="759">
        <f t="shared" si="299"/>
        <v>0.37718749999999984</v>
      </c>
      <c r="AEX236" s="760"/>
      <c r="AEY236" s="757">
        <f t="shared" si="300"/>
        <v>7.3387500000000001</v>
      </c>
      <c r="AEZ236" s="758"/>
      <c r="AFB236" s="1112">
        <v>-3.5714285714285698E-2</v>
      </c>
      <c r="AFC236" s="1112"/>
      <c r="AFD236" s="1112">
        <v>0.63928571428571401</v>
      </c>
      <c r="AFE236" s="1112"/>
      <c r="AFF236" s="592">
        <v>359</v>
      </c>
      <c r="AFG236" s="759">
        <f t="shared" si="301"/>
        <v>0.3347767857142856</v>
      </c>
      <c r="AFH236" s="760"/>
      <c r="AFI236" s="757">
        <f t="shared" si="302"/>
        <v>8.5262499999999992</v>
      </c>
      <c r="AFJ236" s="758"/>
      <c r="AGK236" s="130"/>
      <c r="AGL236" s="849"/>
      <c r="AGM236" s="852" t="s">
        <v>416</v>
      </c>
      <c r="AGN236" s="853"/>
      <c r="AGO236" s="425"/>
      <c r="AGP236" s="78"/>
      <c r="AGQ236" s="78"/>
      <c r="AGR236" s="78"/>
      <c r="AGS236" s="78"/>
      <c r="AGT236" s="78"/>
      <c r="AGU236" s="78"/>
      <c r="AGV236" s="425"/>
      <c r="AGW236" s="76" t="s">
        <v>441</v>
      </c>
      <c r="AGX236" s="854" t="s">
        <v>435</v>
      </c>
      <c r="AGY236" s="1111"/>
      <c r="AGZ236" s="924" t="s">
        <v>111</v>
      </c>
      <c r="AHA236" s="925"/>
      <c r="AHB236" s="916" t="s">
        <v>704</v>
      </c>
      <c r="AHC236" s="922"/>
      <c r="AHD236" s="1051" t="s">
        <v>447</v>
      </c>
      <c r="AHE236" s="1051"/>
      <c r="AHF236" s="1051"/>
      <c r="AHG236" s="1051"/>
      <c r="AHH236" s="1051"/>
      <c r="AHI236" s="906" t="s">
        <v>436</v>
      </c>
      <c r="AHJ236" s="907"/>
      <c r="AHK236" s="907"/>
      <c r="AHL236" s="907"/>
      <c r="AHM236" s="907"/>
      <c r="AHN236" s="907"/>
      <c r="AHO236" s="907"/>
      <c r="AHP236" s="907"/>
      <c r="AHQ236" s="908"/>
      <c r="AIP236" s="130"/>
      <c r="AIQ236" s="130"/>
      <c r="AIR236" s="130"/>
      <c r="AIS236" s="130"/>
      <c r="AIT236" s="130"/>
      <c r="AIU236" s="130"/>
      <c r="AIV236" s="130"/>
      <c r="AIW236" s="130"/>
      <c r="AIX236" s="130"/>
      <c r="AIY236" s="130"/>
      <c r="AJE236" s="130"/>
      <c r="AJF236" s="130"/>
      <c r="AJG236" s="130"/>
      <c r="AJH236" s="130"/>
      <c r="AJI236" s="130"/>
      <c r="AJJ236" s="130"/>
      <c r="AJK236" s="130"/>
      <c r="AJL236" s="130"/>
      <c r="AJM236" s="130"/>
      <c r="AJN236" s="130"/>
      <c r="ATD236" s="851"/>
      <c r="ATE236" s="1487"/>
      <c r="ATF236" s="1487"/>
      <c r="ATG236" s="1487"/>
      <c r="ATH236" s="1487"/>
      <c r="ATI236" s="1487"/>
      <c r="ATJ236" s="1487"/>
      <c r="ATK236" s="1487"/>
      <c r="ATL236" s="1487"/>
      <c r="ATM236" s="1487"/>
      <c r="ATN236" s="1487"/>
      <c r="ATO236" s="1487"/>
      <c r="ATP236" s="1487"/>
      <c r="ATQ236" s="1487"/>
      <c r="ATR236" s="1490"/>
      <c r="ATS236" s="1491"/>
      <c r="ATT236" s="1484"/>
      <c r="ATU236" s="1485"/>
      <c r="ATV236" s="842"/>
      <c r="ATW236" s="845"/>
      <c r="ATX236" s="846"/>
      <c r="ATY236" s="848"/>
    </row>
    <row r="237" spans="8:1005 1137:1418" ht="48" customHeight="1">
      <c r="QW237" s="130"/>
      <c r="QX237" s="130"/>
      <c r="QY237" s="130"/>
      <c r="QZ237" s="130"/>
      <c r="RA237" s="130"/>
      <c r="RB237" s="130"/>
      <c r="RC237" s="130"/>
      <c r="RD237" s="130"/>
      <c r="RE237" s="130"/>
      <c r="RF237" s="130"/>
      <c r="RG237" s="130"/>
      <c r="RH237" s="130"/>
      <c r="RI237" s="130"/>
      <c r="ACJ237" s="759">
        <v>-4.0625000000000001E-2</v>
      </c>
      <c r="ACK237" s="760"/>
      <c r="ACL237" s="759">
        <v>0.96499999999999997</v>
      </c>
      <c r="ACM237" s="760"/>
      <c r="ACN237" s="591">
        <v>10</v>
      </c>
      <c r="ACO237" s="759">
        <f t="shared" si="287"/>
        <v>0.95535156249999997</v>
      </c>
      <c r="ACP237" s="760"/>
      <c r="ACQ237" s="757">
        <f t="shared" si="288"/>
        <v>0.23749999999999999</v>
      </c>
      <c r="ACR237" s="758"/>
      <c r="ACT237" s="759">
        <v>-4.0625000000000001E-2</v>
      </c>
      <c r="ACU237" s="760"/>
      <c r="ACV237" s="759">
        <v>0.96499999999999997</v>
      </c>
      <c r="ACW237" s="760"/>
      <c r="ACX237" s="591">
        <v>60</v>
      </c>
      <c r="ACY237" s="759">
        <f t="shared" si="289"/>
        <v>0.907109375</v>
      </c>
      <c r="ACZ237" s="760"/>
      <c r="ADA237" s="757">
        <f t="shared" si="290"/>
        <v>1.425</v>
      </c>
      <c r="ADB237" s="758"/>
      <c r="ADD237" s="1112">
        <v>-0.2</v>
      </c>
      <c r="ADE237" s="1112"/>
      <c r="ADF237" s="1112">
        <v>1.3</v>
      </c>
      <c r="ADG237" s="1112"/>
      <c r="ADH237" s="592">
        <v>110</v>
      </c>
      <c r="ADI237" s="759">
        <f t="shared" si="291"/>
        <v>0.77750000000000008</v>
      </c>
      <c r="ADJ237" s="760"/>
      <c r="ADK237" s="757">
        <f t="shared" si="292"/>
        <v>2.6124999999999998</v>
      </c>
      <c r="ADL237" s="758"/>
      <c r="ADN237" s="1112">
        <v>-0.12</v>
      </c>
      <c r="ADO237" s="1112"/>
      <c r="ADP237" s="1112">
        <v>1.06</v>
      </c>
      <c r="ADQ237" s="1112"/>
      <c r="ADR237" s="591">
        <v>160</v>
      </c>
      <c r="ADS237" s="759">
        <f t="shared" si="293"/>
        <v>0.60400000000000009</v>
      </c>
      <c r="ADT237" s="760"/>
      <c r="ADU237" s="757">
        <f t="shared" si="294"/>
        <v>3.8</v>
      </c>
      <c r="ADV237" s="758"/>
      <c r="ADX237" s="759">
        <v>-0.08</v>
      </c>
      <c r="ADY237" s="760"/>
      <c r="ADZ237" s="759">
        <v>0.9</v>
      </c>
      <c r="AEA237" s="760"/>
      <c r="AEB237" s="592">
        <v>210</v>
      </c>
      <c r="AEC237" s="759">
        <f t="shared" si="295"/>
        <v>0.501</v>
      </c>
      <c r="AED237" s="760"/>
      <c r="AEE237" s="757">
        <f t="shared" si="296"/>
        <v>4.9874999999999998</v>
      </c>
      <c r="AEF237" s="758"/>
      <c r="AEH237" s="1112">
        <v>-5.8823529411764698E-2</v>
      </c>
      <c r="AEI237" s="1112"/>
      <c r="AEJ237" s="1112">
        <v>0.79411764705882304</v>
      </c>
      <c r="AEK237" s="1112"/>
      <c r="AEL237" s="591">
        <v>260</v>
      </c>
      <c r="AEM237" s="759">
        <f t="shared" si="297"/>
        <v>0.43088235294117605</v>
      </c>
      <c r="AEN237" s="760"/>
      <c r="AEO237" s="757">
        <f t="shared" si="298"/>
        <v>6.1749999999999998</v>
      </c>
      <c r="AEP237" s="758"/>
      <c r="AER237" s="1112">
        <v>-3.5714285714285698E-2</v>
      </c>
      <c r="AES237" s="1112"/>
      <c r="AET237" s="1112">
        <v>0.63928571428571401</v>
      </c>
      <c r="AEU237" s="1112"/>
      <c r="AEV237" s="592">
        <v>310</v>
      </c>
      <c r="AEW237" s="759">
        <f t="shared" si="299"/>
        <v>0.37633928571428554</v>
      </c>
      <c r="AEX237" s="760"/>
      <c r="AEY237" s="757">
        <f t="shared" si="300"/>
        <v>7.3624999999999998</v>
      </c>
      <c r="AEZ237" s="758"/>
      <c r="AFB237" s="1112">
        <v>-3.5714285714285698E-2</v>
      </c>
      <c r="AFC237" s="1112"/>
      <c r="AFD237" s="1112">
        <v>0.63928571428571401</v>
      </c>
      <c r="AFE237" s="1112"/>
      <c r="AFF237" s="592">
        <v>360</v>
      </c>
      <c r="AFG237" s="759">
        <f t="shared" si="301"/>
        <v>0.33392857142857124</v>
      </c>
      <c r="AFH237" s="760"/>
      <c r="AFI237" s="757">
        <f t="shared" si="302"/>
        <v>8.5500000000000007</v>
      </c>
      <c r="AFJ237" s="758"/>
      <c r="AGJ237" s="130"/>
      <c r="AGK237" s="130"/>
      <c r="AGL237" s="850"/>
      <c r="AGM237" s="800" t="s">
        <v>1080</v>
      </c>
      <c r="AGN237" s="982"/>
      <c r="AGO237" s="761">
        <f>$GW$61</f>
        <v>0.7</v>
      </c>
      <c r="AGP237" s="761"/>
      <c r="AGQ237" s="957" t="s">
        <v>1510</v>
      </c>
      <c r="AGR237" s="957"/>
      <c r="AGS237" s="957"/>
      <c r="AGT237" s="957"/>
      <c r="AGU237" s="957"/>
      <c r="AGV237" s="957"/>
      <c r="AGW237" s="957"/>
      <c r="AGX237" s="957"/>
      <c r="AGY237" s="957"/>
      <c r="AGZ237" s="1353">
        <f>(GW61/GP57)*(AGO239/(GP57+AGO239))</f>
        <v>0.38532508223162637</v>
      </c>
      <c r="AHA237" s="836"/>
      <c r="AHB237" s="1167"/>
      <c r="AHC237" s="840"/>
      <c r="AHD237" s="1500"/>
      <c r="AHE237" s="1320" t="s">
        <v>1476</v>
      </c>
      <c r="AHF237" s="1320"/>
      <c r="AHG237" s="1320"/>
      <c r="AHH237" s="1289"/>
      <c r="AHI237" s="826"/>
      <c r="AHJ237" s="945"/>
      <c r="AHK237" s="945"/>
      <c r="AHL237" s="945"/>
      <c r="AHM237" s="945"/>
      <c r="AHN237" s="945"/>
      <c r="AHO237" s="945"/>
      <c r="AHP237" s="945"/>
      <c r="AHQ237" s="946"/>
      <c r="AIY237" s="130"/>
      <c r="AJE237" s="130"/>
      <c r="AJJ237" s="130"/>
      <c r="AJK237" s="130"/>
      <c r="AJL237" s="130"/>
      <c r="AJM237" s="130"/>
      <c r="AJN237" s="130"/>
      <c r="AJT237" s="130"/>
      <c r="AJU237" s="130"/>
      <c r="AJV237" s="130"/>
      <c r="AJW237" s="130"/>
      <c r="AJX237" s="130"/>
      <c r="AJY237" s="130"/>
      <c r="AJZ237" s="130"/>
      <c r="AKA237" s="130"/>
      <c r="AKB237" s="130"/>
      <c r="AKC237" s="130"/>
      <c r="AKD237" s="130"/>
      <c r="AKE237" s="130"/>
      <c r="AKF237" s="130"/>
      <c r="AKG237" s="130"/>
      <c r="AKH237" s="130"/>
      <c r="AKI237" s="130"/>
      <c r="AKJ237" s="130"/>
      <c r="AKK237" s="130"/>
      <c r="AKL237" s="130"/>
      <c r="AKM237" s="130"/>
      <c r="AKN237" s="130"/>
      <c r="ALQ237" s="130"/>
      <c r="AXG237" s="130"/>
      <c r="AXH237" s="130"/>
      <c r="AXI237" s="130"/>
      <c r="AXJ237" s="130"/>
      <c r="AXK237" s="130"/>
      <c r="AXL237" s="130"/>
      <c r="AXM237" s="130"/>
      <c r="AXN237" s="130"/>
      <c r="AXO237" s="130"/>
      <c r="AXP237" s="130"/>
      <c r="AXQ237" s="130"/>
      <c r="AXR237" s="130"/>
      <c r="AXS237" s="130"/>
      <c r="AXT237" s="130"/>
      <c r="AXU237" s="130"/>
      <c r="AXV237" s="130"/>
      <c r="AXW237" s="130"/>
      <c r="AXX237" s="130"/>
      <c r="AXY237" s="130"/>
      <c r="AXZ237" s="130"/>
      <c r="AYA237" s="130"/>
      <c r="AYB237" s="130"/>
      <c r="AYC237" s="130"/>
      <c r="AYD237" s="130"/>
      <c r="AYE237" s="130"/>
      <c r="AYF237" s="130"/>
      <c r="AYG237" s="130"/>
      <c r="AYH237" s="130"/>
      <c r="AYI237" s="130"/>
      <c r="AYJ237" s="130"/>
      <c r="AYK237" s="130"/>
      <c r="AYL237" s="130"/>
      <c r="AYM237" s="130"/>
      <c r="AYN237" s="130"/>
      <c r="AYO237" s="130"/>
      <c r="AYP237" s="130"/>
      <c r="AYQ237" s="130"/>
      <c r="AYR237" s="130"/>
      <c r="AYS237" s="130"/>
      <c r="AYT237" s="130"/>
      <c r="AYU237" s="130"/>
      <c r="AYV237" s="130"/>
      <c r="AYW237" s="130"/>
      <c r="AYX237" s="130"/>
      <c r="AYY237" s="130"/>
      <c r="AYZ237" s="130"/>
      <c r="AZA237" s="130"/>
      <c r="AZB237" s="130"/>
      <c r="AZC237" s="130"/>
      <c r="AZD237" s="130"/>
      <c r="AZE237" s="130"/>
      <c r="AZF237" s="130"/>
      <c r="AZG237" s="130"/>
      <c r="AZH237" s="130"/>
      <c r="AZI237" s="130"/>
      <c r="AZJ237" s="130"/>
      <c r="AZK237" s="130"/>
      <c r="AZL237" s="130"/>
      <c r="AZM237" s="130"/>
      <c r="AZN237" s="130"/>
      <c r="AZO237" s="130"/>
      <c r="AZP237" s="130"/>
      <c r="AZQ237" s="130"/>
      <c r="AZR237" s="130"/>
      <c r="AZS237" s="130"/>
      <c r="AZT237" s="130"/>
      <c r="AZU237" s="130"/>
      <c r="AZV237" s="130"/>
      <c r="AZW237" s="130"/>
      <c r="AZX237" s="130"/>
      <c r="AZY237" s="130"/>
      <c r="AZZ237" s="130"/>
      <c r="BAA237" s="130"/>
      <c r="BAB237" s="130"/>
      <c r="BAC237" s="130"/>
      <c r="BAD237" s="130"/>
      <c r="BAE237" s="130"/>
      <c r="BAF237" s="130"/>
      <c r="BAG237" s="130"/>
      <c r="BAH237" s="130"/>
      <c r="BAI237" s="130"/>
      <c r="BAJ237" s="130"/>
      <c r="BAK237" s="130"/>
      <c r="BAL237" s="130"/>
      <c r="BAM237" s="130"/>
      <c r="BAN237" s="130"/>
      <c r="BAO237" s="130"/>
      <c r="BAP237" s="130"/>
      <c r="BAQ237" s="130"/>
      <c r="BAR237" s="130"/>
      <c r="BAS237" s="130"/>
      <c r="BAT237" s="130"/>
      <c r="BAU237" s="130"/>
      <c r="BAV237" s="130"/>
      <c r="BAW237" s="130"/>
      <c r="BAX237" s="130"/>
      <c r="BAY237" s="130"/>
      <c r="BAZ237" s="130"/>
      <c r="BBA237" s="130"/>
      <c r="BBB237" s="130"/>
      <c r="BBC237" s="130"/>
      <c r="BBD237" s="130"/>
      <c r="BBE237" s="130"/>
      <c r="BBF237" s="130"/>
      <c r="BBG237" s="130"/>
      <c r="BBH237" s="130"/>
      <c r="BBI237" s="130"/>
      <c r="BBJ237" s="130"/>
      <c r="BBK237" s="130"/>
      <c r="BBL237" s="130"/>
      <c r="BBM237" s="130"/>
      <c r="BBN237" s="130"/>
    </row>
    <row r="238" spans="8:1005 1137:1418" s="211" customFormat="1" ht="48" customHeight="1" thickBot="1">
      <c r="H238" s="214"/>
      <c r="K238" s="215"/>
      <c r="L238" s="214"/>
      <c r="M238" s="214"/>
      <c r="LY238" s="1"/>
      <c r="LZ238" s="1"/>
      <c r="MA238" s="1"/>
      <c r="MB238" s="1"/>
      <c r="MC238" s="1"/>
      <c r="MD238" s="196"/>
      <c r="ME238" s="852" t="s">
        <v>1731</v>
      </c>
      <c r="MF238" s="853"/>
      <c r="MG238" s="196"/>
      <c r="MH238" s="1069" t="s">
        <v>113</v>
      </c>
      <c r="MI238" s="1070"/>
      <c r="MJ238" s="1070"/>
      <c r="MK238" s="1070"/>
      <c r="ML238" s="1070"/>
      <c r="MM238" s="1070"/>
      <c r="MN238" s="1070"/>
      <c r="MO238" s="1070"/>
      <c r="MP238" s="1070"/>
      <c r="MQ238" s="1070"/>
      <c r="MR238" s="1071"/>
      <c r="MS238" s="196"/>
      <c r="MT238" s="1"/>
      <c r="MU238" s="1"/>
      <c r="MV238" s="1"/>
      <c r="MW238" s="1"/>
      <c r="MX238" s="1"/>
      <c r="MY238" s="1"/>
      <c r="MZ238" s="1"/>
      <c r="NA238" s="1"/>
      <c r="NB238" s="1"/>
      <c r="NC238" s="1"/>
      <c r="ND238" s="1"/>
      <c r="NE238" s="1"/>
      <c r="NF238" s="653"/>
      <c r="NG238" s="653"/>
      <c r="NH238" s="653"/>
      <c r="NI238" s="1"/>
      <c r="OQ238" s="1"/>
      <c r="OR238" s="1"/>
      <c r="OS238" s="1"/>
      <c r="OT238" s="1"/>
      <c r="OU238" s="1"/>
      <c r="OV238" s="1"/>
      <c r="OW238" s="1"/>
      <c r="OX238" s="1"/>
      <c r="OY238" s="1"/>
      <c r="OZ238" s="1"/>
      <c r="QW238" s="130"/>
      <c r="QX238" s="130"/>
      <c r="QY238" s="130"/>
      <c r="QZ238" s="130"/>
      <c r="RA238" s="130"/>
      <c r="RB238" s="130"/>
      <c r="RC238" s="130"/>
      <c r="RD238" s="130"/>
      <c r="RE238" s="130"/>
      <c r="RF238" s="130"/>
      <c r="RG238" s="130"/>
      <c r="RH238" s="130"/>
      <c r="RI238" s="130"/>
      <c r="ACJ238" s="759">
        <v>-4.0625000000000001E-2</v>
      </c>
      <c r="ACK238" s="760"/>
      <c r="ACL238" s="759">
        <v>0.96499999999999997</v>
      </c>
      <c r="ACM238" s="760"/>
      <c r="ACN238" s="591">
        <v>11</v>
      </c>
      <c r="ACO238" s="759">
        <f t="shared" si="287"/>
        <v>0.95438671874999992</v>
      </c>
      <c r="ACP238" s="760"/>
      <c r="ACQ238" s="757">
        <f t="shared" si="288"/>
        <v>0.26124999999999998</v>
      </c>
      <c r="ACR238" s="758"/>
      <c r="ACS238" s="1"/>
      <c r="ACT238" s="759">
        <v>-4.0625000000000001E-2</v>
      </c>
      <c r="ACU238" s="760"/>
      <c r="ACV238" s="759">
        <v>0.96499999999999997</v>
      </c>
      <c r="ACW238" s="760"/>
      <c r="ACX238" s="591">
        <v>61</v>
      </c>
      <c r="ACY238" s="759">
        <f t="shared" si="289"/>
        <v>0.90614453124999994</v>
      </c>
      <c r="ACZ238" s="760"/>
      <c r="ADA238" s="757">
        <f t="shared" si="290"/>
        <v>1.44875</v>
      </c>
      <c r="ADB238" s="758"/>
      <c r="ADC238" s="1"/>
      <c r="ADD238" s="1112">
        <v>-0.2</v>
      </c>
      <c r="ADE238" s="1112"/>
      <c r="ADF238" s="1112">
        <v>1.3</v>
      </c>
      <c r="ADG238" s="1112"/>
      <c r="ADH238" s="592">
        <v>111</v>
      </c>
      <c r="ADI238" s="759">
        <f t="shared" si="291"/>
        <v>0.77275000000000005</v>
      </c>
      <c r="ADJ238" s="760"/>
      <c r="ADK238" s="757">
        <f t="shared" si="292"/>
        <v>2.63625</v>
      </c>
      <c r="ADL238" s="758"/>
      <c r="ADM238" s="1"/>
      <c r="ADN238" s="1112">
        <v>-0.12</v>
      </c>
      <c r="ADO238" s="1112"/>
      <c r="ADP238" s="1112">
        <v>1.06</v>
      </c>
      <c r="ADQ238" s="1112"/>
      <c r="ADR238" s="591">
        <v>161</v>
      </c>
      <c r="ADS238" s="759">
        <f t="shared" si="293"/>
        <v>0.60115000000000007</v>
      </c>
      <c r="ADT238" s="760"/>
      <c r="ADU238" s="757">
        <f t="shared" si="294"/>
        <v>3.82375</v>
      </c>
      <c r="ADV238" s="758"/>
      <c r="ADW238" s="1"/>
      <c r="ADX238" s="759">
        <v>-0.08</v>
      </c>
      <c r="ADY238" s="760"/>
      <c r="ADZ238" s="759">
        <v>0.9</v>
      </c>
      <c r="AEA238" s="760"/>
      <c r="AEB238" s="592">
        <v>211</v>
      </c>
      <c r="AEC238" s="759">
        <f t="shared" si="295"/>
        <v>0.49909999999999999</v>
      </c>
      <c r="AED238" s="760"/>
      <c r="AEE238" s="757">
        <f t="shared" si="296"/>
        <v>5.0112500000000004</v>
      </c>
      <c r="AEF238" s="758"/>
      <c r="AEG238" s="1"/>
      <c r="AEH238" s="1112">
        <v>-5.8823529411764698E-2</v>
      </c>
      <c r="AEI238" s="1112"/>
      <c r="AEJ238" s="1112">
        <v>0.79411764705882304</v>
      </c>
      <c r="AEK238" s="1112"/>
      <c r="AEL238" s="591">
        <v>261</v>
      </c>
      <c r="AEM238" s="759">
        <f t="shared" si="297"/>
        <v>0.42948529411764658</v>
      </c>
      <c r="AEN238" s="760"/>
      <c r="AEO238" s="757">
        <f t="shared" si="298"/>
        <v>6.1987500000000004</v>
      </c>
      <c r="AEP238" s="758"/>
      <c r="AEQ238" s="1"/>
      <c r="AER238" s="1112">
        <v>-3.5714285714285698E-2</v>
      </c>
      <c r="AES238" s="1112"/>
      <c r="AET238" s="1112">
        <v>0.63928571428571401</v>
      </c>
      <c r="AEU238" s="1112"/>
      <c r="AEV238" s="592">
        <v>311</v>
      </c>
      <c r="AEW238" s="759">
        <f t="shared" si="299"/>
        <v>0.37549107142857124</v>
      </c>
      <c r="AEX238" s="760"/>
      <c r="AEY238" s="757">
        <f t="shared" si="300"/>
        <v>7.3862500000000004</v>
      </c>
      <c r="AEZ238" s="758"/>
      <c r="AFA238" s="1"/>
      <c r="AFB238" s="1112">
        <v>-3.5714285714285698E-2</v>
      </c>
      <c r="AFC238" s="1112"/>
      <c r="AFD238" s="1112">
        <v>0.63928571428571401</v>
      </c>
      <c r="AFE238" s="1112"/>
      <c r="AFF238" s="592">
        <v>361</v>
      </c>
      <c r="AFG238" s="759">
        <f t="shared" si="301"/>
        <v>0.333080357142857</v>
      </c>
      <c r="AFH238" s="760"/>
      <c r="AFI238" s="757">
        <f t="shared" si="302"/>
        <v>8.5737500000000004</v>
      </c>
      <c r="AFJ238" s="758"/>
      <c r="AGJ238" s="130"/>
      <c r="AGK238" s="130"/>
      <c r="AGL238" s="850"/>
      <c r="AGM238" s="800" t="s">
        <v>1080</v>
      </c>
      <c r="AGN238" s="982"/>
      <c r="AGO238" s="761">
        <f>$GW$61</f>
        <v>0.7</v>
      </c>
      <c r="AGP238" s="761"/>
      <c r="AGQ238" s="957"/>
      <c r="AGR238" s="957"/>
      <c r="AGS238" s="957"/>
      <c r="AGT238" s="957"/>
      <c r="AGU238" s="957"/>
      <c r="AGV238" s="957"/>
      <c r="AGW238" s="957"/>
      <c r="AGX238" s="957"/>
      <c r="AGY238" s="957"/>
      <c r="AGZ238" s="1354"/>
      <c r="AHA238" s="838"/>
      <c r="AHB238" s="1169"/>
      <c r="AHC238" s="799"/>
      <c r="AHD238" s="1501"/>
      <c r="AHE238" s="1321"/>
      <c r="AHF238" s="1321"/>
      <c r="AHG238" s="1321"/>
      <c r="AHH238" s="1290"/>
      <c r="AHI238" s="827"/>
      <c r="AHJ238" s="947"/>
      <c r="AHK238" s="947"/>
      <c r="AHL238" s="947"/>
      <c r="AHM238" s="947"/>
      <c r="AHN238" s="947"/>
      <c r="AHO238" s="947"/>
      <c r="AHP238" s="947"/>
      <c r="AHQ238" s="948"/>
      <c r="AHR238" s="1"/>
      <c r="AHS238" s="1"/>
      <c r="AHT238" s="1"/>
      <c r="AHU238" s="1"/>
      <c r="AHV238" s="1"/>
      <c r="AHW238" s="130"/>
      <c r="AIY238" s="130"/>
      <c r="AJE238" s="130"/>
      <c r="AJJ238" s="130"/>
      <c r="AJK238" s="130"/>
      <c r="AJL238" s="130"/>
      <c r="AJM238" s="130"/>
      <c r="AJN238" s="130"/>
      <c r="AJT238" s="130"/>
      <c r="AJU238" s="130"/>
      <c r="AJV238" s="130"/>
      <c r="AJW238" s="130"/>
      <c r="AJX238" s="130"/>
      <c r="AJY238" s="130"/>
      <c r="AJZ238" s="130"/>
      <c r="AKA238" s="130"/>
      <c r="AKB238" s="130"/>
      <c r="AKC238" s="130"/>
      <c r="AKD238" s="130"/>
      <c r="AKE238" s="130"/>
      <c r="AKF238" s="130"/>
      <c r="AKG238" s="130"/>
      <c r="AKH238" s="130"/>
      <c r="AKI238" s="130"/>
      <c r="AKJ238" s="130"/>
      <c r="AKK238" s="130"/>
      <c r="AKL238" s="130"/>
      <c r="AKM238" s="130"/>
      <c r="AKN238" s="130"/>
      <c r="ALQ238" s="130"/>
      <c r="AQS238" s="130"/>
      <c r="AQT238" s="130"/>
      <c r="AQU238" s="130"/>
      <c r="AQV238" s="653"/>
      <c r="AQW238" s="653"/>
      <c r="AQX238" s="653"/>
      <c r="AQY238" s="653"/>
      <c r="AQZ238" s="653"/>
      <c r="ARA238" s="653"/>
      <c r="ARB238" s="653"/>
      <c r="ARC238" s="653"/>
      <c r="ARD238" s="653"/>
      <c r="ARE238" s="653"/>
      <c r="ARF238" s="653"/>
      <c r="ARG238" s="130"/>
      <c r="ARH238" s="130"/>
      <c r="ARI238" s="130"/>
      <c r="ARJ238" s="130"/>
      <c r="ARK238" s="130"/>
      <c r="ARL238" s="130"/>
      <c r="ARM238" s="130"/>
      <c r="ARN238" s="130"/>
      <c r="ARO238" s="130"/>
      <c r="ARP238" s="130"/>
      <c r="ARQ238" s="130"/>
      <c r="ARR238" s="130"/>
      <c r="ARS238" s="130"/>
      <c r="ART238" s="130"/>
      <c r="ASQ238" s="1"/>
      <c r="ASR238" s="1"/>
      <c r="ASS238" s="1"/>
      <c r="AST238" s="1"/>
      <c r="ASU238" s="1"/>
      <c r="ASV238" s="1"/>
      <c r="ASW238" s="1"/>
      <c r="ASX238" s="1"/>
      <c r="ASY238" s="1"/>
      <c r="ASZ238" s="1"/>
      <c r="ATA238" s="1"/>
      <c r="ATB238" s="1"/>
      <c r="ATC238" s="1"/>
      <c r="ATD238" s="849"/>
      <c r="ATE238" s="852" t="s">
        <v>416</v>
      </c>
      <c r="ATF238" s="853"/>
      <c r="ATG238" s="142"/>
      <c r="ATH238" s="78"/>
      <c r="ATI238" s="78"/>
      <c r="ATJ238" s="78"/>
      <c r="ATK238" s="78"/>
      <c r="ATL238" s="78"/>
      <c r="ATM238" s="78"/>
      <c r="ATN238" s="142"/>
      <c r="ATO238" s="76" t="s">
        <v>441</v>
      </c>
      <c r="ATP238" s="854" t="s">
        <v>435</v>
      </c>
      <c r="ATQ238" s="855"/>
      <c r="ATR238" s="920" t="s">
        <v>111</v>
      </c>
      <c r="ATS238" s="921"/>
      <c r="ATT238" s="916" t="s">
        <v>704</v>
      </c>
      <c r="ATU238" s="917"/>
      <c r="ATV238" s="906" t="s">
        <v>447</v>
      </c>
      <c r="ATW238" s="907"/>
      <c r="ATX238" s="907"/>
      <c r="ATY238" s="908"/>
      <c r="ATZ238" s="130"/>
      <c r="AUA238" s="130"/>
      <c r="AUB238" s="130"/>
      <c r="AUC238" s="130"/>
      <c r="AUD238" s="130"/>
      <c r="AUE238" s="130"/>
      <c r="AUF238" s="1"/>
      <c r="AUG238" s="1"/>
      <c r="AUH238" s="1"/>
      <c r="AUI238" s="1"/>
      <c r="AUJ238" s="1"/>
      <c r="AUK238" s="1"/>
      <c r="AUL238" s="1"/>
      <c r="AUM238" s="1"/>
      <c r="AUN238" s="1"/>
      <c r="AUO238" s="1"/>
      <c r="AUP238" s="1"/>
      <c r="AUQ238" s="1"/>
      <c r="AUR238" s="130"/>
      <c r="AUS238" s="130"/>
      <c r="AUT238" s="130"/>
      <c r="AUU238" s="130"/>
      <c r="AUV238" s="130"/>
      <c r="AUW238" s="130"/>
      <c r="AUX238" s="130"/>
      <c r="AUY238" s="130"/>
      <c r="AUZ238" s="130"/>
      <c r="AVA238" s="130"/>
      <c r="AVB238" s="130"/>
      <c r="AVC238" s="130"/>
      <c r="AVD238" s="130"/>
      <c r="AVE238" s="130"/>
      <c r="AVF238" s="130"/>
      <c r="AVG238" s="130"/>
      <c r="AVH238" s="130"/>
      <c r="AVI238" s="130"/>
      <c r="AVJ238" s="130"/>
      <c r="AVK238" s="130"/>
      <c r="AVL238" s="130"/>
      <c r="AVM238" s="130"/>
      <c r="AVN238" s="130"/>
      <c r="AVO238" s="130"/>
      <c r="AVP238" s="130"/>
      <c r="AVQ238" s="130"/>
      <c r="AVR238" s="130"/>
      <c r="AVS238" s="130"/>
      <c r="AVT238" s="130"/>
      <c r="AVU238" s="130"/>
      <c r="AVV238" s="130"/>
      <c r="AVW238" s="130"/>
      <c r="AVX238" s="130"/>
      <c r="AVY238" s="130"/>
      <c r="AVZ238" s="130"/>
      <c r="AWA238" s="130"/>
      <c r="AWB238" s="130"/>
      <c r="AWC238" s="130"/>
      <c r="AWD238" s="130"/>
      <c r="AWE238" s="130"/>
      <c r="AWF238" s="130"/>
      <c r="AWG238" s="130"/>
      <c r="AWH238" s="130"/>
      <c r="AWI238" s="130"/>
      <c r="AWJ238" s="130"/>
      <c r="AWK238" s="130"/>
      <c r="AWL238" s="130"/>
      <c r="AWM238" s="130"/>
      <c r="AWN238" s="130"/>
      <c r="AWO238" s="130"/>
      <c r="AWP238" s="130"/>
      <c r="AWQ238" s="130"/>
      <c r="AWR238" s="130"/>
      <c r="AWS238" s="130"/>
      <c r="AWT238" s="130"/>
      <c r="AWU238" s="130"/>
      <c r="AWV238" s="130"/>
      <c r="AWW238" s="130"/>
      <c r="AWX238" s="130"/>
      <c r="AWY238" s="130"/>
      <c r="AWZ238" s="130"/>
      <c r="AXA238" s="130"/>
      <c r="AXB238" s="130"/>
      <c r="AXC238" s="130"/>
      <c r="AXD238" s="130"/>
      <c r="AXE238" s="130"/>
      <c r="AXF238" s="130"/>
      <c r="AXG238" s="130"/>
      <c r="AXH238" s="130"/>
      <c r="AXI238" s="130"/>
      <c r="AXJ238" s="130"/>
      <c r="AXK238" s="130"/>
      <c r="AXL238" s="130"/>
      <c r="AXM238" s="130"/>
      <c r="AXN238" s="130"/>
      <c r="AXO238" s="130"/>
      <c r="AXP238" s="130"/>
      <c r="AXQ238" s="130"/>
      <c r="AXR238" s="130"/>
      <c r="AXS238" s="130"/>
      <c r="AXT238" s="130"/>
      <c r="AXU238" s="130"/>
      <c r="AXV238" s="130"/>
      <c r="AXW238" s="130"/>
      <c r="AXX238" s="130"/>
      <c r="AXY238" s="130"/>
      <c r="AXZ238" s="130"/>
      <c r="AYA238" s="130"/>
      <c r="AYB238" s="130"/>
      <c r="AYC238" s="130"/>
      <c r="AYD238" s="130"/>
      <c r="AYE238" s="130"/>
      <c r="AYF238" s="130"/>
      <c r="AYG238" s="130"/>
      <c r="AYH238" s="130"/>
      <c r="AYI238" s="130"/>
      <c r="AYJ238" s="130"/>
      <c r="AYK238" s="130"/>
      <c r="AYL238" s="130"/>
      <c r="AYM238" s="130"/>
      <c r="AYN238" s="130"/>
      <c r="AYO238" s="130"/>
      <c r="AYP238" s="130"/>
      <c r="AYQ238" s="130"/>
      <c r="AYR238" s="130"/>
      <c r="AYS238" s="130"/>
      <c r="AYT238" s="130"/>
      <c r="AYU238" s="130"/>
      <c r="AYV238" s="130"/>
      <c r="AYW238" s="130"/>
      <c r="AYX238" s="130"/>
      <c r="AYY238" s="130"/>
      <c r="AYZ238" s="130"/>
      <c r="AZA238" s="130"/>
      <c r="AZB238" s="130"/>
      <c r="AZC238" s="130"/>
      <c r="AZD238" s="130"/>
      <c r="AZE238" s="130"/>
      <c r="AZF238" s="130"/>
      <c r="AZG238" s="130"/>
      <c r="AZH238" s="130"/>
      <c r="AZI238" s="130"/>
      <c r="AZJ238" s="130"/>
      <c r="AZK238" s="130"/>
      <c r="AZL238" s="130"/>
      <c r="AZM238" s="130"/>
      <c r="AZN238" s="130"/>
      <c r="AZO238" s="130"/>
      <c r="AZP238" s="130"/>
      <c r="AZQ238" s="130"/>
      <c r="AZR238" s="130"/>
      <c r="AZS238" s="130"/>
      <c r="AZT238" s="130"/>
      <c r="AZU238" s="130"/>
      <c r="AZV238" s="130"/>
      <c r="AZW238" s="130"/>
      <c r="AZX238" s="130"/>
      <c r="AZY238" s="130"/>
      <c r="AZZ238" s="130"/>
      <c r="BAA238" s="130"/>
      <c r="BAB238" s="130"/>
      <c r="BAC238" s="130"/>
      <c r="BAD238" s="130"/>
      <c r="BAE238" s="130"/>
      <c r="BAF238" s="130"/>
      <c r="BAG238" s="130"/>
      <c r="BAH238" s="130"/>
      <c r="BAI238" s="130"/>
      <c r="BAJ238" s="130"/>
      <c r="BAK238" s="130"/>
      <c r="BAL238" s="130"/>
      <c r="BAM238" s="130"/>
      <c r="BAN238" s="130"/>
      <c r="BAO238" s="130"/>
      <c r="BAP238" s="130"/>
      <c r="BAQ238" s="130"/>
      <c r="BAR238" s="130"/>
      <c r="BAS238" s="130"/>
      <c r="BAT238" s="130"/>
      <c r="BAU238" s="130"/>
      <c r="BAV238" s="130"/>
      <c r="BAW238" s="130"/>
      <c r="BAX238" s="130"/>
      <c r="BAY238" s="130"/>
      <c r="BAZ238" s="130"/>
      <c r="BBA238" s="130"/>
      <c r="BBB238" s="130"/>
      <c r="BBC238" s="130"/>
      <c r="BBD238" s="130"/>
      <c r="BBE238" s="130"/>
      <c r="BBF238" s="130"/>
      <c r="BBG238" s="130"/>
      <c r="BBH238" s="130"/>
      <c r="BBI238" s="130"/>
      <c r="BBJ238" s="130"/>
      <c r="BBK238" s="130"/>
      <c r="BBL238" s="130"/>
      <c r="BBM238" s="130"/>
      <c r="BBN238" s="130"/>
    </row>
    <row r="239" spans="8:1005 1137:1418" ht="48" customHeight="1" thickBot="1">
      <c r="NF239" s="653"/>
      <c r="NG239" s="653"/>
      <c r="NH239" s="653"/>
      <c r="QW239" s="130"/>
      <c r="QX239" s="130"/>
      <c r="QY239" s="130"/>
      <c r="QZ239" s="130"/>
      <c r="RA239" s="130"/>
      <c r="RB239" s="130"/>
      <c r="RC239" s="130"/>
      <c r="RD239" s="130"/>
      <c r="RE239" s="130"/>
      <c r="RF239" s="130"/>
      <c r="RG239" s="130"/>
      <c r="RH239" s="130"/>
      <c r="RI239" s="130"/>
      <c r="ACJ239" s="759">
        <v>-4.0625000000000001E-2</v>
      </c>
      <c r="ACK239" s="760"/>
      <c r="ACL239" s="759">
        <v>0.96499999999999997</v>
      </c>
      <c r="ACM239" s="760"/>
      <c r="ACN239" s="591">
        <v>12</v>
      </c>
      <c r="ACO239" s="759">
        <f t="shared" si="287"/>
        <v>0.95342187499999997</v>
      </c>
      <c r="ACP239" s="760"/>
      <c r="ACQ239" s="757">
        <f t="shared" si="288"/>
        <v>0.28500000000000003</v>
      </c>
      <c r="ACR239" s="758"/>
      <c r="ACT239" s="759">
        <v>-4.0625000000000001E-2</v>
      </c>
      <c r="ACU239" s="760"/>
      <c r="ACV239" s="759">
        <v>0.96499999999999997</v>
      </c>
      <c r="ACW239" s="760"/>
      <c r="ACX239" s="591">
        <v>62</v>
      </c>
      <c r="ACY239" s="759">
        <f t="shared" si="289"/>
        <v>0.9051796875</v>
      </c>
      <c r="ACZ239" s="760"/>
      <c r="ADA239" s="757">
        <f t="shared" si="290"/>
        <v>1.4724999999999999</v>
      </c>
      <c r="ADB239" s="758"/>
      <c r="ADD239" s="1112">
        <v>-0.2</v>
      </c>
      <c r="ADE239" s="1112"/>
      <c r="ADF239" s="1112">
        <v>1.3</v>
      </c>
      <c r="ADG239" s="1112"/>
      <c r="ADH239" s="592">
        <v>112</v>
      </c>
      <c r="ADI239" s="759">
        <f t="shared" si="291"/>
        <v>0.76800000000000002</v>
      </c>
      <c r="ADJ239" s="760"/>
      <c r="ADK239" s="757">
        <f t="shared" si="292"/>
        <v>2.66</v>
      </c>
      <c r="ADL239" s="758"/>
      <c r="ADN239" s="1112">
        <v>-0.12</v>
      </c>
      <c r="ADO239" s="1112"/>
      <c r="ADP239" s="1112">
        <v>1.06</v>
      </c>
      <c r="ADQ239" s="1112"/>
      <c r="ADR239" s="591">
        <v>162</v>
      </c>
      <c r="ADS239" s="759">
        <f t="shared" si="293"/>
        <v>0.59830000000000005</v>
      </c>
      <c r="ADT239" s="760"/>
      <c r="ADU239" s="757">
        <f t="shared" si="294"/>
        <v>3.8475000000000001</v>
      </c>
      <c r="ADV239" s="758"/>
      <c r="ADX239" s="1112">
        <v>-5.8823529411764684E-2</v>
      </c>
      <c r="ADY239" s="1112"/>
      <c r="ADZ239" s="1112">
        <v>0.79411764705882337</v>
      </c>
      <c r="AEA239" s="1112"/>
      <c r="AEB239" s="591">
        <v>212</v>
      </c>
      <c r="AEC239" s="759">
        <f t="shared" si="295"/>
        <v>0.49794117647058816</v>
      </c>
      <c r="AED239" s="760"/>
      <c r="AEE239" s="757">
        <f t="shared" si="296"/>
        <v>5.0350000000000001</v>
      </c>
      <c r="AEF239" s="758"/>
      <c r="AEH239" s="1112">
        <v>-5.8823529411764698E-2</v>
      </c>
      <c r="AEI239" s="1112"/>
      <c r="AEJ239" s="1112">
        <v>0.79411764705882304</v>
      </c>
      <c r="AEK239" s="1112"/>
      <c r="AEL239" s="591">
        <v>262</v>
      </c>
      <c r="AEM239" s="759">
        <f t="shared" si="297"/>
        <v>0.42808823529411721</v>
      </c>
      <c r="AEN239" s="760"/>
      <c r="AEO239" s="757">
        <f t="shared" si="298"/>
        <v>6.2225000000000001</v>
      </c>
      <c r="AEP239" s="758"/>
      <c r="AER239" s="1112">
        <v>-3.5714285714285698E-2</v>
      </c>
      <c r="AES239" s="1112"/>
      <c r="AET239" s="1112">
        <v>0.63928571428571401</v>
      </c>
      <c r="AEU239" s="1112"/>
      <c r="AEV239" s="592">
        <v>312</v>
      </c>
      <c r="AEW239" s="759">
        <f t="shared" si="299"/>
        <v>0.374642857142857</v>
      </c>
      <c r="AEX239" s="760"/>
      <c r="AEY239" s="757">
        <f t="shared" si="300"/>
        <v>7.41</v>
      </c>
      <c r="AEZ239" s="758"/>
      <c r="AFB239" s="1112">
        <v>-3.5714285714285698E-2</v>
      </c>
      <c r="AFC239" s="1112"/>
      <c r="AFD239" s="1112">
        <v>0.63928571428571401</v>
      </c>
      <c r="AFE239" s="1112"/>
      <c r="AFF239" s="592">
        <v>362</v>
      </c>
      <c r="AFG239" s="759">
        <f t="shared" si="301"/>
        <v>0.3322321428571427</v>
      </c>
      <c r="AFH239" s="760"/>
      <c r="AFI239" s="757">
        <f t="shared" si="302"/>
        <v>8.5975000000000001</v>
      </c>
      <c r="AFJ239" s="758"/>
      <c r="AGJ239" s="130"/>
      <c r="AGK239" s="130"/>
      <c r="AGL239" s="851"/>
      <c r="AGM239" s="802" t="s">
        <v>1491</v>
      </c>
      <c r="AGN239" s="803"/>
      <c r="AGO239" s="1108">
        <f>$AGZ$227</f>
        <v>7.1056843478260898</v>
      </c>
      <c r="AGP239" s="1109"/>
      <c r="AGQ239" s="1147"/>
      <c r="AGR239" s="1147"/>
      <c r="AGS239" s="1147"/>
      <c r="AGT239" s="1147"/>
      <c r="AGU239" s="1147"/>
      <c r="AGV239" s="1147"/>
      <c r="AGW239" s="1147"/>
      <c r="AGX239" s="1147"/>
      <c r="AGY239" s="1147"/>
      <c r="AGZ239" s="943"/>
      <c r="AHA239" s="943"/>
      <c r="AHB239" s="943"/>
      <c r="AHC239" s="943"/>
      <c r="AHD239" s="943"/>
      <c r="AHE239" s="943"/>
      <c r="AHF239" s="943"/>
      <c r="AHG239" s="943"/>
      <c r="AHH239" s="943"/>
      <c r="AHI239" s="828"/>
      <c r="AHJ239" s="949"/>
      <c r="AHK239" s="949"/>
      <c r="AHL239" s="949"/>
      <c r="AHM239" s="949"/>
      <c r="AHN239" s="949"/>
      <c r="AHO239" s="949"/>
      <c r="AHP239" s="949"/>
      <c r="AHQ239" s="950"/>
      <c r="AHW239" s="130"/>
      <c r="AJE239" s="130"/>
      <c r="AJJ239" s="130"/>
      <c r="AJK239" s="130"/>
      <c r="AJL239" s="130"/>
      <c r="AJM239" s="130"/>
      <c r="AJN239" s="130"/>
      <c r="AJT239" s="130"/>
      <c r="AJU239" s="130"/>
      <c r="AJV239" s="130"/>
      <c r="AJW239" s="130"/>
      <c r="AJX239" s="130"/>
      <c r="AJY239" s="130"/>
      <c r="AJZ239" s="130"/>
      <c r="AKA239" s="130"/>
      <c r="AKB239" s="130"/>
      <c r="AKC239" s="130"/>
      <c r="AKD239" s="130"/>
      <c r="AKE239" s="130"/>
      <c r="AKF239" s="130"/>
      <c r="AKG239" s="130"/>
      <c r="AKH239" s="130"/>
      <c r="AKI239" s="130"/>
      <c r="AKJ239" s="130"/>
      <c r="AKK239" s="130"/>
      <c r="AKL239" s="130"/>
      <c r="AKM239" s="130"/>
      <c r="AKN239" s="130"/>
      <c r="ALQ239" s="130"/>
      <c r="AQS239" s="130"/>
      <c r="AQT239" s="130"/>
      <c r="AQU239" s="130"/>
      <c r="AQV239" s="653"/>
      <c r="AQW239" s="653"/>
      <c r="AQX239" s="653"/>
      <c r="AQY239" s="653"/>
      <c r="AQZ239" s="653"/>
      <c r="ARA239" s="653"/>
      <c r="ARB239" s="653"/>
      <c r="ARC239" s="653"/>
      <c r="ARD239" s="653"/>
      <c r="ARE239" s="653"/>
      <c r="ARF239" s="653"/>
      <c r="ARG239" s="130"/>
      <c r="ARH239" s="130"/>
      <c r="ARI239" s="130"/>
      <c r="ARJ239" s="130"/>
      <c r="ARK239" s="130"/>
      <c r="ARL239" s="130"/>
      <c r="ARM239" s="130"/>
      <c r="ARN239" s="130"/>
      <c r="ARO239" s="130"/>
      <c r="ARP239" s="130"/>
      <c r="ARQ239" s="130"/>
      <c r="ARR239" s="130"/>
      <c r="ARS239" s="130"/>
      <c r="ART239" s="130"/>
      <c r="ATD239" s="850"/>
      <c r="ATE239" s="1486" t="s">
        <v>384</v>
      </c>
      <c r="ATF239" s="1486"/>
      <c r="ATG239" s="1486"/>
      <c r="ATH239" s="1486"/>
      <c r="ATI239" s="1486"/>
      <c r="ATJ239" s="1486"/>
      <c r="ATK239" s="1486"/>
      <c r="ATL239" s="1486"/>
      <c r="ATM239" s="1486"/>
      <c r="ATN239" s="1486"/>
      <c r="ATO239" s="1486"/>
      <c r="ATP239" s="1486"/>
      <c r="ATQ239" s="1486"/>
      <c r="ATR239" s="1488">
        <f>CO127</f>
        <v>1.1399999999999999</v>
      </c>
      <c r="ATS239" s="1489"/>
      <c r="ATT239" s="1482" t="s">
        <v>958</v>
      </c>
      <c r="ATU239" s="1483"/>
      <c r="ATV239" s="841"/>
      <c r="ATW239" s="843" t="s">
        <v>416</v>
      </c>
      <c r="ATX239" s="844"/>
      <c r="ATY239" s="847"/>
      <c r="ATZ239" s="130"/>
      <c r="AUA239" s="130"/>
      <c r="AUB239" s="130"/>
      <c r="AUC239" s="130"/>
      <c r="AUD239" s="130"/>
      <c r="AUE239" s="130"/>
      <c r="AUF239" s="211"/>
      <c r="AUG239" s="211"/>
      <c r="AUH239" s="211"/>
      <c r="AUI239" s="211"/>
      <c r="AUJ239" s="211"/>
      <c r="AUK239" s="211"/>
      <c r="AUL239" s="211"/>
      <c r="AUM239" s="211"/>
      <c r="AUN239" s="211"/>
      <c r="AUO239" s="211"/>
      <c r="AUP239" s="211"/>
      <c r="AUQ239" s="211"/>
      <c r="AUR239" s="130"/>
      <c r="AUS239" s="130"/>
      <c r="AUT239" s="130"/>
      <c r="AUU239" s="130"/>
      <c r="AUV239" s="130"/>
      <c r="AUW239" s="130"/>
      <c r="AUX239" s="130"/>
      <c r="AUY239" s="130"/>
      <c r="AUZ239" s="130"/>
      <c r="AVA239" s="130"/>
      <c r="AVB239" s="130"/>
      <c r="AVC239" s="130"/>
      <c r="AVD239" s="130"/>
      <c r="AVE239" s="130"/>
      <c r="AVF239" s="130"/>
      <c r="AVG239" s="130"/>
      <c r="AVH239" s="130"/>
      <c r="AVI239" s="130"/>
      <c r="AVJ239" s="130"/>
      <c r="AVK239" s="130"/>
      <c r="AVL239" s="130"/>
      <c r="AVM239" s="130"/>
      <c r="AVN239" s="130"/>
      <c r="AVO239" s="130"/>
      <c r="AVP239" s="130"/>
      <c r="AVQ239" s="130"/>
      <c r="AVR239" s="130"/>
      <c r="AVS239" s="130"/>
      <c r="AVT239" s="130"/>
      <c r="AVU239" s="130"/>
      <c r="AVV239" s="130"/>
      <c r="AVW239" s="130"/>
      <c r="AVX239" s="130"/>
      <c r="AVY239" s="130"/>
      <c r="AVZ239" s="130"/>
      <c r="AWA239" s="130"/>
      <c r="AWB239" s="130"/>
      <c r="AWC239" s="130"/>
      <c r="AWD239" s="130"/>
      <c r="AWE239" s="130"/>
      <c r="AWF239" s="130"/>
      <c r="AWG239" s="130"/>
      <c r="AWH239" s="130"/>
      <c r="AWI239" s="130"/>
      <c r="AWJ239" s="130"/>
      <c r="AWK239" s="130"/>
      <c r="AWL239" s="130"/>
      <c r="AWM239" s="130"/>
      <c r="AWN239" s="130"/>
      <c r="AWO239" s="130"/>
      <c r="AWP239" s="130"/>
      <c r="AWQ239" s="130"/>
      <c r="AWR239" s="130"/>
      <c r="AWS239" s="130"/>
      <c r="AWT239" s="130"/>
      <c r="AWU239" s="130"/>
      <c r="AWV239" s="130"/>
      <c r="AWW239" s="130"/>
      <c r="AWX239" s="130"/>
      <c r="AWY239" s="130"/>
      <c r="AWZ239" s="130"/>
      <c r="AXA239" s="130"/>
      <c r="AXB239" s="130"/>
      <c r="AXC239" s="130"/>
      <c r="AXD239" s="130"/>
      <c r="AXE239" s="130"/>
      <c r="AXF239" s="130"/>
      <c r="AXG239" s="130"/>
      <c r="AXH239" s="130"/>
      <c r="AXI239" s="130"/>
      <c r="AXJ239" s="130"/>
      <c r="AXK239" s="130"/>
      <c r="AXL239" s="130"/>
      <c r="AXM239" s="130"/>
      <c r="AXN239" s="130"/>
      <c r="AXO239" s="130"/>
      <c r="AXP239" s="130"/>
      <c r="AXQ239" s="130"/>
      <c r="AXR239" s="130"/>
      <c r="AXS239" s="130"/>
      <c r="AXT239" s="130"/>
      <c r="AXU239" s="130"/>
      <c r="AXV239" s="130"/>
      <c r="AXW239" s="130"/>
      <c r="AXX239" s="130"/>
      <c r="AXY239" s="130"/>
      <c r="AXZ239" s="130"/>
      <c r="AYA239" s="130"/>
      <c r="AYB239" s="130"/>
      <c r="AYC239" s="130"/>
      <c r="AYD239" s="130"/>
      <c r="AYE239" s="130"/>
      <c r="AYF239" s="130"/>
      <c r="AYG239" s="130"/>
      <c r="AYH239" s="130"/>
      <c r="AYI239" s="130"/>
      <c r="AYJ239" s="130"/>
      <c r="AYK239" s="130"/>
      <c r="AYL239" s="130"/>
      <c r="AYM239" s="130"/>
      <c r="AYN239" s="130"/>
      <c r="AYO239" s="130"/>
      <c r="AYP239" s="130"/>
      <c r="AYQ239" s="130"/>
      <c r="AYR239" s="130"/>
      <c r="AYS239" s="130"/>
      <c r="AYT239" s="130"/>
      <c r="AYU239" s="130"/>
      <c r="AYV239" s="130"/>
      <c r="AYW239" s="130"/>
      <c r="AYX239" s="130"/>
      <c r="AYY239" s="130"/>
      <c r="AYZ239" s="130"/>
      <c r="AZA239" s="130"/>
      <c r="AZB239" s="130"/>
      <c r="AZC239" s="130"/>
      <c r="AZD239" s="130"/>
      <c r="AZE239" s="130"/>
      <c r="AZF239" s="130"/>
      <c r="AZG239" s="130"/>
      <c r="AZH239" s="130"/>
      <c r="AZI239" s="130"/>
      <c r="AZJ239" s="130"/>
      <c r="AZK239" s="130"/>
      <c r="AZL239" s="130"/>
      <c r="AZM239" s="130"/>
      <c r="AZN239" s="130"/>
      <c r="AZO239" s="130"/>
      <c r="AZP239" s="130"/>
      <c r="AZQ239" s="130"/>
      <c r="AZR239" s="130"/>
      <c r="AZS239" s="130"/>
      <c r="AZT239" s="130"/>
      <c r="AZU239" s="130"/>
      <c r="AZV239" s="130"/>
      <c r="AZW239" s="130"/>
      <c r="AZX239" s="130"/>
      <c r="AZY239" s="130"/>
      <c r="AZZ239" s="130"/>
      <c r="BAA239" s="130"/>
      <c r="BAB239" s="130"/>
      <c r="BAC239" s="130"/>
      <c r="BAD239" s="130"/>
      <c r="BAE239" s="130"/>
      <c r="BAF239" s="130"/>
      <c r="BAG239" s="130"/>
      <c r="BAH239" s="130"/>
      <c r="BAI239" s="130"/>
      <c r="BAJ239" s="130"/>
      <c r="BAK239" s="130"/>
      <c r="BAL239" s="130"/>
      <c r="BAM239" s="130"/>
      <c r="BAN239" s="130"/>
      <c r="BAO239" s="130"/>
      <c r="BAP239" s="130"/>
      <c r="BAQ239" s="130"/>
      <c r="BAR239" s="130"/>
      <c r="BAS239" s="130"/>
      <c r="BAT239" s="130"/>
      <c r="BAU239" s="130"/>
      <c r="BAV239" s="130"/>
      <c r="BAW239" s="130"/>
      <c r="BAX239" s="130"/>
      <c r="BAY239" s="130"/>
      <c r="BAZ239" s="130"/>
      <c r="BBA239" s="130"/>
      <c r="BBB239" s="130"/>
      <c r="BBC239" s="130"/>
      <c r="BBD239" s="130"/>
      <c r="BBE239" s="130"/>
      <c r="BBF239" s="130"/>
      <c r="BBG239" s="130"/>
      <c r="BBH239" s="130"/>
      <c r="BBI239" s="130"/>
      <c r="BBJ239" s="130"/>
      <c r="BBK239" s="130"/>
      <c r="BBL239" s="130"/>
      <c r="BBM239" s="130"/>
      <c r="BBN239" s="130"/>
    </row>
    <row r="240" spans="8:1005 1137:1418" ht="48" customHeight="1" thickBot="1">
      <c r="MB240" s="1052"/>
      <c r="MC240" s="852" t="s">
        <v>416</v>
      </c>
      <c r="MD240" s="853"/>
      <c r="ME240" s="724"/>
      <c r="MF240" s="332" t="s">
        <v>816</v>
      </c>
      <c r="MG240" s="766">
        <f>$AP$9</f>
        <v>3</v>
      </c>
      <c r="MH240" s="766"/>
      <c r="MI240" s="344"/>
      <c r="MJ240" s="76" t="s">
        <v>441</v>
      </c>
      <c r="MK240" s="854" t="s">
        <v>435</v>
      </c>
      <c r="ML240" s="855"/>
      <c r="MM240" s="920" t="s">
        <v>111</v>
      </c>
      <c r="MN240" s="921"/>
      <c r="MO240" s="916" t="s">
        <v>704</v>
      </c>
      <c r="MP240" s="917"/>
      <c r="MQ240" s="906" t="s">
        <v>447</v>
      </c>
      <c r="MR240" s="907"/>
      <c r="MS240" s="907"/>
      <c r="MT240" s="908"/>
      <c r="MU240" s="1051" t="s">
        <v>436</v>
      </c>
      <c r="MV240" s="1051"/>
      <c r="MW240" s="1051"/>
      <c r="MX240" s="1051"/>
      <c r="MY240" s="1051"/>
      <c r="MZ240" s="1051"/>
      <c r="NA240" s="1051"/>
      <c r="NB240" s="1051"/>
      <c r="NC240" s="1051"/>
      <c r="NF240" s="653"/>
      <c r="NG240" s="653"/>
      <c r="NH240" s="653"/>
      <c r="QW240" s="130"/>
      <c r="QX240" s="130"/>
      <c r="QY240" s="130"/>
      <c r="QZ240" s="130"/>
      <c r="RA240" s="130"/>
      <c r="RB240" s="130"/>
      <c r="RC240" s="130"/>
      <c r="RD240" s="130"/>
      <c r="RE240" s="130"/>
      <c r="RF240" s="130"/>
      <c r="RG240" s="130"/>
      <c r="RH240" s="130"/>
      <c r="RI240" s="130"/>
      <c r="ACJ240" s="759">
        <v>-4.0625000000000001E-2</v>
      </c>
      <c r="ACK240" s="760"/>
      <c r="ACL240" s="759">
        <v>0.96499999999999997</v>
      </c>
      <c r="ACM240" s="760"/>
      <c r="ACN240" s="591">
        <v>13</v>
      </c>
      <c r="ACO240" s="759">
        <f t="shared" si="287"/>
        <v>0.95245703124999992</v>
      </c>
      <c r="ACP240" s="760"/>
      <c r="ACQ240" s="757">
        <f t="shared" si="288"/>
        <v>0.30875000000000002</v>
      </c>
      <c r="ACR240" s="758"/>
      <c r="ACT240" s="759">
        <v>-4.0625000000000001E-2</v>
      </c>
      <c r="ACU240" s="760"/>
      <c r="ACV240" s="759">
        <v>0.96499999999999997</v>
      </c>
      <c r="ACW240" s="760"/>
      <c r="ACX240" s="591">
        <v>63</v>
      </c>
      <c r="ACY240" s="759">
        <f t="shared" si="289"/>
        <v>0.90421484374999994</v>
      </c>
      <c r="ACZ240" s="760"/>
      <c r="ADA240" s="757">
        <f t="shared" si="290"/>
        <v>1.4962500000000001</v>
      </c>
      <c r="ADB240" s="758"/>
      <c r="ADD240" s="1112">
        <v>-0.2</v>
      </c>
      <c r="ADE240" s="1112"/>
      <c r="ADF240" s="1112">
        <v>1.3</v>
      </c>
      <c r="ADG240" s="1112"/>
      <c r="ADH240" s="592">
        <v>113</v>
      </c>
      <c r="ADI240" s="759">
        <f t="shared" si="291"/>
        <v>0.7632500000000001</v>
      </c>
      <c r="ADJ240" s="760"/>
      <c r="ADK240" s="757">
        <f t="shared" si="292"/>
        <v>2.6837499999999999</v>
      </c>
      <c r="ADL240" s="758"/>
      <c r="ADN240" s="1112">
        <v>-0.12</v>
      </c>
      <c r="ADO240" s="1112"/>
      <c r="ADP240" s="1112">
        <v>1.06</v>
      </c>
      <c r="ADQ240" s="1112"/>
      <c r="ADR240" s="591">
        <v>163</v>
      </c>
      <c r="ADS240" s="759">
        <f t="shared" si="293"/>
        <v>0.59545000000000003</v>
      </c>
      <c r="ADT240" s="760"/>
      <c r="ADU240" s="757">
        <f t="shared" si="294"/>
        <v>3.8712499999999999</v>
      </c>
      <c r="ADV240" s="758"/>
      <c r="ADX240" s="1112">
        <v>-5.8823529411764684E-2</v>
      </c>
      <c r="ADY240" s="1112"/>
      <c r="ADZ240" s="1112">
        <v>0.79411764705882337</v>
      </c>
      <c r="AEA240" s="1112"/>
      <c r="AEB240" s="591">
        <v>213</v>
      </c>
      <c r="AEC240" s="759">
        <f t="shared" si="295"/>
        <v>0.4965441176470588</v>
      </c>
      <c r="AED240" s="760"/>
      <c r="AEE240" s="757">
        <f t="shared" si="296"/>
        <v>5.0587499999999999</v>
      </c>
      <c r="AEF240" s="758"/>
      <c r="AEG240" s="211"/>
      <c r="AEH240" s="1112">
        <v>-5.8823529411764698E-2</v>
      </c>
      <c r="AEI240" s="1112"/>
      <c r="AEJ240" s="1112">
        <v>0.79411764705882304</v>
      </c>
      <c r="AEK240" s="1112"/>
      <c r="AEL240" s="591">
        <v>263</v>
      </c>
      <c r="AEM240" s="759">
        <f t="shared" si="297"/>
        <v>0.4266911764705878</v>
      </c>
      <c r="AEN240" s="760"/>
      <c r="AEO240" s="757">
        <f t="shared" si="298"/>
        <v>6.2462499999999999</v>
      </c>
      <c r="AEP240" s="758"/>
      <c r="AEQ240" s="211"/>
      <c r="AER240" s="1112">
        <v>-3.5714285714285698E-2</v>
      </c>
      <c r="AES240" s="1112"/>
      <c r="AET240" s="1112">
        <v>0.63928571428571401</v>
      </c>
      <c r="AEU240" s="1112"/>
      <c r="AEV240" s="592">
        <v>313</v>
      </c>
      <c r="AEW240" s="759">
        <f t="shared" si="299"/>
        <v>0.3737946428571427</v>
      </c>
      <c r="AEX240" s="760"/>
      <c r="AEY240" s="757">
        <f t="shared" si="300"/>
        <v>7.4337499999999999</v>
      </c>
      <c r="AEZ240" s="758"/>
      <c r="AFA240" s="211"/>
      <c r="AFB240" s="1112">
        <v>-3.5714285714285698E-2</v>
      </c>
      <c r="AFC240" s="1112"/>
      <c r="AFD240" s="1112">
        <v>0.63928571428571401</v>
      </c>
      <c r="AFE240" s="1112"/>
      <c r="AFF240" s="592">
        <v>363</v>
      </c>
      <c r="AFG240" s="759">
        <f t="shared" si="301"/>
        <v>0.33138392857142845</v>
      </c>
      <c r="AFH240" s="760"/>
      <c r="AFI240" s="757">
        <f t="shared" si="302"/>
        <v>8.6212499999999999</v>
      </c>
      <c r="AFJ240" s="758"/>
      <c r="AGJ240" s="130"/>
      <c r="AGK240" s="130"/>
      <c r="AHW240" s="130"/>
      <c r="AJE240" s="130"/>
      <c r="AJJ240" s="130"/>
      <c r="AJK240" s="130"/>
      <c r="AJL240" s="130"/>
      <c r="AJM240" s="130"/>
      <c r="AJN240" s="130"/>
      <c r="AJT240" s="130"/>
      <c r="AJU240" s="130"/>
      <c r="AJV240" s="130"/>
      <c r="AJW240" s="130"/>
      <c r="AJX240" s="130"/>
      <c r="AJY240" s="130"/>
      <c r="AJZ240" s="130"/>
      <c r="AKA240" s="130"/>
      <c r="AKB240" s="130"/>
      <c r="AKC240" s="130"/>
      <c r="AKD240" s="130"/>
      <c r="AKE240" s="130"/>
      <c r="AKF240" s="130"/>
      <c r="AKG240" s="130"/>
      <c r="AKH240" s="130"/>
      <c r="AKI240" s="130"/>
      <c r="AKJ240" s="130"/>
      <c r="AKK240" s="130"/>
      <c r="AKL240" s="130"/>
      <c r="AKM240" s="130"/>
      <c r="AKN240" s="130"/>
      <c r="ALQ240" s="130"/>
      <c r="AQS240" s="130"/>
      <c r="AQT240" s="130"/>
      <c r="AQU240" s="130"/>
      <c r="AQV240" s="653"/>
      <c r="AQW240" s="653"/>
      <c r="AQX240" s="653"/>
      <c r="AQY240" s="653"/>
      <c r="AQZ240" s="653"/>
      <c r="ARA240" s="653"/>
      <c r="ARB240" s="653"/>
      <c r="ARC240" s="653"/>
      <c r="ARD240" s="653"/>
      <c r="ARE240" s="653"/>
      <c r="ARF240" s="653"/>
      <c r="ARG240" s="130"/>
      <c r="ARH240" s="130"/>
      <c r="ARI240" s="130"/>
      <c r="ARJ240" s="130"/>
      <c r="ARK240" s="130"/>
      <c r="ARL240" s="130"/>
      <c r="ARM240" s="130"/>
      <c r="ARN240" s="130"/>
      <c r="ARO240" s="130"/>
      <c r="ARP240" s="130"/>
      <c r="ARQ240" s="130"/>
      <c r="ARR240" s="130"/>
      <c r="ARS240" s="130"/>
      <c r="ART240" s="130"/>
      <c r="ATD240" s="851"/>
      <c r="ATE240" s="1487"/>
      <c r="ATF240" s="1487"/>
      <c r="ATG240" s="1487"/>
      <c r="ATH240" s="1487"/>
      <c r="ATI240" s="1487"/>
      <c r="ATJ240" s="1487"/>
      <c r="ATK240" s="1487"/>
      <c r="ATL240" s="1487"/>
      <c r="ATM240" s="1487"/>
      <c r="ATN240" s="1487"/>
      <c r="ATO240" s="1487"/>
      <c r="ATP240" s="1487"/>
      <c r="ATQ240" s="1487"/>
      <c r="ATR240" s="1490"/>
      <c r="ATS240" s="1491"/>
      <c r="ATT240" s="1484"/>
      <c r="ATU240" s="1485"/>
      <c r="ATV240" s="842"/>
      <c r="ATW240" s="845"/>
      <c r="ATX240" s="846"/>
      <c r="ATY240" s="848"/>
      <c r="ATZ240" s="130"/>
      <c r="AUA240" s="130"/>
      <c r="AUB240" s="130"/>
      <c r="AUC240" s="130"/>
      <c r="AUD240" s="130"/>
      <c r="AUE240" s="130"/>
      <c r="AUR240" s="130"/>
      <c r="AUS240" s="130"/>
      <c r="AUT240" s="130"/>
      <c r="AUU240" s="130"/>
      <c r="AUV240" s="130"/>
      <c r="AUW240" s="130"/>
      <c r="AUX240" s="130"/>
      <c r="AUY240" s="130"/>
      <c r="AUZ240" s="130"/>
      <c r="AVA240" s="130"/>
      <c r="AVB240" s="130"/>
      <c r="AVC240" s="130"/>
      <c r="AVD240" s="130"/>
      <c r="AVE240" s="130"/>
      <c r="AVF240" s="130"/>
      <c r="AVG240" s="130"/>
      <c r="AVH240" s="130"/>
      <c r="AVI240" s="130"/>
      <c r="AVJ240" s="130"/>
      <c r="AVK240" s="130"/>
      <c r="AVL240" s="130"/>
      <c r="AVM240" s="130"/>
      <c r="AVN240" s="130"/>
      <c r="AVO240" s="130"/>
      <c r="AVP240" s="130"/>
      <c r="AVQ240" s="130"/>
      <c r="AVR240" s="130"/>
      <c r="AVS240" s="130"/>
      <c r="AVT240" s="130"/>
      <c r="AVU240" s="130"/>
      <c r="AVV240" s="130"/>
      <c r="AVW240" s="130"/>
      <c r="AVX240" s="130"/>
      <c r="AVY240" s="130"/>
      <c r="AVZ240" s="130"/>
      <c r="AWA240" s="130"/>
      <c r="AWB240" s="130"/>
      <c r="AWC240" s="130"/>
      <c r="AWD240" s="130"/>
      <c r="AWE240" s="130"/>
      <c r="AWF240" s="130"/>
      <c r="AWG240" s="130"/>
      <c r="AWH240" s="130"/>
      <c r="AWI240" s="130"/>
      <c r="AWJ240" s="130"/>
      <c r="AWK240" s="130"/>
      <c r="AWL240" s="130"/>
      <c r="AWM240" s="130"/>
      <c r="AWN240" s="130"/>
      <c r="AWO240" s="130"/>
      <c r="AWP240" s="130"/>
      <c r="AWQ240" s="130"/>
      <c r="AWR240" s="130"/>
      <c r="AWS240" s="130"/>
      <c r="AWT240" s="130"/>
      <c r="AWU240" s="130"/>
      <c r="AWV240" s="130"/>
      <c r="AWW240" s="130"/>
      <c r="AWX240" s="130"/>
      <c r="AWY240" s="130"/>
      <c r="AWZ240" s="130"/>
      <c r="AXA240" s="130"/>
      <c r="AXB240" s="130"/>
      <c r="AXC240" s="130"/>
      <c r="AXD240" s="130"/>
      <c r="AXE240" s="130"/>
      <c r="AXF240" s="130"/>
      <c r="AXG240" s="130"/>
      <c r="AXH240" s="130"/>
      <c r="AXI240" s="130"/>
      <c r="AXJ240" s="130"/>
      <c r="AXK240" s="130"/>
      <c r="AXL240" s="130"/>
      <c r="AXM240" s="130"/>
      <c r="AXN240" s="130"/>
      <c r="AXO240" s="130"/>
      <c r="AXP240" s="130"/>
      <c r="AXQ240" s="130"/>
      <c r="AXR240" s="130"/>
      <c r="AXS240" s="130"/>
      <c r="AXT240" s="130"/>
      <c r="AXU240" s="130"/>
      <c r="AXV240" s="130"/>
      <c r="AXW240" s="130"/>
      <c r="AXX240" s="130"/>
      <c r="AXY240" s="130"/>
      <c r="AXZ240" s="130"/>
      <c r="AYA240" s="130"/>
      <c r="AYB240" s="130"/>
      <c r="AYC240" s="130"/>
      <c r="AYD240" s="130"/>
      <c r="AYE240" s="130"/>
      <c r="AYF240" s="130"/>
      <c r="AYG240" s="130"/>
      <c r="AYH240" s="130"/>
      <c r="AYI240" s="130"/>
      <c r="AYJ240" s="130"/>
      <c r="AYK240" s="130"/>
      <c r="AYL240" s="130"/>
      <c r="AYM240" s="130"/>
      <c r="AYN240" s="130"/>
      <c r="AYO240" s="130"/>
      <c r="AYP240" s="130"/>
      <c r="AYQ240" s="130"/>
      <c r="AYR240" s="130"/>
      <c r="AYS240" s="130"/>
      <c r="AYT240" s="130"/>
      <c r="AYU240" s="130"/>
      <c r="AYV240" s="130"/>
      <c r="AYW240" s="130"/>
      <c r="AYX240" s="130"/>
      <c r="AYY240" s="130"/>
      <c r="AYZ240" s="130"/>
      <c r="AZA240" s="130"/>
      <c r="AZB240" s="130"/>
      <c r="AZC240" s="130"/>
      <c r="AZD240" s="130"/>
      <c r="AZE240" s="130"/>
      <c r="AZF240" s="130"/>
      <c r="AZG240" s="130"/>
      <c r="AZH240" s="130"/>
      <c r="AZI240" s="130"/>
      <c r="AZJ240" s="130"/>
      <c r="AZK240" s="130"/>
      <c r="AZL240" s="130"/>
      <c r="AZM240" s="130"/>
      <c r="AZN240" s="130"/>
      <c r="AZO240" s="130"/>
      <c r="AZP240" s="130"/>
      <c r="AZQ240" s="130"/>
      <c r="AZR240" s="130"/>
      <c r="AZS240" s="130"/>
      <c r="AZT240" s="130"/>
      <c r="AZU240" s="130"/>
      <c r="AZV240" s="130"/>
      <c r="AZW240" s="130"/>
      <c r="AZX240" s="130"/>
      <c r="AZY240" s="130"/>
      <c r="AZZ240" s="130"/>
      <c r="BAA240" s="130"/>
      <c r="BAB240" s="130"/>
      <c r="BAC240" s="130"/>
      <c r="BAD240" s="130"/>
      <c r="BAE240" s="130"/>
      <c r="BAF240" s="130"/>
      <c r="BAG240" s="130"/>
      <c r="BAH240" s="130"/>
      <c r="BAI240" s="130"/>
      <c r="BAJ240" s="130"/>
      <c r="BAK240" s="130"/>
      <c r="BAL240" s="130"/>
      <c r="BAM240" s="130"/>
      <c r="BAN240" s="130"/>
      <c r="BAO240" s="130"/>
      <c r="BAP240" s="130"/>
      <c r="BAQ240" s="130"/>
      <c r="BAR240" s="130"/>
      <c r="BAS240" s="130"/>
      <c r="BAT240" s="130"/>
      <c r="BAU240" s="130"/>
      <c r="BAV240" s="130"/>
      <c r="BAW240" s="130"/>
      <c r="BAX240" s="130"/>
      <c r="BAY240" s="130"/>
      <c r="BAZ240" s="130"/>
      <c r="BBA240" s="130"/>
      <c r="BBB240" s="130"/>
      <c r="BBC240" s="130"/>
      <c r="BBD240" s="130"/>
      <c r="BBE240" s="130"/>
      <c r="BBF240" s="130"/>
      <c r="BBG240" s="130"/>
      <c r="BBH240" s="130"/>
      <c r="BBI240" s="130"/>
      <c r="BBJ240" s="130"/>
      <c r="BBK240" s="130"/>
      <c r="BBL240" s="130"/>
      <c r="BBM240" s="130"/>
      <c r="BBN240" s="130"/>
    </row>
    <row r="241" spans="340:1005 1082:1418" ht="48" customHeight="1">
      <c r="MB241" s="1052"/>
      <c r="MC241" s="402" t="s">
        <v>1069</v>
      </c>
      <c r="MD241" s="937">
        <f>$CI$79</f>
        <v>0.95799999999999996</v>
      </c>
      <c r="ME241" s="937"/>
      <c r="MF241" s="403" t="s">
        <v>1338</v>
      </c>
      <c r="MG241" s="1156">
        <f>$MP$206</f>
        <v>3.4099357723931792E-4</v>
      </c>
      <c r="MH241" s="1156"/>
      <c r="MI241" s="791" t="s">
        <v>1788</v>
      </c>
      <c r="MJ241" s="792"/>
      <c r="MK241" s="792"/>
      <c r="ML241" s="938"/>
      <c r="MM241" s="835">
        <f>(MG241*4*MG240*(MD242*MD241)^2)/MD243</f>
        <v>0.37750130463778836</v>
      </c>
      <c r="MN241" s="836"/>
      <c r="MO241" s="1188" t="s">
        <v>392</v>
      </c>
      <c r="MP241" s="1189"/>
      <c r="MQ241" s="1066"/>
      <c r="MR241" s="843" t="s">
        <v>1454</v>
      </c>
      <c r="MS241" s="844"/>
      <c r="MT241" s="847"/>
      <c r="MU241" s="1052"/>
      <c r="MV241" s="1052"/>
      <c r="MW241" s="1052"/>
      <c r="MX241" s="1052"/>
      <c r="MY241" s="1052"/>
      <c r="MZ241" s="1052"/>
      <c r="NA241" s="1052"/>
      <c r="NB241" s="1052"/>
      <c r="NC241" s="1052"/>
      <c r="QW241" s="130"/>
      <c r="QX241" s="130"/>
      <c r="QY241" s="130"/>
      <c r="QZ241" s="130"/>
      <c r="RA241" s="130"/>
      <c r="RB241" s="130"/>
      <c r="RC241" s="130"/>
      <c r="RD241" s="130"/>
      <c r="RE241" s="130"/>
      <c r="RF241" s="130"/>
      <c r="RG241" s="130"/>
      <c r="RH241" s="130"/>
      <c r="RI241" s="130"/>
      <c r="VT241" s="653"/>
      <c r="VU241" s="653"/>
      <c r="VV241" s="653"/>
      <c r="VW241" s="653"/>
      <c r="VX241" s="653"/>
      <c r="VY241" s="653"/>
      <c r="VZ241" s="653"/>
      <c r="WA241" s="653"/>
      <c r="WB241" s="653"/>
      <c r="WC241" s="653"/>
      <c r="WD241" s="653"/>
      <c r="WE241" s="653"/>
      <c r="WF241" s="653"/>
      <c r="WG241" s="653"/>
      <c r="WH241" s="653"/>
      <c r="WI241" s="653"/>
      <c r="WJ241" s="653"/>
      <c r="WK241" s="653"/>
      <c r="WL241" s="653"/>
      <c r="WM241" s="653"/>
      <c r="WN241" s="653"/>
      <c r="WO241" s="653"/>
      <c r="WP241" s="653"/>
      <c r="WQ241" s="653"/>
      <c r="WR241" s="653"/>
      <c r="WS241" s="653"/>
      <c r="WT241" s="653"/>
      <c r="WU241" s="653"/>
      <c r="WV241" s="653"/>
      <c r="WW241" s="653"/>
      <c r="WX241" s="653"/>
      <c r="WY241" s="653"/>
      <c r="WZ241" s="653"/>
      <c r="XA241" s="653"/>
      <c r="XB241" s="653"/>
      <c r="XC241" s="653"/>
      <c r="XD241" s="653"/>
      <c r="XE241" s="653"/>
      <c r="XF241" s="653"/>
      <c r="XG241" s="653"/>
      <c r="XH241" s="653"/>
      <c r="XI241" s="653"/>
      <c r="XJ241" s="653"/>
      <c r="XK241" s="653"/>
      <c r="XL241" s="653"/>
      <c r="XM241" s="653"/>
      <c r="XN241" s="653"/>
      <c r="XO241" s="653"/>
      <c r="XP241" s="653"/>
      <c r="XQ241" s="653"/>
      <c r="XR241" s="653"/>
      <c r="XS241" s="653"/>
      <c r="XT241" s="653"/>
      <c r="XU241" s="653"/>
      <c r="XV241" s="653"/>
      <c r="XW241" s="653"/>
      <c r="XX241" s="653"/>
      <c r="XY241" s="653"/>
      <c r="XZ241" s="653"/>
      <c r="YA241" s="653"/>
      <c r="YB241" s="653"/>
      <c r="YC241" s="653"/>
      <c r="YD241" s="653"/>
      <c r="YE241" s="653"/>
      <c r="YF241" s="653"/>
      <c r="YG241" s="653"/>
      <c r="YH241" s="653"/>
      <c r="YI241" s="653"/>
      <c r="YJ241" s="653"/>
      <c r="YK241" s="653"/>
      <c r="YL241" s="653"/>
      <c r="YM241" s="653"/>
      <c r="YN241" s="653"/>
      <c r="YO241" s="653"/>
      <c r="YP241" s="653"/>
      <c r="YQ241" s="653"/>
      <c r="YR241" s="653"/>
      <c r="YS241" s="653"/>
      <c r="YT241" s="653"/>
      <c r="YU241" s="653"/>
      <c r="YV241" s="653"/>
      <c r="YW241" s="653"/>
      <c r="YX241" s="653"/>
      <c r="YY241" s="653"/>
      <c r="YZ241" s="653"/>
      <c r="ZA241" s="653"/>
      <c r="ZB241" s="653"/>
      <c r="ZC241" s="653"/>
      <c r="ZD241" s="653"/>
      <c r="ZE241" s="653"/>
      <c r="ZF241" s="653"/>
      <c r="ZG241" s="653"/>
      <c r="ZH241" s="653"/>
      <c r="ZI241" s="653"/>
      <c r="ZJ241" s="653"/>
      <c r="ZK241" s="653"/>
      <c r="ZL241" s="653"/>
      <c r="ZM241" s="653"/>
      <c r="ZN241" s="653"/>
      <c r="ZO241" s="653"/>
      <c r="ZP241" s="653"/>
      <c r="ZQ241" s="653"/>
      <c r="ZR241" s="653"/>
      <c r="ZS241" s="653"/>
      <c r="ZT241" s="653"/>
      <c r="ZU241" s="653"/>
      <c r="ZV241" s="653"/>
      <c r="ZW241" s="653"/>
      <c r="ZX241" s="653"/>
      <c r="ZY241" s="653"/>
      <c r="ZZ241" s="653"/>
      <c r="AAA241" s="653"/>
      <c r="AAB241" s="653"/>
      <c r="AAC241" s="653"/>
      <c r="AAD241" s="653"/>
      <c r="AAE241" s="653"/>
      <c r="AAF241" s="653"/>
      <c r="AAG241" s="653"/>
      <c r="AAH241" s="653"/>
      <c r="AAI241" s="653"/>
      <c r="AAJ241" s="653"/>
      <c r="AAK241" s="653"/>
      <c r="AAL241" s="653"/>
      <c r="AAM241" s="653"/>
      <c r="AAN241" s="653"/>
      <c r="AAO241" s="653"/>
      <c r="ACJ241" s="759">
        <v>-4.0625000000000001E-2</v>
      </c>
      <c r="ACK241" s="760"/>
      <c r="ACL241" s="759">
        <v>0.96499999999999997</v>
      </c>
      <c r="ACM241" s="760"/>
      <c r="ACN241" s="591">
        <v>14</v>
      </c>
      <c r="ACO241" s="759">
        <f t="shared" si="287"/>
        <v>0.95149218749999998</v>
      </c>
      <c r="ACP241" s="760"/>
      <c r="ACQ241" s="757">
        <f t="shared" si="288"/>
        <v>0.33250000000000002</v>
      </c>
      <c r="ACR241" s="758"/>
      <c r="ACT241" s="759">
        <v>-4.0625000000000001E-2</v>
      </c>
      <c r="ACU241" s="760"/>
      <c r="ACV241" s="759">
        <v>0.96499999999999997</v>
      </c>
      <c r="ACW241" s="760"/>
      <c r="ACX241" s="591">
        <v>64</v>
      </c>
      <c r="ACY241" s="759">
        <f t="shared" si="289"/>
        <v>0.90325</v>
      </c>
      <c r="ACZ241" s="760"/>
      <c r="ADA241" s="757">
        <f t="shared" si="290"/>
        <v>1.52</v>
      </c>
      <c r="ADB241" s="758"/>
      <c r="ADD241" s="1112">
        <v>-0.2</v>
      </c>
      <c r="ADE241" s="1112"/>
      <c r="ADF241" s="1112">
        <v>1.3</v>
      </c>
      <c r="ADG241" s="1112"/>
      <c r="ADH241" s="592">
        <v>114</v>
      </c>
      <c r="ADI241" s="759">
        <f t="shared" si="291"/>
        <v>0.75850000000000006</v>
      </c>
      <c r="ADJ241" s="760"/>
      <c r="ADK241" s="757">
        <f t="shared" si="292"/>
        <v>2.7075</v>
      </c>
      <c r="ADL241" s="758"/>
      <c r="ADN241" s="1112">
        <v>-0.12</v>
      </c>
      <c r="ADO241" s="1112"/>
      <c r="ADP241" s="1112">
        <v>1.06</v>
      </c>
      <c r="ADQ241" s="1112"/>
      <c r="ADR241" s="591">
        <v>164</v>
      </c>
      <c r="ADS241" s="759">
        <f t="shared" si="293"/>
        <v>0.59260000000000002</v>
      </c>
      <c r="ADT241" s="760"/>
      <c r="ADU241" s="757">
        <f t="shared" si="294"/>
        <v>3.895</v>
      </c>
      <c r="ADV241" s="758"/>
      <c r="ADX241" s="1112">
        <v>-5.8823529411764698E-2</v>
      </c>
      <c r="ADY241" s="1112"/>
      <c r="ADZ241" s="1112">
        <v>0.79411764705882304</v>
      </c>
      <c r="AEA241" s="1112"/>
      <c r="AEB241" s="591">
        <v>214</v>
      </c>
      <c r="AEC241" s="759">
        <f t="shared" si="295"/>
        <v>0.49514705882352894</v>
      </c>
      <c r="AED241" s="760"/>
      <c r="AEE241" s="757">
        <f t="shared" si="296"/>
        <v>5.0825000000000005</v>
      </c>
      <c r="AEF241" s="758"/>
      <c r="AEH241" s="1112">
        <v>-5.8823529411764698E-2</v>
      </c>
      <c r="AEI241" s="1112"/>
      <c r="AEJ241" s="1112">
        <v>0.79411764705882304</v>
      </c>
      <c r="AEK241" s="1112"/>
      <c r="AEL241" s="591">
        <v>264</v>
      </c>
      <c r="AEM241" s="759">
        <f t="shared" si="297"/>
        <v>0.42529411764705838</v>
      </c>
      <c r="AEN241" s="760"/>
      <c r="AEO241" s="757">
        <f t="shared" si="298"/>
        <v>6.2700000000000005</v>
      </c>
      <c r="AEP241" s="758"/>
      <c r="AER241" s="1112">
        <v>-3.5714285714285698E-2</v>
      </c>
      <c r="AES241" s="1112"/>
      <c r="AET241" s="1112">
        <v>0.63928571428571401</v>
      </c>
      <c r="AEU241" s="1112"/>
      <c r="AEV241" s="592">
        <v>314</v>
      </c>
      <c r="AEW241" s="759">
        <f t="shared" si="299"/>
        <v>0.3729464285714284</v>
      </c>
      <c r="AEX241" s="760"/>
      <c r="AEY241" s="757">
        <f t="shared" si="300"/>
        <v>7.4575000000000005</v>
      </c>
      <c r="AEZ241" s="758"/>
      <c r="AFB241" s="1112">
        <v>-3.5714285714285698E-2</v>
      </c>
      <c r="AFC241" s="1112"/>
      <c r="AFD241" s="1112">
        <v>0.63928571428571401</v>
      </c>
      <c r="AFE241" s="1112"/>
      <c r="AFF241" s="592">
        <v>364</v>
      </c>
      <c r="AFG241" s="759">
        <f t="shared" si="301"/>
        <v>0.33053571428571416</v>
      </c>
      <c r="AFH241" s="760"/>
      <c r="AFI241" s="757">
        <f t="shared" si="302"/>
        <v>8.6449999999999996</v>
      </c>
      <c r="AFJ241" s="758"/>
      <c r="AGJ241" s="130"/>
      <c r="AGK241" s="130"/>
      <c r="AGN241" s="199"/>
      <c r="AGO241" s="852" t="s">
        <v>1749</v>
      </c>
      <c r="AGP241" s="923"/>
      <c r="AGQ241" s="199"/>
      <c r="AGR241" s="1117" t="s">
        <v>1039</v>
      </c>
      <c r="AGS241" s="1118"/>
      <c r="AGT241" s="1118"/>
      <c r="AGU241" s="1118"/>
      <c r="AGV241" s="1118"/>
      <c r="AGW241" s="1118"/>
      <c r="AGX241" s="1118"/>
      <c r="AGY241" s="1118"/>
      <c r="AGZ241" s="1118"/>
      <c r="AHA241" s="1118"/>
      <c r="AHB241" s="1119"/>
      <c r="AHC241" s="199"/>
      <c r="AHW241" s="130"/>
      <c r="AJE241" s="130"/>
      <c r="AJF241" s="130"/>
      <c r="AJG241" s="130"/>
      <c r="AJH241" s="130"/>
      <c r="AJI241" s="130"/>
      <c r="AJJ241" s="130"/>
      <c r="AJK241" s="130"/>
      <c r="AJL241" s="130"/>
      <c r="AJM241" s="130"/>
      <c r="AJN241" s="130"/>
      <c r="AJT241" s="130"/>
      <c r="AJU241" s="130"/>
      <c r="AJV241" s="130"/>
      <c r="AJW241" s="130"/>
      <c r="AJX241" s="130"/>
      <c r="AJY241" s="130"/>
      <c r="AJZ241" s="130"/>
      <c r="AKA241" s="130"/>
      <c r="AKB241" s="130"/>
      <c r="AKC241" s="130"/>
      <c r="AKD241" s="130"/>
      <c r="AKE241" s="130"/>
      <c r="AKF241" s="130"/>
      <c r="AKG241" s="130"/>
      <c r="AKH241" s="130"/>
      <c r="AKI241" s="130"/>
      <c r="AKJ241" s="130"/>
      <c r="AKK241" s="130"/>
      <c r="AKL241" s="130"/>
      <c r="AKM241" s="130"/>
      <c r="AKN241" s="130"/>
      <c r="ALQ241" s="130"/>
      <c r="AQS241" s="130"/>
      <c r="AQT241" s="130"/>
      <c r="AQU241" s="130"/>
      <c r="AQV241" s="653"/>
      <c r="AQW241" s="653"/>
      <c r="AQX241" s="653"/>
      <c r="AQY241" s="653"/>
      <c r="AQZ241" s="653"/>
      <c r="ARA241" s="653"/>
      <c r="ARB241" s="653"/>
      <c r="ARC241" s="653"/>
      <c r="ARD241" s="653"/>
      <c r="ARE241" s="653"/>
      <c r="ARF241" s="653"/>
      <c r="ARG241" s="130"/>
      <c r="ARH241" s="130"/>
      <c r="ARI241" s="130"/>
      <c r="ARJ241" s="130"/>
      <c r="ARK241" s="130"/>
      <c r="ARL241" s="130"/>
      <c r="ARM241" s="130"/>
      <c r="ARN241" s="130"/>
      <c r="ARO241" s="130"/>
      <c r="ARP241" s="130"/>
      <c r="ARQ241" s="130"/>
      <c r="ARR241" s="130"/>
      <c r="ARS241" s="130"/>
      <c r="ART241" s="130"/>
      <c r="ATZ241" s="130"/>
      <c r="AUA241" s="130"/>
      <c r="AUB241" s="130"/>
      <c r="AUC241" s="130"/>
      <c r="AUD241" s="130"/>
      <c r="AUE241" s="130"/>
      <c r="AUR241" s="130"/>
      <c r="AUS241" s="130"/>
      <c r="AUT241" s="130"/>
      <c r="AUU241" s="130"/>
      <c r="AUV241" s="130"/>
      <c r="AUW241" s="130"/>
      <c r="AUX241" s="130"/>
      <c r="AUY241" s="130"/>
      <c r="AUZ241" s="130"/>
      <c r="AVA241" s="130"/>
      <c r="AVB241" s="130"/>
      <c r="AVC241" s="130"/>
      <c r="AVD241" s="130"/>
      <c r="AVE241" s="130"/>
      <c r="AVF241" s="130"/>
      <c r="AVG241" s="130"/>
      <c r="AVH241" s="130"/>
      <c r="AVI241" s="130"/>
      <c r="AVJ241" s="130"/>
      <c r="AVK241" s="130"/>
      <c r="AVL241" s="130"/>
      <c r="AVM241" s="130"/>
      <c r="AVN241" s="130"/>
      <c r="AVO241" s="130"/>
      <c r="AVP241" s="130"/>
      <c r="AVQ241" s="130"/>
      <c r="AVR241" s="130"/>
      <c r="AVS241" s="130"/>
      <c r="AVT241" s="130"/>
      <c r="AVU241" s="130"/>
      <c r="AVV241" s="130"/>
      <c r="AVW241" s="130"/>
      <c r="AVX241" s="130"/>
      <c r="AVY241" s="130"/>
      <c r="AVZ241" s="130"/>
      <c r="AWA241" s="130"/>
      <c r="AWB241" s="130"/>
      <c r="AWC241" s="130"/>
      <c r="AWD241" s="130"/>
      <c r="AWE241" s="130"/>
      <c r="AWF241" s="130"/>
      <c r="AWG241" s="130"/>
      <c r="AWH241" s="130"/>
      <c r="AWI241" s="130"/>
      <c r="AWJ241" s="130"/>
      <c r="AWK241" s="130"/>
      <c r="AWL241" s="130"/>
      <c r="AWM241" s="130"/>
      <c r="AWN241" s="130"/>
      <c r="AWO241" s="130"/>
      <c r="AWP241" s="130"/>
      <c r="AWQ241" s="130"/>
      <c r="AWR241" s="130"/>
      <c r="AWS241" s="130"/>
      <c r="AWT241" s="130"/>
      <c r="AWU241" s="130"/>
      <c r="AWV241" s="130"/>
      <c r="AWW241" s="130"/>
      <c r="AWX241" s="130"/>
      <c r="AWY241" s="130"/>
      <c r="AWZ241" s="130"/>
      <c r="AXA241" s="130"/>
      <c r="AXB241" s="130"/>
      <c r="AXC241" s="130"/>
      <c r="AXD241" s="130"/>
      <c r="AXE241" s="130"/>
      <c r="AXF241" s="130"/>
      <c r="AXG241" s="130"/>
      <c r="AXH241" s="130"/>
      <c r="AXI241" s="130"/>
      <c r="AXJ241" s="130"/>
      <c r="AXK241" s="130"/>
      <c r="AXL241" s="130"/>
      <c r="AXM241" s="130"/>
      <c r="AXN241" s="130"/>
      <c r="AXO241" s="130"/>
      <c r="AXP241" s="130"/>
      <c r="AXQ241" s="130"/>
      <c r="AXR241" s="130"/>
      <c r="AXS241" s="130"/>
      <c r="AXT241" s="130"/>
      <c r="AXU241" s="130"/>
      <c r="AXV241" s="130"/>
      <c r="AXW241" s="130"/>
      <c r="AXX241" s="130"/>
      <c r="AXY241" s="130"/>
      <c r="AXZ241" s="130"/>
      <c r="AYA241" s="130"/>
      <c r="AYB241" s="130"/>
      <c r="AYC241" s="130"/>
      <c r="AYD241" s="130"/>
      <c r="AYE241" s="130"/>
      <c r="AYF241" s="130"/>
      <c r="AYG241" s="130"/>
      <c r="AYH241" s="130"/>
      <c r="AYI241" s="130"/>
      <c r="AYJ241" s="130"/>
      <c r="AYK241" s="130"/>
      <c r="AYL241" s="130"/>
      <c r="AYM241" s="130"/>
      <c r="AYN241" s="130"/>
      <c r="AYO241" s="130"/>
      <c r="AYP241" s="130"/>
      <c r="AYQ241" s="130"/>
      <c r="AYR241" s="130"/>
      <c r="AYS241" s="130"/>
      <c r="AYT241" s="130"/>
      <c r="AYU241" s="130"/>
      <c r="AYV241" s="130"/>
      <c r="AYW241" s="130"/>
      <c r="AYX241" s="130"/>
      <c r="AYY241" s="130"/>
      <c r="AYZ241" s="130"/>
      <c r="AZA241" s="130"/>
      <c r="AZB241" s="130"/>
      <c r="AZC241" s="130"/>
      <c r="AZD241" s="130"/>
      <c r="AZE241" s="130"/>
      <c r="AZF241" s="130"/>
      <c r="AZG241" s="130"/>
      <c r="AZH241" s="130"/>
      <c r="AZI241" s="130"/>
      <c r="AZJ241" s="130"/>
      <c r="AZK241" s="130"/>
      <c r="AZL241" s="130"/>
      <c r="AZM241" s="130"/>
      <c r="AZN241" s="130"/>
      <c r="AZO241" s="130"/>
      <c r="AZP241" s="130"/>
      <c r="AZQ241" s="130"/>
      <c r="AZR241" s="130"/>
      <c r="AZS241" s="130"/>
      <c r="AZT241" s="130"/>
      <c r="AZU241" s="130"/>
      <c r="AZV241" s="130"/>
      <c r="AZW241" s="130"/>
      <c r="AZX241" s="130"/>
      <c r="AZY241" s="130"/>
      <c r="AZZ241" s="130"/>
      <c r="BAA241" s="130"/>
      <c r="BAB241" s="130"/>
      <c r="BAC241" s="130"/>
      <c r="BAD241" s="130"/>
      <c r="BAE241" s="130"/>
      <c r="BAF241" s="130"/>
      <c r="BAG241" s="130"/>
      <c r="BAH241" s="130"/>
      <c r="BAI241" s="130"/>
      <c r="BAJ241" s="130"/>
      <c r="BAK241" s="130"/>
      <c r="BAL241" s="130"/>
      <c r="BAM241" s="130"/>
      <c r="BAN241" s="130"/>
      <c r="BAO241" s="130"/>
      <c r="BAP241" s="130"/>
      <c r="BAQ241" s="130"/>
      <c r="BAR241" s="130"/>
      <c r="BAS241" s="130"/>
      <c r="BAT241" s="130"/>
      <c r="BAU241" s="130"/>
      <c r="BAV241" s="130"/>
      <c r="BAW241" s="130"/>
      <c r="BAX241" s="130"/>
      <c r="BAY241" s="130"/>
      <c r="BAZ241" s="130"/>
      <c r="BBA241" s="130"/>
      <c r="BBB241" s="130"/>
      <c r="BBC241" s="130"/>
      <c r="BBD241" s="130"/>
      <c r="BBE241" s="130"/>
      <c r="BBF241" s="130"/>
      <c r="BBG241" s="130"/>
      <c r="BBH241" s="130"/>
      <c r="BBI241" s="130"/>
      <c r="BBJ241" s="130"/>
      <c r="BBK241" s="130"/>
      <c r="BBL241" s="130"/>
      <c r="BBM241" s="130"/>
      <c r="BBN241" s="130"/>
    </row>
    <row r="242" spans="340:1005 1082:1418" ht="48" customHeight="1" thickBot="1">
      <c r="MB242" s="1052"/>
      <c r="MC242" s="332" t="s">
        <v>1068</v>
      </c>
      <c r="MD242" s="766">
        <f>$CL$71</f>
        <v>68</v>
      </c>
      <c r="ME242" s="766"/>
      <c r="MF242" s="663"/>
      <c r="MG242" s="664"/>
      <c r="MH242" s="665"/>
      <c r="MI242" s="823"/>
      <c r="MJ242" s="824"/>
      <c r="MK242" s="824"/>
      <c r="ML242" s="939"/>
      <c r="MM242" s="837"/>
      <c r="MN242" s="838"/>
      <c r="MO242" s="1190"/>
      <c r="MP242" s="1191"/>
      <c r="MQ242" s="1067"/>
      <c r="MR242" s="845"/>
      <c r="MS242" s="846"/>
      <c r="MT242" s="848"/>
      <c r="MU242" s="1052"/>
      <c r="MV242" s="1052"/>
      <c r="MW242" s="1052"/>
      <c r="MX242" s="1052"/>
      <c r="MY242" s="1052"/>
      <c r="MZ242" s="1052"/>
      <c r="NA242" s="1052"/>
      <c r="NB242" s="1052"/>
      <c r="NC242" s="1052"/>
      <c r="QW242" s="130"/>
      <c r="QX242" s="130"/>
      <c r="QY242" s="130"/>
      <c r="QZ242" s="130"/>
      <c r="RA242" s="130"/>
      <c r="RB242" s="130"/>
      <c r="RC242" s="130"/>
      <c r="RD242" s="130"/>
      <c r="RE242" s="130"/>
      <c r="RF242" s="130"/>
      <c r="RG242" s="130"/>
      <c r="RH242" s="130"/>
      <c r="RI242" s="130"/>
      <c r="VT242" s="653"/>
      <c r="VU242" s="653"/>
      <c r="VV242" s="653"/>
      <c r="VW242" s="653"/>
      <c r="VX242" s="653"/>
      <c r="VY242" s="653"/>
      <c r="VZ242" s="653"/>
      <c r="WA242" s="653"/>
      <c r="WB242" s="653"/>
      <c r="WC242" s="653"/>
      <c r="WD242" s="653"/>
      <c r="WE242" s="653"/>
      <c r="WF242" s="653"/>
      <c r="WG242" s="653"/>
      <c r="ACJ242" s="759">
        <v>-4.0625000000000001E-2</v>
      </c>
      <c r="ACK242" s="760"/>
      <c r="ACL242" s="759">
        <v>0.96499999999999997</v>
      </c>
      <c r="ACM242" s="760"/>
      <c r="ACN242" s="591">
        <v>15</v>
      </c>
      <c r="ACO242" s="759">
        <f t="shared" si="287"/>
        <v>0.95052734374999992</v>
      </c>
      <c r="ACP242" s="760"/>
      <c r="ACQ242" s="757">
        <f t="shared" si="288"/>
        <v>0.35625000000000001</v>
      </c>
      <c r="ACR242" s="758"/>
      <c r="ACT242" s="759">
        <v>-4.0625000000000001E-2</v>
      </c>
      <c r="ACU242" s="760"/>
      <c r="ACV242" s="759">
        <v>0.96499999999999997</v>
      </c>
      <c r="ACW242" s="760"/>
      <c r="ACX242" s="591">
        <v>65</v>
      </c>
      <c r="ACY242" s="759">
        <f t="shared" si="289"/>
        <v>0.90228515624999994</v>
      </c>
      <c r="ACZ242" s="760"/>
      <c r="ADA242" s="757">
        <f t="shared" si="290"/>
        <v>1.54375</v>
      </c>
      <c r="ADB242" s="758"/>
      <c r="ADD242" s="1112">
        <v>-0.2</v>
      </c>
      <c r="ADE242" s="1112"/>
      <c r="ADF242" s="1112">
        <v>1.3</v>
      </c>
      <c r="ADG242" s="1112"/>
      <c r="ADH242" s="592">
        <v>115</v>
      </c>
      <c r="ADI242" s="759">
        <f t="shared" si="291"/>
        <v>0.75375000000000003</v>
      </c>
      <c r="ADJ242" s="760"/>
      <c r="ADK242" s="757">
        <f t="shared" si="292"/>
        <v>2.7312500000000002</v>
      </c>
      <c r="ADL242" s="758"/>
      <c r="ADN242" s="1112">
        <v>-0.12</v>
      </c>
      <c r="ADO242" s="1112"/>
      <c r="ADP242" s="1112">
        <v>1.06</v>
      </c>
      <c r="ADQ242" s="1112"/>
      <c r="ADR242" s="591">
        <v>165</v>
      </c>
      <c r="ADS242" s="759">
        <f t="shared" si="293"/>
        <v>0.58975</v>
      </c>
      <c r="ADT242" s="760"/>
      <c r="ADU242" s="757">
        <f t="shared" si="294"/>
        <v>3.9187500000000002</v>
      </c>
      <c r="ADV242" s="758"/>
      <c r="ADX242" s="1112">
        <v>-5.8823529411764698E-2</v>
      </c>
      <c r="ADY242" s="1112"/>
      <c r="ADZ242" s="1112">
        <v>0.79411764705882304</v>
      </c>
      <c r="AEA242" s="1112"/>
      <c r="AEB242" s="591">
        <v>215</v>
      </c>
      <c r="AEC242" s="759">
        <f t="shared" si="295"/>
        <v>0.49374999999999952</v>
      </c>
      <c r="AED242" s="760"/>
      <c r="AEE242" s="757">
        <f t="shared" si="296"/>
        <v>5.1062500000000002</v>
      </c>
      <c r="AEF242" s="758"/>
      <c r="AEH242" s="1112">
        <v>-5.8823529411764698E-2</v>
      </c>
      <c r="AEI242" s="1112"/>
      <c r="AEJ242" s="1112">
        <v>0.79411764705882304</v>
      </c>
      <c r="AEK242" s="1112"/>
      <c r="AEL242" s="591">
        <v>265</v>
      </c>
      <c r="AEM242" s="759">
        <f t="shared" si="297"/>
        <v>0.42389705882352896</v>
      </c>
      <c r="AEN242" s="760"/>
      <c r="AEO242" s="757">
        <f t="shared" si="298"/>
        <v>6.2937500000000002</v>
      </c>
      <c r="AEP242" s="758"/>
      <c r="AER242" s="1112">
        <v>-3.5714285714285698E-2</v>
      </c>
      <c r="AES242" s="1112"/>
      <c r="AET242" s="1112">
        <v>0.63928571428571401</v>
      </c>
      <c r="AEU242" s="1112"/>
      <c r="AEV242" s="592">
        <v>315</v>
      </c>
      <c r="AEW242" s="759">
        <f t="shared" si="299"/>
        <v>0.3720982142857141</v>
      </c>
      <c r="AEX242" s="760"/>
      <c r="AEY242" s="757">
        <f t="shared" si="300"/>
        <v>7.4812500000000002</v>
      </c>
      <c r="AEZ242" s="758"/>
      <c r="AFB242" s="1112">
        <v>-3.5714285714285698E-2</v>
      </c>
      <c r="AFC242" s="1112"/>
      <c r="AFD242" s="1112">
        <v>0.63928571428571401</v>
      </c>
      <c r="AFE242" s="1112"/>
      <c r="AFF242" s="592">
        <v>365</v>
      </c>
      <c r="AFG242" s="759">
        <f t="shared" si="301"/>
        <v>0.32968749999999991</v>
      </c>
      <c r="AFH242" s="760"/>
      <c r="AFI242" s="757">
        <f t="shared" si="302"/>
        <v>8.6687499999999993</v>
      </c>
      <c r="AFJ242" s="758"/>
      <c r="AGJ242" s="130"/>
      <c r="AGK242" s="130"/>
      <c r="AHW242" s="130"/>
      <c r="AJE242" s="130"/>
      <c r="AJF242" s="130"/>
      <c r="AJG242" s="130"/>
      <c r="AJH242" s="130"/>
      <c r="AJI242" s="130"/>
      <c r="AJJ242" s="130"/>
      <c r="AJK242" s="130"/>
      <c r="AJL242" s="130"/>
      <c r="AJM242" s="130"/>
      <c r="AJN242" s="130"/>
      <c r="AJT242" s="130"/>
      <c r="AJU242" s="130"/>
      <c r="AJV242" s="130"/>
      <c r="AJW242" s="130"/>
      <c r="AJX242" s="130"/>
      <c r="AJY242" s="130"/>
      <c r="AJZ242" s="130"/>
      <c r="AKA242" s="130"/>
      <c r="AKB242" s="130"/>
      <c r="AKC242" s="130"/>
      <c r="AKD242" s="130"/>
      <c r="AKE242" s="130"/>
      <c r="AKF242" s="130"/>
      <c r="AKG242" s="130"/>
      <c r="AKH242" s="130"/>
      <c r="AKI242" s="130"/>
      <c r="AKJ242" s="130"/>
      <c r="AKK242" s="130"/>
      <c r="AKL242" s="130"/>
      <c r="AKM242" s="130"/>
      <c r="AKN242" s="130"/>
      <c r="ALQ242" s="130"/>
      <c r="AQS242" s="130"/>
      <c r="AQT242" s="130"/>
      <c r="AQU242" s="130"/>
      <c r="AQV242" s="653"/>
      <c r="AQW242" s="653"/>
      <c r="AQX242" s="653"/>
      <c r="AQY242" s="653"/>
      <c r="AQZ242" s="653"/>
      <c r="ARA242" s="653"/>
      <c r="ARB242" s="653"/>
      <c r="ARC242" s="653"/>
      <c r="ARD242" s="653"/>
      <c r="ARE242" s="653"/>
      <c r="ARF242" s="653"/>
      <c r="ARG242" s="130"/>
      <c r="ARH242" s="130"/>
      <c r="ARI242" s="130"/>
      <c r="ARJ242" s="130"/>
      <c r="ARK242" s="130"/>
      <c r="ARL242" s="130"/>
      <c r="ARM242" s="130"/>
      <c r="ARN242" s="130"/>
      <c r="ARO242" s="130"/>
      <c r="ARP242" s="130"/>
      <c r="ARQ242" s="130"/>
      <c r="ARR242" s="130"/>
      <c r="ARS242" s="130"/>
      <c r="ART242" s="130"/>
      <c r="ATD242" s="849"/>
      <c r="ATE242" s="852" t="s">
        <v>416</v>
      </c>
      <c r="ATF242" s="853"/>
      <c r="ATG242" s="142"/>
      <c r="ATH242" s="78"/>
      <c r="ATI242" s="78"/>
      <c r="ATJ242" s="78"/>
      <c r="ATK242" s="78"/>
      <c r="ATL242" s="78"/>
      <c r="ATM242" s="78"/>
      <c r="ATN242" s="142"/>
      <c r="ATO242" s="76" t="s">
        <v>441</v>
      </c>
      <c r="ATP242" s="854" t="s">
        <v>435</v>
      </c>
      <c r="ATQ242" s="855"/>
      <c r="ATR242" s="920" t="s">
        <v>111</v>
      </c>
      <c r="ATS242" s="921"/>
      <c r="ATT242" s="916" t="s">
        <v>704</v>
      </c>
      <c r="ATU242" s="917"/>
      <c r="ATV242" s="906" t="s">
        <v>447</v>
      </c>
      <c r="ATW242" s="907"/>
      <c r="ATX242" s="907"/>
      <c r="ATY242" s="908"/>
      <c r="ATZ242" s="130"/>
      <c r="AUA242" s="130"/>
      <c r="AUB242" s="130"/>
      <c r="AUC242" s="130"/>
      <c r="AUD242" s="130"/>
      <c r="AUE242" s="130"/>
      <c r="AUR242" s="130"/>
      <c r="AUS242" s="130"/>
      <c r="AUT242" s="130"/>
      <c r="AUU242" s="130"/>
      <c r="AUV242" s="130"/>
      <c r="AUW242" s="130"/>
      <c r="AUX242" s="130"/>
      <c r="AUY242" s="130"/>
      <c r="AUZ242" s="130"/>
      <c r="AVA242" s="130"/>
      <c r="AVB242" s="130"/>
      <c r="AVC242" s="130"/>
      <c r="AVD242" s="130"/>
      <c r="AVE242" s="130"/>
      <c r="AVF242" s="130"/>
      <c r="AVG242" s="130"/>
      <c r="AVH242" s="130"/>
      <c r="AVI242" s="130"/>
      <c r="AVJ242" s="130"/>
      <c r="AVK242" s="130"/>
      <c r="AVL242" s="130"/>
      <c r="AVM242" s="130"/>
      <c r="AVN242" s="130"/>
      <c r="AVO242" s="130"/>
      <c r="AVP242" s="130"/>
      <c r="AVQ242" s="130"/>
      <c r="AVR242" s="130"/>
      <c r="AVS242" s="130"/>
      <c r="AVT242" s="130"/>
      <c r="AVU242" s="130"/>
      <c r="AVV242" s="130"/>
      <c r="AVW242" s="130"/>
      <c r="AVX242" s="130"/>
      <c r="AVY242" s="130"/>
      <c r="AVZ242" s="130"/>
      <c r="AWA242" s="130"/>
      <c r="AWB242" s="130"/>
      <c r="AWC242" s="130"/>
      <c r="AWD242" s="130"/>
      <c r="AWE242" s="130"/>
      <c r="AWF242" s="130"/>
      <c r="AWG242" s="130"/>
      <c r="AWH242" s="130"/>
      <c r="AWI242" s="130"/>
      <c r="AWJ242" s="130"/>
      <c r="AWK242" s="130"/>
      <c r="AWL242" s="130"/>
      <c r="AWM242" s="130"/>
      <c r="AWN242" s="130"/>
      <c r="AWO242" s="130"/>
      <c r="AWP242" s="130"/>
      <c r="AWQ242" s="130"/>
      <c r="AWR242" s="130"/>
      <c r="AWS242" s="130"/>
      <c r="AWT242" s="130"/>
      <c r="AWU242" s="130"/>
      <c r="AWV242" s="130"/>
      <c r="AWW242" s="130"/>
      <c r="AWX242" s="130"/>
      <c r="AWY242" s="130"/>
      <c r="AWZ242" s="130"/>
      <c r="AXA242" s="130"/>
      <c r="AXB242" s="130"/>
      <c r="AXC242" s="130"/>
      <c r="AXD242" s="130"/>
      <c r="AXE242" s="130"/>
      <c r="AXF242" s="130"/>
      <c r="AXG242" s="130"/>
      <c r="AXH242" s="130"/>
      <c r="AXI242" s="130"/>
      <c r="AXJ242" s="130"/>
      <c r="AXK242" s="130"/>
      <c r="AXL242" s="130"/>
      <c r="AXM242" s="130"/>
      <c r="AXN242" s="130"/>
      <c r="AXO242" s="130"/>
      <c r="AXP242" s="130"/>
      <c r="AXQ242" s="130"/>
      <c r="AXR242" s="130"/>
      <c r="AXS242" s="130"/>
      <c r="AXT242" s="130"/>
      <c r="AXU242" s="130"/>
      <c r="AXV242" s="130"/>
      <c r="AXW242" s="130"/>
      <c r="AXX242" s="130"/>
      <c r="AXY242" s="130"/>
      <c r="AXZ242" s="130"/>
      <c r="AYA242" s="130"/>
      <c r="AYB242" s="130"/>
      <c r="AYC242" s="130"/>
      <c r="AYD242" s="130"/>
      <c r="AYE242" s="130"/>
      <c r="AYF242" s="130"/>
      <c r="AYG242" s="130"/>
      <c r="AYH242" s="130"/>
      <c r="AYI242" s="130"/>
      <c r="AYJ242" s="130"/>
      <c r="AYK242" s="130"/>
      <c r="AYL242" s="130"/>
      <c r="AYM242" s="130"/>
      <c r="AYN242" s="130"/>
      <c r="AYO242" s="130"/>
      <c r="AYP242" s="130"/>
      <c r="AYQ242" s="130"/>
      <c r="AYR242" s="130"/>
      <c r="AYS242" s="130"/>
      <c r="AYT242" s="130"/>
      <c r="AYU242" s="130"/>
      <c r="AYV242" s="130"/>
      <c r="AYW242" s="130"/>
      <c r="AYX242" s="130"/>
      <c r="AYY242" s="130"/>
      <c r="AYZ242" s="130"/>
      <c r="AZA242" s="130"/>
      <c r="AZB242" s="130"/>
      <c r="AZC242" s="130"/>
      <c r="AZD242" s="130"/>
      <c r="AZE242" s="130"/>
      <c r="AZF242" s="130"/>
      <c r="AZG242" s="130"/>
      <c r="AZH242" s="130"/>
      <c r="AZI242" s="130"/>
      <c r="AZJ242" s="130"/>
      <c r="AZK242" s="130"/>
      <c r="AZL242" s="130"/>
      <c r="AZM242" s="130"/>
      <c r="AZN242" s="130"/>
      <c r="AZO242" s="130"/>
      <c r="AZP242" s="130"/>
      <c r="AZQ242" s="130"/>
      <c r="AZR242" s="130"/>
      <c r="AZS242" s="130"/>
      <c r="AZT242" s="130"/>
      <c r="AZU242" s="130"/>
      <c r="AZV242" s="130"/>
      <c r="AZW242" s="130"/>
      <c r="AZX242" s="130"/>
      <c r="AZY242" s="130"/>
      <c r="AZZ242" s="130"/>
      <c r="BAA242" s="130"/>
      <c r="BAB242" s="130"/>
      <c r="BAC242" s="130"/>
      <c r="BAD242" s="130"/>
      <c r="BAE242" s="130"/>
      <c r="BAF242" s="130"/>
      <c r="BAG242" s="130"/>
      <c r="BAH242" s="130"/>
      <c r="BAI242" s="130"/>
      <c r="BAJ242" s="130"/>
      <c r="BAK242" s="130"/>
      <c r="BAL242" s="130"/>
      <c r="BAM242" s="130"/>
      <c r="BAN242" s="130"/>
      <c r="BAO242" s="130"/>
      <c r="BAP242" s="130"/>
      <c r="BAQ242" s="130"/>
      <c r="BAR242" s="130"/>
      <c r="BAS242" s="130"/>
      <c r="BAT242" s="130"/>
      <c r="BAU242" s="130"/>
      <c r="BAV242" s="130"/>
      <c r="BAW242" s="130"/>
      <c r="BAX242" s="130"/>
      <c r="BAY242" s="130"/>
      <c r="BAZ242" s="130"/>
      <c r="BBA242" s="130"/>
      <c r="BBB242" s="130"/>
      <c r="BBC242" s="130"/>
      <c r="BBD242" s="130"/>
      <c r="BBE242" s="130"/>
      <c r="BBF242" s="130"/>
      <c r="BBG242" s="130"/>
      <c r="BBH242" s="130"/>
      <c r="BBI242" s="130"/>
      <c r="BBJ242" s="130"/>
      <c r="BBK242" s="130"/>
      <c r="BBL242" s="130"/>
      <c r="BBM242" s="130"/>
      <c r="BBN242" s="130"/>
    </row>
    <row r="243" spans="340:1005 1082:1418" ht="48" customHeight="1" thickBot="1">
      <c r="MB243" s="1053"/>
      <c r="MC243" s="385" t="s">
        <v>1070</v>
      </c>
      <c r="MD243" s="879">
        <f>$GU$16</f>
        <v>46</v>
      </c>
      <c r="ME243" s="879"/>
      <c r="MF243" s="666"/>
      <c r="MG243" s="659"/>
      <c r="MH243" s="660"/>
      <c r="MI243" s="794"/>
      <c r="MJ243" s="795"/>
      <c r="MK243" s="795"/>
      <c r="ML243" s="825"/>
      <c r="MM243" s="942"/>
      <c r="MN243" s="943"/>
      <c r="MO243" s="943"/>
      <c r="MP243" s="943"/>
      <c r="MQ243" s="943"/>
      <c r="MR243" s="943"/>
      <c r="MS243" s="943"/>
      <c r="MT243" s="944"/>
      <c r="MU243" s="1053"/>
      <c r="MV243" s="1053"/>
      <c r="MW243" s="1053"/>
      <c r="MX243" s="1053"/>
      <c r="MY243" s="1053"/>
      <c r="MZ243" s="1053"/>
      <c r="NA243" s="1053"/>
      <c r="NB243" s="1053"/>
      <c r="NC243" s="1053"/>
      <c r="ND243" s="211"/>
      <c r="NE243" s="211"/>
      <c r="NF243" s="211"/>
      <c r="QW243" s="130"/>
      <c r="QX243" s="130"/>
      <c r="QY243" s="130"/>
      <c r="QZ243" s="130"/>
      <c r="RA243" s="130"/>
      <c r="RB243" s="130"/>
      <c r="RC243" s="130"/>
      <c r="RD243" s="130"/>
      <c r="RE243" s="130"/>
      <c r="RF243" s="130"/>
      <c r="RG243" s="130"/>
      <c r="RH243" s="130"/>
      <c r="RI243" s="130"/>
      <c r="VT243" s="653"/>
      <c r="VU243" s="653"/>
      <c r="VV243" s="653"/>
      <c r="VW243" s="653"/>
      <c r="VX243" s="653"/>
      <c r="VY243" s="653"/>
      <c r="VZ243" s="653"/>
      <c r="WA243" s="653"/>
      <c r="WB243" s="653"/>
      <c r="WC243" s="653"/>
      <c r="WD243" s="653"/>
      <c r="WE243" s="653"/>
      <c r="WF243" s="653"/>
      <c r="WG243" s="653"/>
      <c r="ACJ243" s="759">
        <v>-4.0625000000000001E-2</v>
      </c>
      <c r="ACK243" s="760"/>
      <c r="ACL243" s="759">
        <v>0.96499999999999997</v>
      </c>
      <c r="ACM243" s="760"/>
      <c r="ACN243" s="591">
        <v>16</v>
      </c>
      <c r="ACO243" s="759">
        <f t="shared" si="287"/>
        <v>0.94956249999999998</v>
      </c>
      <c r="ACP243" s="760"/>
      <c r="ACQ243" s="757">
        <f t="shared" si="288"/>
        <v>0.38</v>
      </c>
      <c r="ACR243" s="758"/>
      <c r="ACT243" s="759">
        <v>-4.0625000000000001E-2</v>
      </c>
      <c r="ACU243" s="760"/>
      <c r="ACV243" s="759">
        <v>0.96499999999999997</v>
      </c>
      <c r="ACW243" s="760"/>
      <c r="ACX243" s="591">
        <v>66</v>
      </c>
      <c r="ACY243" s="759">
        <f t="shared" si="289"/>
        <v>0.9013203125</v>
      </c>
      <c r="ACZ243" s="760"/>
      <c r="ADA243" s="757">
        <f t="shared" si="290"/>
        <v>1.5675000000000001</v>
      </c>
      <c r="ADB243" s="758"/>
      <c r="ADD243" s="1112">
        <v>-0.2</v>
      </c>
      <c r="ADE243" s="1112"/>
      <c r="ADF243" s="1112">
        <v>1.3</v>
      </c>
      <c r="ADG243" s="1112"/>
      <c r="ADH243" s="592">
        <v>116</v>
      </c>
      <c r="ADI243" s="759">
        <f t="shared" si="291"/>
        <v>0.749</v>
      </c>
      <c r="ADJ243" s="760"/>
      <c r="ADK243" s="757">
        <f t="shared" si="292"/>
        <v>2.7549999999999999</v>
      </c>
      <c r="ADL243" s="758"/>
      <c r="ADN243" s="1112">
        <v>-0.12</v>
      </c>
      <c r="ADO243" s="1112"/>
      <c r="ADP243" s="1112">
        <v>1.06</v>
      </c>
      <c r="ADQ243" s="1112"/>
      <c r="ADR243" s="591">
        <v>166</v>
      </c>
      <c r="ADS243" s="759">
        <f t="shared" si="293"/>
        <v>0.58690000000000009</v>
      </c>
      <c r="ADT243" s="760"/>
      <c r="ADU243" s="757">
        <f t="shared" si="294"/>
        <v>3.9424999999999999</v>
      </c>
      <c r="ADV243" s="758"/>
      <c r="ADX243" s="1112">
        <v>-5.8823529411764698E-2</v>
      </c>
      <c r="ADY243" s="1112"/>
      <c r="ADZ243" s="1112">
        <v>0.79411764705882304</v>
      </c>
      <c r="AEA243" s="1112"/>
      <c r="AEB243" s="591">
        <v>216</v>
      </c>
      <c r="AEC243" s="759">
        <f t="shared" si="295"/>
        <v>0.49235294117647016</v>
      </c>
      <c r="AED243" s="760"/>
      <c r="AEE243" s="757">
        <f t="shared" si="296"/>
        <v>5.13</v>
      </c>
      <c r="AEF243" s="758"/>
      <c r="AEH243" s="1112">
        <v>-5.8823529411764698E-2</v>
      </c>
      <c r="AEI243" s="1112"/>
      <c r="AEJ243" s="1112">
        <v>0.79411764705882304</v>
      </c>
      <c r="AEK243" s="1112"/>
      <c r="AEL243" s="591">
        <v>266</v>
      </c>
      <c r="AEM243" s="759">
        <f t="shared" si="297"/>
        <v>0.42249999999999954</v>
      </c>
      <c r="AEN243" s="760"/>
      <c r="AEO243" s="757">
        <f t="shared" si="298"/>
        <v>6.3174999999999999</v>
      </c>
      <c r="AEP243" s="758"/>
      <c r="AER243" s="1112">
        <v>-3.5714285714285698E-2</v>
      </c>
      <c r="AES243" s="1112"/>
      <c r="AET243" s="1112">
        <v>0.63928571428571401</v>
      </c>
      <c r="AEU243" s="1112"/>
      <c r="AEV243" s="592">
        <v>316</v>
      </c>
      <c r="AEW243" s="759">
        <f t="shared" si="299"/>
        <v>0.37124999999999986</v>
      </c>
      <c r="AEX243" s="760"/>
      <c r="AEY243" s="757">
        <f t="shared" si="300"/>
        <v>7.5049999999999999</v>
      </c>
      <c r="AEZ243" s="758"/>
      <c r="AFB243" s="1112">
        <v>-3.5714285714285698E-2</v>
      </c>
      <c r="AFC243" s="1112"/>
      <c r="AFD243" s="1112">
        <v>0.63928571428571401</v>
      </c>
      <c r="AFE243" s="1112"/>
      <c r="AFF243" s="592">
        <v>366</v>
      </c>
      <c r="AFG243" s="759">
        <f t="shared" si="301"/>
        <v>0.32883928571428556</v>
      </c>
      <c r="AFH243" s="760"/>
      <c r="AFI243" s="757">
        <f t="shared" si="302"/>
        <v>8.6925000000000008</v>
      </c>
      <c r="AFJ243" s="758"/>
      <c r="AGJ243" s="130"/>
      <c r="AGK243" s="130"/>
      <c r="AGL243" s="849"/>
      <c r="AGM243" s="852" t="s">
        <v>416</v>
      </c>
      <c r="AGN243" s="853"/>
      <c r="AGO243" s="142"/>
      <c r="AGP243" s="78"/>
      <c r="AGQ243" s="78"/>
      <c r="AGR243" s="78"/>
      <c r="AGS243" s="78"/>
      <c r="AGT243" s="78"/>
      <c r="AGU243" s="78"/>
      <c r="AGV243" s="142"/>
      <c r="AGW243" s="76" t="s">
        <v>441</v>
      </c>
      <c r="AGX243" s="854" t="s">
        <v>435</v>
      </c>
      <c r="AGY243" s="855"/>
      <c r="AGZ243" s="920" t="s">
        <v>111</v>
      </c>
      <c r="AHA243" s="921"/>
      <c r="AHB243" s="916" t="s">
        <v>704</v>
      </c>
      <c r="AHC243" s="917"/>
      <c r="AHD243" s="1051" t="s">
        <v>447</v>
      </c>
      <c r="AHE243" s="1051"/>
      <c r="AHF243" s="1051"/>
      <c r="AHG243" s="1051"/>
      <c r="AHH243" s="1051"/>
      <c r="AHI243" s="906" t="s">
        <v>436</v>
      </c>
      <c r="AHJ243" s="907"/>
      <c r="AHK243" s="907"/>
      <c r="AHL243" s="907"/>
      <c r="AHM243" s="907"/>
      <c r="AHN243" s="908"/>
      <c r="AHW243" s="130"/>
      <c r="AJE243" s="130"/>
      <c r="AJF243" s="130"/>
      <c r="AJG243" s="130"/>
      <c r="AJH243" s="130"/>
      <c r="AJI243" s="130"/>
      <c r="AJJ243" s="130"/>
      <c r="AJK243" s="130"/>
      <c r="AJL243" s="130"/>
      <c r="AJM243" s="130"/>
      <c r="AJN243" s="130"/>
      <c r="AJT243" s="130"/>
      <c r="AJU243" s="130"/>
      <c r="AJV243" s="130"/>
      <c r="AJW243" s="130"/>
      <c r="AJX243" s="130"/>
      <c r="AJY243" s="130"/>
      <c r="AJZ243" s="130"/>
      <c r="AKA243" s="130"/>
      <c r="AKB243" s="130"/>
      <c r="AKC243" s="130"/>
      <c r="AKD243" s="130"/>
      <c r="AKE243" s="130"/>
      <c r="AKF243" s="130"/>
      <c r="AKG243" s="130"/>
      <c r="AKH243" s="130"/>
      <c r="AKI243" s="130"/>
      <c r="AKJ243" s="130"/>
      <c r="AKK243" s="130"/>
      <c r="AKL243" s="130"/>
      <c r="AKM243" s="130"/>
      <c r="AKN243" s="130"/>
      <c r="ALQ243" s="130"/>
      <c r="AQS243" s="130"/>
      <c r="AQT243" s="130"/>
      <c r="AQU243" s="130"/>
      <c r="AQV243" s="653"/>
      <c r="AQW243" s="653"/>
      <c r="AQX243" s="653"/>
      <c r="AQY243" s="653"/>
      <c r="AQZ243" s="653"/>
      <c r="ARA243" s="653"/>
      <c r="ARB243" s="653"/>
      <c r="ARC243" s="653"/>
      <c r="ARD243" s="653"/>
      <c r="ARE243" s="653"/>
      <c r="ARF243" s="653"/>
      <c r="ARG243" s="130"/>
      <c r="ARH243" s="130"/>
      <c r="ARI243" s="130"/>
      <c r="ARJ243" s="130"/>
      <c r="ARK243" s="130"/>
      <c r="ARL243" s="130"/>
      <c r="ARM243" s="130"/>
      <c r="ARN243" s="130"/>
      <c r="ARO243" s="130"/>
      <c r="ARP243" s="130"/>
      <c r="ARQ243" s="130"/>
      <c r="ARR243" s="130"/>
      <c r="ARS243" s="130"/>
      <c r="ART243" s="130"/>
      <c r="ASV243" s="906" t="s">
        <v>863</v>
      </c>
      <c r="ASW243" s="907"/>
      <c r="ASX243" s="908"/>
      <c r="ATD243" s="850"/>
      <c r="ATE243" s="1486" t="s">
        <v>386</v>
      </c>
      <c r="ATF243" s="1486"/>
      <c r="ATG243" s="1486"/>
      <c r="ATH243" s="1486"/>
      <c r="ATI243" s="1486"/>
      <c r="ATJ243" s="1486"/>
      <c r="ATK243" s="1486"/>
      <c r="ATL243" s="1486"/>
      <c r="ATM243" s="1486"/>
      <c r="ATN243" s="1486"/>
      <c r="ATO243" s="1486"/>
      <c r="ATP243" s="1486"/>
      <c r="ATQ243" s="1486"/>
      <c r="ATR243" s="1488" t="e">
        <f>#REF!</f>
        <v>#REF!</v>
      </c>
      <c r="ATS243" s="1489"/>
      <c r="ATT243" s="839"/>
      <c r="ATU243" s="840"/>
      <c r="ATV243" s="841"/>
      <c r="ATW243" s="893" t="s">
        <v>972</v>
      </c>
      <c r="ATX243" s="894"/>
      <c r="ATY243" s="847"/>
      <c r="ATZ243" s="130"/>
      <c r="AUA243" s="130"/>
      <c r="AUB243" s="130"/>
      <c r="AUC243" s="130"/>
      <c r="AUD243" s="130"/>
      <c r="AUE243" s="130"/>
      <c r="AUR243" s="130"/>
      <c r="AUS243" s="130"/>
      <c r="AUT243" s="130"/>
      <c r="AUU243" s="130"/>
      <c r="AUV243" s="130"/>
      <c r="AUW243" s="130"/>
      <c r="AUX243" s="130"/>
      <c r="AUY243" s="130"/>
      <c r="AUZ243" s="130"/>
      <c r="AVA243" s="130"/>
      <c r="AVB243" s="130"/>
      <c r="AVC243" s="130"/>
      <c r="AVD243" s="130"/>
      <c r="AVE243" s="130"/>
      <c r="AVF243" s="130"/>
      <c r="AVG243" s="130"/>
      <c r="AVH243" s="130"/>
      <c r="AVI243" s="130"/>
      <c r="AVJ243" s="130"/>
      <c r="AVK243" s="130"/>
      <c r="AVL243" s="130"/>
      <c r="AVM243" s="130"/>
      <c r="AVN243" s="130"/>
      <c r="AVO243" s="130"/>
      <c r="AVP243" s="130"/>
      <c r="AVQ243" s="130"/>
      <c r="AVR243" s="130"/>
      <c r="AVS243" s="130"/>
      <c r="AVT243" s="130"/>
      <c r="AVU243" s="130"/>
      <c r="AVV243" s="130"/>
      <c r="AVW243" s="130"/>
      <c r="AVX243" s="130"/>
      <c r="AVY243" s="130"/>
      <c r="AVZ243" s="130"/>
      <c r="AWA243" s="130"/>
      <c r="AWB243" s="130"/>
      <c r="AWC243" s="130"/>
      <c r="AWD243" s="130"/>
      <c r="AWE243" s="130"/>
      <c r="AWF243" s="130"/>
      <c r="AWG243" s="130"/>
      <c r="AWH243" s="130"/>
      <c r="AWI243" s="130"/>
      <c r="AWJ243" s="130"/>
      <c r="AWK243" s="130"/>
      <c r="AWL243" s="130"/>
      <c r="AWM243" s="130"/>
      <c r="AWN243" s="130"/>
      <c r="AWO243" s="130"/>
      <c r="AWP243" s="130"/>
      <c r="AWQ243" s="130"/>
      <c r="AWR243" s="130"/>
      <c r="AWS243" s="130"/>
      <c r="AWT243" s="130"/>
      <c r="AWU243" s="130"/>
      <c r="AWV243" s="130"/>
      <c r="AWW243" s="130"/>
      <c r="AWX243" s="130"/>
      <c r="AWY243" s="130"/>
      <c r="AWZ243" s="130"/>
      <c r="AXA243" s="130"/>
      <c r="AXB243" s="130"/>
      <c r="AXC243" s="130"/>
      <c r="AXD243" s="130"/>
      <c r="AXE243" s="130"/>
      <c r="AXF243" s="130"/>
      <c r="AXG243" s="130"/>
      <c r="AXH243" s="130"/>
      <c r="AXI243" s="130"/>
      <c r="AXJ243" s="130"/>
      <c r="AXK243" s="130"/>
      <c r="AXL243" s="130"/>
      <c r="AXM243" s="130"/>
      <c r="AXN243" s="130"/>
      <c r="AXO243" s="130"/>
      <c r="AXP243" s="130"/>
      <c r="AXQ243" s="130"/>
      <c r="AXR243" s="130"/>
      <c r="AXS243" s="130"/>
      <c r="AXT243" s="130"/>
      <c r="AXU243" s="130"/>
      <c r="AXV243" s="130"/>
      <c r="AXW243" s="130"/>
      <c r="AXX243" s="130"/>
      <c r="AXY243" s="130"/>
      <c r="AXZ243" s="130"/>
      <c r="AYA243" s="130"/>
      <c r="AYB243" s="130"/>
      <c r="AYC243" s="130"/>
      <c r="AYD243" s="130"/>
      <c r="AYE243" s="130"/>
      <c r="AYF243" s="130"/>
      <c r="AYG243" s="130"/>
      <c r="AYH243" s="130"/>
      <c r="AYI243" s="130"/>
      <c r="AYJ243" s="130"/>
      <c r="AYK243" s="130"/>
      <c r="AYL243" s="130"/>
      <c r="AYM243" s="130"/>
      <c r="AYN243" s="130"/>
      <c r="AYO243" s="130"/>
      <c r="AYP243" s="130"/>
      <c r="AYQ243" s="130"/>
      <c r="AYR243" s="130"/>
      <c r="AYS243" s="130"/>
      <c r="AYT243" s="130"/>
      <c r="AYU243" s="130"/>
      <c r="AYV243" s="130"/>
      <c r="AYW243" s="130"/>
      <c r="AYX243" s="130"/>
      <c r="AYY243" s="130"/>
      <c r="AYZ243" s="130"/>
      <c r="AZA243" s="130"/>
      <c r="AZB243" s="130"/>
      <c r="AZC243" s="130"/>
      <c r="AZD243" s="130"/>
      <c r="AZE243" s="130"/>
      <c r="AZF243" s="130"/>
      <c r="AZG243" s="130"/>
      <c r="AZH243" s="130"/>
      <c r="AZI243" s="130"/>
      <c r="AZJ243" s="130"/>
      <c r="AZK243" s="130"/>
      <c r="AZL243" s="130"/>
      <c r="AZM243" s="130"/>
      <c r="AZN243" s="130"/>
      <c r="AZO243" s="130"/>
      <c r="AZP243" s="130"/>
      <c r="AZQ243" s="130"/>
      <c r="AZR243" s="130"/>
      <c r="AZS243" s="130"/>
      <c r="AZT243" s="130"/>
      <c r="AZU243" s="130"/>
      <c r="AZV243" s="130"/>
      <c r="AZW243" s="130"/>
      <c r="AZX243" s="130"/>
      <c r="AZY243" s="130"/>
      <c r="AZZ243" s="130"/>
      <c r="BAA243" s="130"/>
      <c r="BAB243" s="130"/>
      <c r="BAC243" s="130"/>
      <c r="BAD243" s="130"/>
      <c r="BAE243" s="130"/>
      <c r="BAF243" s="130"/>
      <c r="BAG243" s="130"/>
      <c r="BAH243" s="130"/>
      <c r="BAI243" s="130"/>
      <c r="BAJ243" s="130"/>
      <c r="BAK243" s="130"/>
      <c r="BAL243" s="130"/>
      <c r="BAM243" s="130"/>
      <c r="BAN243" s="130"/>
      <c r="BAO243" s="130"/>
      <c r="BAP243" s="130"/>
      <c r="BAQ243" s="130"/>
      <c r="BAR243" s="130"/>
      <c r="BAS243" s="130"/>
      <c r="BAT243" s="130"/>
      <c r="BAU243" s="130"/>
      <c r="BAV243" s="130"/>
      <c r="BAW243" s="130"/>
      <c r="BAX243" s="130"/>
      <c r="BAY243" s="130"/>
      <c r="BAZ243" s="130"/>
      <c r="BBA243" s="130"/>
      <c r="BBB243" s="130"/>
      <c r="BBC243" s="130"/>
      <c r="BBD243" s="130"/>
      <c r="BBE243" s="130"/>
      <c r="BBF243" s="130"/>
      <c r="BBG243" s="130"/>
      <c r="BBH243" s="130"/>
      <c r="BBI243" s="130"/>
      <c r="BBJ243" s="130"/>
      <c r="BBK243" s="130"/>
      <c r="BBL243" s="130"/>
      <c r="BBM243" s="130"/>
      <c r="BBN243" s="130"/>
    </row>
    <row r="244" spans="340:1005 1082:1418" ht="48" customHeight="1" thickBot="1">
      <c r="QW244" s="130"/>
      <c r="QX244" s="130"/>
      <c r="QY244" s="130"/>
      <c r="QZ244" s="130"/>
      <c r="RA244" s="130"/>
      <c r="RB244" s="130"/>
      <c r="RC244" s="130"/>
      <c r="RD244" s="130"/>
      <c r="RE244" s="130"/>
      <c r="RF244" s="130"/>
      <c r="RG244" s="130"/>
      <c r="RH244" s="130"/>
      <c r="RI244" s="130"/>
      <c r="VT244" s="653"/>
      <c r="VU244" s="653"/>
      <c r="VV244" s="653"/>
      <c r="VW244" s="653"/>
      <c r="VX244" s="653"/>
      <c r="VY244" s="653"/>
      <c r="VZ244" s="653"/>
      <c r="WA244" s="653"/>
      <c r="WB244" s="653"/>
      <c r="WC244" s="653"/>
      <c r="WD244" s="653"/>
      <c r="WE244" s="653"/>
      <c r="WF244" s="653"/>
      <c r="WG244" s="653"/>
      <c r="ACJ244" s="759">
        <v>-4.0625000000000001E-2</v>
      </c>
      <c r="ACK244" s="760"/>
      <c r="ACL244" s="759">
        <v>0.96499999999999997</v>
      </c>
      <c r="ACM244" s="760"/>
      <c r="ACN244" s="591">
        <v>17</v>
      </c>
      <c r="ACO244" s="759">
        <f t="shared" si="287"/>
        <v>0.94859765624999992</v>
      </c>
      <c r="ACP244" s="760"/>
      <c r="ACQ244" s="757">
        <f t="shared" si="288"/>
        <v>0.40375</v>
      </c>
      <c r="ACR244" s="758"/>
      <c r="ACT244" s="759">
        <v>-4.0625000000000001E-2</v>
      </c>
      <c r="ACU244" s="760"/>
      <c r="ACV244" s="759">
        <v>0.96499999999999997</v>
      </c>
      <c r="ACW244" s="760"/>
      <c r="ACX244" s="591">
        <v>67</v>
      </c>
      <c r="ACY244" s="759">
        <f t="shared" si="289"/>
        <v>0.90035546874999994</v>
      </c>
      <c r="ACZ244" s="760"/>
      <c r="ADA244" s="757">
        <f t="shared" si="290"/>
        <v>1.5912500000000001</v>
      </c>
      <c r="ADB244" s="758"/>
      <c r="ADD244" s="1112">
        <v>-0.2</v>
      </c>
      <c r="ADE244" s="1112"/>
      <c r="ADF244" s="1112">
        <v>1.3</v>
      </c>
      <c r="ADG244" s="1112"/>
      <c r="ADH244" s="592">
        <v>117</v>
      </c>
      <c r="ADI244" s="759">
        <f t="shared" si="291"/>
        <v>0.74424999999999997</v>
      </c>
      <c r="ADJ244" s="760"/>
      <c r="ADK244" s="757">
        <f t="shared" si="292"/>
        <v>2.7787500000000001</v>
      </c>
      <c r="ADL244" s="758"/>
      <c r="ADN244" s="1112">
        <v>-0.12</v>
      </c>
      <c r="ADO244" s="1112"/>
      <c r="ADP244" s="1112">
        <v>1.06</v>
      </c>
      <c r="ADQ244" s="1112"/>
      <c r="ADR244" s="591">
        <v>167</v>
      </c>
      <c r="ADS244" s="759">
        <f t="shared" si="293"/>
        <v>0.58405000000000007</v>
      </c>
      <c r="ADT244" s="760"/>
      <c r="ADU244" s="757">
        <f t="shared" si="294"/>
        <v>3.9662500000000001</v>
      </c>
      <c r="ADV244" s="758"/>
      <c r="ADX244" s="1112">
        <v>-5.8823529411764698E-2</v>
      </c>
      <c r="ADY244" s="1112"/>
      <c r="ADZ244" s="1112">
        <v>0.79411764705882304</v>
      </c>
      <c r="AEA244" s="1112"/>
      <c r="AEB244" s="591">
        <v>217</v>
      </c>
      <c r="AEC244" s="759">
        <f t="shared" si="295"/>
        <v>0.49095588235294069</v>
      </c>
      <c r="AED244" s="760"/>
      <c r="AEE244" s="757">
        <f t="shared" si="296"/>
        <v>5.1537500000000005</v>
      </c>
      <c r="AEF244" s="758"/>
      <c r="AEH244" s="1112">
        <v>-5.8823529411764698E-2</v>
      </c>
      <c r="AEI244" s="1112"/>
      <c r="AEJ244" s="1112">
        <v>0.79411764705882304</v>
      </c>
      <c r="AEK244" s="1112"/>
      <c r="AEL244" s="591">
        <v>267</v>
      </c>
      <c r="AEM244" s="759">
        <f t="shared" si="297"/>
        <v>0.42110294117647012</v>
      </c>
      <c r="AEN244" s="760"/>
      <c r="AEO244" s="757">
        <f t="shared" si="298"/>
        <v>6.3412500000000005</v>
      </c>
      <c r="AEP244" s="758"/>
      <c r="AER244" s="1112">
        <v>-3.5714285714285698E-2</v>
      </c>
      <c r="AES244" s="1112"/>
      <c r="AET244" s="1112">
        <v>0.63928571428571401</v>
      </c>
      <c r="AEU244" s="1112"/>
      <c r="AEV244" s="592">
        <v>317</v>
      </c>
      <c r="AEW244" s="759">
        <f t="shared" si="299"/>
        <v>0.37040178571428556</v>
      </c>
      <c r="AEX244" s="760"/>
      <c r="AEY244" s="757">
        <f t="shared" si="300"/>
        <v>7.5287500000000005</v>
      </c>
      <c r="AEZ244" s="758"/>
      <c r="AFB244" s="1112">
        <v>-3.5714285714285698E-2</v>
      </c>
      <c r="AFC244" s="1112"/>
      <c r="AFD244" s="1112">
        <v>0.63928571428571401</v>
      </c>
      <c r="AFE244" s="1112"/>
      <c r="AFF244" s="592">
        <v>367</v>
      </c>
      <c r="AFG244" s="759">
        <f t="shared" si="301"/>
        <v>0.32799107142857126</v>
      </c>
      <c r="AFH244" s="760"/>
      <c r="AFI244" s="757">
        <f t="shared" si="302"/>
        <v>8.7162500000000005</v>
      </c>
      <c r="AFJ244" s="758"/>
      <c r="AGJ244" s="130"/>
      <c r="AGK244" s="130"/>
      <c r="AGL244" s="850"/>
      <c r="AGM244" s="800" t="s">
        <v>1721</v>
      </c>
      <c r="AGN244" s="801"/>
      <c r="AGO244" s="761">
        <f>$AHA$188</f>
        <v>0.45</v>
      </c>
      <c r="AGP244" s="761"/>
      <c r="AGQ244" s="791" t="s">
        <v>136</v>
      </c>
      <c r="AGR244" s="792"/>
      <c r="AGS244" s="792"/>
      <c r="AGT244" s="792"/>
      <c r="AGU244" s="792"/>
      <c r="AGV244" s="792"/>
      <c r="AGW244" s="792"/>
      <c r="AGX244" s="792"/>
      <c r="AGY244" s="793"/>
      <c r="AGZ244" s="835">
        <f>AGO245*AGO244</f>
        <v>0.58151155475462901</v>
      </c>
      <c r="AHA244" s="836"/>
      <c r="AHB244" s="839"/>
      <c r="AHC244" s="840"/>
      <c r="AHD244" s="1500"/>
      <c r="AHE244" s="1323" t="s">
        <v>1427</v>
      </c>
      <c r="AHF244" s="1323"/>
      <c r="AHG244" s="1323"/>
      <c r="AHH244" s="1289"/>
      <c r="AHI244" s="826"/>
      <c r="AHJ244" s="945"/>
      <c r="AHK244" s="945"/>
      <c r="AHL244" s="945"/>
      <c r="AHM244" s="945"/>
      <c r="AHN244" s="946"/>
      <c r="AHW244" s="130"/>
      <c r="AHX244" s="130"/>
      <c r="AHY244" s="130"/>
      <c r="AHZ244" s="130"/>
      <c r="AIA244" s="130"/>
      <c r="AIB244" s="130"/>
      <c r="AJE244" s="130"/>
      <c r="AJF244" s="130"/>
      <c r="AJG244" s="130"/>
      <c r="AJH244" s="130"/>
      <c r="AJI244" s="130"/>
      <c r="AJJ244" s="130"/>
      <c r="AJK244" s="130"/>
      <c r="AJL244" s="130"/>
      <c r="AJM244" s="130"/>
      <c r="AJN244" s="130"/>
      <c r="AJT244" s="130"/>
      <c r="AJU244" s="130"/>
      <c r="AJV244" s="130"/>
      <c r="AJW244" s="130"/>
      <c r="AJX244" s="130"/>
      <c r="AJY244" s="130"/>
      <c r="AJZ244" s="130"/>
      <c r="AKA244" s="130"/>
      <c r="AKB244" s="130"/>
      <c r="AKC244" s="130"/>
      <c r="AKD244" s="130"/>
      <c r="AKE244" s="130"/>
      <c r="AKF244" s="130"/>
      <c r="AKG244" s="130"/>
      <c r="AKH244" s="130"/>
      <c r="AKI244" s="130"/>
      <c r="AKJ244" s="130"/>
      <c r="AKK244" s="130"/>
      <c r="AKL244" s="130"/>
      <c r="AKM244" s="130"/>
      <c r="AKN244" s="130"/>
      <c r="ALQ244" s="130"/>
      <c r="AQS244" s="130"/>
      <c r="AQT244" s="130"/>
      <c r="AQU244" s="130"/>
      <c r="AQV244" s="653"/>
      <c r="AQW244" s="653"/>
      <c r="AQX244" s="653"/>
      <c r="AQY244" s="653"/>
      <c r="AQZ244" s="653"/>
      <c r="ARA244" s="653"/>
      <c r="ARB244" s="653"/>
      <c r="ARC244" s="653"/>
      <c r="ARD244" s="653"/>
      <c r="ARE244" s="653"/>
      <c r="ARF244" s="653"/>
      <c r="ARG244" s="130"/>
      <c r="ARH244" s="130"/>
      <c r="ARI244" s="130"/>
      <c r="ARJ244" s="130"/>
      <c r="ARK244" s="130"/>
      <c r="ARL244" s="130"/>
      <c r="ARM244" s="130"/>
      <c r="ARN244" s="130"/>
      <c r="ARO244" s="130"/>
      <c r="ARP244" s="130"/>
      <c r="ARQ244" s="130"/>
      <c r="ARR244" s="130"/>
      <c r="ARS244" s="130"/>
      <c r="ART244" s="130"/>
      <c r="ASV244" s="1203" t="s">
        <v>862</v>
      </c>
      <c r="ASW244" s="1275"/>
      <c r="ASX244" s="1204"/>
      <c r="ATD244" s="851"/>
      <c r="ATE244" s="1487"/>
      <c r="ATF244" s="1487"/>
      <c r="ATG244" s="1487"/>
      <c r="ATH244" s="1487"/>
      <c r="ATI244" s="1487"/>
      <c r="ATJ244" s="1487"/>
      <c r="ATK244" s="1487"/>
      <c r="ATL244" s="1487"/>
      <c r="ATM244" s="1487"/>
      <c r="ATN244" s="1487"/>
      <c r="ATO244" s="1487"/>
      <c r="ATP244" s="1487"/>
      <c r="ATQ244" s="1487"/>
      <c r="ATR244" s="1490"/>
      <c r="ATS244" s="1491"/>
      <c r="ATT244" s="777"/>
      <c r="ATU244" s="799"/>
      <c r="ATV244" s="842"/>
      <c r="ATW244" s="918"/>
      <c r="ATX244" s="919"/>
      <c r="ATY244" s="848"/>
      <c r="ATZ244" s="130"/>
      <c r="AUA244" s="130"/>
      <c r="AUB244" s="130"/>
      <c r="AUC244" s="130"/>
      <c r="AUD244" s="130"/>
      <c r="AUE244" s="130"/>
      <c r="AUR244" s="130"/>
      <c r="AUS244" s="130"/>
      <c r="AUT244" s="130"/>
      <c r="AUU244" s="130"/>
      <c r="AUV244" s="130"/>
      <c r="AUW244" s="130"/>
      <c r="AUX244" s="130"/>
      <c r="AUY244" s="130"/>
      <c r="AUZ244" s="130"/>
      <c r="AVA244" s="130"/>
      <c r="AVB244" s="130"/>
      <c r="AVC244" s="130"/>
      <c r="AVD244" s="130"/>
      <c r="AVE244" s="130"/>
      <c r="AVF244" s="130"/>
      <c r="AVG244" s="130"/>
      <c r="AVH244" s="130"/>
      <c r="AVI244" s="130"/>
      <c r="AVJ244" s="130"/>
      <c r="AVK244" s="130"/>
      <c r="AVL244" s="130"/>
      <c r="AVM244" s="130"/>
      <c r="AVN244" s="130"/>
      <c r="AVO244" s="130"/>
      <c r="AVP244" s="130"/>
      <c r="AVQ244" s="130"/>
      <c r="AVR244" s="130"/>
      <c r="AVS244" s="130"/>
      <c r="AVT244" s="130"/>
      <c r="AVU244" s="130"/>
      <c r="AVV244" s="130"/>
      <c r="AVW244" s="130"/>
      <c r="AVX244" s="130"/>
      <c r="AVY244" s="130"/>
      <c r="AVZ244" s="130"/>
      <c r="AWA244" s="130"/>
      <c r="AWB244" s="130"/>
      <c r="AWC244" s="130"/>
      <c r="AWD244" s="130"/>
      <c r="AWE244" s="130"/>
      <c r="AWF244" s="130"/>
      <c r="AWG244" s="130"/>
      <c r="AWH244" s="130"/>
      <c r="AWI244" s="130"/>
      <c r="AWJ244" s="130"/>
      <c r="AWK244" s="130"/>
      <c r="AWL244" s="130"/>
      <c r="AWM244" s="130"/>
      <c r="AWN244" s="130"/>
      <c r="AWO244" s="130"/>
      <c r="AWP244" s="130"/>
      <c r="AWQ244" s="130"/>
      <c r="AWR244" s="130"/>
      <c r="AWS244" s="130"/>
      <c r="AWT244" s="130"/>
      <c r="AWU244" s="130"/>
      <c r="AWV244" s="130"/>
      <c r="AWW244" s="130"/>
      <c r="AWX244" s="130"/>
      <c r="AWY244" s="130"/>
      <c r="AWZ244" s="130"/>
      <c r="AXA244" s="130"/>
      <c r="AXB244" s="130"/>
      <c r="AXC244" s="130"/>
      <c r="AXD244" s="130"/>
      <c r="AXE244" s="130"/>
      <c r="AXF244" s="130"/>
      <c r="AXG244" s="130"/>
      <c r="AXH244" s="130"/>
      <c r="AXI244" s="130"/>
      <c r="AXJ244" s="130"/>
      <c r="AXK244" s="130"/>
      <c r="AXL244" s="130"/>
      <c r="AXM244" s="130"/>
      <c r="AXN244" s="130"/>
      <c r="AXO244" s="130"/>
      <c r="AXP244" s="130"/>
      <c r="AXQ244" s="130"/>
      <c r="AXR244" s="130"/>
      <c r="AXS244" s="130"/>
      <c r="AXT244" s="130"/>
      <c r="AXU244" s="130"/>
      <c r="AXV244" s="130"/>
      <c r="AXW244" s="130"/>
      <c r="AXX244" s="130"/>
      <c r="AXY244" s="130"/>
      <c r="AXZ244" s="130"/>
      <c r="AYA244" s="130"/>
      <c r="AYB244" s="130"/>
      <c r="AYC244" s="130"/>
      <c r="AYD244" s="130"/>
      <c r="AYE244" s="130"/>
      <c r="AYF244" s="130"/>
      <c r="AYG244" s="130"/>
      <c r="AYH244" s="130"/>
      <c r="AYI244" s="130"/>
      <c r="AYJ244" s="130"/>
      <c r="AYK244" s="130"/>
      <c r="AYL244" s="130"/>
      <c r="AYM244" s="130"/>
      <c r="AYN244" s="130"/>
      <c r="AYO244" s="130"/>
      <c r="AYP244" s="130"/>
      <c r="AYQ244" s="130"/>
      <c r="AYR244" s="130"/>
      <c r="AYS244" s="130"/>
      <c r="AYT244" s="130"/>
      <c r="AYU244" s="130"/>
      <c r="AYV244" s="130"/>
      <c r="AYW244" s="130"/>
      <c r="AYX244" s="130"/>
      <c r="AYY244" s="130"/>
      <c r="AYZ244" s="130"/>
      <c r="AZA244" s="130"/>
      <c r="AZB244" s="130"/>
      <c r="AZC244" s="130"/>
      <c r="AZD244" s="130"/>
      <c r="AZE244" s="130"/>
      <c r="AZF244" s="130"/>
      <c r="AZG244" s="130"/>
      <c r="AZH244" s="130"/>
      <c r="AZI244" s="130"/>
      <c r="AZJ244" s="130"/>
      <c r="AZK244" s="130"/>
      <c r="AZL244" s="130"/>
      <c r="AZM244" s="130"/>
      <c r="AZN244" s="130"/>
      <c r="AZO244" s="130"/>
      <c r="AZP244" s="130"/>
      <c r="AZQ244" s="130"/>
      <c r="AZR244" s="130"/>
      <c r="AZS244" s="130"/>
      <c r="AZT244" s="130"/>
      <c r="AZU244" s="130"/>
      <c r="AZV244" s="130"/>
      <c r="AZW244" s="130"/>
      <c r="AZX244" s="130"/>
      <c r="AZY244" s="130"/>
      <c r="AZZ244" s="130"/>
      <c r="BAA244" s="130"/>
      <c r="BAB244" s="130"/>
      <c r="BAC244" s="130"/>
      <c r="BAD244" s="130"/>
      <c r="BAE244" s="130"/>
      <c r="BAF244" s="130"/>
      <c r="BAG244" s="130"/>
      <c r="BAH244" s="130"/>
      <c r="BAI244" s="130"/>
      <c r="BAJ244" s="130"/>
      <c r="BAK244" s="130"/>
      <c r="BAL244" s="130"/>
      <c r="BAM244" s="130"/>
      <c r="BAN244" s="130"/>
      <c r="BAO244" s="130"/>
      <c r="BAP244" s="130"/>
      <c r="BAQ244" s="130"/>
      <c r="BAR244" s="130"/>
      <c r="BAS244" s="130"/>
      <c r="BAT244" s="130"/>
      <c r="BAU244" s="130"/>
      <c r="BAV244" s="130"/>
      <c r="BAW244" s="130"/>
      <c r="BAX244" s="130"/>
      <c r="BAY244" s="130"/>
      <c r="BAZ244" s="130"/>
      <c r="BBA244" s="130"/>
      <c r="BBB244" s="130"/>
      <c r="BBC244" s="130"/>
      <c r="BBD244" s="130"/>
      <c r="BBE244" s="130"/>
      <c r="BBF244" s="130"/>
      <c r="BBG244" s="130"/>
      <c r="BBH244" s="130"/>
      <c r="BBI244" s="130"/>
      <c r="BBJ244" s="130"/>
      <c r="BBK244" s="130"/>
      <c r="BBL244" s="130"/>
      <c r="BBM244" s="130"/>
      <c r="BBN244" s="130"/>
    </row>
    <row r="245" spans="340:1005 1082:1418" ht="48" customHeight="1" thickBot="1">
      <c r="MD245" s="196"/>
      <c r="ME245" s="852" t="s">
        <v>837</v>
      </c>
      <c r="MF245" s="853"/>
      <c r="MG245" s="196"/>
      <c r="MH245" s="1069" t="s">
        <v>114</v>
      </c>
      <c r="MI245" s="1070"/>
      <c r="MJ245" s="1070"/>
      <c r="MK245" s="1070"/>
      <c r="ML245" s="1070"/>
      <c r="MM245" s="1070"/>
      <c r="MN245" s="1070"/>
      <c r="MO245" s="1070"/>
      <c r="MP245" s="1070"/>
      <c r="MQ245" s="1070"/>
      <c r="MR245" s="1071"/>
      <c r="MS245" s="196"/>
      <c r="QW245" s="130"/>
      <c r="QX245" s="130"/>
      <c r="QY245" s="130"/>
      <c r="QZ245" s="130"/>
      <c r="RA245" s="130"/>
      <c r="RB245" s="130"/>
      <c r="RC245" s="130"/>
      <c r="RD245" s="130"/>
      <c r="RE245" s="130"/>
      <c r="RF245" s="130"/>
      <c r="RG245" s="130"/>
      <c r="RH245" s="130"/>
      <c r="RI245" s="130"/>
      <c r="VT245" s="653"/>
      <c r="VU245" s="653"/>
      <c r="VV245" s="653"/>
      <c r="VW245" s="653"/>
      <c r="VX245" s="653"/>
      <c r="VY245" s="653"/>
      <c r="VZ245" s="653"/>
      <c r="WA245" s="653"/>
      <c r="WB245" s="653"/>
      <c r="WC245" s="653"/>
      <c r="WD245" s="653"/>
      <c r="WE245" s="653"/>
      <c r="WF245" s="653"/>
      <c r="WG245" s="653"/>
      <c r="ACJ245" s="759">
        <v>-4.0625000000000001E-2</v>
      </c>
      <c r="ACK245" s="760"/>
      <c r="ACL245" s="759">
        <v>0.96499999999999997</v>
      </c>
      <c r="ACM245" s="760"/>
      <c r="ACN245" s="591">
        <v>18</v>
      </c>
      <c r="ACO245" s="759">
        <f t="shared" si="287"/>
        <v>0.94763281249999998</v>
      </c>
      <c r="ACP245" s="760"/>
      <c r="ACQ245" s="757">
        <f t="shared" si="288"/>
        <v>0.42749999999999999</v>
      </c>
      <c r="ACR245" s="758"/>
      <c r="ACT245" s="759">
        <v>-4.0625000000000001E-2</v>
      </c>
      <c r="ACU245" s="760"/>
      <c r="ACV245" s="759">
        <v>0.96499999999999997</v>
      </c>
      <c r="ACW245" s="760"/>
      <c r="ACX245" s="591">
        <v>68</v>
      </c>
      <c r="ACY245" s="759">
        <f t="shared" si="289"/>
        <v>0.899390625</v>
      </c>
      <c r="ACZ245" s="760"/>
      <c r="ADA245" s="757">
        <f t="shared" si="290"/>
        <v>1.615</v>
      </c>
      <c r="ADB245" s="758"/>
      <c r="ADD245" s="1112">
        <v>-0.2</v>
      </c>
      <c r="ADE245" s="1112"/>
      <c r="ADF245" s="1112">
        <v>1.3</v>
      </c>
      <c r="ADG245" s="1112"/>
      <c r="ADH245" s="592">
        <v>118</v>
      </c>
      <c r="ADI245" s="759">
        <f t="shared" si="291"/>
        <v>0.73949999999999994</v>
      </c>
      <c r="ADJ245" s="760"/>
      <c r="ADK245" s="757">
        <f t="shared" si="292"/>
        <v>2.8025000000000002</v>
      </c>
      <c r="ADL245" s="758"/>
      <c r="ADN245" s="1112">
        <v>-0.12</v>
      </c>
      <c r="ADO245" s="1112"/>
      <c r="ADP245" s="1112">
        <v>1.06</v>
      </c>
      <c r="ADQ245" s="1112"/>
      <c r="ADR245" s="591">
        <v>168</v>
      </c>
      <c r="ADS245" s="759">
        <f t="shared" si="293"/>
        <v>0.58120000000000005</v>
      </c>
      <c r="ADT245" s="760"/>
      <c r="ADU245" s="757">
        <f t="shared" si="294"/>
        <v>3.99</v>
      </c>
      <c r="ADV245" s="758"/>
      <c r="ADX245" s="1112">
        <v>-5.8823529411764698E-2</v>
      </c>
      <c r="ADY245" s="1112"/>
      <c r="ADZ245" s="1112">
        <v>0.79411764705882304</v>
      </c>
      <c r="AEA245" s="1112"/>
      <c r="AEB245" s="591">
        <v>218</v>
      </c>
      <c r="AEC245" s="759">
        <f t="shared" si="295"/>
        <v>0.48955882352941132</v>
      </c>
      <c r="AED245" s="760"/>
      <c r="AEE245" s="757">
        <f t="shared" si="296"/>
        <v>5.1775000000000002</v>
      </c>
      <c r="AEF245" s="758"/>
      <c r="AEH245" s="1112">
        <v>-5.8823529411764698E-2</v>
      </c>
      <c r="AEI245" s="1112"/>
      <c r="AEJ245" s="1112">
        <v>0.79411764705882304</v>
      </c>
      <c r="AEK245" s="1112"/>
      <c r="AEL245" s="591">
        <v>268</v>
      </c>
      <c r="AEM245" s="759">
        <f t="shared" si="297"/>
        <v>0.41970588235294071</v>
      </c>
      <c r="AEN245" s="760"/>
      <c r="AEO245" s="757">
        <f t="shared" si="298"/>
        <v>6.3650000000000002</v>
      </c>
      <c r="AEP245" s="758"/>
      <c r="AER245" s="1112">
        <v>-3.5714285714285698E-2</v>
      </c>
      <c r="AES245" s="1112"/>
      <c r="AET245" s="1112">
        <v>0.63928571428571401</v>
      </c>
      <c r="AEU245" s="1112"/>
      <c r="AEV245" s="592">
        <v>318</v>
      </c>
      <c r="AEW245" s="759">
        <f t="shared" si="299"/>
        <v>0.36955357142857126</v>
      </c>
      <c r="AEX245" s="760"/>
      <c r="AEY245" s="757">
        <f t="shared" si="300"/>
        <v>7.5525000000000002</v>
      </c>
      <c r="AEZ245" s="758"/>
      <c r="AFB245" s="1112">
        <v>-3.5714285714285698E-2</v>
      </c>
      <c r="AFC245" s="1112"/>
      <c r="AFD245" s="1112">
        <v>0.63928571428571401</v>
      </c>
      <c r="AFE245" s="1112"/>
      <c r="AFF245" s="592">
        <v>368</v>
      </c>
      <c r="AFG245" s="759">
        <f t="shared" si="301"/>
        <v>0.32714285714285701</v>
      </c>
      <c r="AFH245" s="760"/>
      <c r="AFI245" s="757">
        <f t="shared" si="302"/>
        <v>8.74</v>
      </c>
      <c r="AFJ245" s="758"/>
      <c r="AGJ245" s="130"/>
      <c r="AGK245" s="130"/>
      <c r="AGL245" s="851"/>
      <c r="AGM245" s="1163" t="s">
        <v>1266</v>
      </c>
      <c r="AGN245" s="1163"/>
      <c r="AGO245" s="774">
        <f>$MN$216</f>
        <v>1.2922478994547311</v>
      </c>
      <c r="AGP245" s="774"/>
      <c r="AGQ245" s="794"/>
      <c r="AGR245" s="795"/>
      <c r="AGS245" s="795"/>
      <c r="AGT245" s="795"/>
      <c r="AGU245" s="795"/>
      <c r="AGV245" s="795"/>
      <c r="AGW245" s="795"/>
      <c r="AGX245" s="795"/>
      <c r="AGY245" s="796"/>
      <c r="AGZ245" s="837"/>
      <c r="AHA245" s="838"/>
      <c r="AHB245" s="777"/>
      <c r="AHC245" s="799"/>
      <c r="AHD245" s="1501"/>
      <c r="AHE245" s="1324"/>
      <c r="AHF245" s="1324"/>
      <c r="AHG245" s="1324"/>
      <c r="AHH245" s="1290"/>
      <c r="AHI245" s="828"/>
      <c r="AHJ245" s="949"/>
      <c r="AHK245" s="949"/>
      <c r="AHL245" s="949"/>
      <c r="AHM245" s="949"/>
      <c r="AHN245" s="950"/>
      <c r="AHW245" s="130"/>
      <c r="AHX245" s="130"/>
      <c r="AHY245" s="130"/>
      <c r="AHZ245" s="130"/>
      <c r="AIA245" s="130"/>
      <c r="AIB245" s="130"/>
      <c r="AJE245" s="130"/>
      <c r="AJF245" s="130"/>
      <c r="AJG245" s="130"/>
      <c r="AJH245" s="130"/>
      <c r="AJI245" s="130"/>
      <c r="AJJ245" s="130"/>
      <c r="AJK245" s="130"/>
      <c r="AJL245" s="130"/>
      <c r="AJM245" s="130"/>
      <c r="AJN245" s="130"/>
      <c r="AJT245" s="130"/>
      <c r="AJU245" s="130"/>
      <c r="AJV245" s="130"/>
      <c r="AJW245" s="130"/>
      <c r="AJX245" s="130"/>
      <c r="AJY245" s="130"/>
      <c r="AJZ245" s="130"/>
      <c r="AKA245" s="130"/>
      <c r="AKB245" s="130"/>
      <c r="AKC245" s="130"/>
      <c r="AKD245" s="130"/>
      <c r="AKE245" s="130"/>
      <c r="AKF245" s="130"/>
      <c r="AKG245" s="130"/>
      <c r="AKH245" s="130"/>
      <c r="AKI245" s="130"/>
      <c r="AKJ245" s="130"/>
      <c r="AKK245" s="130"/>
      <c r="AKL245" s="130"/>
      <c r="AKM245" s="130"/>
      <c r="AKN245" s="130"/>
      <c r="ALQ245" s="130"/>
      <c r="AQS245" s="130"/>
      <c r="AQT245" s="130"/>
      <c r="AQU245" s="130"/>
      <c r="AQV245" s="653"/>
      <c r="AQW245" s="653"/>
      <c r="AQX245" s="653"/>
      <c r="AQY245" s="653"/>
      <c r="AQZ245" s="653"/>
      <c r="ARA245" s="653"/>
      <c r="ARB245" s="653"/>
      <c r="ARC245" s="653"/>
      <c r="ARD245" s="653"/>
      <c r="ARE245" s="653"/>
      <c r="ARF245" s="653"/>
      <c r="ARG245" s="130"/>
      <c r="ARH245" s="130"/>
      <c r="ARI245" s="130"/>
      <c r="ARJ245" s="130"/>
      <c r="ARK245" s="130"/>
      <c r="ARL245" s="130"/>
      <c r="ARM245" s="130"/>
      <c r="ARN245" s="130"/>
      <c r="ARO245" s="130"/>
      <c r="ARP245" s="130"/>
      <c r="ARQ245" s="130"/>
      <c r="ARR245" s="130"/>
      <c r="ARS245" s="130"/>
      <c r="ART245" s="130"/>
      <c r="ASV245" s="1276"/>
      <c r="ASW245" s="1277"/>
      <c r="ASX245" s="1278"/>
      <c r="ATZ245" s="130"/>
      <c r="AUA245" s="130"/>
      <c r="AUB245" s="130"/>
      <c r="AUC245" s="130"/>
      <c r="AUD245" s="130"/>
      <c r="AUE245" s="130"/>
      <c r="AUR245" s="130"/>
      <c r="AUS245" s="130"/>
      <c r="AUT245" s="130"/>
      <c r="AUU245" s="130"/>
      <c r="AUV245" s="130"/>
      <c r="AUW245" s="130"/>
      <c r="AUX245" s="130"/>
      <c r="AUY245" s="130"/>
      <c r="AUZ245" s="130"/>
      <c r="AVA245" s="130"/>
      <c r="AVB245" s="130"/>
      <c r="AVC245" s="130"/>
      <c r="AVD245" s="130"/>
      <c r="AVE245" s="130"/>
      <c r="AVF245" s="130"/>
      <c r="AVG245" s="130"/>
      <c r="AVH245" s="130"/>
      <c r="AVI245" s="130"/>
      <c r="AVJ245" s="130"/>
      <c r="AVK245" s="130"/>
      <c r="AVL245" s="130"/>
      <c r="AVM245" s="130"/>
      <c r="AVN245" s="130"/>
      <c r="AVO245" s="130"/>
      <c r="AVP245" s="130"/>
      <c r="AVQ245" s="130"/>
      <c r="AVR245" s="130"/>
      <c r="AVS245" s="130"/>
      <c r="AVT245" s="130"/>
      <c r="AVU245" s="130"/>
      <c r="AVV245" s="130"/>
      <c r="AVW245" s="130"/>
      <c r="AVX245" s="130"/>
      <c r="AVY245" s="130"/>
      <c r="AVZ245" s="130"/>
      <c r="AWA245" s="130"/>
      <c r="AWB245" s="130"/>
      <c r="AWC245" s="130"/>
      <c r="AWD245" s="130"/>
      <c r="AWE245" s="130"/>
      <c r="AWF245" s="130"/>
      <c r="AWG245" s="130"/>
      <c r="AWH245" s="130"/>
      <c r="AWI245" s="130"/>
      <c r="AWJ245" s="130"/>
      <c r="AWK245" s="130"/>
      <c r="AWL245" s="130"/>
      <c r="AWM245" s="130"/>
      <c r="AWN245" s="130"/>
      <c r="AWO245" s="130"/>
      <c r="AWP245" s="130"/>
      <c r="AWQ245" s="130"/>
      <c r="AWR245" s="130"/>
      <c r="AWS245" s="130"/>
      <c r="AWT245" s="130"/>
      <c r="AWU245" s="130"/>
      <c r="AWV245" s="130"/>
      <c r="AWW245" s="130"/>
      <c r="AWX245" s="130"/>
      <c r="AWY245" s="130"/>
      <c r="AWZ245" s="130"/>
      <c r="AXA245" s="130"/>
      <c r="AXB245" s="130"/>
      <c r="AXC245" s="130"/>
      <c r="AXD245" s="130"/>
      <c r="AXE245" s="130"/>
      <c r="AXF245" s="130"/>
      <c r="AXG245" s="130"/>
      <c r="AXH245" s="130"/>
      <c r="AXI245" s="130"/>
      <c r="AXJ245" s="130"/>
      <c r="AXK245" s="130"/>
      <c r="AXL245" s="130"/>
      <c r="AXM245" s="130"/>
      <c r="AXN245" s="130"/>
      <c r="AXO245" s="130"/>
      <c r="AXP245" s="130"/>
      <c r="AXQ245" s="130"/>
      <c r="AXR245" s="130"/>
      <c r="AXS245" s="130"/>
      <c r="AXT245" s="130"/>
      <c r="AXU245" s="130"/>
      <c r="AXV245" s="130"/>
      <c r="AXW245" s="130"/>
      <c r="AXX245" s="130"/>
      <c r="AXY245" s="130"/>
      <c r="AXZ245" s="130"/>
      <c r="AYA245" s="130"/>
      <c r="AYB245" s="130"/>
      <c r="AYC245" s="130"/>
      <c r="AYD245" s="130"/>
      <c r="AYE245" s="130"/>
      <c r="AYF245" s="130"/>
      <c r="AYG245" s="130"/>
      <c r="AYH245" s="130"/>
      <c r="AYI245" s="130"/>
      <c r="AYJ245" s="130"/>
      <c r="AYK245" s="130"/>
      <c r="AYL245" s="130"/>
      <c r="AYM245" s="130"/>
      <c r="AYN245" s="130"/>
      <c r="AYO245" s="130"/>
      <c r="AYP245" s="130"/>
      <c r="AYQ245" s="130"/>
      <c r="AYR245" s="130"/>
      <c r="AYS245" s="130"/>
      <c r="AYT245" s="130"/>
      <c r="AYU245" s="130"/>
      <c r="AYV245" s="130"/>
      <c r="AYW245" s="130"/>
      <c r="AYX245" s="130"/>
      <c r="AYY245" s="130"/>
      <c r="AYZ245" s="130"/>
      <c r="AZA245" s="130"/>
      <c r="AZB245" s="130"/>
      <c r="AZC245" s="130"/>
      <c r="AZD245" s="130"/>
      <c r="AZE245" s="130"/>
      <c r="AZF245" s="130"/>
      <c r="AZG245" s="130"/>
      <c r="AZH245" s="130"/>
      <c r="AZI245" s="130"/>
      <c r="AZJ245" s="130"/>
      <c r="AZK245" s="130"/>
      <c r="AZL245" s="130"/>
      <c r="AZM245" s="130"/>
      <c r="AZN245" s="130"/>
      <c r="AZO245" s="130"/>
      <c r="AZP245" s="130"/>
      <c r="AZQ245" s="130"/>
      <c r="AZR245" s="130"/>
      <c r="AZS245" s="130"/>
      <c r="AZT245" s="130"/>
      <c r="AZU245" s="130"/>
      <c r="AZV245" s="130"/>
      <c r="AZW245" s="130"/>
      <c r="AZX245" s="130"/>
      <c r="AZY245" s="130"/>
      <c r="AZZ245" s="130"/>
      <c r="BAA245" s="130"/>
      <c r="BAB245" s="130"/>
      <c r="BAC245" s="130"/>
      <c r="BAD245" s="130"/>
      <c r="BAE245" s="130"/>
      <c r="BAF245" s="130"/>
      <c r="BAG245" s="130"/>
      <c r="BAH245" s="130"/>
      <c r="BAI245" s="130"/>
      <c r="BAJ245" s="130"/>
      <c r="BAK245" s="130"/>
      <c r="BAL245" s="130"/>
      <c r="BAM245" s="130"/>
      <c r="BAN245" s="130"/>
      <c r="BAO245" s="130"/>
      <c r="BAP245" s="130"/>
      <c r="BAQ245" s="130"/>
      <c r="BAR245" s="130"/>
      <c r="BAS245" s="130"/>
      <c r="BAT245" s="130"/>
      <c r="BAU245" s="130"/>
      <c r="BAV245" s="130"/>
      <c r="BAW245" s="130"/>
      <c r="BAX245" s="130"/>
      <c r="BAY245" s="130"/>
      <c r="BAZ245" s="130"/>
      <c r="BBA245" s="130"/>
      <c r="BBB245" s="130"/>
      <c r="BBC245" s="130"/>
      <c r="BBD245" s="130"/>
      <c r="BBE245" s="130"/>
      <c r="BBF245" s="130"/>
      <c r="BBG245" s="130"/>
      <c r="BBH245" s="130"/>
      <c r="BBI245" s="130"/>
      <c r="BBJ245" s="130"/>
      <c r="BBK245" s="130"/>
      <c r="BBL245" s="130"/>
      <c r="BBM245" s="130"/>
      <c r="BBN245" s="130"/>
    </row>
    <row r="246" spans="340:1005 1082:1418" ht="48" customHeight="1" thickBot="1">
      <c r="QW246" s="130"/>
      <c r="QX246" s="130"/>
      <c r="QY246" s="130"/>
      <c r="QZ246" s="130"/>
      <c r="RA246" s="130"/>
      <c r="RB246" s="130"/>
      <c r="RC246" s="130"/>
      <c r="RD246" s="130"/>
      <c r="RE246" s="130"/>
      <c r="RF246" s="130"/>
      <c r="RG246" s="130"/>
      <c r="RH246" s="130"/>
      <c r="RI246" s="130"/>
      <c r="VT246" s="653"/>
      <c r="VU246" s="653"/>
      <c r="VV246" s="653"/>
      <c r="VW246" s="653"/>
      <c r="VX246" s="653"/>
      <c r="VY246" s="653"/>
      <c r="VZ246" s="653"/>
      <c r="WA246" s="653"/>
      <c r="WB246" s="653"/>
      <c r="WC246" s="653"/>
      <c r="WD246" s="653"/>
      <c r="WE246" s="653"/>
      <c r="WF246" s="653"/>
      <c r="WG246" s="653"/>
      <c r="ACJ246" s="759">
        <v>-4.0625000000000001E-2</v>
      </c>
      <c r="ACK246" s="760"/>
      <c r="ACL246" s="759">
        <v>0.96499999999999997</v>
      </c>
      <c r="ACM246" s="760"/>
      <c r="ACN246" s="591">
        <v>19</v>
      </c>
      <c r="ACO246" s="759">
        <f t="shared" si="287"/>
        <v>0.94666796874999992</v>
      </c>
      <c r="ACP246" s="760"/>
      <c r="ACQ246" s="757">
        <f t="shared" si="288"/>
        <v>0.45124999999999998</v>
      </c>
      <c r="ACR246" s="758"/>
      <c r="ACT246" s="759">
        <v>-0.10000000000000012</v>
      </c>
      <c r="ACU246" s="760"/>
      <c r="ACV246" s="759">
        <v>1.0600000000000003</v>
      </c>
      <c r="ACW246" s="760"/>
      <c r="ACX246" s="592">
        <v>69</v>
      </c>
      <c r="ACY246" s="759">
        <f t="shared" si="289"/>
        <v>0.89612500000000006</v>
      </c>
      <c r="ACZ246" s="760"/>
      <c r="ADA246" s="757">
        <f t="shared" si="290"/>
        <v>1.6387499999999999</v>
      </c>
      <c r="ADB246" s="758"/>
      <c r="ADD246" s="1112">
        <v>-0.2</v>
      </c>
      <c r="ADE246" s="1112"/>
      <c r="ADF246" s="1112">
        <v>1.3</v>
      </c>
      <c r="ADG246" s="1112"/>
      <c r="ADH246" s="592">
        <v>119</v>
      </c>
      <c r="ADI246" s="759">
        <f t="shared" si="291"/>
        <v>0.73475000000000001</v>
      </c>
      <c r="ADJ246" s="760"/>
      <c r="ADK246" s="757">
        <f t="shared" si="292"/>
        <v>2.8262499999999999</v>
      </c>
      <c r="ADL246" s="758"/>
      <c r="ADN246" s="1112">
        <v>-0.12</v>
      </c>
      <c r="ADO246" s="1112"/>
      <c r="ADP246" s="1112">
        <v>1.06</v>
      </c>
      <c r="ADQ246" s="1112"/>
      <c r="ADR246" s="591">
        <v>169</v>
      </c>
      <c r="ADS246" s="759">
        <f t="shared" si="293"/>
        <v>0.57835000000000014</v>
      </c>
      <c r="ADT246" s="760"/>
      <c r="ADU246" s="757">
        <f t="shared" si="294"/>
        <v>4.0137499999999999</v>
      </c>
      <c r="ADV246" s="758"/>
      <c r="ADX246" s="1112">
        <v>-5.8823529411764698E-2</v>
      </c>
      <c r="ADY246" s="1112"/>
      <c r="ADZ246" s="1112">
        <v>0.79411764705882304</v>
      </c>
      <c r="AEA246" s="1112"/>
      <c r="AEB246" s="591">
        <v>219</v>
      </c>
      <c r="AEC246" s="759">
        <f t="shared" si="295"/>
        <v>0.48816176470588191</v>
      </c>
      <c r="AED246" s="760"/>
      <c r="AEE246" s="757">
        <f t="shared" si="296"/>
        <v>5.2012499999999999</v>
      </c>
      <c r="AEF246" s="758"/>
      <c r="AEH246" s="1112">
        <v>-5.8823529411764698E-2</v>
      </c>
      <c r="AEI246" s="1112"/>
      <c r="AEJ246" s="1112">
        <v>0.79411764705882304</v>
      </c>
      <c r="AEK246" s="1112"/>
      <c r="AEL246" s="591">
        <v>269</v>
      </c>
      <c r="AEM246" s="759">
        <f t="shared" si="297"/>
        <v>0.41830882352941134</v>
      </c>
      <c r="AEN246" s="760"/>
      <c r="AEO246" s="757">
        <f t="shared" si="298"/>
        <v>6.3887499999999999</v>
      </c>
      <c r="AEP246" s="758"/>
      <c r="AER246" s="1112">
        <v>-3.5714285714285698E-2</v>
      </c>
      <c r="AES246" s="1112"/>
      <c r="AET246" s="1112">
        <v>0.63928571428571401</v>
      </c>
      <c r="AEU246" s="1112"/>
      <c r="AEV246" s="592">
        <v>319</v>
      </c>
      <c r="AEW246" s="759">
        <f t="shared" si="299"/>
        <v>0.36870535714285702</v>
      </c>
      <c r="AEX246" s="760"/>
      <c r="AEY246" s="757">
        <f t="shared" si="300"/>
        <v>7.5762499999999999</v>
      </c>
      <c r="AEZ246" s="758"/>
      <c r="AFB246" s="1112">
        <v>-3.5714285714285698E-2</v>
      </c>
      <c r="AFC246" s="1112"/>
      <c r="AFD246" s="1112">
        <v>0.63928571428571401</v>
      </c>
      <c r="AFE246" s="1112"/>
      <c r="AFF246" s="592">
        <v>369</v>
      </c>
      <c r="AFG246" s="759">
        <f t="shared" si="301"/>
        <v>0.32629464285714271</v>
      </c>
      <c r="AFH246" s="760"/>
      <c r="AFI246" s="757">
        <f t="shared" si="302"/>
        <v>8.7637499999999999</v>
      </c>
      <c r="AFJ246" s="758"/>
      <c r="AGJ246" s="130"/>
      <c r="AGK246" s="130"/>
      <c r="AHW246" s="130"/>
      <c r="AHX246" s="130"/>
      <c r="AHY246" s="130"/>
      <c r="AHZ246" s="130"/>
      <c r="AIA246" s="130"/>
      <c r="AIB246" s="130"/>
      <c r="AJE246" s="130"/>
      <c r="AJF246" s="130"/>
      <c r="AJG246" s="130"/>
      <c r="AJH246" s="130"/>
      <c r="AJI246" s="130"/>
      <c r="AJJ246" s="130"/>
      <c r="AJK246" s="130"/>
      <c r="AJL246" s="130"/>
      <c r="AJM246" s="130"/>
      <c r="AJN246" s="130"/>
      <c r="AJT246" s="130"/>
      <c r="AJU246" s="130"/>
      <c r="AJV246" s="130"/>
      <c r="AJW246" s="130"/>
      <c r="AJX246" s="130"/>
      <c r="AJY246" s="130"/>
      <c r="AJZ246" s="130"/>
      <c r="AKA246" s="130"/>
      <c r="AKB246" s="130"/>
      <c r="AKC246" s="130"/>
      <c r="AKD246" s="130"/>
      <c r="AKE246" s="130"/>
      <c r="AKF246" s="130"/>
      <c r="AKG246" s="130"/>
      <c r="AKH246" s="130"/>
      <c r="AKI246" s="130"/>
      <c r="AKJ246" s="130"/>
      <c r="AKK246" s="130"/>
      <c r="AKL246" s="130"/>
      <c r="AKM246" s="130"/>
      <c r="AKN246" s="130"/>
      <c r="ALQ246" s="130"/>
      <c r="AQS246" s="130"/>
      <c r="AQT246" s="130"/>
      <c r="AQU246" s="130"/>
      <c r="AQV246" s="653"/>
      <c r="AQW246" s="653"/>
      <c r="AQX246" s="653"/>
      <c r="AQY246" s="653"/>
      <c r="AQZ246" s="653"/>
      <c r="ARA246" s="653"/>
      <c r="ARB246" s="653"/>
      <c r="ARC246" s="653"/>
      <c r="ARD246" s="653"/>
      <c r="ARE246" s="653"/>
      <c r="ARF246" s="653"/>
      <c r="ARG246" s="130"/>
      <c r="ARH246" s="130"/>
      <c r="ARI246" s="130"/>
      <c r="ARJ246" s="130"/>
      <c r="ARK246" s="130"/>
      <c r="ARL246" s="130"/>
      <c r="ARM246" s="130"/>
      <c r="ARN246" s="130"/>
      <c r="ARO246" s="130"/>
      <c r="ARP246" s="130"/>
      <c r="ARQ246" s="130"/>
      <c r="ARR246" s="130"/>
      <c r="ARS246" s="130"/>
      <c r="ART246" s="130"/>
      <c r="ATD246" s="849"/>
      <c r="ATE246" s="852" t="s">
        <v>416</v>
      </c>
      <c r="ATF246" s="853"/>
      <c r="ATG246" s="142"/>
      <c r="ATH246" s="78"/>
      <c r="ATI246" s="78"/>
      <c r="ATJ246" s="78"/>
      <c r="ATK246" s="78"/>
      <c r="ATL246" s="78"/>
      <c r="ATM246" s="78"/>
      <c r="ATN246" s="142"/>
      <c r="ATO246" s="76" t="s">
        <v>441</v>
      </c>
      <c r="ATP246" s="854" t="s">
        <v>435</v>
      </c>
      <c r="ATQ246" s="855"/>
      <c r="ATR246" s="920" t="s">
        <v>111</v>
      </c>
      <c r="ATS246" s="921"/>
      <c r="ATT246" s="916" t="s">
        <v>704</v>
      </c>
      <c r="ATU246" s="917"/>
      <c r="ATV246" s="906" t="s">
        <v>447</v>
      </c>
      <c r="ATW246" s="907"/>
      <c r="ATX246" s="907"/>
      <c r="ATY246" s="908"/>
      <c r="ATZ246" s="130"/>
      <c r="AUA246" s="130"/>
      <c r="AUB246" s="130"/>
      <c r="AUC246" s="130"/>
      <c r="AUD246" s="130"/>
      <c r="AUE246" s="130"/>
      <c r="AUR246" s="130"/>
      <c r="AUS246" s="130"/>
      <c r="AUT246" s="130"/>
      <c r="AUU246" s="130"/>
      <c r="AUV246" s="130"/>
      <c r="AUW246" s="130"/>
      <c r="AUX246" s="130"/>
      <c r="AUY246" s="130"/>
      <c r="AUZ246" s="130"/>
      <c r="AVA246" s="130"/>
      <c r="AVB246" s="130"/>
      <c r="AVC246" s="130"/>
      <c r="AVD246" s="130"/>
      <c r="AVE246" s="130"/>
      <c r="AVF246" s="130"/>
      <c r="AVG246" s="130"/>
      <c r="AVH246" s="130"/>
      <c r="AVI246" s="130"/>
      <c r="AVJ246" s="130"/>
      <c r="AVK246" s="130"/>
      <c r="AVL246" s="130"/>
      <c r="AVM246" s="130"/>
      <c r="AVN246" s="130"/>
      <c r="AVO246" s="130"/>
      <c r="AVP246" s="130"/>
      <c r="AVQ246" s="130"/>
      <c r="AVR246" s="130"/>
      <c r="AVS246" s="130"/>
      <c r="AVT246" s="130"/>
      <c r="AVU246" s="130"/>
      <c r="AVV246" s="130"/>
      <c r="AVW246" s="130"/>
      <c r="AVX246" s="130"/>
      <c r="AVY246" s="130"/>
      <c r="AVZ246" s="130"/>
      <c r="AWA246" s="130"/>
      <c r="AWB246" s="130"/>
      <c r="AWC246" s="130"/>
      <c r="AWD246" s="130"/>
      <c r="AWE246" s="130"/>
      <c r="AWF246" s="130"/>
      <c r="AWG246" s="130"/>
      <c r="AWH246" s="130"/>
      <c r="AWI246" s="130"/>
      <c r="AWJ246" s="130"/>
      <c r="AWK246" s="130"/>
      <c r="AWL246" s="130"/>
      <c r="AWM246" s="130"/>
      <c r="AWN246" s="130"/>
      <c r="AWO246" s="130"/>
      <c r="AWP246" s="130"/>
      <c r="AWQ246" s="130"/>
      <c r="AWR246" s="130"/>
      <c r="AWS246" s="130"/>
      <c r="AWT246" s="130"/>
      <c r="AWU246" s="130"/>
      <c r="AWV246" s="130"/>
      <c r="AWW246" s="130"/>
      <c r="AWX246" s="130"/>
      <c r="AWY246" s="130"/>
      <c r="AWZ246" s="130"/>
      <c r="AXA246" s="130"/>
      <c r="AXB246" s="130"/>
      <c r="AXC246" s="130"/>
      <c r="AXD246" s="130"/>
      <c r="AXE246" s="130"/>
      <c r="AXF246" s="130"/>
      <c r="AXG246" s="130"/>
      <c r="AXH246" s="130"/>
      <c r="AXI246" s="130"/>
      <c r="AXJ246" s="130"/>
      <c r="AXK246" s="130"/>
      <c r="AXL246" s="130"/>
      <c r="AXM246" s="130"/>
      <c r="AXN246" s="130"/>
      <c r="AXO246" s="130"/>
      <c r="AXP246" s="130"/>
      <c r="AXQ246" s="130"/>
      <c r="AXR246" s="130"/>
      <c r="AXS246" s="130"/>
      <c r="AXT246" s="130"/>
      <c r="AXU246" s="130"/>
      <c r="AXV246" s="130"/>
      <c r="AXW246" s="130"/>
      <c r="AXX246" s="130"/>
      <c r="AXY246" s="130"/>
      <c r="AXZ246" s="130"/>
      <c r="AYA246" s="130"/>
      <c r="AYB246" s="130"/>
      <c r="AYC246" s="130"/>
      <c r="AYD246" s="130"/>
      <c r="AYE246" s="130"/>
      <c r="AYF246" s="130"/>
      <c r="AYG246" s="130"/>
      <c r="AYH246" s="130"/>
      <c r="AYI246" s="130"/>
      <c r="AYJ246" s="130"/>
      <c r="AYK246" s="130"/>
      <c r="AYL246" s="130"/>
      <c r="AYM246" s="130"/>
      <c r="AYN246" s="130"/>
      <c r="AYO246" s="130"/>
      <c r="AYP246" s="130"/>
      <c r="AYQ246" s="130"/>
      <c r="AYR246" s="130"/>
      <c r="AYS246" s="130"/>
      <c r="AYT246" s="130"/>
      <c r="AYU246" s="130"/>
      <c r="AYV246" s="130"/>
      <c r="AYW246" s="130"/>
      <c r="AYX246" s="130"/>
      <c r="AYY246" s="130"/>
      <c r="AYZ246" s="130"/>
      <c r="AZA246" s="130"/>
      <c r="AZB246" s="130"/>
      <c r="AZC246" s="130"/>
      <c r="AZD246" s="130"/>
      <c r="AZE246" s="130"/>
      <c r="AZF246" s="130"/>
      <c r="AZG246" s="130"/>
      <c r="AZH246" s="130"/>
      <c r="AZI246" s="130"/>
      <c r="AZJ246" s="130"/>
      <c r="AZK246" s="130"/>
      <c r="AZL246" s="130"/>
      <c r="AZM246" s="130"/>
      <c r="AZN246" s="130"/>
      <c r="AZO246" s="130"/>
      <c r="AZP246" s="130"/>
      <c r="AZQ246" s="130"/>
      <c r="AZR246" s="130"/>
      <c r="AZS246" s="130"/>
      <c r="AZT246" s="130"/>
      <c r="AZU246" s="130"/>
      <c r="AZV246" s="130"/>
      <c r="AZW246" s="130"/>
      <c r="AZX246" s="130"/>
      <c r="AZY246" s="130"/>
      <c r="AZZ246" s="130"/>
      <c r="BAA246" s="130"/>
      <c r="BAB246" s="130"/>
      <c r="BAC246" s="130"/>
      <c r="BAD246" s="130"/>
      <c r="BAE246" s="130"/>
      <c r="BAF246" s="130"/>
      <c r="BAG246" s="130"/>
      <c r="BAH246" s="130"/>
      <c r="BAI246" s="130"/>
      <c r="BAJ246" s="130"/>
      <c r="BAK246" s="130"/>
      <c r="BAL246" s="130"/>
      <c r="BAM246" s="130"/>
      <c r="BAN246" s="130"/>
      <c r="BAO246" s="130"/>
      <c r="BAP246" s="130"/>
      <c r="BAQ246" s="130"/>
      <c r="BAR246" s="130"/>
      <c r="BAS246" s="130"/>
      <c r="BAT246" s="130"/>
      <c r="BAU246" s="130"/>
      <c r="BAV246" s="130"/>
      <c r="BAW246" s="130"/>
      <c r="BAX246" s="130"/>
      <c r="BAY246" s="130"/>
      <c r="BAZ246" s="130"/>
      <c r="BBA246" s="130"/>
      <c r="BBB246" s="130"/>
      <c r="BBC246" s="130"/>
      <c r="BBD246" s="130"/>
      <c r="BBE246" s="130"/>
      <c r="BBF246" s="130"/>
      <c r="BBG246" s="130"/>
      <c r="BBH246" s="130"/>
      <c r="BBI246" s="130"/>
      <c r="BBJ246" s="130"/>
      <c r="BBK246" s="130"/>
      <c r="BBL246" s="130"/>
      <c r="BBM246" s="130"/>
      <c r="BBN246" s="130"/>
    </row>
    <row r="247" spans="340:1005 1082:1418" ht="48" customHeight="1" thickBot="1">
      <c r="MB247" s="849"/>
      <c r="MC247" s="852" t="s">
        <v>416</v>
      </c>
      <c r="MD247" s="853"/>
      <c r="ME247" s="719"/>
      <c r="MF247" s="78"/>
      <c r="MG247" s="78"/>
      <c r="MH247" s="78"/>
      <c r="MI247" s="76" t="s">
        <v>441</v>
      </c>
      <c r="MJ247" s="854" t="s">
        <v>435</v>
      </c>
      <c r="MK247" s="855"/>
      <c r="ML247" s="924" t="s">
        <v>111</v>
      </c>
      <c r="MM247" s="925"/>
      <c r="MN247" s="916" t="s">
        <v>704</v>
      </c>
      <c r="MO247" s="917"/>
      <c r="MP247" s="906" t="s">
        <v>447</v>
      </c>
      <c r="MQ247" s="907"/>
      <c r="MR247" s="907"/>
      <c r="MS247" s="908"/>
      <c r="MT247" s="906" t="s">
        <v>436</v>
      </c>
      <c r="MU247" s="907"/>
      <c r="MV247" s="907"/>
      <c r="MW247" s="907"/>
      <c r="MX247" s="907"/>
      <c r="MY247" s="908"/>
      <c r="QW247" s="130"/>
      <c r="QX247" s="130"/>
      <c r="QY247" s="130"/>
      <c r="QZ247" s="130"/>
      <c r="RA247" s="130"/>
      <c r="RB247" s="130"/>
      <c r="RC247" s="130"/>
      <c r="RD247" s="130"/>
      <c r="RE247" s="130"/>
      <c r="RF247" s="130"/>
      <c r="RG247" s="130"/>
      <c r="RH247" s="130"/>
      <c r="RI247" s="130"/>
      <c r="VT247" s="653"/>
      <c r="VU247" s="653"/>
      <c r="VV247" s="653"/>
      <c r="VW247" s="653"/>
      <c r="VX247" s="653"/>
      <c r="VY247" s="653"/>
      <c r="VZ247" s="653"/>
      <c r="WA247" s="653"/>
      <c r="WB247" s="653"/>
      <c r="WC247" s="653"/>
      <c r="WD247" s="653"/>
      <c r="WE247" s="653"/>
      <c r="WF247" s="653"/>
      <c r="WG247" s="653"/>
      <c r="ACJ247" s="759">
        <v>-4.0625000000000001E-2</v>
      </c>
      <c r="ACK247" s="760"/>
      <c r="ACL247" s="759">
        <v>0.96499999999999997</v>
      </c>
      <c r="ACM247" s="760"/>
      <c r="ACN247" s="591">
        <v>20</v>
      </c>
      <c r="ACO247" s="759">
        <f t="shared" si="287"/>
        <v>0.94570312499999998</v>
      </c>
      <c r="ACP247" s="760"/>
      <c r="ACQ247" s="757">
        <f t="shared" si="288"/>
        <v>0.47499999999999998</v>
      </c>
      <c r="ACR247" s="758"/>
      <c r="ACT247" s="759">
        <v>-0.10000000000000012</v>
      </c>
      <c r="ACU247" s="760"/>
      <c r="ACV247" s="759">
        <v>1.0600000000000003</v>
      </c>
      <c r="ACW247" s="760"/>
      <c r="ACX247" s="592">
        <v>70</v>
      </c>
      <c r="ACY247" s="759">
        <f t="shared" si="289"/>
        <v>0.89375000000000004</v>
      </c>
      <c r="ACZ247" s="760"/>
      <c r="ADA247" s="757">
        <f t="shared" si="290"/>
        <v>1.6625000000000001</v>
      </c>
      <c r="ADB247" s="758"/>
      <c r="ADD247" s="1112">
        <v>-0.2</v>
      </c>
      <c r="ADE247" s="1112"/>
      <c r="ADF247" s="1112">
        <v>1.3</v>
      </c>
      <c r="ADG247" s="1112"/>
      <c r="ADH247" s="592">
        <v>120</v>
      </c>
      <c r="ADI247" s="759">
        <f t="shared" si="291"/>
        <v>0.73</v>
      </c>
      <c r="ADJ247" s="760"/>
      <c r="ADK247" s="757">
        <f t="shared" si="292"/>
        <v>2.85</v>
      </c>
      <c r="ADL247" s="758"/>
      <c r="ADN247" s="1112">
        <v>-7.999999999999996E-2</v>
      </c>
      <c r="ADO247" s="1112"/>
      <c r="ADP247" s="1112">
        <v>0.8999999999999998</v>
      </c>
      <c r="ADQ247" s="1112"/>
      <c r="ADR247" s="592">
        <v>170</v>
      </c>
      <c r="ADS247" s="759">
        <f t="shared" si="293"/>
        <v>0.57699999999999996</v>
      </c>
      <c r="ADT247" s="760"/>
      <c r="ADU247" s="757">
        <f t="shared" si="294"/>
        <v>4.0374999999999996</v>
      </c>
      <c r="ADV247" s="758"/>
      <c r="ADX247" s="1112">
        <v>-5.8823529411764698E-2</v>
      </c>
      <c r="ADY247" s="1112"/>
      <c r="ADZ247" s="1112">
        <v>0.79411764705882304</v>
      </c>
      <c r="AEA247" s="1112"/>
      <c r="AEB247" s="591">
        <v>220</v>
      </c>
      <c r="AEC247" s="759">
        <f t="shared" si="295"/>
        <v>0.48676470588235249</v>
      </c>
      <c r="AED247" s="760"/>
      <c r="AEE247" s="757">
        <f t="shared" si="296"/>
        <v>5.2249999999999996</v>
      </c>
      <c r="AEF247" s="758"/>
      <c r="AEH247" s="1112">
        <v>-5.8823529411764698E-2</v>
      </c>
      <c r="AEI247" s="1112"/>
      <c r="AEJ247" s="1112">
        <v>0.79411764705882304</v>
      </c>
      <c r="AEK247" s="1112"/>
      <c r="AEL247" s="591">
        <v>270</v>
      </c>
      <c r="AEM247" s="759">
        <f t="shared" si="297"/>
        <v>0.41691176470588193</v>
      </c>
      <c r="AEN247" s="760"/>
      <c r="AEO247" s="757">
        <f t="shared" si="298"/>
        <v>6.4124999999999996</v>
      </c>
      <c r="AEP247" s="758"/>
      <c r="AER247" s="1112">
        <v>-3.5714285714285698E-2</v>
      </c>
      <c r="AES247" s="1112"/>
      <c r="AET247" s="1112">
        <v>0.63928571428571401</v>
      </c>
      <c r="AEU247" s="1112"/>
      <c r="AEV247" s="592">
        <v>320</v>
      </c>
      <c r="AEW247" s="759">
        <f t="shared" si="299"/>
        <v>0.36785714285714272</v>
      </c>
      <c r="AEX247" s="760"/>
      <c r="AEY247" s="757">
        <f t="shared" si="300"/>
        <v>7.6</v>
      </c>
      <c r="AEZ247" s="758"/>
      <c r="AFB247" s="1112">
        <v>-3.5714285714285698E-2</v>
      </c>
      <c r="AFC247" s="1112"/>
      <c r="AFD247" s="1112">
        <v>0.63928571428571401</v>
      </c>
      <c r="AFE247" s="1112"/>
      <c r="AFF247" s="592">
        <v>370</v>
      </c>
      <c r="AFG247" s="759">
        <f t="shared" si="301"/>
        <v>0.32544642857142847</v>
      </c>
      <c r="AFH247" s="760"/>
      <c r="AFI247" s="757">
        <f t="shared" si="302"/>
        <v>8.7874999999999996</v>
      </c>
      <c r="AFJ247" s="758"/>
      <c r="AGJ247" s="130"/>
      <c r="AGK247" s="130"/>
      <c r="AGN247" s="199"/>
      <c r="AGO247" s="852" t="s">
        <v>1748</v>
      </c>
      <c r="AGP247" s="923"/>
      <c r="AGQ247" s="199"/>
      <c r="AGR247" s="1117" t="s">
        <v>1040</v>
      </c>
      <c r="AGS247" s="1118"/>
      <c r="AGT247" s="1118"/>
      <c r="AGU247" s="1118"/>
      <c r="AGV247" s="1118"/>
      <c r="AGW247" s="1118"/>
      <c r="AGX247" s="1118"/>
      <c r="AGY247" s="1118"/>
      <c r="AGZ247" s="1118"/>
      <c r="AHA247" s="1118"/>
      <c r="AHB247" s="1119"/>
      <c r="AHC247" s="199"/>
      <c r="AJE247" s="130"/>
      <c r="AJF247" s="130"/>
      <c r="AJG247" s="130"/>
      <c r="AJH247" s="130"/>
      <c r="AJI247" s="130"/>
      <c r="AJJ247" s="130"/>
      <c r="AJK247" s="130"/>
      <c r="AJL247" s="130"/>
      <c r="AJM247" s="130"/>
      <c r="AJN247" s="130"/>
      <c r="AJT247" s="130"/>
      <c r="AJU247" s="130"/>
      <c r="AJV247" s="130"/>
      <c r="AJW247" s="130"/>
      <c r="AJX247" s="130"/>
      <c r="AJY247" s="130"/>
      <c r="AJZ247" s="130"/>
      <c r="AKA247" s="130"/>
      <c r="AKB247" s="130"/>
      <c r="AKC247" s="130"/>
      <c r="AKD247" s="130"/>
      <c r="AKE247" s="130"/>
      <c r="AKF247" s="130"/>
      <c r="AKG247" s="130"/>
      <c r="AKH247" s="130"/>
      <c r="AKI247" s="130"/>
      <c r="AKJ247" s="130"/>
      <c r="AKK247" s="130"/>
      <c r="AKL247" s="130"/>
      <c r="AKM247" s="130"/>
      <c r="AKN247" s="130"/>
      <c r="ALQ247" s="130"/>
      <c r="API247" s="130"/>
      <c r="APJ247" s="130"/>
      <c r="APK247" s="130"/>
      <c r="APL247" s="130"/>
      <c r="APM247" s="130"/>
      <c r="APN247" s="130"/>
      <c r="APO247" s="130"/>
      <c r="APP247" s="130"/>
      <c r="APQ247" s="130"/>
      <c r="APR247" s="130"/>
      <c r="APS247" s="130"/>
      <c r="APT247" s="130"/>
      <c r="APU247" s="130"/>
      <c r="APV247" s="130"/>
      <c r="APW247" s="130"/>
      <c r="APX247" s="130"/>
      <c r="APY247" s="130"/>
      <c r="APZ247" s="130"/>
      <c r="AQA247" s="130"/>
      <c r="AQS247" s="130"/>
      <c r="AQT247" s="130"/>
      <c r="AQU247" s="130"/>
      <c r="AQV247" s="653"/>
      <c r="AQW247" s="653"/>
      <c r="AQX247" s="653"/>
      <c r="AQY247" s="653"/>
      <c r="AQZ247" s="653"/>
      <c r="ARA247" s="653"/>
      <c r="ARB247" s="653"/>
      <c r="ARC247" s="653"/>
      <c r="ARD247" s="653"/>
      <c r="ARE247" s="653"/>
      <c r="ARF247" s="653"/>
      <c r="ARG247" s="130"/>
      <c r="ARH247" s="130"/>
      <c r="ARI247" s="130"/>
      <c r="ARJ247" s="130"/>
      <c r="ARK247" s="130"/>
      <c r="ARL247" s="130"/>
      <c r="ARM247" s="130"/>
      <c r="ARN247" s="130"/>
      <c r="ARO247" s="130"/>
      <c r="ARP247" s="130"/>
      <c r="ARQ247" s="130"/>
      <c r="ARR247" s="130"/>
      <c r="ARS247" s="130"/>
      <c r="ART247" s="130"/>
      <c r="ARU247" s="130"/>
      <c r="ARV247" s="130"/>
      <c r="ARW247" s="130"/>
      <c r="ARX247" s="130"/>
      <c r="ARY247" s="130"/>
      <c r="ARZ247" s="130"/>
      <c r="ASA247" s="130"/>
      <c r="ASB247" s="130"/>
      <c r="ASC247" s="130"/>
      <c r="ASD247" s="130"/>
      <c r="ASE247" s="130"/>
      <c r="ASF247" s="130"/>
      <c r="ASG247" s="130"/>
      <c r="ASH247" s="130"/>
      <c r="ASI247" s="130"/>
      <c r="ASJ247" s="130"/>
      <c r="ASK247" s="130"/>
      <c r="ASL247" s="130"/>
      <c r="ASM247" s="130"/>
      <c r="ASN247" s="130"/>
      <c r="ASO247" s="130"/>
      <c r="ASP247" s="130"/>
      <c r="ASQ247" s="130"/>
      <c r="ASR247" s="130"/>
      <c r="ASS247" s="130"/>
      <c r="AST247" s="130"/>
      <c r="ASU247" s="130"/>
      <c r="ASV247" s="130"/>
      <c r="ASW247" s="130"/>
      <c r="ASX247" s="130"/>
      <c r="ASY247" s="130"/>
      <c r="ASZ247" s="130"/>
      <c r="ATA247" s="130"/>
      <c r="ATB247" s="130"/>
      <c r="ATC247" s="130"/>
      <c r="ATD247" s="850"/>
      <c r="ATE247" s="1486"/>
      <c r="ATF247" s="1486"/>
      <c r="ATG247" s="1486"/>
      <c r="ATH247" s="1486"/>
      <c r="ATI247" s="1486"/>
      <c r="ATJ247" s="1486"/>
      <c r="ATK247" s="1486"/>
      <c r="ATL247" s="1486"/>
      <c r="ATM247" s="1486"/>
      <c r="ATN247" s="1486"/>
      <c r="ATO247" s="1486"/>
      <c r="ATP247" s="1486"/>
      <c r="ATQ247" s="1486"/>
      <c r="ATR247" s="1488"/>
      <c r="ATS247" s="1489"/>
      <c r="ATT247" s="839"/>
      <c r="ATU247" s="840"/>
      <c r="ATV247" s="841"/>
      <c r="ATW247" s="843" t="s">
        <v>416</v>
      </c>
      <c r="ATX247" s="844"/>
      <c r="ATY247" s="847"/>
      <c r="ATZ247" s="130"/>
      <c r="AUA247" s="130"/>
      <c r="AUB247" s="130"/>
      <c r="AUC247" s="130"/>
      <c r="AUD247" s="130"/>
      <c r="AUE247" s="130"/>
      <c r="AUR247" s="130"/>
      <c r="AUS247" s="130"/>
      <c r="AUT247" s="130"/>
      <c r="AUU247" s="130"/>
      <c r="AUV247" s="130"/>
      <c r="AUW247" s="130"/>
      <c r="AUX247" s="130"/>
      <c r="AUY247" s="130"/>
      <c r="AUZ247" s="130"/>
      <c r="AVA247" s="130"/>
      <c r="AVB247" s="130"/>
      <c r="AVC247" s="130"/>
      <c r="AVD247" s="130"/>
      <c r="AVE247" s="130"/>
      <c r="AVF247" s="130"/>
      <c r="AVG247" s="130"/>
      <c r="AVH247" s="130"/>
      <c r="AVI247" s="130"/>
      <c r="AVJ247" s="130"/>
      <c r="AVK247" s="130"/>
      <c r="AVL247" s="130"/>
      <c r="AVM247" s="130"/>
      <c r="AVN247" s="130"/>
      <c r="AVO247" s="130"/>
      <c r="AVP247" s="130"/>
      <c r="AVQ247" s="130"/>
      <c r="AVR247" s="130"/>
      <c r="AVS247" s="130"/>
      <c r="AVT247" s="130"/>
      <c r="AVU247" s="130"/>
      <c r="AVV247" s="130"/>
      <c r="AVW247" s="130"/>
      <c r="AVX247" s="130"/>
      <c r="AVY247" s="130"/>
      <c r="AVZ247" s="130"/>
      <c r="AWA247" s="130"/>
      <c r="AWB247" s="130"/>
      <c r="AWC247" s="130"/>
      <c r="AWD247" s="130"/>
      <c r="AWE247" s="130"/>
      <c r="AWF247" s="130"/>
      <c r="AWG247" s="130"/>
      <c r="AWH247" s="130"/>
      <c r="AWI247" s="130"/>
      <c r="AWJ247" s="130"/>
      <c r="AWK247" s="130"/>
      <c r="AWL247" s="130"/>
      <c r="AWM247" s="130"/>
      <c r="AWN247" s="130"/>
      <c r="AWO247" s="130"/>
      <c r="AWP247" s="130"/>
      <c r="AWQ247" s="130"/>
      <c r="AWR247" s="130"/>
      <c r="AWS247" s="130"/>
      <c r="AWT247" s="130"/>
      <c r="AWU247" s="130"/>
      <c r="AWV247" s="130"/>
      <c r="AWW247" s="130"/>
      <c r="AWX247" s="130"/>
      <c r="AWY247" s="130"/>
      <c r="AWZ247" s="130"/>
      <c r="AXA247" s="130"/>
      <c r="AXB247" s="130"/>
      <c r="AXC247" s="130"/>
      <c r="AXD247" s="130"/>
      <c r="AXE247" s="130"/>
      <c r="AXF247" s="130"/>
      <c r="AXG247" s="130"/>
      <c r="AXH247" s="130"/>
      <c r="AXI247" s="130"/>
      <c r="AXJ247" s="130"/>
      <c r="AXK247" s="130"/>
      <c r="AXL247" s="130"/>
      <c r="AXM247" s="130"/>
      <c r="AXN247" s="130"/>
      <c r="AXO247" s="130"/>
      <c r="AXP247" s="130"/>
      <c r="AXQ247" s="130"/>
      <c r="AXR247" s="130"/>
      <c r="AXS247" s="130"/>
      <c r="AXT247" s="130"/>
      <c r="AXU247" s="130"/>
      <c r="AXV247" s="130"/>
      <c r="AXW247" s="130"/>
      <c r="AXX247" s="130"/>
      <c r="AXY247" s="130"/>
      <c r="AXZ247" s="130"/>
      <c r="AYA247" s="130"/>
      <c r="AYB247" s="130"/>
      <c r="AYC247" s="130"/>
      <c r="AYD247" s="130"/>
      <c r="AYE247" s="130"/>
      <c r="AYF247" s="130"/>
      <c r="AYG247" s="130"/>
      <c r="AYH247" s="130"/>
      <c r="AYI247" s="130"/>
      <c r="AYJ247" s="130"/>
      <c r="AYK247" s="130"/>
      <c r="AYL247" s="130"/>
      <c r="AYM247" s="130"/>
      <c r="AYN247" s="130"/>
      <c r="AYO247" s="130"/>
      <c r="AYP247" s="130"/>
      <c r="AYQ247" s="130"/>
      <c r="AYR247" s="130"/>
      <c r="AYS247" s="130"/>
      <c r="AYT247" s="130"/>
      <c r="AYU247" s="130"/>
      <c r="AYV247" s="130"/>
      <c r="AYW247" s="130"/>
      <c r="AYX247" s="130"/>
      <c r="AYY247" s="130"/>
      <c r="AYZ247" s="130"/>
      <c r="AZA247" s="130"/>
      <c r="AZB247" s="130"/>
      <c r="AZC247" s="130"/>
      <c r="AZD247" s="130"/>
      <c r="AZE247" s="130"/>
      <c r="AZF247" s="130"/>
      <c r="AZG247" s="130"/>
      <c r="AZH247" s="130"/>
      <c r="AZI247" s="130"/>
      <c r="AZJ247" s="130"/>
      <c r="AZK247" s="130"/>
      <c r="AZL247" s="130"/>
      <c r="AZM247" s="130"/>
      <c r="AZN247" s="130"/>
      <c r="AZO247" s="130"/>
      <c r="AZP247" s="130"/>
      <c r="AZQ247" s="130"/>
      <c r="AZR247" s="130"/>
      <c r="AZS247" s="130"/>
      <c r="AZT247" s="130"/>
      <c r="AZU247" s="130"/>
      <c r="AZV247" s="130"/>
      <c r="AZW247" s="130"/>
      <c r="AZX247" s="130"/>
      <c r="AZY247" s="130"/>
      <c r="AZZ247" s="130"/>
      <c r="BAA247" s="130"/>
      <c r="BAB247" s="130"/>
      <c r="BAC247" s="130"/>
      <c r="BAD247" s="130"/>
      <c r="BAE247" s="130"/>
      <c r="BAF247" s="130"/>
      <c r="BAG247" s="130"/>
      <c r="BAH247" s="130"/>
      <c r="BAI247" s="130"/>
      <c r="BAJ247" s="130"/>
      <c r="BAK247" s="130"/>
      <c r="BAL247" s="130"/>
      <c r="BAM247" s="130"/>
      <c r="BAN247" s="130"/>
      <c r="BAO247" s="130"/>
      <c r="BAP247" s="130"/>
      <c r="BAQ247" s="130"/>
      <c r="BAR247" s="130"/>
      <c r="BAS247" s="130"/>
      <c r="BAT247" s="130"/>
      <c r="BAU247" s="130"/>
      <c r="BAV247" s="130"/>
      <c r="BAW247" s="130"/>
      <c r="BAX247" s="130"/>
      <c r="BAY247" s="130"/>
      <c r="BAZ247" s="130"/>
      <c r="BBA247" s="130"/>
      <c r="BBB247" s="130"/>
      <c r="BBC247" s="130"/>
      <c r="BBD247" s="130"/>
      <c r="BBE247" s="130"/>
      <c r="BBF247" s="130"/>
      <c r="BBG247" s="130"/>
      <c r="BBH247" s="130"/>
      <c r="BBI247" s="130"/>
      <c r="BBJ247" s="130"/>
      <c r="BBK247" s="130"/>
      <c r="BBL247" s="130"/>
      <c r="BBM247" s="130"/>
      <c r="BBN247" s="130"/>
    </row>
    <row r="248" spans="340:1005 1082:1418" ht="48" customHeight="1" thickBot="1">
      <c r="MB248" s="850"/>
      <c r="MC248" s="940" t="s">
        <v>1078</v>
      </c>
      <c r="MD248" s="941"/>
      <c r="ME248" s="761">
        <f>$CN$54</f>
        <v>58.696468820435761</v>
      </c>
      <c r="MF248" s="761"/>
      <c r="MG248" s="792" t="s">
        <v>1273</v>
      </c>
      <c r="MH248" s="792"/>
      <c r="MI248" s="792"/>
      <c r="MJ248" s="792"/>
      <c r="MK248" s="792"/>
      <c r="ML248" s="835">
        <f>ME250*(CN54/AP7)</f>
        <v>0.10071815253338985</v>
      </c>
      <c r="MM248" s="836"/>
      <c r="MN248" s="1188" t="s">
        <v>392</v>
      </c>
      <c r="MO248" s="1189"/>
      <c r="MP248" s="1066"/>
      <c r="MQ248" s="843" t="s">
        <v>1304</v>
      </c>
      <c r="MR248" s="844"/>
      <c r="MS248" s="847"/>
      <c r="MT248" s="826"/>
      <c r="MU248" s="945"/>
      <c r="MV248" s="945"/>
      <c r="MW248" s="945"/>
      <c r="MX248" s="945"/>
      <c r="MY248" s="946"/>
      <c r="QW248" s="130"/>
      <c r="QX248" s="130"/>
      <c r="QY248" s="130"/>
      <c r="QZ248" s="130"/>
      <c r="RA248" s="130"/>
      <c r="RB248" s="130"/>
      <c r="RC248" s="130"/>
      <c r="RD248" s="130"/>
      <c r="RE248" s="130"/>
      <c r="RF248" s="130"/>
      <c r="RG248" s="130"/>
      <c r="RH248" s="130"/>
      <c r="RI248" s="130"/>
      <c r="VT248" s="653"/>
      <c r="VU248" s="653"/>
      <c r="VV248" s="653"/>
      <c r="VW248" s="653"/>
      <c r="VX248" s="653"/>
      <c r="VY248" s="653"/>
      <c r="VZ248" s="653"/>
      <c r="WA248" s="653"/>
      <c r="WB248" s="653"/>
      <c r="WC248" s="653"/>
      <c r="WD248" s="653"/>
      <c r="WE248" s="653"/>
      <c r="WF248" s="653"/>
      <c r="WG248" s="653"/>
      <c r="ACJ248" s="759">
        <v>-4.0625000000000001E-2</v>
      </c>
      <c r="ACK248" s="760"/>
      <c r="ACL248" s="759">
        <v>0.96499999999999997</v>
      </c>
      <c r="ACM248" s="760"/>
      <c r="ACN248" s="591">
        <v>21</v>
      </c>
      <c r="ACO248" s="759">
        <f t="shared" si="287"/>
        <v>0.94473828124999992</v>
      </c>
      <c r="ACP248" s="760"/>
      <c r="ACQ248" s="757">
        <f t="shared" si="288"/>
        <v>0.49875000000000003</v>
      </c>
      <c r="ACR248" s="758"/>
      <c r="ACT248" s="759">
        <v>-0.1</v>
      </c>
      <c r="ACU248" s="760"/>
      <c r="ACV248" s="759">
        <v>1.06</v>
      </c>
      <c r="ACW248" s="760"/>
      <c r="ACX248" s="592">
        <v>71</v>
      </c>
      <c r="ACY248" s="759">
        <f t="shared" si="289"/>
        <v>0.89137500000000003</v>
      </c>
      <c r="ACZ248" s="760"/>
      <c r="ADA248" s="757">
        <f t="shared" si="290"/>
        <v>1.68625</v>
      </c>
      <c r="ADB248" s="758"/>
      <c r="ADD248" s="1112">
        <v>-0.2</v>
      </c>
      <c r="ADE248" s="1112"/>
      <c r="ADF248" s="1112">
        <v>1.3</v>
      </c>
      <c r="ADG248" s="1112"/>
      <c r="ADH248" s="592">
        <v>121</v>
      </c>
      <c r="ADI248" s="759">
        <f t="shared" si="291"/>
        <v>0.72524999999999995</v>
      </c>
      <c r="ADJ248" s="760"/>
      <c r="ADK248" s="757">
        <f t="shared" si="292"/>
        <v>2.8737500000000002</v>
      </c>
      <c r="ADL248" s="758"/>
      <c r="ADN248" s="1112">
        <v>-7.999999999999996E-2</v>
      </c>
      <c r="ADO248" s="1112"/>
      <c r="ADP248" s="1112">
        <v>0.8999999999999998</v>
      </c>
      <c r="ADQ248" s="1112"/>
      <c r="ADR248" s="592">
        <v>171</v>
      </c>
      <c r="ADS248" s="759">
        <f t="shared" si="293"/>
        <v>0.57509999999999994</v>
      </c>
      <c r="ADT248" s="760"/>
      <c r="ADU248" s="757">
        <f t="shared" si="294"/>
        <v>4.0612500000000002</v>
      </c>
      <c r="ADV248" s="758"/>
      <c r="ADX248" s="1112">
        <v>-5.8823529411764698E-2</v>
      </c>
      <c r="ADY248" s="1112"/>
      <c r="ADZ248" s="1112">
        <v>0.79411764705882304</v>
      </c>
      <c r="AEA248" s="1112"/>
      <c r="AEB248" s="591">
        <v>221</v>
      </c>
      <c r="AEC248" s="759">
        <f t="shared" si="295"/>
        <v>0.48536764705882307</v>
      </c>
      <c r="AED248" s="760"/>
      <c r="AEE248" s="757">
        <f t="shared" si="296"/>
        <v>5.2487500000000002</v>
      </c>
      <c r="AEF248" s="758"/>
      <c r="AEH248" s="1112">
        <v>-5.8823529411764698E-2</v>
      </c>
      <c r="AEI248" s="1112"/>
      <c r="AEJ248" s="1112">
        <v>0.79411764705882304</v>
      </c>
      <c r="AEK248" s="1112"/>
      <c r="AEL248" s="591">
        <v>271</v>
      </c>
      <c r="AEM248" s="759">
        <f t="shared" si="297"/>
        <v>0.41551470588235251</v>
      </c>
      <c r="AEN248" s="760"/>
      <c r="AEO248" s="757">
        <f t="shared" si="298"/>
        <v>6.4362500000000002</v>
      </c>
      <c r="AEP248" s="758"/>
      <c r="AER248" s="1112">
        <v>-3.5714285714285698E-2</v>
      </c>
      <c r="AES248" s="1112"/>
      <c r="AET248" s="1112">
        <v>0.63928571428571401</v>
      </c>
      <c r="AEU248" s="1112"/>
      <c r="AEV248" s="592">
        <v>321</v>
      </c>
      <c r="AEW248" s="759">
        <f t="shared" si="299"/>
        <v>0.36700892857142842</v>
      </c>
      <c r="AEX248" s="760"/>
      <c r="AEY248" s="757">
        <f t="shared" si="300"/>
        <v>7.6237500000000002</v>
      </c>
      <c r="AEZ248" s="758"/>
      <c r="AFB248" s="1112">
        <v>-3.5714285714285698E-2</v>
      </c>
      <c r="AFC248" s="1112"/>
      <c r="AFD248" s="1112">
        <v>0.63928571428571401</v>
      </c>
      <c r="AFE248" s="1112"/>
      <c r="AFF248" s="592">
        <v>371</v>
      </c>
      <c r="AFG248" s="759">
        <f t="shared" si="301"/>
        <v>0.32459821428571417</v>
      </c>
      <c r="AFH248" s="760"/>
      <c r="AFI248" s="757">
        <f t="shared" si="302"/>
        <v>8.8112499999999994</v>
      </c>
      <c r="AFJ248" s="758"/>
      <c r="AGJ248" s="130"/>
      <c r="AGK248" s="130"/>
      <c r="AHU248" s="130"/>
      <c r="AHV248" s="130"/>
      <c r="AHW248" s="130"/>
      <c r="AJE248" s="130"/>
      <c r="AJF248" s="130"/>
      <c r="AJG248" s="130"/>
      <c r="AJH248" s="130"/>
      <c r="AJI248" s="130"/>
      <c r="AJJ248" s="130"/>
      <c r="AJK248" s="130"/>
      <c r="AJL248" s="130"/>
      <c r="AJM248" s="130"/>
      <c r="AJN248" s="130"/>
      <c r="AJT248" s="130"/>
      <c r="AJU248" s="130"/>
      <c r="AJV248" s="130"/>
      <c r="AJW248" s="130"/>
      <c r="AJX248" s="130"/>
      <c r="AJY248" s="130"/>
      <c r="AJZ248" s="130"/>
      <c r="AKA248" s="130"/>
      <c r="AKB248" s="130"/>
      <c r="AKC248" s="130"/>
      <c r="AKD248" s="130"/>
      <c r="AKE248" s="130"/>
      <c r="AKF248" s="130"/>
      <c r="AKG248" s="130"/>
      <c r="AKH248" s="130"/>
      <c r="AKI248" s="130"/>
      <c r="AKJ248" s="130"/>
      <c r="AKK248" s="130"/>
      <c r="AKL248" s="130"/>
      <c r="AKM248" s="130"/>
      <c r="AKN248" s="130"/>
      <c r="API248" s="130"/>
      <c r="APJ248" s="130"/>
      <c r="APK248" s="130"/>
      <c r="APL248" s="130"/>
      <c r="APM248" s="130"/>
      <c r="APN248" s="130"/>
      <c r="APO248" s="130"/>
      <c r="APP248" s="130"/>
      <c r="APQ248" s="130"/>
      <c r="APR248" s="130"/>
      <c r="APS248" s="130"/>
      <c r="APT248" s="130"/>
      <c r="APU248" s="130"/>
      <c r="APV248" s="130"/>
      <c r="APW248" s="130"/>
      <c r="APX248" s="130"/>
      <c r="APY248" s="130"/>
      <c r="APZ248" s="130"/>
      <c r="AQA248" s="130"/>
      <c r="AQS248" s="130"/>
      <c r="AQT248" s="130"/>
      <c r="AQU248" s="130"/>
      <c r="AQV248" s="653"/>
      <c r="AQW248" s="653"/>
      <c r="AQX248" s="653"/>
      <c r="AQY248" s="653"/>
      <c r="AQZ248" s="653"/>
      <c r="ARA248" s="653"/>
      <c r="ARB248" s="653"/>
      <c r="ARC248" s="653"/>
      <c r="ARD248" s="653"/>
      <c r="ARE248" s="653"/>
      <c r="ARF248" s="653"/>
      <c r="ARG248" s="130"/>
      <c r="ARH248" s="130"/>
      <c r="ARI248" s="130"/>
      <c r="ARJ248" s="130"/>
      <c r="ARK248" s="130"/>
      <c r="ARL248" s="130"/>
      <c r="ARM248" s="130"/>
      <c r="ARN248" s="130"/>
      <c r="ARO248" s="130"/>
      <c r="ARP248" s="130"/>
      <c r="ARQ248" s="130"/>
      <c r="ARR248" s="130"/>
      <c r="ARS248" s="130"/>
      <c r="ART248" s="130"/>
      <c r="ARU248" s="130"/>
      <c r="ARV248" s="130"/>
      <c r="ARW248" s="130"/>
      <c r="ARX248" s="130"/>
      <c r="ARY248" s="130"/>
      <c r="ARZ248" s="130"/>
      <c r="ASA248" s="130"/>
      <c r="ASB248" s="130"/>
      <c r="ASC248" s="130"/>
      <c r="ASD248" s="130"/>
      <c r="ASE248" s="130"/>
      <c r="ASF248" s="130"/>
      <c r="ASG248" s="130"/>
      <c r="ASH248" s="130"/>
      <c r="ASI248" s="130"/>
      <c r="ASJ248" s="130"/>
      <c r="ASK248" s="130"/>
      <c r="ASL248" s="130"/>
      <c r="ASM248" s="130"/>
      <c r="ASN248" s="130"/>
      <c r="ASO248" s="130"/>
      <c r="ASP248" s="130"/>
      <c r="ASQ248" s="130"/>
      <c r="ASR248" s="130"/>
      <c r="ASS248" s="130"/>
      <c r="AST248" s="130"/>
      <c r="ASU248" s="130"/>
      <c r="ASV248" s="130"/>
      <c r="ASW248" s="130"/>
      <c r="ASX248" s="130"/>
      <c r="ASY248" s="130"/>
      <c r="ASZ248" s="130"/>
      <c r="ATA248" s="130"/>
      <c r="ATB248" s="130"/>
      <c r="ATC248" s="130"/>
      <c r="ATD248" s="851"/>
      <c r="ATE248" s="1487"/>
      <c r="ATF248" s="1487"/>
      <c r="ATG248" s="1487"/>
      <c r="ATH248" s="1487"/>
      <c r="ATI248" s="1487"/>
      <c r="ATJ248" s="1487"/>
      <c r="ATK248" s="1487"/>
      <c r="ATL248" s="1487"/>
      <c r="ATM248" s="1487"/>
      <c r="ATN248" s="1487"/>
      <c r="ATO248" s="1487"/>
      <c r="ATP248" s="1487"/>
      <c r="ATQ248" s="1487"/>
      <c r="ATR248" s="1490"/>
      <c r="ATS248" s="1491"/>
      <c r="ATT248" s="777"/>
      <c r="ATU248" s="799"/>
      <c r="ATV248" s="842"/>
      <c r="ATW248" s="845"/>
      <c r="ATX248" s="846"/>
      <c r="ATY248" s="848"/>
      <c r="ATZ248" s="130"/>
      <c r="AUA248" s="130"/>
      <c r="AUB248" s="130"/>
      <c r="AUC248" s="130"/>
      <c r="AUD248" s="130"/>
      <c r="AUE248" s="130"/>
      <c r="AUR248" s="130"/>
      <c r="AUS248" s="130"/>
      <c r="AUT248" s="130"/>
      <c r="AUU248" s="130"/>
      <c r="AUV248" s="130"/>
      <c r="AUW248" s="130"/>
      <c r="AUX248" s="130"/>
      <c r="AUY248" s="130"/>
      <c r="AUZ248" s="130"/>
      <c r="AVA248" s="130"/>
      <c r="AVB248" s="130"/>
      <c r="AVC248" s="130"/>
      <c r="AVD248" s="130"/>
      <c r="AVE248" s="130"/>
      <c r="AVF248" s="130"/>
      <c r="AVG248" s="130"/>
      <c r="AVH248" s="130"/>
      <c r="AVI248" s="130"/>
      <c r="AVJ248" s="130"/>
      <c r="AVK248" s="130"/>
      <c r="AVL248" s="130"/>
      <c r="AVM248" s="130"/>
      <c r="AVN248" s="130"/>
      <c r="AVO248" s="130"/>
      <c r="AVP248" s="130"/>
      <c r="AVQ248" s="130"/>
      <c r="AVR248" s="130"/>
      <c r="AVS248" s="130"/>
      <c r="AVT248" s="130"/>
      <c r="AVU248" s="130"/>
      <c r="AVV248" s="130"/>
      <c r="AVW248" s="130"/>
      <c r="AVX248" s="130"/>
      <c r="AVY248" s="130"/>
      <c r="AVZ248" s="130"/>
      <c r="AWA248" s="130"/>
      <c r="AWB248" s="130"/>
      <c r="AWC248" s="130"/>
      <c r="AWD248" s="130"/>
      <c r="AWE248" s="130"/>
      <c r="AWF248" s="130"/>
      <c r="AWG248" s="130"/>
      <c r="AWH248" s="130"/>
      <c r="AWI248" s="130"/>
      <c r="AWJ248" s="130"/>
      <c r="AWK248" s="130"/>
      <c r="AWL248" s="130"/>
      <c r="AWM248" s="130"/>
      <c r="AWN248" s="130"/>
      <c r="AWO248" s="130"/>
      <c r="AWP248" s="130"/>
      <c r="AWQ248" s="130"/>
      <c r="AWR248" s="130"/>
      <c r="AWS248" s="130"/>
      <c r="AWT248" s="130"/>
      <c r="AWU248" s="130"/>
      <c r="AWV248" s="130"/>
      <c r="AWW248" s="130"/>
      <c r="AWX248" s="130"/>
      <c r="AWY248" s="130"/>
      <c r="AWZ248" s="130"/>
      <c r="AXA248" s="130"/>
      <c r="AXB248" s="130"/>
      <c r="AXC248" s="130"/>
      <c r="AXD248" s="130"/>
      <c r="AXE248" s="130"/>
      <c r="AXF248" s="130"/>
      <c r="AXG248" s="130"/>
      <c r="AXH248" s="130"/>
      <c r="AXI248" s="130"/>
      <c r="AXJ248" s="130"/>
      <c r="AXK248" s="130"/>
      <c r="AXL248" s="130"/>
      <c r="AXM248" s="130"/>
      <c r="AXN248" s="130"/>
      <c r="AXO248" s="130"/>
      <c r="AXP248" s="130"/>
      <c r="AXQ248" s="130"/>
      <c r="AXR248" s="130"/>
      <c r="AXS248" s="130"/>
      <c r="AXT248" s="130"/>
      <c r="AXU248" s="130"/>
      <c r="AXV248" s="130"/>
      <c r="AXW248" s="130"/>
      <c r="AXX248" s="130"/>
      <c r="AXY248" s="130"/>
      <c r="AXZ248" s="130"/>
      <c r="AYA248" s="130"/>
      <c r="AYB248" s="130"/>
      <c r="AYC248" s="130"/>
      <c r="AYD248" s="130"/>
      <c r="AYE248" s="130"/>
      <c r="AYF248" s="130"/>
      <c r="AYG248" s="130"/>
      <c r="AYH248" s="130"/>
      <c r="AYI248" s="130"/>
      <c r="AYJ248" s="130"/>
      <c r="AYK248" s="130"/>
      <c r="AYL248" s="130"/>
      <c r="AYM248" s="130"/>
      <c r="AYN248" s="130"/>
      <c r="AYO248" s="130"/>
      <c r="AYP248" s="130"/>
      <c r="AYQ248" s="130"/>
      <c r="AYR248" s="130"/>
      <c r="AYS248" s="130"/>
      <c r="AYT248" s="130"/>
      <c r="AYU248" s="130"/>
      <c r="AYV248" s="130"/>
      <c r="AYW248" s="130"/>
      <c r="AYX248" s="130"/>
      <c r="AYY248" s="130"/>
      <c r="AYZ248" s="130"/>
      <c r="AZA248" s="130"/>
      <c r="AZB248" s="130"/>
      <c r="AZC248" s="130"/>
      <c r="AZD248" s="130"/>
      <c r="AZE248" s="130"/>
      <c r="AZF248" s="130"/>
      <c r="AZG248" s="130"/>
      <c r="AZH248" s="130"/>
      <c r="AZI248" s="130"/>
      <c r="AZJ248" s="130"/>
      <c r="AZK248" s="130"/>
      <c r="AZL248" s="130"/>
      <c r="AZM248" s="130"/>
      <c r="AZN248" s="130"/>
      <c r="AZO248" s="130"/>
      <c r="AZP248" s="130"/>
      <c r="AZQ248" s="130"/>
      <c r="AZR248" s="130"/>
      <c r="AZS248" s="130"/>
      <c r="AZT248" s="130"/>
      <c r="AZU248" s="130"/>
      <c r="AZV248" s="130"/>
      <c r="AZW248" s="130"/>
      <c r="AZX248" s="130"/>
      <c r="AZY248" s="130"/>
      <c r="AZZ248" s="130"/>
      <c r="BAA248" s="130"/>
      <c r="BAB248" s="130"/>
      <c r="BAC248" s="130"/>
      <c r="BAD248" s="130"/>
      <c r="BAE248" s="130"/>
      <c r="BAF248" s="130"/>
      <c r="BAG248" s="130"/>
      <c r="BAH248" s="130"/>
      <c r="BAI248" s="130"/>
      <c r="BAJ248" s="130"/>
      <c r="BAK248" s="130"/>
      <c r="BAL248" s="130"/>
      <c r="BAM248" s="130"/>
      <c r="BAN248" s="130"/>
      <c r="BAO248" s="130"/>
      <c r="BAP248" s="130"/>
      <c r="BAQ248" s="130"/>
      <c r="BAR248" s="130"/>
      <c r="BAS248" s="130"/>
      <c r="BAT248" s="130"/>
      <c r="BAU248" s="130"/>
      <c r="BAV248" s="130"/>
      <c r="BAW248" s="130"/>
      <c r="BAX248" s="130"/>
      <c r="BAY248" s="130"/>
      <c r="BAZ248" s="130"/>
      <c r="BBA248" s="130"/>
      <c r="BBB248" s="130"/>
      <c r="BBC248" s="130"/>
      <c r="BBD248" s="130"/>
      <c r="BBE248" s="130"/>
      <c r="BBF248" s="130"/>
      <c r="BBG248" s="130"/>
      <c r="BBH248" s="130"/>
      <c r="BBI248" s="130"/>
      <c r="BBJ248" s="130"/>
      <c r="BBK248" s="130"/>
      <c r="BBL248" s="130"/>
      <c r="BBM248" s="130"/>
      <c r="BBN248" s="130"/>
    </row>
    <row r="249" spans="340:1005 1082:1418" ht="48" customHeight="1" thickBot="1">
      <c r="MB249" s="850"/>
      <c r="MC249" s="940" t="s">
        <v>1216</v>
      </c>
      <c r="MD249" s="941"/>
      <c r="ME249" s="766">
        <f>$AP$7</f>
        <v>220</v>
      </c>
      <c r="MF249" s="766"/>
      <c r="MG249" s="824"/>
      <c r="MH249" s="824"/>
      <c r="MI249" s="824"/>
      <c r="MJ249" s="824"/>
      <c r="MK249" s="824"/>
      <c r="ML249" s="837"/>
      <c r="MM249" s="838"/>
      <c r="MN249" s="1190"/>
      <c r="MO249" s="1191"/>
      <c r="MP249" s="1067"/>
      <c r="MQ249" s="845"/>
      <c r="MR249" s="846"/>
      <c r="MS249" s="848"/>
      <c r="MT249" s="827"/>
      <c r="MU249" s="947"/>
      <c r="MV249" s="947"/>
      <c r="MW249" s="947"/>
      <c r="MX249" s="947"/>
      <c r="MY249" s="948"/>
      <c r="QW249" s="130"/>
      <c r="QX249" s="130"/>
      <c r="QY249" s="130"/>
      <c r="QZ249" s="130"/>
      <c r="RA249" s="130"/>
      <c r="RB249" s="130"/>
      <c r="RC249" s="130"/>
      <c r="RD249" s="130"/>
      <c r="RE249" s="130"/>
      <c r="RF249" s="130"/>
      <c r="RG249" s="130"/>
      <c r="RH249" s="130"/>
      <c r="RI249" s="130"/>
      <c r="VT249" s="653"/>
      <c r="VU249" s="653"/>
      <c r="VV249" s="653"/>
      <c r="VW249" s="653"/>
      <c r="VX249" s="653"/>
      <c r="VY249" s="653"/>
      <c r="VZ249" s="653"/>
      <c r="WA249" s="653"/>
      <c r="WB249" s="653"/>
      <c r="WC249" s="653"/>
      <c r="WD249" s="653"/>
      <c r="WE249" s="653"/>
      <c r="WF249" s="653"/>
      <c r="WG249" s="653"/>
      <c r="ACJ249" s="759">
        <v>-4.0625000000000001E-2</v>
      </c>
      <c r="ACK249" s="760"/>
      <c r="ACL249" s="759">
        <v>0.96499999999999997</v>
      </c>
      <c r="ACM249" s="760"/>
      <c r="ACN249" s="591">
        <v>22</v>
      </c>
      <c r="ACO249" s="759">
        <f t="shared" si="287"/>
        <v>0.94377343749999998</v>
      </c>
      <c r="ACP249" s="760"/>
      <c r="ACQ249" s="757">
        <f t="shared" si="288"/>
        <v>0.52249999999999996</v>
      </c>
      <c r="ACR249" s="758"/>
      <c r="ACT249" s="759">
        <v>-0.1</v>
      </c>
      <c r="ACU249" s="760"/>
      <c r="ACV249" s="759">
        <v>1.06</v>
      </c>
      <c r="ACW249" s="760"/>
      <c r="ACX249" s="592">
        <v>72</v>
      </c>
      <c r="ACY249" s="759">
        <f t="shared" si="289"/>
        <v>0.88900000000000001</v>
      </c>
      <c r="ACZ249" s="760"/>
      <c r="ADA249" s="757">
        <f t="shared" si="290"/>
        <v>1.71</v>
      </c>
      <c r="ADB249" s="758"/>
      <c r="ADD249" s="1112">
        <v>-0.2</v>
      </c>
      <c r="ADE249" s="1112"/>
      <c r="ADF249" s="1112">
        <v>1.3</v>
      </c>
      <c r="ADG249" s="1112"/>
      <c r="ADH249" s="592">
        <v>122</v>
      </c>
      <c r="ADI249" s="759">
        <f t="shared" si="291"/>
        <v>0.72050000000000003</v>
      </c>
      <c r="ADJ249" s="760"/>
      <c r="ADK249" s="757">
        <f t="shared" si="292"/>
        <v>2.8975</v>
      </c>
      <c r="ADL249" s="758"/>
      <c r="ADN249" s="1112">
        <v>-0.08</v>
      </c>
      <c r="ADO249" s="1112"/>
      <c r="ADP249" s="1112">
        <v>0.9</v>
      </c>
      <c r="ADQ249" s="1112"/>
      <c r="ADR249" s="592">
        <v>172</v>
      </c>
      <c r="ADS249" s="759">
        <f t="shared" si="293"/>
        <v>0.57320000000000004</v>
      </c>
      <c r="ADT249" s="760"/>
      <c r="ADU249" s="757">
        <f t="shared" si="294"/>
        <v>4.085</v>
      </c>
      <c r="ADV249" s="758"/>
      <c r="ADX249" s="1112">
        <v>-5.8823529411764698E-2</v>
      </c>
      <c r="ADY249" s="1112"/>
      <c r="ADZ249" s="1112">
        <v>0.79411764705882304</v>
      </c>
      <c r="AEA249" s="1112"/>
      <c r="AEB249" s="591">
        <v>222</v>
      </c>
      <c r="AEC249" s="759">
        <f t="shared" si="295"/>
        <v>0.48397058823529365</v>
      </c>
      <c r="AED249" s="760"/>
      <c r="AEE249" s="757">
        <f t="shared" si="296"/>
        <v>5.2725</v>
      </c>
      <c r="AEF249" s="758"/>
      <c r="AEH249" s="1112">
        <v>-5.8823529411764698E-2</v>
      </c>
      <c r="AEI249" s="1112"/>
      <c r="AEJ249" s="1112">
        <v>0.79411764705882304</v>
      </c>
      <c r="AEK249" s="1112"/>
      <c r="AEL249" s="591">
        <v>272</v>
      </c>
      <c r="AEM249" s="759">
        <f t="shared" si="297"/>
        <v>0.41411764705882309</v>
      </c>
      <c r="AEN249" s="760"/>
      <c r="AEO249" s="757">
        <f t="shared" si="298"/>
        <v>6.46</v>
      </c>
      <c r="AEP249" s="758"/>
      <c r="AER249" s="1112">
        <v>-3.5714285714285698E-2</v>
      </c>
      <c r="AES249" s="1112"/>
      <c r="AET249" s="1112">
        <v>0.63928571428571401</v>
      </c>
      <c r="AEU249" s="1112"/>
      <c r="AEV249" s="592">
        <v>322</v>
      </c>
      <c r="AEW249" s="759">
        <f t="shared" si="299"/>
        <v>0.36616071428571412</v>
      </c>
      <c r="AEX249" s="760"/>
      <c r="AEY249" s="757">
        <f t="shared" si="300"/>
        <v>7.6475</v>
      </c>
      <c r="AEZ249" s="758"/>
      <c r="AFB249" s="1112">
        <v>-3.5714285714285698E-2</v>
      </c>
      <c r="AFC249" s="1112"/>
      <c r="AFD249" s="1112">
        <v>0.63928571428571401</v>
      </c>
      <c r="AFE249" s="1112"/>
      <c r="AFF249" s="592">
        <v>372</v>
      </c>
      <c r="AFG249" s="759">
        <f t="shared" si="301"/>
        <v>0.32374999999999982</v>
      </c>
      <c r="AFH249" s="760"/>
      <c r="AFI249" s="757">
        <f t="shared" si="302"/>
        <v>8.8350000000000009</v>
      </c>
      <c r="AFJ249" s="758"/>
      <c r="AGJ249" s="130"/>
      <c r="AGK249" s="130"/>
      <c r="AGL249" s="849"/>
      <c r="AGM249" s="852" t="s">
        <v>416</v>
      </c>
      <c r="AGN249" s="853"/>
      <c r="AGO249" s="1083"/>
      <c r="AGP249" s="1084"/>
      <c r="AGQ249" s="940" t="s">
        <v>1339</v>
      </c>
      <c r="AGR249" s="941"/>
      <c r="AGS249" s="1156">
        <f>$MM$241</f>
        <v>0.37750130463778836</v>
      </c>
      <c r="AGT249" s="1156"/>
      <c r="AGU249" s="78"/>
      <c r="AGV249" s="425"/>
      <c r="AGW249" s="76" t="s">
        <v>441</v>
      </c>
      <c r="AGX249" s="854" t="s">
        <v>435</v>
      </c>
      <c r="AGY249" s="1111"/>
      <c r="AGZ249" s="920" t="s">
        <v>111</v>
      </c>
      <c r="AHA249" s="921"/>
      <c r="AHB249" s="916" t="s">
        <v>704</v>
      </c>
      <c r="AHC249" s="922"/>
      <c r="AHD249" s="1051" t="s">
        <v>447</v>
      </c>
      <c r="AHE249" s="1051"/>
      <c r="AHF249" s="1051"/>
      <c r="AHG249" s="1051"/>
      <c r="AHH249" s="1051"/>
      <c r="AHI249" s="1051" t="s">
        <v>436</v>
      </c>
      <c r="AHJ249" s="1051"/>
      <c r="AHK249" s="1051"/>
      <c r="AHL249" s="1051"/>
      <c r="AHM249" s="1051"/>
      <c r="AHN249" s="1051"/>
      <c r="AHO249" s="1051"/>
      <c r="AHP249" s="1051"/>
      <c r="AHQ249" s="1051"/>
      <c r="AHR249" s="1051"/>
      <c r="AHS249" s="1051"/>
      <c r="AHT249" s="1051"/>
      <c r="AHU249" s="130"/>
      <c r="AJE249" s="130"/>
      <c r="AJF249" s="130"/>
      <c r="AJG249" s="130"/>
      <c r="AJH249" s="130"/>
      <c r="AJI249" s="130"/>
      <c r="AJJ249" s="130"/>
      <c r="AJK249" s="130"/>
      <c r="AJL249" s="130"/>
      <c r="AJM249" s="130"/>
      <c r="AJN249" s="130"/>
      <c r="AJT249" s="130"/>
      <c r="AJU249" s="130"/>
      <c r="AJV249" s="130"/>
      <c r="AJW249" s="130"/>
      <c r="AJX249" s="130"/>
      <c r="AJY249" s="130"/>
      <c r="AJZ249" s="130"/>
      <c r="AKA249" s="130"/>
      <c r="AKB249" s="130"/>
      <c r="AKC249" s="130"/>
      <c r="AKD249" s="130"/>
      <c r="AKE249" s="130"/>
      <c r="AKF249" s="130"/>
      <c r="AKG249" s="130"/>
      <c r="AKH249" s="130"/>
      <c r="AKI249" s="130"/>
      <c r="AKJ249" s="130"/>
      <c r="AKK249" s="130"/>
      <c r="AKL249" s="130"/>
      <c r="AKM249" s="130"/>
      <c r="AKN249" s="130"/>
      <c r="API249" s="130"/>
      <c r="APJ249" s="130"/>
      <c r="APK249" s="130"/>
      <c r="APL249" s="130"/>
      <c r="APM249" s="130"/>
      <c r="APN249" s="130"/>
      <c r="APO249" s="130"/>
      <c r="APP249" s="130"/>
      <c r="APQ249" s="130"/>
      <c r="APR249" s="130"/>
      <c r="APS249" s="130"/>
      <c r="APT249" s="130"/>
      <c r="APU249" s="130"/>
      <c r="APV249" s="130"/>
      <c r="APW249" s="130"/>
      <c r="APX249" s="130"/>
      <c r="APY249" s="130"/>
      <c r="APZ249" s="130"/>
      <c r="AQA249" s="130"/>
      <c r="AQS249" s="130"/>
      <c r="AQT249" s="130"/>
      <c r="AQU249" s="130"/>
      <c r="AQV249" s="653"/>
      <c r="AQW249" s="653"/>
      <c r="AQX249" s="653"/>
      <c r="AQY249" s="653"/>
      <c r="AQZ249" s="653"/>
      <c r="ARA249" s="653"/>
      <c r="ARB249" s="653"/>
      <c r="ARC249" s="653"/>
      <c r="ARD249" s="653"/>
      <c r="ARE249" s="653"/>
      <c r="ARF249" s="653"/>
      <c r="ARG249" s="130"/>
      <c r="ARH249" s="130"/>
      <c r="ARI249" s="130"/>
      <c r="ARJ249" s="130"/>
      <c r="ARK249" s="130"/>
      <c r="ARL249" s="130"/>
      <c r="ARM249" s="130"/>
      <c r="ARN249" s="130"/>
      <c r="ARO249" s="130"/>
      <c r="ARP249" s="130"/>
      <c r="ARQ249" s="130"/>
      <c r="ARR249" s="130"/>
      <c r="ARS249" s="130"/>
      <c r="ART249" s="130"/>
      <c r="ARU249" s="130"/>
      <c r="ARV249" s="130"/>
      <c r="ARW249" s="130"/>
      <c r="ARX249" s="130"/>
      <c r="ARY249" s="130"/>
      <c r="ARZ249" s="130"/>
      <c r="ASA249" s="130"/>
      <c r="ASB249" s="130"/>
      <c r="ASC249" s="130"/>
      <c r="ASD249" s="130"/>
      <c r="ASE249" s="130"/>
      <c r="ASF249" s="130"/>
      <c r="ASG249" s="130"/>
      <c r="ASH249" s="130"/>
      <c r="ASI249" s="130"/>
      <c r="ASJ249" s="130"/>
      <c r="ASK249" s="130"/>
      <c r="ASL249" s="130"/>
      <c r="ASM249" s="130"/>
      <c r="ASN249" s="130"/>
      <c r="ASO249" s="130"/>
      <c r="ASP249" s="130"/>
      <c r="ASQ249" s="130"/>
      <c r="ASR249" s="130"/>
      <c r="ASS249" s="130"/>
      <c r="AST249" s="130"/>
      <c r="ASU249" s="130"/>
      <c r="ASV249" s="130"/>
      <c r="ASW249" s="130"/>
      <c r="ASX249" s="130"/>
      <c r="ASY249" s="130"/>
      <c r="ASZ249" s="130"/>
      <c r="ATA249" s="130"/>
      <c r="ATB249" s="130"/>
      <c r="ATC249" s="130"/>
      <c r="ATZ249" s="130"/>
      <c r="AUA249" s="130"/>
      <c r="AUB249" s="130"/>
      <c r="AUC249" s="130"/>
      <c r="AUD249" s="130"/>
      <c r="AUE249" s="130"/>
      <c r="AUR249" s="130"/>
      <c r="AUS249" s="130"/>
      <c r="AUT249" s="130"/>
      <c r="AUU249" s="130"/>
      <c r="AUV249" s="130"/>
      <c r="AUW249" s="130"/>
      <c r="AUX249" s="130"/>
      <c r="AUY249" s="130"/>
      <c r="AUZ249" s="130"/>
      <c r="AVA249" s="130"/>
      <c r="AVB249" s="130"/>
      <c r="AVC249" s="130"/>
      <c r="AVD249" s="130"/>
      <c r="AVE249" s="130"/>
      <c r="AVF249" s="130"/>
      <c r="AVG249" s="130"/>
      <c r="AVH249" s="130"/>
      <c r="AVI249" s="130"/>
      <c r="AVJ249" s="130"/>
      <c r="AVK249" s="130"/>
      <c r="AVL249" s="130"/>
      <c r="AVM249" s="130"/>
      <c r="AVN249" s="130"/>
      <c r="AVO249" s="130"/>
      <c r="AVP249" s="130"/>
      <c r="AVQ249" s="130"/>
      <c r="AVR249" s="130"/>
      <c r="AVS249" s="130"/>
      <c r="AVT249" s="130"/>
      <c r="AVU249" s="130"/>
      <c r="AVV249" s="130"/>
      <c r="AVW249" s="130"/>
      <c r="AVX249" s="130"/>
      <c r="AVY249" s="130"/>
      <c r="AVZ249" s="130"/>
      <c r="AWA249" s="130"/>
      <c r="AWB249" s="130"/>
      <c r="AWC249" s="130"/>
      <c r="AWD249" s="130"/>
      <c r="AWE249" s="130"/>
      <c r="AWF249" s="130"/>
      <c r="AWG249" s="130"/>
      <c r="AWH249" s="130"/>
      <c r="AWI249" s="130"/>
      <c r="AWJ249" s="130"/>
      <c r="AWK249" s="130"/>
      <c r="AWL249" s="130"/>
      <c r="AWM249" s="130"/>
      <c r="AWN249" s="130"/>
      <c r="AWO249" s="130"/>
      <c r="AWP249" s="130"/>
      <c r="AWQ249" s="130"/>
      <c r="AWR249" s="130"/>
      <c r="AWS249" s="130"/>
      <c r="AWT249" s="130"/>
      <c r="AWU249" s="130"/>
      <c r="AWV249" s="130"/>
      <c r="AWW249" s="130"/>
      <c r="AWX249" s="130"/>
      <c r="AWY249" s="130"/>
      <c r="AWZ249" s="130"/>
      <c r="AXA249" s="130"/>
      <c r="AXB249" s="130"/>
      <c r="AXC249" s="130"/>
      <c r="AXD249" s="130"/>
      <c r="AXE249" s="130"/>
      <c r="AXF249" s="130"/>
      <c r="AXG249" s="130"/>
      <c r="AXH249" s="130"/>
      <c r="AXI249" s="130"/>
      <c r="AXJ249" s="130"/>
      <c r="AXK249" s="130"/>
      <c r="AXL249" s="130"/>
      <c r="AXM249" s="130"/>
      <c r="AXN249" s="130"/>
      <c r="AXO249" s="130"/>
      <c r="AXP249" s="130"/>
      <c r="AXQ249" s="130"/>
      <c r="AXR249" s="130"/>
      <c r="AXS249" s="130"/>
      <c r="AXT249" s="130"/>
      <c r="AXU249" s="130"/>
      <c r="AXV249" s="130"/>
      <c r="AXW249" s="130"/>
      <c r="AXX249" s="130"/>
      <c r="AXY249" s="130"/>
      <c r="AXZ249" s="130"/>
      <c r="AYA249" s="130"/>
      <c r="AYB249" s="130"/>
      <c r="AYC249" s="130"/>
      <c r="AYD249" s="130"/>
      <c r="AYE249" s="130"/>
      <c r="AYF249" s="130"/>
      <c r="AYG249" s="130"/>
      <c r="AYH249" s="130"/>
      <c r="AYI249" s="130"/>
      <c r="AYJ249" s="130"/>
      <c r="AYK249" s="130"/>
      <c r="AYL249" s="130"/>
      <c r="AYM249" s="130"/>
      <c r="AYN249" s="130"/>
      <c r="AYO249" s="130"/>
      <c r="AYP249" s="130"/>
      <c r="AYQ249" s="130"/>
      <c r="AYR249" s="130"/>
      <c r="AYS249" s="130"/>
      <c r="AYT249" s="130"/>
      <c r="AYU249" s="130"/>
      <c r="AYV249" s="130"/>
      <c r="AYW249" s="130"/>
      <c r="AYX249" s="130"/>
      <c r="AYY249" s="130"/>
      <c r="AYZ249" s="130"/>
      <c r="AZA249" s="130"/>
      <c r="AZB249" s="130"/>
      <c r="AZC249" s="130"/>
      <c r="AZD249" s="130"/>
      <c r="AZE249" s="130"/>
      <c r="AZF249" s="130"/>
      <c r="AZG249" s="130"/>
      <c r="AZH249" s="130"/>
      <c r="AZI249" s="130"/>
      <c r="AZJ249" s="130"/>
      <c r="AZK249" s="130"/>
      <c r="AZL249" s="130"/>
      <c r="AZM249" s="130"/>
      <c r="AZN249" s="130"/>
      <c r="AZO249" s="130"/>
      <c r="AZP249" s="130"/>
      <c r="AZQ249" s="130"/>
      <c r="AZR249" s="130"/>
      <c r="AZS249" s="130"/>
      <c r="AZT249" s="130"/>
      <c r="AZU249" s="130"/>
      <c r="AZV249" s="130"/>
      <c r="AZW249" s="130"/>
      <c r="AZX249" s="130"/>
      <c r="AZY249" s="130"/>
      <c r="AZZ249" s="130"/>
      <c r="BAA249" s="130"/>
      <c r="BAB249" s="130"/>
      <c r="BAC249" s="130"/>
      <c r="BAD249" s="130"/>
      <c r="BAE249" s="130"/>
      <c r="BAF249" s="130"/>
      <c r="BAG249" s="130"/>
      <c r="BAH249" s="130"/>
      <c r="BAI249" s="130"/>
      <c r="BAJ249" s="130"/>
      <c r="BAK249" s="130"/>
      <c r="BAL249" s="130"/>
      <c r="BAM249" s="130"/>
      <c r="BAN249" s="130"/>
      <c r="BAO249" s="130"/>
      <c r="BAP249" s="130"/>
      <c r="BAQ249" s="130"/>
      <c r="BAR249" s="130"/>
      <c r="BAS249" s="130"/>
      <c r="BAT249" s="130"/>
      <c r="BAU249" s="130"/>
      <c r="BAV249" s="130"/>
      <c r="BAW249" s="130"/>
      <c r="BAX249" s="130"/>
      <c r="BAY249" s="130"/>
      <c r="BAZ249" s="130"/>
      <c r="BBA249" s="130"/>
      <c r="BBB249" s="130"/>
      <c r="BBC249" s="130"/>
      <c r="BBD249" s="130"/>
      <c r="BBE249" s="130"/>
      <c r="BBF249" s="130"/>
      <c r="BBG249" s="130"/>
      <c r="BBH249" s="130"/>
      <c r="BBI249" s="130"/>
      <c r="BBJ249" s="130"/>
      <c r="BBK249" s="130"/>
      <c r="BBL249" s="130"/>
      <c r="BBM249" s="130"/>
      <c r="BBN249" s="130"/>
    </row>
    <row r="250" spans="340:1005 1082:1418" ht="48" customHeight="1" thickBot="1">
      <c r="MB250" s="851"/>
      <c r="MC250" s="1268" t="s">
        <v>1339</v>
      </c>
      <c r="MD250" s="1269"/>
      <c r="ME250" s="1432">
        <f>$MM$241</f>
        <v>0.37750130463778836</v>
      </c>
      <c r="MF250" s="1432"/>
      <c r="MG250" s="795"/>
      <c r="MH250" s="795"/>
      <c r="MI250" s="795"/>
      <c r="MJ250" s="795"/>
      <c r="MK250" s="795"/>
      <c r="ML250" s="942"/>
      <c r="MM250" s="943"/>
      <c r="MN250" s="943"/>
      <c r="MO250" s="943"/>
      <c r="MP250" s="943"/>
      <c r="MQ250" s="943"/>
      <c r="MR250" s="943"/>
      <c r="MS250" s="944"/>
      <c r="MT250" s="828"/>
      <c r="MU250" s="949"/>
      <c r="MV250" s="949"/>
      <c r="MW250" s="949"/>
      <c r="MX250" s="949"/>
      <c r="MY250" s="950"/>
      <c r="QW250" s="130"/>
      <c r="QX250" s="130"/>
      <c r="QY250" s="130"/>
      <c r="QZ250" s="130"/>
      <c r="RA250" s="130"/>
      <c r="RB250" s="130"/>
      <c r="RC250" s="130"/>
      <c r="RD250" s="130"/>
      <c r="RE250" s="130"/>
      <c r="RF250" s="130"/>
      <c r="RG250" s="130"/>
      <c r="RH250" s="130"/>
      <c r="RI250" s="130"/>
      <c r="VT250" s="653"/>
      <c r="VU250" s="653"/>
      <c r="VV250" s="653"/>
      <c r="VW250" s="653"/>
      <c r="VX250" s="653"/>
      <c r="VY250" s="653"/>
      <c r="VZ250" s="653"/>
      <c r="WA250" s="653"/>
      <c r="WB250" s="653"/>
      <c r="WC250" s="653"/>
      <c r="WD250" s="653"/>
      <c r="WE250" s="653"/>
      <c r="WF250" s="653"/>
      <c r="WG250" s="653"/>
      <c r="ACJ250" s="759">
        <v>-4.0625000000000001E-2</v>
      </c>
      <c r="ACK250" s="760"/>
      <c r="ACL250" s="759">
        <v>0.96499999999999997</v>
      </c>
      <c r="ACM250" s="760"/>
      <c r="ACN250" s="591">
        <v>23</v>
      </c>
      <c r="ACO250" s="759">
        <f t="shared" si="287"/>
        <v>0.94280859374999992</v>
      </c>
      <c r="ACP250" s="760"/>
      <c r="ACQ250" s="757">
        <f t="shared" si="288"/>
        <v>0.54625000000000001</v>
      </c>
      <c r="ACR250" s="758"/>
      <c r="ACT250" s="759">
        <v>-0.1</v>
      </c>
      <c r="ACU250" s="760"/>
      <c r="ACV250" s="759">
        <v>1.06</v>
      </c>
      <c r="ACW250" s="760"/>
      <c r="ACX250" s="592">
        <v>73</v>
      </c>
      <c r="ACY250" s="759">
        <f t="shared" si="289"/>
        <v>0.886625</v>
      </c>
      <c r="ACZ250" s="760"/>
      <c r="ADA250" s="757">
        <f t="shared" si="290"/>
        <v>1.7337500000000001</v>
      </c>
      <c r="ADB250" s="758"/>
      <c r="ADD250" s="1112">
        <v>-0.2</v>
      </c>
      <c r="ADE250" s="1112"/>
      <c r="ADF250" s="1112">
        <v>1.3</v>
      </c>
      <c r="ADG250" s="1112"/>
      <c r="ADH250" s="592">
        <v>123</v>
      </c>
      <c r="ADI250" s="759">
        <f t="shared" si="291"/>
        <v>0.71575</v>
      </c>
      <c r="ADJ250" s="760"/>
      <c r="ADK250" s="757">
        <f t="shared" si="292"/>
        <v>2.9212500000000001</v>
      </c>
      <c r="ADL250" s="758"/>
      <c r="ADN250" s="1112">
        <v>-0.08</v>
      </c>
      <c r="ADO250" s="1112"/>
      <c r="ADP250" s="1112">
        <v>0.9</v>
      </c>
      <c r="ADQ250" s="1112"/>
      <c r="ADR250" s="592">
        <v>173</v>
      </c>
      <c r="ADS250" s="759">
        <f t="shared" si="293"/>
        <v>0.57130000000000003</v>
      </c>
      <c r="ADT250" s="760"/>
      <c r="ADU250" s="757">
        <f t="shared" si="294"/>
        <v>4.1087499999999997</v>
      </c>
      <c r="ADV250" s="758"/>
      <c r="ADX250" s="1112">
        <v>-5.8823529411764698E-2</v>
      </c>
      <c r="ADY250" s="1112"/>
      <c r="ADZ250" s="1112">
        <v>0.79411764705882304</v>
      </c>
      <c r="AEA250" s="1112"/>
      <c r="AEB250" s="591">
        <v>223</v>
      </c>
      <c r="AEC250" s="759">
        <f t="shared" si="295"/>
        <v>0.48257352941176429</v>
      </c>
      <c r="AED250" s="760"/>
      <c r="AEE250" s="757">
        <f t="shared" si="296"/>
        <v>5.2962499999999997</v>
      </c>
      <c r="AEF250" s="758"/>
      <c r="AEH250" s="1112">
        <v>-5.8823529411764698E-2</v>
      </c>
      <c r="AEI250" s="1112"/>
      <c r="AEJ250" s="1112">
        <v>0.79411764705882304</v>
      </c>
      <c r="AEK250" s="1112"/>
      <c r="AEL250" s="591">
        <v>273</v>
      </c>
      <c r="AEM250" s="759">
        <f t="shared" si="297"/>
        <v>0.41272058823529367</v>
      </c>
      <c r="AEN250" s="760"/>
      <c r="AEO250" s="757">
        <f t="shared" si="298"/>
        <v>6.4837499999999997</v>
      </c>
      <c r="AEP250" s="758"/>
      <c r="AER250" s="1112">
        <v>-3.5714285714285698E-2</v>
      </c>
      <c r="AES250" s="1112"/>
      <c r="AET250" s="1112">
        <v>0.63928571428571401</v>
      </c>
      <c r="AEU250" s="1112"/>
      <c r="AEV250" s="592">
        <v>323</v>
      </c>
      <c r="AEW250" s="759">
        <f t="shared" si="299"/>
        <v>0.36531249999999987</v>
      </c>
      <c r="AEX250" s="760"/>
      <c r="AEY250" s="757">
        <f t="shared" si="300"/>
        <v>7.6712499999999997</v>
      </c>
      <c r="AEZ250" s="758"/>
      <c r="AFB250" s="1112">
        <v>-3.5714285714285698E-2</v>
      </c>
      <c r="AFC250" s="1112"/>
      <c r="AFD250" s="1112">
        <v>0.63928571428571401</v>
      </c>
      <c r="AFE250" s="1112"/>
      <c r="AFF250" s="592">
        <v>373</v>
      </c>
      <c r="AFG250" s="759">
        <f t="shared" si="301"/>
        <v>0.32290178571428557</v>
      </c>
      <c r="AFH250" s="760"/>
      <c r="AFI250" s="757">
        <f t="shared" si="302"/>
        <v>8.8587500000000006</v>
      </c>
      <c r="AFJ250" s="758"/>
      <c r="AGJ250" s="130"/>
      <c r="AGK250" s="130"/>
      <c r="AGL250" s="850"/>
      <c r="AGM250" s="800" t="s">
        <v>1266</v>
      </c>
      <c r="AGN250" s="801"/>
      <c r="AGO250" s="937">
        <f>$MN$216</f>
        <v>1.2922478994547311</v>
      </c>
      <c r="AGP250" s="937"/>
      <c r="AGQ250" s="800" t="s">
        <v>1469</v>
      </c>
      <c r="AGR250" s="801"/>
      <c r="AGS250" s="937">
        <f>AGZ244</f>
        <v>0.58151155475462901</v>
      </c>
      <c r="AGT250" s="937"/>
      <c r="AGU250" s="792" t="s">
        <v>1465</v>
      </c>
      <c r="AGV250" s="792"/>
      <c r="AGW250" s="792"/>
      <c r="AGX250" s="792"/>
      <c r="AGY250" s="793"/>
      <c r="AGZ250" s="835">
        <f>MM241*(AGZ237+AGZ244+MP234)/(MQ212+MN216+MP234)</f>
        <v>0.13385465465521237</v>
      </c>
      <c r="AHA250" s="836"/>
      <c r="AHB250" s="1253" t="s">
        <v>392</v>
      </c>
      <c r="AHC250" s="1189"/>
      <c r="AHD250" s="1248"/>
      <c r="AHE250" s="1093" t="s">
        <v>1708</v>
      </c>
      <c r="AHF250" s="1093"/>
      <c r="AHG250" s="1093"/>
      <c r="AHH250" s="1289"/>
      <c r="AHI250" s="1052"/>
      <c r="AHJ250" s="1052"/>
      <c r="AHK250" s="1052"/>
      <c r="AHL250" s="1052"/>
      <c r="AHM250" s="1052"/>
      <c r="AHN250" s="1052"/>
      <c r="AHO250" s="1052"/>
      <c r="AHP250" s="1052"/>
      <c r="AHQ250" s="1052"/>
      <c r="AHR250" s="1052"/>
      <c r="AHS250" s="1052"/>
      <c r="AHT250" s="1052"/>
      <c r="AHU250" s="130"/>
      <c r="AJE250" s="130"/>
      <c r="AJF250" s="130"/>
      <c r="AJG250" s="130"/>
      <c r="AJH250" s="130"/>
      <c r="AJI250" s="130"/>
      <c r="AJJ250" s="130"/>
      <c r="AJK250" s="130"/>
      <c r="AJL250" s="130"/>
      <c r="AJM250" s="130"/>
      <c r="AJN250" s="130"/>
      <c r="AJO250" s="130"/>
      <c r="AJP250" s="130"/>
      <c r="AJQ250" s="130"/>
      <c r="AJT250" s="130"/>
      <c r="AJU250" s="130"/>
      <c r="AJV250" s="130"/>
      <c r="AJW250" s="130"/>
      <c r="AJX250" s="130"/>
      <c r="AJY250" s="130"/>
      <c r="AJZ250" s="130"/>
      <c r="AKA250" s="130"/>
      <c r="AKB250" s="130"/>
      <c r="AKC250" s="130"/>
      <c r="AKD250" s="130"/>
      <c r="AKE250" s="130"/>
      <c r="AKF250" s="130"/>
      <c r="AKG250" s="130"/>
      <c r="AKH250" s="130"/>
      <c r="AKI250" s="130"/>
      <c r="AKJ250" s="130"/>
      <c r="AKK250" s="130"/>
      <c r="AKL250" s="130"/>
      <c r="AKM250" s="130"/>
      <c r="AKN250" s="130"/>
      <c r="ALB250" s="130"/>
      <c r="ALC250" s="130"/>
      <c r="ALD250" s="130"/>
      <c r="ALE250" s="130"/>
      <c r="ALF250" s="130"/>
      <c r="ALG250" s="130"/>
      <c r="API250" s="130"/>
      <c r="APJ250" s="130"/>
      <c r="APK250" s="130"/>
      <c r="APL250" s="130"/>
      <c r="APM250" s="130"/>
      <c r="APN250" s="130"/>
      <c r="APO250" s="130"/>
      <c r="APP250" s="130"/>
      <c r="APQ250" s="130"/>
      <c r="APR250" s="130"/>
      <c r="APS250" s="130"/>
      <c r="APT250" s="130"/>
      <c r="APU250" s="130"/>
      <c r="APV250" s="130"/>
      <c r="APW250" s="130"/>
      <c r="APX250" s="130"/>
      <c r="APY250" s="130"/>
      <c r="APZ250" s="130"/>
      <c r="AQA250" s="130"/>
      <c r="AQS250" s="130"/>
      <c r="AQT250" s="130"/>
      <c r="AQU250" s="130"/>
      <c r="AQV250" s="653"/>
      <c r="AQW250" s="653"/>
      <c r="AQX250" s="653"/>
      <c r="AQY250" s="653"/>
      <c r="AQZ250" s="653"/>
      <c r="ARA250" s="653"/>
      <c r="ARB250" s="653"/>
      <c r="ARC250" s="653"/>
      <c r="ARD250" s="653"/>
      <c r="ARE250" s="653"/>
      <c r="ARF250" s="653"/>
      <c r="ARG250" s="130"/>
      <c r="ARH250" s="130"/>
      <c r="ARI250" s="130"/>
      <c r="ARJ250" s="130"/>
      <c r="ARK250" s="130"/>
      <c r="ARL250" s="130"/>
      <c r="ARM250" s="130"/>
      <c r="ARN250" s="130"/>
      <c r="ARO250" s="130"/>
      <c r="ARP250" s="130"/>
      <c r="ARQ250" s="130"/>
      <c r="ARR250" s="130"/>
      <c r="ARS250" s="130"/>
      <c r="ART250" s="130"/>
      <c r="ARU250" s="130"/>
      <c r="ARV250" s="130"/>
      <c r="ARW250" s="130"/>
      <c r="ARX250" s="130"/>
      <c r="ARY250" s="130"/>
      <c r="ARZ250" s="130"/>
      <c r="ASA250" s="130"/>
      <c r="ASB250" s="130"/>
      <c r="ASC250" s="130"/>
      <c r="ASD250" s="130"/>
      <c r="ASE250" s="130"/>
      <c r="ASF250" s="130"/>
      <c r="ASG250" s="130"/>
      <c r="ASH250" s="130"/>
      <c r="ASI250" s="130"/>
      <c r="ASJ250" s="130"/>
      <c r="ASK250" s="130"/>
      <c r="ASL250" s="130"/>
      <c r="ASM250" s="130"/>
      <c r="ASN250" s="130"/>
      <c r="ASO250" s="130"/>
      <c r="ASP250" s="130"/>
      <c r="ASQ250" s="130"/>
      <c r="ASR250" s="130"/>
      <c r="ASS250" s="130"/>
      <c r="AST250" s="130"/>
      <c r="ASU250" s="130"/>
      <c r="ASV250" s="130"/>
      <c r="ASW250" s="130"/>
      <c r="ASX250" s="130"/>
      <c r="ASY250" s="130"/>
      <c r="ASZ250" s="130"/>
      <c r="ATA250" s="130"/>
      <c r="ATB250" s="130"/>
      <c r="ATC250" s="130"/>
      <c r="ATF250" s="199"/>
      <c r="ATG250" s="852" t="s">
        <v>877</v>
      </c>
      <c r="ATH250" s="923"/>
      <c r="ATI250" s="199"/>
      <c r="ATJ250" s="1117" t="s">
        <v>892</v>
      </c>
      <c r="ATK250" s="1118"/>
      <c r="ATL250" s="1118"/>
      <c r="ATM250" s="1118"/>
      <c r="ATN250" s="1118"/>
      <c r="ATO250" s="1118"/>
      <c r="ATP250" s="1118"/>
      <c r="ATQ250" s="1118"/>
      <c r="ATR250" s="1118"/>
      <c r="ATS250" s="1118"/>
      <c r="ATT250" s="1119"/>
      <c r="ATU250" s="199"/>
      <c r="ATZ250" s="130"/>
      <c r="AUA250" s="130"/>
      <c r="AUB250" s="130"/>
      <c r="AUC250" s="130"/>
      <c r="AUD250" s="130"/>
      <c r="AUE250" s="130"/>
      <c r="AUR250" s="130"/>
      <c r="AUS250" s="130"/>
      <c r="AUT250" s="130"/>
      <c r="AUU250" s="130"/>
      <c r="AUV250" s="130"/>
      <c r="AUW250" s="130"/>
      <c r="AUX250" s="130"/>
      <c r="AUY250" s="130"/>
      <c r="AUZ250" s="130"/>
      <c r="AVA250" s="130"/>
      <c r="AVB250" s="130"/>
      <c r="AVC250" s="130"/>
      <c r="AVD250" s="130"/>
      <c r="AVE250" s="130"/>
      <c r="AVF250" s="130"/>
      <c r="AVG250" s="130"/>
      <c r="AVH250" s="130"/>
      <c r="AVI250" s="130"/>
      <c r="AVJ250" s="130"/>
      <c r="AVK250" s="130"/>
      <c r="AVL250" s="130"/>
      <c r="AVM250" s="130"/>
      <c r="AVN250" s="130"/>
      <c r="AVO250" s="130"/>
      <c r="AVP250" s="130"/>
      <c r="AVQ250" s="130"/>
      <c r="AVR250" s="130"/>
      <c r="AVS250" s="130"/>
      <c r="AVT250" s="130"/>
      <c r="AVU250" s="130"/>
      <c r="AVV250" s="130"/>
      <c r="AVW250" s="130"/>
      <c r="AVX250" s="130"/>
      <c r="AVY250" s="130"/>
      <c r="AVZ250" s="130"/>
      <c r="AWA250" s="130"/>
      <c r="AWB250" s="130"/>
      <c r="AWC250" s="130"/>
      <c r="AWD250" s="130"/>
      <c r="AWE250" s="130"/>
      <c r="AWF250" s="130"/>
      <c r="AWG250" s="130"/>
      <c r="AWH250" s="130"/>
      <c r="AWI250" s="130"/>
      <c r="AWJ250" s="130"/>
      <c r="AWK250" s="130"/>
      <c r="AWL250" s="130"/>
      <c r="AWM250" s="130"/>
      <c r="AWN250" s="130"/>
      <c r="AWO250" s="130"/>
      <c r="AWP250" s="130"/>
      <c r="AWQ250" s="130"/>
      <c r="AWR250" s="130"/>
      <c r="AWS250" s="130"/>
      <c r="AWT250" s="130"/>
      <c r="AWU250" s="130"/>
      <c r="AWV250" s="130"/>
      <c r="AWW250" s="130"/>
      <c r="AWX250" s="130"/>
      <c r="AWY250" s="130"/>
      <c r="AWZ250" s="130"/>
      <c r="AXA250" s="130"/>
      <c r="AXB250" s="130"/>
      <c r="AXC250" s="130"/>
      <c r="AXD250" s="130"/>
      <c r="AXE250" s="130"/>
      <c r="AXF250" s="130"/>
      <c r="AXG250" s="130"/>
      <c r="AXH250" s="130"/>
      <c r="AXI250" s="130"/>
      <c r="AXJ250" s="130"/>
      <c r="AXK250" s="130"/>
      <c r="AXL250" s="130"/>
      <c r="AXM250" s="130"/>
      <c r="AXN250" s="130"/>
      <c r="AXO250" s="130"/>
      <c r="AXP250" s="130"/>
      <c r="AXQ250" s="130"/>
      <c r="AXR250" s="130"/>
      <c r="AXS250" s="130"/>
      <c r="AXT250" s="130"/>
      <c r="AXU250" s="130"/>
      <c r="AXV250" s="130"/>
      <c r="AXW250" s="130"/>
      <c r="AXX250" s="130"/>
      <c r="AXY250" s="130"/>
      <c r="AXZ250" s="130"/>
      <c r="AYA250" s="130"/>
      <c r="AYB250" s="130"/>
      <c r="AYC250" s="130"/>
      <c r="AYD250" s="130"/>
      <c r="AYE250" s="130"/>
      <c r="AYF250" s="130"/>
      <c r="AYG250" s="130"/>
      <c r="AYH250" s="130"/>
      <c r="AYI250" s="130"/>
      <c r="AYJ250" s="130"/>
      <c r="AYK250" s="130"/>
      <c r="AYL250" s="130"/>
      <c r="AYM250" s="130"/>
      <c r="AYN250" s="130"/>
      <c r="AYO250" s="130"/>
      <c r="AYP250" s="130"/>
      <c r="AYQ250" s="130"/>
      <c r="AYR250" s="130"/>
      <c r="AYS250" s="130"/>
      <c r="AYT250" s="130"/>
      <c r="AYU250" s="130"/>
      <c r="AYV250" s="130"/>
      <c r="AYW250" s="130"/>
      <c r="AYX250" s="130"/>
      <c r="AYY250" s="130"/>
      <c r="AYZ250" s="130"/>
      <c r="AZA250" s="130"/>
      <c r="AZB250" s="130"/>
      <c r="AZC250" s="130"/>
      <c r="AZD250" s="130"/>
      <c r="AZE250" s="130"/>
      <c r="AZF250" s="130"/>
      <c r="AZG250" s="130"/>
      <c r="AZH250" s="130"/>
      <c r="AZI250" s="130"/>
      <c r="AZJ250" s="130"/>
      <c r="AZK250" s="130"/>
      <c r="AZL250" s="130"/>
      <c r="AZM250" s="130"/>
      <c r="AZN250" s="130"/>
      <c r="AZO250" s="130"/>
      <c r="AZP250" s="130"/>
      <c r="AZQ250" s="130"/>
      <c r="AZR250" s="130"/>
      <c r="AZS250" s="130"/>
      <c r="AZT250" s="130"/>
      <c r="AZU250" s="130"/>
      <c r="AZV250" s="130"/>
      <c r="AZW250" s="130"/>
      <c r="AZX250" s="130"/>
      <c r="AZY250" s="130"/>
      <c r="AZZ250" s="130"/>
      <c r="BAA250" s="130"/>
      <c r="BAB250" s="130"/>
      <c r="BAC250" s="130"/>
      <c r="BAD250" s="130"/>
      <c r="BAE250" s="130"/>
      <c r="BAF250" s="130"/>
      <c r="BAG250" s="130"/>
      <c r="BAH250" s="130"/>
      <c r="BAI250" s="130"/>
      <c r="BAJ250" s="130"/>
      <c r="BAK250" s="130"/>
      <c r="BAL250" s="130"/>
      <c r="BAM250" s="130"/>
      <c r="BAN250" s="130"/>
      <c r="BAO250" s="130"/>
      <c r="BAP250" s="130"/>
      <c r="BAQ250" s="130"/>
      <c r="BAR250" s="130"/>
      <c r="BAS250" s="130"/>
      <c r="BAT250" s="130"/>
      <c r="BAU250" s="130"/>
      <c r="BAV250" s="130"/>
      <c r="BAW250" s="130"/>
      <c r="BAX250" s="130"/>
      <c r="BAY250" s="130"/>
      <c r="BAZ250" s="130"/>
      <c r="BBA250" s="130"/>
      <c r="BBB250" s="130"/>
      <c r="BBC250" s="130"/>
      <c r="BBD250" s="130"/>
      <c r="BBE250" s="130"/>
      <c r="BBF250" s="130"/>
      <c r="BBG250" s="130"/>
      <c r="BBH250" s="130"/>
      <c r="BBI250" s="130"/>
      <c r="BBJ250" s="130"/>
      <c r="BBK250" s="130"/>
      <c r="BBL250" s="130"/>
      <c r="BBM250" s="130"/>
      <c r="BBN250" s="130"/>
    </row>
    <row r="251" spans="340:1005 1082:1418" ht="48" customHeight="1" thickBot="1">
      <c r="QW251" s="130"/>
      <c r="QX251" s="130"/>
      <c r="QY251" s="130"/>
      <c r="QZ251" s="130"/>
      <c r="RA251" s="130"/>
      <c r="RB251" s="130"/>
      <c r="RC251" s="130"/>
      <c r="RD251" s="130"/>
      <c r="RE251" s="130"/>
      <c r="RF251" s="130"/>
      <c r="RG251" s="130"/>
      <c r="RH251" s="130"/>
      <c r="RI251" s="130"/>
      <c r="VT251" s="653"/>
      <c r="VU251" s="653"/>
      <c r="VV251" s="653"/>
      <c r="VW251" s="653"/>
      <c r="VX251" s="653"/>
      <c r="VY251" s="653"/>
      <c r="VZ251" s="653"/>
      <c r="WA251" s="653"/>
      <c r="WB251" s="653"/>
      <c r="WC251" s="653"/>
      <c r="WD251" s="653"/>
      <c r="WE251" s="653"/>
      <c r="WF251" s="653"/>
      <c r="WG251" s="653"/>
      <c r="ACJ251" s="759">
        <v>-4.0625000000000001E-2</v>
      </c>
      <c r="ACK251" s="760"/>
      <c r="ACL251" s="759">
        <v>0.96499999999999997</v>
      </c>
      <c r="ACM251" s="760"/>
      <c r="ACN251" s="591">
        <v>24</v>
      </c>
      <c r="ACO251" s="759">
        <f t="shared" si="287"/>
        <v>0.94184374999999998</v>
      </c>
      <c r="ACP251" s="760"/>
      <c r="ACQ251" s="757">
        <f t="shared" si="288"/>
        <v>0.57000000000000006</v>
      </c>
      <c r="ACR251" s="758"/>
      <c r="ACT251" s="759">
        <v>-0.1</v>
      </c>
      <c r="ACU251" s="760"/>
      <c r="ACV251" s="759">
        <v>1.06</v>
      </c>
      <c r="ACW251" s="760"/>
      <c r="ACX251" s="592">
        <v>74</v>
      </c>
      <c r="ACY251" s="759">
        <f t="shared" si="289"/>
        <v>0.88424999999999998</v>
      </c>
      <c r="ACZ251" s="760"/>
      <c r="ADA251" s="757">
        <f t="shared" si="290"/>
        <v>1.7575000000000001</v>
      </c>
      <c r="ADB251" s="758"/>
      <c r="ADD251" s="1112">
        <v>-0.2</v>
      </c>
      <c r="ADE251" s="1112"/>
      <c r="ADF251" s="1112">
        <v>1.3</v>
      </c>
      <c r="ADG251" s="1112"/>
      <c r="ADH251" s="592">
        <v>124</v>
      </c>
      <c r="ADI251" s="759">
        <f t="shared" si="291"/>
        <v>0.71100000000000008</v>
      </c>
      <c r="ADJ251" s="760"/>
      <c r="ADK251" s="757">
        <f t="shared" si="292"/>
        <v>2.9449999999999998</v>
      </c>
      <c r="ADL251" s="758"/>
      <c r="ADN251" s="1112">
        <v>-0.08</v>
      </c>
      <c r="ADO251" s="1112"/>
      <c r="ADP251" s="1112">
        <v>0.9</v>
      </c>
      <c r="ADQ251" s="1112"/>
      <c r="ADR251" s="592">
        <v>174</v>
      </c>
      <c r="ADS251" s="759">
        <f t="shared" si="293"/>
        <v>0.56940000000000002</v>
      </c>
      <c r="ADT251" s="760"/>
      <c r="ADU251" s="757">
        <f t="shared" si="294"/>
        <v>4.1325000000000003</v>
      </c>
      <c r="ADV251" s="758"/>
      <c r="ADX251" s="1112">
        <v>-5.8823529411764698E-2</v>
      </c>
      <c r="ADY251" s="1112"/>
      <c r="ADZ251" s="1112">
        <v>0.79411764705882304</v>
      </c>
      <c r="AEA251" s="1112"/>
      <c r="AEB251" s="591">
        <v>224</v>
      </c>
      <c r="AEC251" s="759">
        <f t="shared" si="295"/>
        <v>0.48117647058823482</v>
      </c>
      <c r="AED251" s="760"/>
      <c r="AEE251" s="757">
        <f t="shared" si="296"/>
        <v>5.32</v>
      </c>
      <c r="AEF251" s="758"/>
      <c r="AEH251" s="1112">
        <v>-5.8823529411764698E-2</v>
      </c>
      <c r="AEI251" s="1112"/>
      <c r="AEJ251" s="1112">
        <v>0.79411764705882304</v>
      </c>
      <c r="AEK251" s="1112"/>
      <c r="AEL251" s="591">
        <v>274</v>
      </c>
      <c r="AEM251" s="759">
        <f t="shared" si="297"/>
        <v>0.41132352941176425</v>
      </c>
      <c r="AEN251" s="760"/>
      <c r="AEO251" s="757">
        <f t="shared" si="298"/>
        <v>6.5075000000000003</v>
      </c>
      <c r="AEP251" s="758"/>
      <c r="AER251" s="1112">
        <v>-3.5714285714285698E-2</v>
      </c>
      <c r="AES251" s="1112"/>
      <c r="AET251" s="1112">
        <v>0.63928571428571401</v>
      </c>
      <c r="AEU251" s="1112"/>
      <c r="AEV251" s="592">
        <v>324</v>
      </c>
      <c r="AEW251" s="759">
        <f t="shared" si="299"/>
        <v>0.36446428571428557</v>
      </c>
      <c r="AEX251" s="760"/>
      <c r="AEY251" s="757">
        <f t="shared" si="300"/>
        <v>7.6950000000000003</v>
      </c>
      <c r="AEZ251" s="758"/>
      <c r="AFB251" s="1112">
        <v>-3.5714285714285698E-2</v>
      </c>
      <c r="AFC251" s="1112"/>
      <c r="AFD251" s="1112">
        <v>0.63928571428571401</v>
      </c>
      <c r="AFE251" s="1112"/>
      <c r="AFF251" s="592">
        <v>374</v>
      </c>
      <c r="AFG251" s="759">
        <f t="shared" si="301"/>
        <v>0.32205357142857127</v>
      </c>
      <c r="AFH251" s="760"/>
      <c r="AFI251" s="757">
        <f t="shared" si="302"/>
        <v>8.8825000000000003</v>
      </c>
      <c r="AFJ251" s="758"/>
      <c r="AGJ251" s="130"/>
      <c r="AGK251" s="130"/>
      <c r="AGL251" s="850"/>
      <c r="AGM251" s="1325" t="s">
        <v>1264</v>
      </c>
      <c r="AGN251" s="1325"/>
      <c r="AGO251" s="1120">
        <f>$MQ$212</f>
        <v>2.5479278737632125</v>
      </c>
      <c r="AGP251" s="1120"/>
      <c r="AGQ251" s="861" t="s">
        <v>1470</v>
      </c>
      <c r="AGR251" s="861"/>
      <c r="AGS251" s="937">
        <f>$AGZ$233</f>
        <v>2.1626027915315862</v>
      </c>
      <c r="AGT251" s="937"/>
      <c r="AGU251" s="824"/>
      <c r="AGV251" s="824"/>
      <c r="AGW251" s="824"/>
      <c r="AGX251" s="824"/>
      <c r="AGY251" s="1049"/>
      <c r="AGZ251" s="837"/>
      <c r="AHA251" s="838"/>
      <c r="AHB251" s="1254"/>
      <c r="AHC251" s="1191"/>
      <c r="AHD251" s="1249"/>
      <c r="AHE251" s="1291"/>
      <c r="AHF251" s="1291"/>
      <c r="AHG251" s="1291"/>
      <c r="AHH251" s="1290"/>
      <c r="AHI251" s="1052"/>
      <c r="AHJ251" s="1052"/>
      <c r="AHK251" s="1052"/>
      <c r="AHL251" s="1052"/>
      <c r="AHM251" s="1052"/>
      <c r="AHN251" s="1052"/>
      <c r="AHO251" s="1052"/>
      <c r="AHP251" s="1052"/>
      <c r="AHQ251" s="1052"/>
      <c r="AHR251" s="1052"/>
      <c r="AHS251" s="1052"/>
      <c r="AHT251" s="1052"/>
      <c r="AHU251" s="130"/>
      <c r="AJF251" s="130"/>
      <c r="AJG251" s="130"/>
      <c r="AJH251" s="130"/>
      <c r="AJI251" s="130"/>
      <c r="AJJ251" s="130"/>
      <c r="AJK251" s="130"/>
      <c r="AJL251" s="130"/>
      <c r="AJM251" s="130"/>
      <c r="AJN251" s="130"/>
      <c r="AJO251" s="130"/>
      <c r="AJP251" s="130"/>
      <c r="AJQ251" s="130"/>
      <c r="AJR251" s="130"/>
      <c r="AJS251" s="130"/>
      <c r="AJT251" s="130"/>
      <c r="AJU251" s="130"/>
      <c r="AJV251" s="130"/>
      <c r="AJW251" s="130"/>
      <c r="AJX251" s="130"/>
      <c r="AJY251" s="130"/>
      <c r="AJZ251" s="130"/>
      <c r="AKA251" s="130"/>
      <c r="AKB251" s="130"/>
      <c r="AKC251" s="130"/>
      <c r="AKD251" s="130"/>
      <c r="AKE251" s="130"/>
      <c r="AKF251" s="130"/>
      <c r="AKG251" s="130"/>
      <c r="AKH251" s="130"/>
      <c r="AKI251" s="130"/>
      <c r="AKJ251" s="130"/>
      <c r="AKK251" s="130"/>
      <c r="AKL251" s="130"/>
      <c r="AKM251" s="130"/>
      <c r="AKN251" s="130"/>
      <c r="ALB251" s="130"/>
      <c r="ALC251" s="130"/>
      <c r="ALD251" s="130"/>
      <c r="ALE251" s="130"/>
      <c r="ALF251" s="130"/>
      <c r="ALG251" s="130"/>
      <c r="API251" s="130"/>
      <c r="APJ251" s="130"/>
      <c r="APK251" s="130"/>
      <c r="APL251" s="130"/>
      <c r="APM251" s="130"/>
      <c r="APN251" s="130"/>
      <c r="APO251" s="130"/>
      <c r="APP251" s="130"/>
      <c r="APQ251" s="130"/>
      <c r="APR251" s="130"/>
      <c r="APS251" s="130"/>
      <c r="APT251" s="130"/>
      <c r="APU251" s="130"/>
      <c r="APV251" s="130"/>
      <c r="APW251" s="130"/>
      <c r="APX251" s="130"/>
      <c r="APY251" s="130"/>
      <c r="APZ251" s="130"/>
      <c r="AQA251" s="130"/>
      <c r="AQS251" s="130"/>
      <c r="AQT251" s="130"/>
      <c r="AQU251" s="130"/>
      <c r="AQV251" s="653"/>
      <c r="AQW251" s="653"/>
      <c r="AQX251" s="653"/>
      <c r="AQY251" s="653"/>
      <c r="AQZ251" s="653"/>
      <c r="ARA251" s="653"/>
      <c r="ARB251" s="653"/>
      <c r="ARC251" s="653"/>
      <c r="ARD251" s="653"/>
      <c r="ARE251" s="653"/>
      <c r="ARF251" s="653"/>
      <c r="ARG251" s="130"/>
      <c r="ARH251" s="130"/>
      <c r="ARI251" s="130"/>
      <c r="ARJ251" s="130"/>
      <c r="ARK251" s="130"/>
      <c r="ARL251" s="130"/>
      <c r="ARM251" s="130"/>
      <c r="ARN251" s="130"/>
      <c r="ARO251" s="130"/>
      <c r="ARP251" s="130"/>
      <c r="ARQ251" s="130"/>
      <c r="ARR251" s="130"/>
      <c r="ARS251" s="130"/>
      <c r="ART251" s="130"/>
      <c r="ARU251" s="130"/>
      <c r="ARV251" s="130"/>
      <c r="ARW251" s="130"/>
      <c r="ARX251" s="130"/>
      <c r="ARY251" s="130"/>
      <c r="ARZ251" s="130"/>
      <c r="ASA251" s="130"/>
      <c r="ASB251" s="130"/>
      <c r="ASC251" s="130"/>
      <c r="ASD251" s="130"/>
      <c r="ASE251" s="130"/>
      <c r="ASF251" s="130"/>
      <c r="ASG251" s="130"/>
      <c r="ASH251" s="130"/>
      <c r="ASI251" s="130"/>
      <c r="ASJ251" s="130"/>
      <c r="ASK251" s="130"/>
      <c r="ASL251" s="130"/>
      <c r="ASM251" s="130"/>
      <c r="ASN251" s="130"/>
      <c r="ASO251" s="130"/>
      <c r="ASP251" s="130"/>
      <c r="ASQ251" s="130"/>
      <c r="ASR251" s="130"/>
      <c r="ASS251" s="130"/>
      <c r="AST251" s="130"/>
      <c r="ASU251" s="130"/>
      <c r="ASV251" s="130"/>
      <c r="ASW251" s="130"/>
      <c r="ASX251" s="130"/>
      <c r="ASY251" s="130"/>
      <c r="ASZ251" s="130"/>
      <c r="ATA251" s="130"/>
      <c r="ATB251" s="130"/>
      <c r="ATC251" s="130"/>
      <c r="AUR251" s="130"/>
      <c r="AUS251" s="130"/>
      <c r="AUT251" s="130"/>
      <c r="AUU251" s="130"/>
      <c r="AUV251" s="130"/>
      <c r="AUW251" s="130"/>
      <c r="AUX251" s="130"/>
      <c r="AUY251" s="130"/>
      <c r="AUZ251" s="130"/>
      <c r="AVA251" s="130"/>
      <c r="AVB251" s="130"/>
      <c r="AVC251" s="130"/>
      <c r="AVD251" s="130"/>
      <c r="AVE251" s="130"/>
      <c r="AVF251" s="130"/>
      <c r="AVG251" s="130"/>
      <c r="AVH251" s="130"/>
      <c r="AVI251" s="130"/>
      <c r="AVJ251" s="130"/>
      <c r="AVK251" s="130"/>
      <c r="AVL251" s="130"/>
      <c r="AVM251" s="130"/>
      <c r="AVN251" s="130"/>
      <c r="AVO251" s="130"/>
      <c r="AVP251" s="130"/>
      <c r="AVQ251" s="130"/>
      <c r="AVR251" s="130"/>
      <c r="AVS251" s="130"/>
      <c r="AVT251" s="130"/>
      <c r="AVU251" s="130"/>
      <c r="AVV251" s="130"/>
      <c r="AVW251" s="130"/>
      <c r="AVX251" s="130"/>
      <c r="AVY251" s="130"/>
      <c r="AVZ251" s="130"/>
      <c r="AWA251" s="130"/>
      <c r="AWB251" s="130"/>
      <c r="AWC251" s="130"/>
      <c r="AWD251" s="130"/>
      <c r="AWE251" s="130"/>
      <c r="AWF251" s="130"/>
      <c r="AWG251" s="130"/>
      <c r="AWH251" s="130"/>
      <c r="AWI251" s="130"/>
      <c r="AWJ251" s="130"/>
      <c r="AWK251" s="130"/>
      <c r="AWL251" s="130"/>
      <c r="AWM251" s="130"/>
      <c r="AWN251" s="130"/>
      <c r="AWO251" s="130"/>
      <c r="AWP251" s="130"/>
      <c r="AWQ251" s="130"/>
      <c r="AWR251" s="130"/>
      <c r="AWS251" s="130"/>
      <c r="AWT251" s="130"/>
      <c r="AWU251" s="130"/>
      <c r="AWV251" s="130"/>
      <c r="AWW251" s="130"/>
      <c r="AWX251" s="130"/>
      <c r="AWY251" s="130"/>
      <c r="AWZ251" s="130"/>
      <c r="AXA251" s="130"/>
      <c r="AXB251" s="130"/>
      <c r="AXC251" s="130"/>
      <c r="AXD251" s="130"/>
      <c r="AXE251" s="130"/>
      <c r="AXF251" s="130"/>
      <c r="AXG251" s="130"/>
      <c r="AXH251" s="130"/>
      <c r="AXI251" s="130"/>
      <c r="AXJ251" s="130"/>
      <c r="AXK251" s="130"/>
      <c r="AXL251" s="130"/>
      <c r="AXM251" s="130"/>
      <c r="AXN251" s="130"/>
      <c r="AXO251" s="130"/>
      <c r="AXP251" s="130"/>
      <c r="AXQ251" s="130"/>
      <c r="AXR251" s="130"/>
      <c r="AXS251" s="130"/>
      <c r="AXT251" s="130"/>
      <c r="AXU251" s="130"/>
      <c r="AXV251" s="130"/>
      <c r="AXW251" s="130"/>
      <c r="AXX251" s="130"/>
      <c r="AXY251" s="130"/>
      <c r="AXZ251" s="130"/>
      <c r="AYA251" s="130"/>
      <c r="AYB251" s="130"/>
      <c r="AYC251" s="130"/>
      <c r="AYD251" s="130"/>
      <c r="AYE251" s="130"/>
      <c r="AYF251" s="130"/>
      <c r="AYG251" s="130"/>
      <c r="AYH251" s="130"/>
      <c r="AYI251" s="130"/>
      <c r="AYJ251" s="130"/>
      <c r="AYK251" s="130"/>
      <c r="AYL251" s="130"/>
      <c r="AYM251" s="130"/>
      <c r="AYN251" s="130"/>
      <c r="AYO251" s="130"/>
      <c r="AYP251" s="130"/>
      <c r="AYQ251" s="130"/>
      <c r="AYR251" s="130"/>
      <c r="AYS251" s="130"/>
      <c r="AYT251" s="130"/>
      <c r="AYU251" s="130"/>
      <c r="AYV251" s="130"/>
      <c r="AYW251" s="130"/>
      <c r="AYX251" s="130"/>
      <c r="AYY251" s="130"/>
      <c r="AYZ251" s="130"/>
      <c r="AZA251" s="130"/>
      <c r="AZB251" s="130"/>
      <c r="AZC251" s="130"/>
      <c r="AZD251" s="130"/>
      <c r="AZE251" s="130"/>
      <c r="AZF251" s="130"/>
      <c r="AZG251" s="130"/>
      <c r="AZH251" s="130"/>
      <c r="AZI251" s="130"/>
      <c r="AZJ251" s="130"/>
      <c r="AZK251" s="130"/>
      <c r="AZL251" s="130"/>
      <c r="AZM251" s="130"/>
      <c r="AZN251" s="130"/>
      <c r="AZO251" s="130"/>
      <c r="AZP251" s="130"/>
      <c r="AZQ251" s="130"/>
      <c r="AZR251" s="130"/>
      <c r="AZS251" s="130"/>
      <c r="AZT251" s="130"/>
      <c r="AZU251" s="130"/>
      <c r="AZV251" s="130"/>
      <c r="AZW251" s="130"/>
      <c r="AZX251" s="130"/>
      <c r="AZY251" s="130"/>
      <c r="AZZ251" s="130"/>
      <c r="BAA251" s="130"/>
      <c r="BAB251" s="130"/>
      <c r="BAC251" s="130"/>
      <c r="BAD251" s="130"/>
      <c r="BAE251" s="130"/>
      <c r="BAF251" s="130"/>
      <c r="BAG251" s="130"/>
      <c r="BAH251" s="130"/>
      <c r="BAI251" s="130"/>
      <c r="BAJ251" s="130"/>
      <c r="BAK251" s="130"/>
      <c r="BAL251" s="130"/>
      <c r="BAM251" s="130"/>
      <c r="BAN251" s="130"/>
      <c r="BAO251" s="130"/>
      <c r="BAP251" s="130"/>
      <c r="BAQ251" s="130"/>
      <c r="BAR251" s="130"/>
      <c r="BAS251" s="130"/>
      <c r="BAT251" s="130"/>
      <c r="BAU251" s="130"/>
      <c r="BAV251" s="130"/>
      <c r="BAW251" s="130"/>
      <c r="BAX251" s="130"/>
      <c r="BAY251" s="130"/>
      <c r="BAZ251" s="130"/>
      <c r="BBA251" s="130"/>
      <c r="BBB251" s="130"/>
      <c r="BBC251" s="130"/>
      <c r="BBD251" s="130"/>
      <c r="BBE251" s="130"/>
      <c r="BBF251" s="130"/>
      <c r="BBG251" s="130"/>
      <c r="BBH251" s="130"/>
      <c r="BBI251" s="130"/>
      <c r="BBJ251" s="130"/>
      <c r="BBK251" s="130"/>
      <c r="BBL251" s="130"/>
      <c r="BBM251" s="130"/>
      <c r="BBN251" s="130"/>
    </row>
    <row r="252" spans="340:1005 1082:1418" ht="48" customHeight="1" thickBot="1">
      <c r="QW252" s="130"/>
      <c r="QX252" s="130"/>
      <c r="QY252" s="130"/>
      <c r="QZ252" s="130"/>
      <c r="RA252" s="130"/>
      <c r="RB252" s="130"/>
      <c r="RC252" s="130"/>
      <c r="RD252" s="130"/>
      <c r="RE252" s="130"/>
      <c r="RF252" s="130"/>
      <c r="RG252" s="130"/>
      <c r="RH252" s="130"/>
      <c r="RI252" s="130"/>
      <c r="VT252" s="653"/>
      <c r="VU252" s="653"/>
      <c r="VV252" s="653"/>
      <c r="VW252" s="653"/>
      <c r="VX252" s="653"/>
      <c r="VY252" s="653"/>
      <c r="VZ252" s="653"/>
      <c r="WA252" s="653"/>
      <c r="WB252" s="653"/>
      <c r="WC252" s="653"/>
      <c r="WD252" s="653"/>
      <c r="WE252" s="653"/>
      <c r="WF252" s="653"/>
      <c r="WG252" s="653"/>
      <c r="ACJ252" s="759">
        <v>-4.0625000000000001E-2</v>
      </c>
      <c r="ACK252" s="760"/>
      <c r="ACL252" s="759">
        <v>0.96499999999999997</v>
      </c>
      <c r="ACM252" s="760"/>
      <c r="ACN252" s="591">
        <v>25</v>
      </c>
      <c r="ACO252" s="759">
        <f t="shared" si="287"/>
        <v>0.94087890624999992</v>
      </c>
      <c r="ACP252" s="760"/>
      <c r="ACQ252" s="757">
        <f t="shared" si="288"/>
        <v>0.59375</v>
      </c>
      <c r="ACR252" s="758"/>
      <c r="ACT252" s="759">
        <v>-0.1</v>
      </c>
      <c r="ACU252" s="760"/>
      <c r="ACV252" s="759">
        <v>1.06</v>
      </c>
      <c r="ACW252" s="760"/>
      <c r="ACX252" s="592">
        <v>75</v>
      </c>
      <c r="ACY252" s="759">
        <f t="shared" si="289"/>
        <v>0.88187500000000008</v>
      </c>
      <c r="ACZ252" s="760"/>
      <c r="ADA252" s="757">
        <f t="shared" si="290"/>
        <v>1.78125</v>
      </c>
      <c r="ADB252" s="758"/>
      <c r="ADD252" s="1112">
        <v>-0.2</v>
      </c>
      <c r="ADE252" s="1112"/>
      <c r="ADF252" s="1112">
        <v>1.3</v>
      </c>
      <c r="ADG252" s="1112"/>
      <c r="ADH252" s="592">
        <v>125</v>
      </c>
      <c r="ADI252" s="759">
        <f t="shared" si="291"/>
        <v>0.70625000000000004</v>
      </c>
      <c r="ADJ252" s="760"/>
      <c r="ADK252" s="757">
        <f t="shared" si="292"/>
        <v>2.96875</v>
      </c>
      <c r="ADL252" s="758"/>
      <c r="ADN252" s="1112">
        <v>-0.08</v>
      </c>
      <c r="ADO252" s="1112"/>
      <c r="ADP252" s="1112">
        <v>0.9</v>
      </c>
      <c r="ADQ252" s="1112"/>
      <c r="ADR252" s="592">
        <v>175</v>
      </c>
      <c r="ADS252" s="759">
        <f t="shared" si="293"/>
        <v>0.5675</v>
      </c>
      <c r="ADT252" s="760"/>
      <c r="ADU252" s="757">
        <f t="shared" si="294"/>
        <v>4.15625</v>
      </c>
      <c r="ADV252" s="758"/>
      <c r="ADX252" s="1112">
        <v>-5.8823529411764698E-2</v>
      </c>
      <c r="ADY252" s="1112"/>
      <c r="ADZ252" s="1112">
        <v>0.79411764705882304</v>
      </c>
      <c r="AEA252" s="1112"/>
      <c r="AEB252" s="591">
        <v>225</v>
      </c>
      <c r="AEC252" s="759">
        <f t="shared" si="295"/>
        <v>0.47977941176470545</v>
      </c>
      <c r="AED252" s="760"/>
      <c r="AEE252" s="757">
        <f t="shared" si="296"/>
        <v>5.34375</v>
      </c>
      <c r="AEF252" s="758"/>
      <c r="AEH252" s="1112">
        <v>-5.8823529411764698E-2</v>
      </c>
      <c r="AEI252" s="1112"/>
      <c r="AEJ252" s="1112">
        <v>0.79411764705882304</v>
      </c>
      <c r="AEK252" s="1112"/>
      <c r="AEL252" s="591">
        <v>275</v>
      </c>
      <c r="AEM252" s="759">
        <f t="shared" si="297"/>
        <v>0.40992647058823484</v>
      </c>
      <c r="AEN252" s="760"/>
      <c r="AEO252" s="757">
        <f t="shared" si="298"/>
        <v>6.53125</v>
      </c>
      <c r="AEP252" s="758"/>
      <c r="AER252" s="1112">
        <v>-3.5714285714285698E-2</v>
      </c>
      <c r="AES252" s="1112"/>
      <c r="AET252" s="1112">
        <v>0.63928571428571401</v>
      </c>
      <c r="AEU252" s="1112"/>
      <c r="AEV252" s="592">
        <v>325</v>
      </c>
      <c r="AEW252" s="759">
        <f t="shared" si="299"/>
        <v>0.36361607142857127</v>
      </c>
      <c r="AEX252" s="760"/>
      <c r="AEY252" s="757">
        <f t="shared" si="300"/>
        <v>7.71875</v>
      </c>
      <c r="AEZ252" s="758"/>
      <c r="AFB252" s="1112">
        <v>-3.5714285714285698E-2</v>
      </c>
      <c r="AFC252" s="1112"/>
      <c r="AFD252" s="1112">
        <v>0.63928571428571401</v>
      </c>
      <c r="AFE252" s="1112"/>
      <c r="AFF252" s="592">
        <v>375</v>
      </c>
      <c r="AFG252" s="759">
        <f t="shared" si="301"/>
        <v>0.32120535714285703</v>
      </c>
      <c r="AFH252" s="760"/>
      <c r="AFI252" s="757">
        <f t="shared" si="302"/>
        <v>8.90625</v>
      </c>
      <c r="AFJ252" s="758"/>
      <c r="AGJ252" s="130"/>
      <c r="AGK252" s="130"/>
      <c r="AGL252" s="851"/>
      <c r="AGM252" s="1163" t="s">
        <v>1265</v>
      </c>
      <c r="AGN252" s="1163"/>
      <c r="AGO252" s="774">
        <f>$MP$234</f>
        <v>0.61171910270933894</v>
      </c>
      <c r="AGP252" s="774"/>
      <c r="AGQ252" s="1060"/>
      <c r="AGR252" s="1061"/>
      <c r="AGS252" s="1061"/>
      <c r="AGT252" s="1062"/>
      <c r="AGU252" s="795"/>
      <c r="AGV252" s="795"/>
      <c r="AGW252" s="795"/>
      <c r="AGX252" s="795"/>
      <c r="AGY252" s="796"/>
      <c r="AGZ252" s="204"/>
      <c r="AHA252" s="205"/>
      <c r="AHB252" s="205"/>
      <c r="AHC252" s="205"/>
      <c r="AHD252" s="250"/>
      <c r="AHE252" s="250"/>
      <c r="AHF252" s="250"/>
      <c r="AHG252" s="250"/>
      <c r="AHH252" s="250"/>
      <c r="AHI252" s="1053"/>
      <c r="AHJ252" s="1053"/>
      <c r="AHK252" s="1053"/>
      <c r="AHL252" s="1053"/>
      <c r="AHM252" s="1053"/>
      <c r="AHN252" s="1053"/>
      <c r="AHO252" s="1053"/>
      <c r="AHP252" s="1053"/>
      <c r="AHQ252" s="1053"/>
      <c r="AHR252" s="1053"/>
      <c r="AHS252" s="1053"/>
      <c r="AHT252" s="1053"/>
      <c r="AHU252" s="130"/>
      <c r="AJF252" s="130"/>
      <c r="AJG252" s="130"/>
      <c r="AJH252" s="130"/>
      <c r="AJI252" s="130"/>
      <c r="AJJ252" s="130"/>
      <c r="AJK252" s="130"/>
      <c r="AJL252" s="130"/>
      <c r="AJM252" s="130"/>
      <c r="AJN252" s="130"/>
      <c r="AJO252" s="130"/>
      <c r="AJP252" s="130"/>
      <c r="AJQ252" s="130"/>
      <c r="AJR252" s="130"/>
      <c r="AJS252" s="130"/>
      <c r="AJT252" s="130"/>
      <c r="AJU252" s="130"/>
      <c r="AJV252" s="130"/>
      <c r="AJW252" s="130"/>
      <c r="AJX252" s="130"/>
      <c r="AJY252" s="130"/>
      <c r="AJZ252" s="130"/>
      <c r="AKA252" s="130"/>
      <c r="AKB252" s="130"/>
      <c r="AKC252" s="130"/>
      <c r="AKD252" s="130"/>
      <c r="AKE252" s="130"/>
      <c r="AKF252" s="130"/>
      <c r="AKG252" s="130"/>
      <c r="AKH252" s="130"/>
      <c r="AKI252" s="130"/>
      <c r="AKJ252" s="130"/>
      <c r="AKK252" s="130"/>
      <c r="AKL252" s="130"/>
      <c r="AKM252" s="130"/>
      <c r="AKN252" s="130"/>
      <c r="ALB252" s="130"/>
      <c r="ALC252" s="130"/>
      <c r="ALD252" s="130"/>
      <c r="ALE252" s="130"/>
      <c r="ALF252" s="130"/>
      <c r="ALG252" s="130"/>
      <c r="API252" s="130"/>
      <c r="APJ252" s="130"/>
      <c r="APK252" s="130"/>
      <c r="APL252" s="130"/>
      <c r="APM252" s="130"/>
      <c r="APN252" s="130"/>
      <c r="APO252" s="130"/>
      <c r="APP252" s="130"/>
      <c r="APQ252" s="130"/>
      <c r="APR252" s="130"/>
      <c r="APS252" s="130"/>
      <c r="APT252" s="130"/>
      <c r="APU252" s="130"/>
      <c r="APV252" s="130"/>
      <c r="APW252" s="130"/>
      <c r="APX252" s="130"/>
      <c r="APY252" s="130"/>
      <c r="APZ252" s="130"/>
      <c r="AQA252" s="130"/>
      <c r="AQS252" s="130"/>
      <c r="AQT252" s="130"/>
      <c r="AQU252" s="130"/>
      <c r="AQV252" s="653"/>
      <c r="AQW252" s="653"/>
      <c r="AQX252" s="653"/>
      <c r="AQY252" s="653"/>
      <c r="AQZ252" s="653"/>
      <c r="ARA252" s="653"/>
      <c r="ARB252" s="653"/>
      <c r="ARC252" s="653"/>
      <c r="ARD252" s="653"/>
      <c r="ARE252" s="653"/>
      <c r="ARF252" s="653"/>
      <c r="ARG252" s="130"/>
      <c r="ARH252" s="130"/>
      <c r="ARI252" s="130"/>
      <c r="ARJ252" s="130"/>
      <c r="ARK252" s="130"/>
      <c r="ARL252" s="130"/>
      <c r="ARM252" s="130"/>
      <c r="ARN252" s="130"/>
      <c r="ARO252" s="130"/>
      <c r="ARP252" s="130"/>
      <c r="ARQ252" s="130"/>
      <c r="ARR252" s="130"/>
      <c r="ARS252" s="130"/>
      <c r="ART252" s="130"/>
      <c r="ARU252" s="130"/>
      <c r="ARV252" s="130"/>
      <c r="ARW252" s="130"/>
      <c r="ARX252" s="130"/>
      <c r="ARY252" s="130"/>
      <c r="ARZ252" s="130"/>
      <c r="ASA252" s="130"/>
      <c r="ASB252" s="130"/>
      <c r="ASC252" s="130"/>
      <c r="ASD252" s="130"/>
      <c r="ASE252" s="130"/>
      <c r="ASF252" s="130"/>
      <c r="ASG252" s="130"/>
      <c r="ASH252" s="130"/>
      <c r="ASI252" s="130"/>
      <c r="ASJ252" s="130"/>
      <c r="ASK252" s="130"/>
      <c r="ASL252" s="130"/>
      <c r="ASM252" s="130"/>
      <c r="ASN252" s="130"/>
      <c r="ASO252" s="130"/>
      <c r="ASP252" s="130"/>
      <c r="ASQ252" s="130"/>
      <c r="ASR252" s="130"/>
      <c r="ASS252" s="130"/>
      <c r="AST252" s="130"/>
      <c r="ASU252" s="130"/>
      <c r="ASV252" s="130"/>
      <c r="ASW252" s="130"/>
      <c r="ASX252" s="130"/>
      <c r="ASY252" s="130"/>
      <c r="ASZ252" s="130"/>
      <c r="ATA252" s="130"/>
      <c r="ATB252" s="130"/>
      <c r="ATC252" s="130"/>
      <c r="ATD252" s="849"/>
      <c r="ATE252" s="852" t="s">
        <v>416</v>
      </c>
      <c r="ATF252" s="853"/>
      <c r="ATG252" s="157"/>
      <c r="ATH252" s="78"/>
      <c r="ATI252" s="78"/>
      <c r="ATJ252" s="78"/>
      <c r="ATK252" s="78"/>
      <c r="ATL252" s="78"/>
      <c r="ATM252" s="78"/>
      <c r="ATN252" s="157"/>
      <c r="ATO252" s="76" t="s">
        <v>441</v>
      </c>
      <c r="ATP252" s="854" t="s">
        <v>435</v>
      </c>
      <c r="ATQ252" s="1111"/>
      <c r="ATR252" s="920" t="s">
        <v>111</v>
      </c>
      <c r="ATS252" s="921"/>
      <c r="ATT252" s="916" t="s">
        <v>704</v>
      </c>
      <c r="ATU252" s="917"/>
      <c r="ATV252" s="906" t="s">
        <v>447</v>
      </c>
      <c r="ATW252" s="907"/>
      <c r="ATX252" s="907"/>
      <c r="ATY252" s="908"/>
      <c r="AUR252" s="130"/>
      <c r="AUS252" s="130"/>
      <c r="AUT252" s="130"/>
      <c r="AUU252" s="130"/>
      <c r="AUV252" s="130"/>
      <c r="AUW252" s="130"/>
      <c r="AUX252" s="130"/>
      <c r="AUY252" s="130"/>
      <c r="AUZ252" s="130"/>
      <c r="AVA252" s="130"/>
      <c r="AVB252" s="130"/>
      <c r="AVC252" s="130"/>
      <c r="AVD252" s="130"/>
      <c r="AVE252" s="130"/>
      <c r="AVF252" s="130"/>
      <c r="AVG252" s="130"/>
      <c r="AVH252" s="130"/>
      <c r="AVI252" s="130"/>
      <c r="AVJ252" s="130"/>
      <c r="AVK252" s="130"/>
      <c r="AVL252" s="130"/>
      <c r="AVM252" s="130"/>
      <c r="AVN252" s="130"/>
      <c r="AVO252" s="130"/>
      <c r="AVP252" s="130"/>
      <c r="AVQ252" s="130"/>
      <c r="AVR252" s="130"/>
      <c r="AVS252" s="130"/>
      <c r="AVT252" s="130"/>
      <c r="AVU252" s="130"/>
      <c r="AVV252" s="130"/>
      <c r="AVW252" s="130"/>
      <c r="AVX252" s="130"/>
      <c r="AVY252" s="130"/>
      <c r="AVZ252" s="130"/>
      <c r="AWA252" s="130"/>
      <c r="AWB252" s="130"/>
      <c r="AWC252" s="130"/>
      <c r="AWD252" s="130"/>
      <c r="AWE252" s="130"/>
      <c r="AWF252" s="130"/>
      <c r="AWG252" s="130"/>
      <c r="AWH252" s="130"/>
      <c r="AWI252" s="130"/>
      <c r="AWJ252" s="130"/>
      <c r="AWK252" s="130"/>
      <c r="AWL252" s="130"/>
      <c r="AWM252" s="130"/>
      <c r="AWN252" s="130"/>
      <c r="AWO252" s="130"/>
      <c r="AWP252" s="130"/>
      <c r="AWQ252" s="130"/>
      <c r="AWR252" s="130"/>
      <c r="AWS252" s="130"/>
      <c r="AWT252" s="130"/>
      <c r="AWU252" s="130"/>
      <c r="AWV252" s="130"/>
      <c r="AWW252" s="130"/>
      <c r="AWX252" s="130"/>
      <c r="AWY252" s="130"/>
      <c r="AWZ252" s="130"/>
      <c r="AXA252" s="130"/>
      <c r="AXB252" s="130"/>
      <c r="AXC252" s="130"/>
      <c r="AXD252" s="130"/>
      <c r="AXE252" s="130"/>
      <c r="AXF252" s="130"/>
      <c r="AXG252" s="130"/>
      <c r="AXH252" s="130"/>
      <c r="AXI252" s="130"/>
      <c r="AXJ252" s="130"/>
      <c r="AXK252" s="130"/>
      <c r="AXL252" s="130"/>
      <c r="AXM252" s="130"/>
      <c r="AXN252" s="130"/>
      <c r="AXO252" s="130"/>
      <c r="AXP252" s="130"/>
      <c r="AXQ252" s="130"/>
      <c r="AXR252" s="130"/>
      <c r="AXS252" s="130"/>
      <c r="AXT252" s="130"/>
      <c r="AXU252" s="130"/>
      <c r="AXV252" s="130"/>
      <c r="AXW252" s="130"/>
      <c r="AXX252" s="130"/>
      <c r="AXY252" s="130"/>
      <c r="AXZ252" s="130"/>
      <c r="AYA252" s="130"/>
      <c r="AYB252" s="130"/>
      <c r="AYC252" s="130"/>
      <c r="AYD252" s="130"/>
      <c r="AYE252" s="130"/>
      <c r="AYF252" s="130"/>
      <c r="AYG252" s="130"/>
      <c r="AYH252" s="130"/>
      <c r="AYI252" s="130"/>
      <c r="AYJ252" s="130"/>
      <c r="AYK252" s="130"/>
      <c r="AYL252" s="130"/>
      <c r="AYM252" s="130"/>
      <c r="AYN252" s="130"/>
      <c r="AYO252" s="130"/>
      <c r="AYP252" s="130"/>
      <c r="AYQ252" s="130"/>
      <c r="AYR252" s="130"/>
      <c r="AYS252" s="130"/>
      <c r="AYT252" s="130"/>
      <c r="AYU252" s="130"/>
      <c r="AYV252" s="130"/>
      <c r="AYW252" s="130"/>
      <c r="AYX252" s="130"/>
      <c r="AYY252" s="130"/>
      <c r="AYZ252" s="130"/>
      <c r="AZA252" s="130"/>
      <c r="AZB252" s="130"/>
      <c r="AZC252" s="130"/>
      <c r="AZD252" s="130"/>
      <c r="AZE252" s="130"/>
      <c r="AZF252" s="130"/>
      <c r="AZG252" s="130"/>
      <c r="AZH252" s="130"/>
      <c r="AZI252" s="130"/>
      <c r="AZJ252" s="130"/>
      <c r="AZK252" s="130"/>
      <c r="AZL252" s="130"/>
      <c r="AZM252" s="130"/>
      <c r="AZN252" s="130"/>
      <c r="AZO252" s="130"/>
      <c r="AZP252" s="130"/>
      <c r="AZQ252" s="130"/>
      <c r="AZR252" s="130"/>
      <c r="AZS252" s="130"/>
      <c r="AZT252" s="130"/>
      <c r="AZU252" s="130"/>
      <c r="AZV252" s="130"/>
      <c r="AZW252" s="130"/>
      <c r="AZX252" s="130"/>
      <c r="AZY252" s="130"/>
      <c r="AZZ252" s="130"/>
      <c r="BAA252" s="130"/>
      <c r="BAB252" s="130"/>
      <c r="BAC252" s="130"/>
      <c r="BAD252" s="130"/>
      <c r="BAE252" s="130"/>
      <c r="BAF252" s="130"/>
      <c r="BAG252" s="130"/>
      <c r="BAH252" s="130"/>
      <c r="BAI252" s="130"/>
      <c r="BAJ252" s="130"/>
      <c r="BAK252" s="130"/>
      <c r="BAL252" s="130"/>
      <c r="BAM252" s="130"/>
      <c r="BAN252" s="130"/>
      <c r="BAO252" s="130"/>
      <c r="BAP252" s="130"/>
      <c r="BAQ252" s="130"/>
      <c r="BAR252" s="130"/>
      <c r="BAS252" s="130"/>
      <c r="BAT252" s="130"/>
      <c r="BAU252" s="130"/>
      <c r="BAV252" s="130"/>
      <c r="BAW252" s="130"/>
      <c r="BAX252" s="130"/>
      <c r="BAY252" s="130"/>
      <c r="BAZ252" s="130"/>
      <c r="BBA252" s="130"/>
      <c r="BBB252" s="130"/>
      <c r="BBC252" s="130"/>
      <c r="BBD252" s="130"/>
      <c r="BBE252" s="130"/>
      <c r="BBF252" s="130"/>
      <c r="BBG252" s="130"/>
      <c r="BBH252" s="130"/>
      <c r="BBI252" s="130"/>
      <c r="BBJ252" s="130"/>
      <c r="BBK252" s="130"/>
      <c r="BBL252" s="130"/>
      <c r="BBM252" s="130"/>
      <c r="BBN252" s="130"/>
    </row>
    <row r="253" spans="340:1005 1082:1418" ht="48" customHeight="1">
      <c r="QW253" s="130"/>
      <c r="QX253" s="130"/>
      <c r="QY253" s="130"/>
      <c r="QZ253" s="130"/>
      <c r="RA253" s="130"/>
      <c r="RB253" s="130"/>
      <c r="RC253" s="130"/>
      <c r="RD253" s="130"/>
      <c r="RE253" s="130"/>
      <c r="RF253" s="130"/>
      <c r="RG253" s="130"/>
      <c r="RH253" s="130"/>
      <c r="RI253" s="130"/>
      <c r="VT253" s="653"/>
      <c r="VU253" s="653"/>
      <c r="VV253" s="653"/>
      <c r="VW253" s="653"/>
      <c r="VX253" s="653"/>
      <c r="VY253" s="653"/>
      <c r="VZ253" s="653"/>
      <c r="WA253" s="653"/>
      <c r="WB253" s="653"/>
      <c r="WC253" s="653"/>
      <c r="WD253" s="653"/>
      <c r="WE253" s="653"/>
      <c r="WF253" s="653"/>
      <c r="WG253" s="653"/>
      <c r="ACJ253" s="759">
        <v>-4.0625000000000001E-2</v>
      </c>
      <c r="ACK253" s="760"/>
      <c r="ACL253" s="759">
        <v>0.96499999999999997</v>
      </c>
      <c r="ACM253" s="760"/>
      <c r="ACN253" s="591">
        <v>26</v>
      </c>
      <c r="ACO253" s="759">
        <f t="shared" si="287"/>
        <v>0.93991406249999998</v>
      </c>
      <c r="ACP253" s="760"/>
      <c r="ACQ253" s="757">
        <f t="shared" si="288"/>
        <v>0.61750000000000005</v>
      </c>
      <c r="ACR253" s="758"/>
      <c r="ACT253" s="759">
        <v>-0.1</v>
      </c>
      <c r="ACU253" s="760"/>
      <c r="ACV253" s="759">
        <v>1.06</v>
      </c>
      <c r="ACW253" s="760"/>
      <c r="ACX253" s="592">
        <v>76</v>
      </c>
      <c r="ACY253" s="759">
        <f t="shared" si="289"/>
        <v>0.87950000000000006</v>
      </c>
      <c r="ACZ253" s="760"/>
      <c r="ADA253" s="757">
        <f t="shared" si="290"/>
        <v>1.8049999999999999</v>
      </c>
      <c r="ADB253" s="758"/>
      <c r="ADD253" s="1112">
        <v>-0.2</v>
      </c>
      <c r="ADE253" s="1112"/>
      <c r="ADF253" s="1112">
        <v>1.3</v>
      </c>
      <c r="ADG253" s="1112"/>
      <c r="ADH253" s="592">
        <v>126</v>
      </c>
      <c r="ADI253" s="759">
        <f t="shared" si="291"/>
        <v>0.70150000000000001</v>
      </c>
      <c r="ADJ253" s="760"/>
      <c r="ADK253" s="757">
        <f t="shared" si="292"/>
        <v>2.9925000000000002</v>
      </c>
      <c r="ADL253" s="758"/>
      <c r="ADN253" s="1112">
        <v>-0.08</v>
      </c>
      <c r="ADO253" s="1112"/>
      <c r="ADP253" s="1112">
        <v>0.9</v>
      </c>
      <c r="ADQ253" s="1112"/>
      <c r="ADR253" s="592">
        <v>176</v>
      </c>
      <c r="ADS253" s="759">
        <f t="shared" si="293"/>
        <v>0.5656000000000001</v>
      </c>
      <c r="ADT253" s="760"/>
      <c r="ADU253" s="757">
        <f t="shared" si="294"/>
        <v>4.18</v>
      </c>
      <c r="ADV253" s="758"/>
      <c r="ADX253" s="1112">
        <v>-5.8823529411764698E-2</v>
      </c>
      <c r="ADY253" s="1112"/>
      <c r="ADZ253" s="1112">
        <v>0.79411764705882304</v>
      </c>
      <c r="AEA253" s="1112"/>
      <c r="AEB253" s="591">
        <v>226</v>
      </c>
      <c r="AEC253" s="759">
        <f t="shared" si="295"/>
        <v>0.47838235294117604</v>
      </c>
      <c r="AED253" s="760"/>
      <c r="AEE253" s="757">
        <f t="shared" si="296"/>
        <v>5.3674999999999997</v>
      </c>
      <c r="AEF253" s="758"/>
      <c r="AEH253" s="1112">
        <v>-5.8823529411764698E-2</v>
      </c>
      <c r="AEI253" s="1112"/>
      <c r="AEJ253" s="1112">
        <v>0.79411764705882304</v>
      </c>
      <c r="AEK253" s="1112"/>
      <c r="AEL253" s="591">
        <v>276</v>
      </c>
      <c r="AEM253" s="759">
        <f t="shared" si="297"/>
        <v>0.40852941176470547</v>
      </c>
      <c r="AEN253" s="760"/>
      <c r="AEO253" s="757">
        <f t="shared" si="298"/>
        <v>6.5549999999999997</v>
      </c>
      <c r="AEP253" s="758"/>
      <c r="AER253" s="1112">
        <v>-3.5714285714285698E-2</v>
      </c>
      <c r="AES253" s="1112"/>
      <c r="AET253" s="1112">
        <v>0.63928571428571401</v>
      </c>
      <c r="AEU253" s="1112"/>
      <c r="AEV253" s="592">
        <v>326</v>
      </c>
      <c r="AEW253" s="759">
        <f t="shared" si="299"/>
        <v>0.36276785714285698</v>
      </c>
      <c r="AEX253" s="760"/>
      <c r="AEY253" s="757">
        <f t="shared" si="300"/>
        <v>7.7424999999999997</v>
      </c>
      <c r="AEZ253" s="758"/>
      <c r="AFB253" s="1112">
        <v>-3.5714285714285698E-2</v>
      </c>
      <c r="AFC253" s="1112"/>
      <c r="AFD253" s="1112">
        <v>0.63928571428571401</v>
      </c>
      <c r="AFE253" s="1112"/>
      <c r="AFF253" s="592">
        <v>376</v>
      </c>
      <c r="AFG253" s="759">
        <f t="shared" si="301"/>
        <v>0.32035714285714273</v>
      </c>
      <c r="AFH253" s="760"/>
      <c r="AFI253" s="757">
        <f t="shared" si="302"/>
        <v>8.93</v>
      </c>
      <c r="AFJ253" s="758"/>
      <c r="AGJ253" s="130"/>
      <c r="AGK253" s="130"/>
      <c r="AJF253" s="130"/>
      <c r="AJG253" s="130"/>
      <c r="AJH253" s="130"/>
      <c r="AJI253" s="130"/>
      <c r="AJJ253" s="130"/>
      <c r="AJK253" s="130"/>
      <c r="AJL253" s="130"/>
      <c r="AJM253" s="130"/>
      <c r="AJN253" s="130"/>
      <c r="AJO253" s="130"/>
      <c r="AJP253" s="130"/>
      <c r="AJQ253" s="130"/>
      <c r="AJR253" s="130"/>
      <c r="AJS253" s="130"/>
      <c r="AJT253" s="130"/>
      <c r="AJU253" s="130"/>
      <c r="AJV253" s="130"/>
      <c r="AJW253" s="130"/>
      <c r="AJX253" s="130"/>
      <c r="AJY253" s="130"/>
      <c r="AJZ253" s="130"/>
      <c r="AKA253" s="130"/>
      <c r="AKB253" s="130"/>
      <c r="AKC253" s="130"/>
      <c r="AKD253" s="130"/>
      <c r="AKE253" s="130"/>
      <c r="AKF253" s="130"/>
      <c r="AKG253" s="130"/>
      <c r="AKH253" s="130"/>
      <c r="AKI253" s="130"/>
      <c r="AKJ253" s="130"/>
      <c r="AKK253" s="130"/>
      <c r="AKL253" s="130"/>
      <c r="AKM253" s="130"/>
      <c r="AKN253" s="130"/>
      <c r="ALB253" s="130"/>
      <c r="ALC253" s="130"/>
      <c r="ALD253" s="130"/>
      <c r="ALE253" s="130"/>
      <c r="ALF253" s="130"/>
      <c r="ALG253" s="130"/>
      <c r="API253" s="130"/>
      <c r="APJ253" s="130"/>
      <c r="APK253" s="130"/>
      <c r="APL253" s="130"/>
      <c r="APM253" s="130"/>
      <c r="APN253" s="130"/>
      <c r="APO253" s="130"/>
      <c r="APP253" s="130"/>
      <c r="APQ253" s="130"/>
      <c r="APR253" s="130"/>
      <c r="APS253" s="130"/>
      <c r="APT253" s="130"/>
      <c r="APU253" s="130"/>
      <c r="APV253" s="130"/>
      <c r="APW253" s="130"/>
      <c r="APX253" s="130"/>
      <c r="APY253" s="130"/>
      <c r="APZ253" s="130"/>
      <c r="AQA253" s="130"/>
      <c r="AQS253" s="130"/>
      <c r="AQT253" s="130"/>
      <c r="AQU253" s="130"/>
      <c r="AQV253" s="653"/>
      <c r="AQW253" s="653"/>
      <c r="AQX253" s="653"/>
      <c r="AQY253" s="653"/>
      <c r="AQZ253" s="653"/>
      <c r="ARA253" s="653"/>
      <c r="ARB253" s="653"/>
      <c r="ARC253" s="653"/>
      <c r="ARD253" s="653"/>
      <c r="ARE253" s="653"/>
      <c r="ARF253" s="653"/>
      <c r="ARG253" s="130"/>
      <c r="ARH253" s="130"/>
      <c r="ARI253" s="130"/>
      <c r="ARJ253" s="130"/>
      <c r="ARK253" s="130"/>
      <c r="ARL253" s="130"/>
      <c r="ARM253" s="130"/>
      <c r="ARN253" s="130"/>
      <c r="ARO253" s="130"/>
      <c r="ARP253" s="130"/>
      <c r="ARQ253" s="130"/>
      <c r="ARR253" s="130"/>
      <c r="ARS253" s="130"/>
      <c r="ART253" s="130"/>
      <c r="ARU253" s="130"/>
      <c r="ARV253" s="130"/>
      <c r="ARW253" s="130"/>
      <c r="ARX253" s="130"/>
      <c r="ARY253" s="130"/>
      <c r="ARZ253" s="130"/>
      <c r="ASA253" s="130"/>
      <c r="ASB253" s="130"/>
      <c r="ASC253" s="130"/>
      <c r="ASD253" s="130"/>
      <c r="ASE253" s="130"/>
      <c r="ASF253" s="130"/>
      <c r="ASG253" s="130"/>
      <c r="ASH253" s="130"/>
      <c r="ASI253" s="130"/>
      <c r="ASJ253" s="130"/>
      <c r="ASK253" s="130"/>
      <c r="ASL253" s="130"/>
      <c r="ASM253" s="130"/>
      <c r="ASN253" s="130"/>
      <c r="ASO253" s="130"/>
      <c r="ASP253" s="130"/>
      <c r="ASQ253" s="130"/>
      <c r="ASR253" s="130"/>
      <c r="ASS253" s="130"/>
      <c r="AST253" s="130"/>
      <c r="ASU253" s="130"/>
      <c r="ASV253" s="130"/>
      <c r="ASW253" s="130"/>
      <c r="ASX253" s="130"/>
      <c r="ASY253" s="130"/>
      <c r="ASZ253" s="130"/>
      <c r="ATA253" s="130"/>
      <c r="ATB253" s="130"/>
      <c r="ATC253" s="130"/>
      <c r="ATD253" s="850"/>
      <c r="ATE253" s="809"/>
      <c r="ATF253" s="797"/>
      <c r="ATG253" s="797"/>
      <c r="ATH253" s="797"/>
      <c r="ATI253" s="797"/>
      <c r="ATJ253" s="797"/>
      <c r="ATK253" s="797"/>
      <c r="ATL253" s="797"/>
      <c r="ATM253" s="797"/>
      <c r="ATN253" s="797"/>
      <c r="ATO253" s="797"/>
      <c r="ATP253" s="797"/>
      <c r="ATQ253" s="797"/>
      <c r="ATR253" s="835"/>
      <c r="ATS253" s="836"/>
      <c r="ATT253" s="809"/>
      <c r="ATU253" s="797"/>
      <c r="ATV253" s="1066"/>
      <c r="ATW253" s="843" t="s">
        <v>416</v>
      </c>
      <c r="ATX253" s="844"/>
      <c r="ATY253" s="847"/>
      <c r="AUR253" s="130"/>
      <c r="AUS253" s="130"/>
      <c r="AUT253" s="130"/>
      <c r="AUU253" s="130"/>
      <c r="AUV253" s="130"/>
      <c r="AUW253" s="130"/>
      <c r="AUX253" s="130"/>
      <c r="AUY253" s="130"/>
      <c r="AUZ253" s="130"/>
      <c r="AVA253" s="130"/>
      <c r="AVB253" s="130"/>
      <c r="AVC253" s="130"/>
      <c r="AVD253" s="130"/>
      <c r="AVE253" s="130"/>
      <c r="AVF253" s="130"/>
      <c r="AVG253" s="130"/>
      <c r="AVH253" s="130"/>
      <c r="AVI253" s="130"/>
      <c r="AVJ253" s="130"/>
      <c r="AVK253" s="130"/>
      <c r="AVL253" s="130"/>
      <c r="AVM253" s="130"/>
      <c r="AVN253" s="130"/>
      <c r="AVO253" s="130"/>
      <c r="AVP253" s="130"/>
      <c r="AVQ253" s="130"/>
      <c r="AVR253" s="130"/>
      <c r="AVS253" s="130"/>
      <c r="AVT253" s="130"/>
      <c r="AVU253" s="130"/>
      <c r="AVV253" s="130"/>
      <c r="AVW253" s="130"/>
      <c r="AVX253" s="130"/>
      <c r="AVY253" s="130"/>
      <c r="AVZ253" s="130"/>
      <c r="AWA253" s="130"/>
      <c r="AWB253" s="130"/>
      <c r="AWC253" s="130"/>
      <c r="AWD253" s="130"/>
      <c r="AWE253" s="130"/>
      <c r="AWF253" s="130"/>
      <c r="AWG253" s="130"/>
      <c r="AWH253" s="130"/>
      <c r="AWI253" s="130"/>
      <c r="AWJ253" s="130"/>
      <c r="AWK253" s="130"/>
      <c r="AWL253" s="130"/>
      <c r="AWM253" s="130"/>
      <c r="AWN253" s="130"/>
      <c r="AWO253" s="130"/>
      <c r="AWP253" s="130"/>
      <c r="AWQ253" s="130"/>
      <c r="AWR253" s="130"/>
      <c r="AWS253" s="130"/>
      <c r="AWT253" s="130"/>
      <c r="AWU253" s="130"/>
      <c r="AWV253" s="130"/>
      <c r="AWW253" s="130"/>
      <c r="AWX253" s="130"/>
      <c r="AWY253" s="130"/>
      <c r="AWZ253" s="130"/>
      <c r="AXA253" s="130"/>
      <c r="AXB253" s="130"/>
      <c r="AXC253" s="130"/>
      <c r="AXD253" s="130"/>
      <c r="AXE253" s="130"/>
      <c r="AXF253" s="130"/>
      <c r="AXG253" s="130"/>
      <c r="AXH253" s="130"/>
      <c r="AXI253" s="130"/>
      <c r="AXJ253" s="130"/>
      <c r="AXK253" s="130"/>
      <c r="AXL253" s="130"/>
      <c r="AXM253" s="130"/>
      <c r="AXN253" s="130"/>
      <c r="AXO253" s="130"/>
      <c r="AXP253" s="130"/>
      <c r="AXQ253" s="130"/>
      <c r="AXR253" s="130"/>
      <c r="AXS253" s="130"/>
      <c r="AXT253" s="130"/>
      <c r="AXU253" s="130"/>
      <c r="AXV253" s="130"/>
      <c r="AXW253" s="130"/>
      <c r="AXX253" s="130"/>
      <c r="AXY253" s="130"/>
      <c r="AXZ253" s="130"/>
      <c r="AYA253" s="130"/>
      <c r="AYB253" s="130"/>
      <c r="AYC253" s="130"/>
      <c r="AYD253" s="130"/>
      <c r="AYE253" s="130"/>
      <c r="AYF253" s="130"/>
      <c r="AYG253" s="130"/>
      <c r="AYH253" s="130"/>
      <c r="AYI253" s="130"/>
      <c r="AYJ253" s="130"/>
      <c r="AYK253" s="130"/>
      <c r="AYL253" s="130"/>
      <c r="AYM253" s="130"/>
      <c r="AYN253" s="130"/>
      <c r="AYO253" s="130"/>
      <c r="AYP253" s="130"/>
      <c r="AYQ253" s="130"/>
      <c r="AYR253" s="130"/>
      <c r="AYS253" s="130"/>
      <c r="AYT253" s="130"/>
      <c r="AYU253" s="130"/>
      <c r="AYV253" s="130"/>
      <c r="AYW253" s="130"/>
      <c r="AYX253" s="130"/>
      <c r="AYY253" s="130"/>
      <c r="AYZ253" s="130"/>
      <c r="AZA253" s="130"/>
      <c r="AZB253" s="130"/>
      <c r="AZC253" s="130"/>
      <c r="AZD253" s="130"/>
      <c r="AZE253" s="130"/>
      <c r="AZF253" s="130"/>
      <c r="AZG253" s="130"/>
      <c r="AZH253" s="130"/>
      <c r="AZI253" s="130"/>
      <c r="AZJ253" s="130"/>
      <c r="AZK253" s="130"/>
      <c r="AZL253" s="130"/>
      <c r="AZM253" s="130"/>
      <c r="AZN253" s="130"/>
      <c r="AZO253" s="130"/>
      <c r="AZP253" s="130"/>
      <c r="AZQ253" s="130"/>
      <c r="AZR253" s="130"/>
      <c r="AZS253" s="130"/>
      <c r="AZT253" s="130"/>
      <c r="AZU253" s="130"/>
      <c r="AZV253" s="130"/>
      <c r="AZW253" s="130"/>
      <c r="AZX253" s="130"/>
      <c r="AZY253" s="130"/>
      <c r="AZZ253" s="130"/>
      <c r="BAA253" s="130"/>
      <c r="BAB253" s="130"/>
      <c r="BAC253" s="130"/>
      <c r="BAD253" s="130"/>
      <c r="BAE253" s="130"/>
      <c r="BAF253" s="130"/>
      <c r="BAG253" s="130"/>
      <c r="BAH253" s="130"/>
      <c r="BAI253" s="130"/>
      <c r="BAJ253" s="130"/>
      <c r="BAK253" s="130"/>
      <c r="BAL253" s="130"/>
      <c r="BAM253" s="130"/>
      <c r="BAN253" s="130"/>
      <c r="BAO253" s="130"/>
      <c r="BAP253" s="130"/>
      <c r="BAQ253" s="130"/>
      <c r="BAR253" s="130"/>
      <c r="BAS253" s="130"/>
      <c r="BAT253" s="130"/>
      <c r="BAU253" s="130"/>
      <c r="BAV253" s="130"/>
      <c r="BAW253" s="130"/>
      <c r="BAX253" s="130"/>
      <c r="BAY253" s="130"/>
      <c r="BAZ253" s="130"/>
      <c r="BBA253" s="130"/>
      <c r="BBB253" s="130"/>
      <c r="BBC253" s="130"/>
      <c r="BBD253" s="130"/>
      <c r="BBE253" s="130"/>
      <c r="BBF253" s="130"/>
      <c r="BBG253" s="130"/>
      <c r="BBH253" s="130"/>
      <c r="BBI253" s="130"/>
      <c r="BBJ253" s="130"/>
      <c r="BBK253" s="130"/>
      <c r="BBL253" s="130"/>
      <c r="BBM253" s="130"/>
      <c r="BBN253" s="130"/>
    </row>
    <row r="254" spans="340:1005 1082:1418" ht="48" customHeight="1" thickBot="1">
      <c r="QW254" s="130"/>
      <c r="QX254" s="130"/>
      <c r="QY254" s="130"/>
      <c r="QZ254" s="130"/>
      <c r="RA254" s="130"/>
      <c r="RB254" s="130"/>
      <c r="RC254" s="130"/>
      <c r="RD254" s="130"/>
      <c r="RE254" s="130"/>
      <c r="RF254" s="130"/>
      <c r="RG254" s="130"/>
      <c r="RH254" s="130"/>
      <c r="RI254" s="130"/>
      <c r="ACJ254" s="759">
        <v>-4.0625000000000001E-2</v>
      </c>
      <c r="ACK254" s="760"/>
      <c r="ACL254" s="759">
        <v>0.96499999999999997</v>
      </c>
      <c r="ACM254" s="760"/>
      <c r="ACN254" s="591">
        <v>27</v>
      </c>
      <c r="ACO254" s="759">
        <f t="shared" si="287"/>
        <v>0.93894921874999993</v>
      </c>
      <c r="ACP254" s="760"/>
      <c r="ACQ254" s="757">
        <f t="shared" si="288"/>
        <v>0.64124999999999999</v>
      </c>
      <c r="ACR254" s="758"/>
      <c r="ACT254" s="759">
        <v>-0.1</v>
      </c>
      <c r="ACU254" s="760"/>
      <c r="ACV254" s="759">
        <v>1.06</v>
      </c>
      <c r="ACW254" s="760"/>
      <c r="ACX254" s="592">
        <v>77</v>
      </c>
      <c r="ACY254" s="759">
        <f t="shared" si="289"/>
        <v>0.87712500000000004</v>
      </c>
      <c r="ACZ254" s="760"/>
      <c r="ADA254" s="757">
        <f t="shared" si="290"/>
        <v>1.8287500000000001</v>
      </c>
      <c r="ADB254" s="758"/>
      <c r="ADD254" s="1112">
        <v>-0.2</v>
      </c>
      <c r="ADE254" s="1112"/>
      <c r="ADF254" s="1112">
        <v>1.3</v>
      </c>
      <c r="ADG254" s="1112"/>
      <c r="ADH254" s="592">
        <v>127</v>
      </c>
      <c r="ADI254" s="759">
        <f t="shared" si="291"/>
        <v>0.69674999999999998</v>
      </c>
      <c r="ADJ254" s="760"/>
      <c r="ADK254" s="757">
        <f t="shared" si="292"/>
        <v>3.0162499999999999</v>
      </c>
      <c r="ADL254" s="758"/>
      <c r="ADN254" s="1112">
        <v>-0.08</v>
      </c>
      <c r="ADO254" s="1112"/>
      <c r="ADP254" s="1112">
        <v>0.9</v>
      </c>
      <c r="ADQ254" s="1112"/>
      <c r="ADR254" s="592">
        <v>177</v>
      </c>
      <c r="ADS254" s="759">
        <f t="shared" si="293"/>
        <v>0.56369999999999998</v>
      </c>
      <c r="ADT254" s="760"/>
      <c r="ADU254" s="757">
        <f t="shared" si="294"/>
        <v>4.2037500000000003</v>
      </c>
      <c r="ADV254" s="758"/>
      <c r="ADX254" s="1112">
        <v>-5.8823529411764698E-2</v>
      </c>
      <c r="ADY254" s="1112"/>
      <c r="ADZ254" s="1112">
        <v>0.79411764705882304</v>
      </c>
      <c r="AEA254" s="1112"/>
      <c r="AEB254" s="591">
        <v>227</v>
      </c>
      <c r="AEC254" s="759">
        <f t="shared" si="295"/>
        <v>0.47698529411764662</v>
      </c>
      <c r="AED254" s="760"/>
      <c r="AEE254" s="757">
        <f t="shared" si="296"/>
        <v>5.3912500000000003</v>
      </c>
      <c r="AEF254" s="758"/>
      <c r="AEH254" s="1112">
        <v>-5.8823529411764698E-2</v>
      </c>
      <c r="AEI254" s="1112"/>
      <c r="AEJ254" s="1112">
        <v>0.79411764705882304</v>
      </c>
      <c r="AEK254" s="1112"/>
      <c r="AEL254" s="591">
        <v>277</v>
      </c>
      <c r="AEM254" s="759">
        <f t="shared" si="297"/>
        <v>0.407132352941176</v>
      </c>
      <c r="AEN254" s="760"/>
      <c r="AEO254" s="757">
        <f t="shared" si="298"/>
        <v>6.5787500000000003</v>
      </c>
      <c r="AEP254" s="758"/>
      <c r="AER254" s="1112">
        <v>-3.5714285714285698E-2</v>
      </c>
      <c r="AES254" s="1112"/>
      <c r="AET254" s="1112">
        <v>0.63928571428571401</v>
      </c>
      <c r="AEU254" s="1112"/>
      <c r="AEV254" s="592">
        <v>327</v>
      </c>
      <c r="AEW254" s="759">
        <f t="shared" si="299"/>
        <v>0.36191964285714268</v>
      </c>
      <c r="AEX254" s="760"/>
      <c r="AEY254" s="757">
        <f t="shared" si="300"/>
        <v>7.7662500000000003</v>
      </c>
      <c r="AEZ254" s="758"/>
      <c r="AFB254" s="1112">
        <v>-3.5714285714285698E-2</v>
      </c>
      <c r="AFC254" s="1112"/>
      <c r="AFD254" s="1112">
        <v>0.63928571428571401</v>
      </c>
      <c r="AFE254" s="1112"/>
      <c r="AFF254" s="592">
        <v>377</v>
      </c>
      <c r="AFG254" s="759">
        <f t="shared" si="301"/>
        <v>0.31950892857142849</v>
      </c>
      <c r="AFH254" s="760"/>
      <c r="AFI254" s="757">
        <f t="shared" si="302"/>
        <v>8.9537499999999994</v>
      </c>
      <c r="AFJ254" s="758"/>
      <c r="AGJ254" s="130"/>
      <c r="AGK254" s="130"/>
      <c r="AGN254" s="199"/>
      <c r="AGO254" s="852" t="s">
        <v>1747</v>
      </c>
      <c r="AGP254" s="923"/>
      <c r="AGQ254" s="199"/>
      <c r="AGR254" s="1069" t="s">
        <v>1041</v>
      </c>
      <c r="AGS254" s="1070"/>
      <c r="AGT254" s="1070"/>
      <c r="AGU254" s="1070"/>
      <c r="AGV254" s="1070"/>
      <c r="AGW254" s="1070"/>
      <c r="AGX254" s="1070"/>
      <c r="AGY254" s="1070"/>
      <c r="AGZ254" s="1070"/>
      <c r="AHA254" s="1070"/>
      <c r="AHB254" s="1071"/>
      <c r="AHC254" s="199"/>
      <c r="AHW254" s="130"/>
      <c r="AHX254" s="130"/>
      <c r="AHY254" s="130"/>
      <c r="AHZ254" s="130"/>
      <c r="AIA254" s="130"/>
      <c r="AIB254" s="130"/>
      <c r="AJF254" s="130"/>
      <c r="AJG254" s="130"/>
      <c r="AJO254" s="130"/>
      <c r="AJP254" s="130"/>
      <c r="AJQ254" s="130"/>
      <c r="AJR254" s="130"/>
      <c r="AJS254" s="130"/>
      <c r="AJT254" s="130"/>
      <c r="AJU254" s="130"/>
      <c r="AJV254" s="130"/>
      <c r="AJW254" s="130"/>
      <c r="AJX254" s="130"/>
      <c r="AJY254" s="130"/>
      <c r="AJZ254" s="130"/>
      <c r="AKA254" s="130"/>
      <c r="AKB254" s="130"/>
      <c r="AKC254" s="130"/>
      <c r="AKD254" s="130"/>
      <c r="AKE254" s="130"/>
      <c r="AKF254" s="130"/>
      <c r="AKG254" s="130"/>
      <c r="AKH254" s="130"/>
      <c r="AKI254" s="130"/>
      <c r="AKJ254" s="130"/>
      <c r="AKK254" s="130"/>
      <c r="AKL254" s="130"/>
      <c r="AKM254" s="130"/>
      <c r="AKN254" s="130"/>
      <c r="AKO254" s="130"/>
      <c r="AKP254" s="130"/>
      <c r="AKQ254" s="130"/>
      <c r="AKR254" s="130"/>
      <c r="AKS254" s="130"/>
      <c r="AKT254" s="130"/>
      <c r="AKU254" s="130"/>
      <c r="AKV254" s="130"/>
      <c r="AKW254" s="130"/>
      <c r="AKX254" s="130"/>
      <c r="AKY254" s="130"/>
      <c r="AKZ254" s="130"/>
      <c r="ALA254" s="130"/>
      <c r="ALB254" s="130"/>
      <c r="ALC254" s="130"/>
      <c r="ALD254" s="130"/>
      <c r="ALE254" s="130"/>
      <c r="ALF254" s="130"/>
      <c r="ALG254" s="130"/>
      <c r="AOP254" s="130"/>
      <c r="AOQ254" s="130"/>
      <c r="AOR254" s="130"/>
      <c r="AOS254" s="130"/>
      <c r="AOT254" s="130"/>
      <c r="AOU254" s="130"/>
      <c r="AOV254" s="130"/>
      <c r="AOW254" s="130"/>
      <c r="AOX254" s="130"/>
      <c r="AOY254" s="130"/>
      <c r="AOZ254" s="130"/>
      <c r="APA254" s="130"/>
      <c r="APB254" s="130"/>
      <c r="APC254" s="130"/>
      <c r="APD254" s="130"/>
      <c r="APE254" s="130"/>
      <c r="APF254" s="130"/>
      <c r="APG254" s="130"/>
      <c r="APH254" s="130"/>
      <c r="API254" s="130"/>
      <c r="APJ254" s="130"/>
      <c r="APK254" s="130"/>
      <c r="APL254" s="130"/>
      <c r="APM254" s="130"/>
      <c r="APN254" s="130"/>
      <c r="APO254" s="130"/>
      <c r="APP254" s="130"/>
      <c r="APQ254" s="130"/>
      <c r="APR254" s="130"/>
      <c r="APS254" s="130"/>
      <c r="APT254" s="130"/>
      <c r="APU254" s="130"/>
      <c r="APV254" s="130"/>
      <c r="APW254" s="130"/>
      <c r="APX254" s="130"/>
      <c r="APY254" s="130"/>
      <c r="APZ254" s="130"/>
      <c r="AQA254" s="130"/>
      <c r="AQS254" s="130"/>
      <c r="AQT254" s="130"/>
      <c r="AQU254" s="130"/>
      <c r="AQV254" s="653"/>
      <c r="AQW254" s="653"/>
      <c r="AQX254" s="653"/>
      <c r="AQY254" s="653"/>
      <c r="AQZ254" s="653"/>
      <c r="ARA254" s="653"/>
      <c r="ARB254" s="653"/>
      <c r="ARC254" s="653"/>
      <c r="ARD254" s="653"/>
      <c r="ARE254" s="653"/>
      <c r="ARF254" s="653"/>
      <c r="ARG254" s="130"/>
      <c r="ARH254" s="130"/>
      <c r="ARI254" s="130"/>
      <c r="ARJ254" s="130"/>
      <c r="ARK254" s="130"/>
      <c r="ARL254" s="130"/>
      <c r="ARM254" s="130"/>
      <c r="ARN254" s="130"/>
      <c r="ARO254" s="130"/>
      <c r="ARP254" s="130"/>
      <c r="ARQ254" s="130"/>
      <c r="ARR254" s="130"/>
      <c r="ARS254" s="130"/>
      <c r="ART254" s="130"/>
      <c r="ARU254" s="130"/>
      <c r="ARV254" s="130"/>
      <c r="ARW254" s="130"/>
      <c r="ARX254" s="130"/>
      <c r="ARY254" s="130"/>
      <c r="ARZ254" s="130"/>
      <c r="ASA254" s="130"/>
      <c r="ASB254" s="130"/>
      <c r="ASC254" s="130"/>
      <c r="ASD254" s="130"/>
      <c r="ASE254" s="130"/>
      <c r="ASF254" s="130"/>
      <c r="ASG254" s="130"/>
      <c r="ASH254" s="130"/>
      <c r="ASI254" s="130"/>
      <c r="ASJ254" s="130"/>
      <c r="ASK254" s="130"/>
      <c r="ASL254" s="130"/>
      <c r="ASM254" s="130"/>
      <c r="ASN254" s="130"/>
      <c r="ASO254" s="130"/>
      <c r="ASP254" s="130"/>
      <c r="ASQ254" s="130"/>
      <c r="ASR254" s="130"/>
      <c r="ASS254" s="130"/>
      <c r="AST254" s="130"/>
      <c r="ASU254" s="130"/>
      <c r="ASV254" s="130"/>
      <c r="ASW254" s="130"/>
      <c r="ASX254" s="130"/>
      <c r="ASY254" s="130"/>
      <c r="ASZ254" s="130"/>
      <c r="ATA254" s="130"/>
      <c r="ATB254" s="130"/>
      <c r="ATC254" s="130"/>
      <c r="ATD254" s="851"/>
      <c r="ATE254" s="777"/>
      <c r="ATF254" s="778"/>
      <c r="ATG254" s="778"/>
      <c r="ATH254" s="778"/>
      <c r="ATI254" s="778"/>
      <c r="ATJ254" s="778"/>
      <c r="ATK254" s="778"/>
      <c r="ATL254" s="778"/>
      <c r="ATM254" s="778"/>
      <c r="ATN254" s="778"/>
      <c r="ATO254" s="778"/>
      <c r="ATP254" s="778"/>
      <c r="ATQ254" s="778"/>
      <c r="ATR254" s="837"/>
      <c r="ATS254" s="838"/>
      <c r="ATT254" s="777"/>
      <c r="ATU254" s="778"/>
      <c r="ATV254" s="1067"/>
      <c r="ATW254" s="845"/>
      <c r="ATX254" s="846"/>
      <c r="ATY254" s="848"/>
      <c r="AUR254" s="130"/>
      <c r="AUS254" s="130"/>
      <c r="AUT254" s="130"/>
      <c r="AUU254" s="130"/>
      <c r="AUV254" s="130"/>
      <c r="AUW254" s="130"/>
      <c r="AUX254" s="130"/>
      <c r="AUY254" s="130"/>
      <c r="AUZ254" s="130"/>
      <c r="AVA254" s="130"/>
      <c r="AVB254" s="130"/>
      <c r="AVC254" s="130"/>
      <c r="AVD254" s="130"/>
      <c r="AVE254" s="130"/>
      <c r="AVF254" s="130"/>
      <c r="AVG254" s="130"/>
      <c r="AVH254" s="130"/>
      <c r="AVI254" s="130"/>
      <c r="AVJ254" s="130"/>
      <c r="AVK254" s="130"/>
      <c r="AVL254" s="130"/>
      <c r="AVM254" s="130"/>
      <c r="AVN254" s="130"/>
      <c r="AVO254" s="130"/>
      <c r="AVP254" s="130"/>
      <c r="AVQ254" s="130"/>
      <c r="AVR254" s="130"/>
      <c r="AVS254" s="130"/>
      <c r="AVT254" s="130"/>
      <c r="AVU254" s="130"/>
      <c r="AVV254" s="130"/>
      <c r="AVW254" s="130"/>
      <c r="AVX254" s="130"/>
      <c r="AVY254" s="130"/>
      <c r="AVZ254" s="130"/>
      <c r="AWA254" s="130"/>
      <c r="AWB254" s="130"/>
      <c r="AWC254" s="130"/>
      <c r="AWD254" s="130"/>
      <c r="AWE254" s="130"/>
      <c r="AWF254" s="130"/>
      <c r="AWG254" s="130"/>
      <c r="AWH254" s="130"/>
      <c r="AWI254" s="130"/>
      <c r="AWJ254" s="130"/>
      <c r="AWK254" s="130"/>
      <c r="AWL254" s="130"/>
      <c r="AWM254" s="130"/>
      <c r="AWN254" s="130"/>
      <c r="AWO254" s="130"/>
      <c r="AWP254" s="130"/>
      <c r="AWQ254" s="130"/>
      <c r="AWR254" s="130"/>
      <c r="AWS254" s="130"/>
      <c r="AWT254" s="130"/>
      <c r="AWU254" s="130"/>
      <c r="AWV254" s="130"/>
      <c r="AWW254" s="130"/>
      <c r="AWX254" s="130"/>
      <c r="AWY254" s="130"/>
      <c r="AWZ254" s="130"/>
      <c r="AXA254" s="130"/>
      <c r="AXB254" s="130"/>
      <c r="AXC254" s="130"/>
      <c r="AXD254" s="130"/>
      <c r="AXE254" s="130"/>
      <c r="AXF254" s="130"/>
      <c r="AXG254" s="130"/>
      <c r="AXH254" s="130"/>
      <c r="AXI254" s="130"/>
      <c r="AXJ254" s="130"/>
      <c r="AXK254" s="130"/>
      <c r="AXL254" s="130"/>
      <c r="AXM254" s="130"/>
      <c r="AXN254" s="130"/>
      <c r="AXO254" s="130"/>
      <c r="AXP254" s="130"/>
      <c r="AXQ254" s="130"/>
      <c r="AXR254" s="130"/>
      <c r="AXS254" s="130"/>
      <c r="AXT254" s="130"/>
      <c r="AXU254" s="130"/>
      <c r="AXV254" s="130"/>
      <c r="AXW254" s="130"/>
      <c r="AXX254" s="130"/>
      <c r="AXY254" s="130"/>
      <c r="AXZ254" s="130"/>
      <c r="AYA254" s="130"/>
      <c r="AYB254" s="130"/>
      <c r="AYC254" s="130"/>
      <c r="AYD254" s="130"/>
      <c r="AYE254" s="130"/>
      <c r="AYF254" s="130"/>
      <c r="AYG254" s="130"/>
      <c r="AYH254" s="130"/>
      <c r="AYI254" s="130"/>
      <c r="AYJ254" s="130"/>
      <c r="AYK254" s="130"/>
      <c r="AYL254" s="130"/>
      <c r="AYM254" s="130"/>
      <c r="AYN254" s="130"/>
      <c r="AYO254" s="130"/>
      <c r="AYP254" s="130"/>
      <c r="AYQ254" s="130"/>
      <c r="AYR254" s="130"/>
      <c r="AYS254" s="130"/>
      <c r="AYT254" s="130"/>
      <c r="AYU254" s="130"/>
      <c r="AYV254" s="130"/>
      <c r="AYW254" s="130"/>
      <c r="AYX254" s="130"/>
      <c r="AYY254" s="130"/>
      <c r="AYZ254" s="130"/>
      <c r="AZA254" s="130"/>
      <c r="AZB254" s="130"/>
      <c r="AZC254" s="130"/>
      <c r="AZD254" s="130"/>
      <c r="AZE254" s="130"/>
      <c r="AZF254" s="130"/>
      <c r="AZG254" s="130"/>
      <c r="AZH254" s="130"/>
      <c r="AZI254" s="130"/>
      <c r="AZJ254" s="130"/>
      <c r="AZK254" s="130"/>
      <c r="AZL254" s="130"/>
      <c r="AZM254" s="130"/>
      <c r="AZN254" s="130"/>
      <c r="AZO254" s="130"/>
      <c r="AZP254" s="130"/>
      <c r="AZQ254" s="130"/>
      <c r="AZR254" s="130"/>
      <c r="AZS254" s="130"/>
      <c r="AZT254" s="130"/>
      <c r="AZU254" s="130"/>
      <c r="AZV254" s="130"/>
      <c r="AZW254" s="130"/>
      <c r="AZX254" s="130"/>
      <c r="AZY254" s="130"/>
      <c r="AZZ254" s="130"/>
      <c r="BAA254" s="130"/>
      <c r="BAB254" s="130"/>
      <c r="BAC254" s="130"/>
      <c r="BAD254" s="130"/>
      <c r="BAE254" s="130"/>
      <c r="BAF254" s="130"/>
      <c r="BAG254" s="130"/>
      <c r="BAH254" s="130"/>
      <c r="BAI254" s="130"/>
      <c r="BAJ254" s="130"/>
      <c r="BAK254" s="130"/>
      <c r="BAL254" s="130"/>
      <c r="BAM254" s="130"/>
      <c r="BAN254" s="130"/>
      <c r="BAO254" s="130"/>
      <c r="BAP254" s="130"/>
      <c r="BAQ254" s="130"/>
      <c r="BAR254" s="130"/>
      <c r="BAS254" s="130"/>
      <c r="BAT254" s="130"/>
      <c r="BAU254" s="130"/>
      <c r="BAV254" s="130"/>
      <c r="BAW254" s="130"/>
      <c r="BAX254" s="130"/>
      <c r="BAY254" s="130"/>
      <c r="BAZ254" s="130"/>
      <c r="BBA254" s="130"/>
      <c r="BBB254" s="130"/>
      <c r="BBC254" s="130"/>
      <c r="BBD254" s="130"/>
      <c r="BBE254" s="130"/>
      <c r="BBF254" s="130"/>
      <c r="BBG254" s="130"/>
      <c r="BBH254" s="130"/>
      <c r="BBI254" s="130"/>
      <c r="BBJ254" s="130"/>
      <c r="BBK254" s="130"/>
      <c r="BBL254" s="130"/>
      <c r="BBM254" s="130"/>
      <c r="BBN254" s="130"/>
    </row>
    <row r="255" spans="340:1005 1082:1418" ht="48" customHeight="1">
      <c r="QW255" s="130"/>
      <c r="QX255" s="130"/>
      <c r="QY255" s="130"/>
      <c r="QZ255" s="130"/>
      <c r="RA255" s="130"/>
      <c r="RB255" s="130"/>
      <c r="RC255" s="130"/>
      <c r="RD255" s="130"/>
      <c r="RE255" s="130"/>
      <c r="RF255" s="130"/>
      <c r="RG255" s="130"/>
      <c r="RH255" s="130"/>
      <c r="RI255" s="130"/>
      <c r="ACJ255" s="759">
        <v>-4.0625000000000001E-2</v>
      </c>
      <c r="ACK255" s="760"/>
      <c r="ACL255" s="759">
        <v>0.96499999999999997</v>
      </c>
      <c r="ACM255" s="760"/>
      <c r="ACN255" s="591">
        <v>28</v>
      </c>
      <c r="ACO255" s="759">
        <f t="shared" si="287"/>
        <v>0.93798437499999998</v>
      </c>
      <c r="ACP255" s="760"/>
      <c r="ACQ255" s="757">
        <f t="shared" si="288"/>
        <v>0.66500000000000004</v>
      </c>
      <c r="ACR255" s="758"/>
      <c r="ACT255" s="759">
        <v>-0.1</v>
      </c>
      <c r="ACU255" s="760"/>
      <c r="ACV255" s="759">
        <v>1.06</v>
      </c>
      <c r="ACW255" s="760"/>
      <c r="ACX255" s="592">
        <v>78</v>
      </c>
      <c r="ACY255" s="759">
        <f t="shared" si="289"/>
        <v>0.87475000000000003</v>
      </c>
      <c r="ACZ255" s="760"/>
      <c r="ADA255" s="757">
        <f t="shared" si="290"/>
        <v>1.8525</v>
      </c>
      <c r="ADB255" s="758"/>
      <c r="ADD255" s="1112">
        <v>-0.12</v>
      </c>
      <c r="ADE255" s="1112"/>
      <c r="ADF255" s="1112">
        <v>1.06</v>
      </c>
      <c r="ADG255" s="1112"/>
      <c r="ADH255" s="591">
        <v>128</v>
      </c>
      <c r="ADI255" s="759">
        <f t="shared" si="291"/>
        <v>0.69520000000000004</v>
      </c>
      <c r="ADJ255" s="760"/>
      <c r="ADK255" s="757">
        <f t="shared" si="292"/>
        <v>3.04</v>
      </c>
      <c r="ADL255" s="758"/>
      <c r="ADN255" s="1112">
        <v>-0.08</v>
      </c>
      <c r="ADO255" s="1112"/>
      <c r="ADP255" s="1112">
        <v>0.9</v>
      </c>
      <c r="ADQ255" s="1112"/>
      <c r="ADR255" s="592">
        <v>178</v>
      </c>
      <c r="ADS255" s="759">
        <f t="shared" si="293"/>
        <v>0.56180000000000008</v>
      </c>
      <c r="ADT255" s="760"/>
      <c r="ADU255" s="757">
        <f t="shared" si="294"/>
        <v>4.2275</v>
      </c>
      <c r="ADV255" s="758"/>
      <c r="ADX255" s="1112">
        <v>-5.8823529411764698E-2</v>
      </c>
      <c r="ADY255" s="1112"/>
      <c r="ADZ255" s="1112">
        <v>0.79411764705882304</v>
      </c>
      <c r="AEA255" s="1112"/>
      <c r="AEB255" s="591">
        <v>228</v>
      </c>
      <c r="AEC255" s="759">
        <f t="shared" si="295"/>
        <v>0.4755882352941172</v>
      </c>
      <c r="AED255" s="760"/>
      <c r="AEE255" s="757">
        <f t="shared" si="296"/>
        <v>5.415</v>
      </c>
      <c r="AEF255" s="758"/>
      <c r="AEH255" s="1112">
        <v>-5.8823529411764698E-2</v>
      </c>
      <c r="AEI255" s="1112"/>
      <c r="AEJ255" s="1112">
        <v>0.79411764705882304</v>
      </c>
      <c r="AEK255" s="1112"/>
      <c r="AEL255" s="591">
        <v>278</v>
      </c>
      <c r="AEM255" s="759">
        <f t="shared" si="297"/>
        <v>0.40573529411764664</v>
      </c>
      <c r="AEN255" s="760"/>
      <c r="AEO255" s="757">
        <f t="shared" si="298"/>
        <v>6.6025</v>
      </c>
      <c r="AEP255" s="758"/>
      <c r="AER255" s="1112">
        <v>-3.5714285714285698E-2</v>
      </c>
      <c r="AES255" s="1112"/>
      <c r="AET255" s="1112">
        <v>0.63928571428571401</v>
      </c>
      <c r="AEU255" s="1112"/>
      <c r="AEV255" s="592">
        <v>328</v>
      </c>
      <c r="AEW255" s="759">
        <f t="shared" si="299"/>
        <v>0.36107142857142843</v>
      </c>
      <c r="AEX255" s="760"/>
      <c r="AEY255" s="757">
        <f t="shared" si="300"/>
        <v>7.79</v>
      </c>
      <c r="AEZ255" s="758"/>
      <c r="AFB255" s="1112">
        <v>-3.5714285714285698E-2</v>
      </c>
      <c r="AFC255" s="1112"/>
      <c r="AFD255" s="1112">
        <v>0.63928571428571401</v>
      </c>
      <c r="AFE255" s="1112"/>
      <c r="AFF255" s="592">
        <v>378</v>
      </c>
      <c r="AFG255" s="759">
        <f t="shared" si="301"/>
        <v>0.31866071428571413</v>
      </c>
      <c r="AFH255" s="760"/>
      <c r="AFI255" s="757">
        <f t="shared" si="302"/>
        <v>8.9775000000000009</v>
      </c>
      <c r="AFJ255" s="758"/>
      <c r="AGJ255" s="130"/>
      <c r="AGK255" s="130"/>
      <c r="AHT255" s="130"/>
      <c r="AHW255" s="130"/>
      <c r="AHX255" s="130"/>
      <c r="AHY255" s="130"/>
      <c r="AHZ255" s="130"/>
      <c r="AIA255" s="130"/>
      <c r="AIB255" s="130"/>
      <c r="AIC255" s="130"/>
      <c r="AID255" s="130"/>
      <c r="AIE255" s="130"/>
      <c r="AIF255" s="130"/>
      <c r="AIG255" s="130"/>
      <c r="AJF255" s="130"/>
      <c r="AJG255" s="130"/>
      <c r="AJO255" s="130"/>
      <c r="AJP255" s="130"/>
      <c r="AJQ255" s="130"/>
      <c r="AJR255" s="130"/>
      <c r="AJS255" s="130"/>
      <c r="AJT255" s="130"/>
      <c r="AJU255" s="130"/>
      <c r="AJV255" s="130"/>
      <c r="AJW255" s="130"/>
      <c r="AJX255" s="130"/>
      <c r="AJY255" s="130"/>
      <c r="AJZ255" s="130"/>
      <c r="AKA255" s="130"/>
      <c r="AKB255" s="130"/>
      <c r="AKC255" s="130"/>
      <c r="AKD255" s="130"/>
      <c r="AKE255" s="130"/>
      <c r="AKF255" s="130"/>
      <c r="AKG255" s="130"/>
      <c r="AKH255" s="130"/>
      <c r="AKI255" s="130"/>
      <c r="AKJ255" s="130"/>
      <c r="AKK255" s="130"/>
      <c r="AKL255" s="130"/>
      <c r="AKM255" s="130"/>
      <c r="AKN255" s="130"/>
      <c r="AKO255" s="130"/>
      <c r="AKP255" s="130"/>
      <c r="AKQ255" s="130"/>
      <c r="AKR255" s="130"/>
      <c r="AKS255" s="130"/>
      <c r="AKT255" s="130"/>
      <c r="AKU255" s="130"/>
      <c r="AKV255" s="130"/>
      <c r="AKW255" s="130"/>
      <c r="AKX255" s="130"/>
      <c r="AKY255" s="130"/>
      <c r="AKZ255" s="130"/>
      <c r="ALA255" s="130"/>
      <c r="ALB255" s="130"/>
      <c r="ALC255" s="130"/>
      <c r="ALD255" s="130"/>
      <c r="ALE255" s="130"/>
      <c r="ALF255" s="130"/>
      <c r="ALG255" s="130"/>
      <c r="AOP255" s="130"/>
      <c r="AOQ255" s="130"/>
      <c r="AOR255" s="130"/>
      <c r="AOS255" s="130"/>
      <c r="AOT255" s="130"/>
      <c r="AOU255" s="130"/>
      <c r="AOV255" s="130"/>
      <c r="AOW255" s="130"/>
      <c r="AOX255" s="130"/>
      <c r="AOY255" s="130"/>
      <c r="AOZ255" s="130"/>
      <c r="APA255" s="130"/>
      <c r="APB255" s="130"/>
      <c r="APC255" s="130"/>
      <c r="APD255" s="130"/>
      <c r="APE255" s="130"/>
      <c r="APF255" s="130"/>
      <c r="APG255" s="130"/>
      <c r="APH255" s="130"/>
      <c r="API255" s="130"/>
      <c r="APJ255" s="130"/>
      <c r="APK255" s="130"/>
      <c r="APL255" s="130"/>
      <c r="APM255" s="130"/>
      <c r="APN255" s="130"/>
      <c r="APO255" s="130"/>
      <c r="APP255" s="130"/>
      <c r="APQ255" s="130"/>
      <c r="APR255" s="130"/>
      <c r="APS255" s="130"/>
      <c r="APT255" s="130"/>
      <c r="APU255" s="130"/>
      <c r="APV255" s="130"/>
      <c r="APW255" s="130"/>
      <c r="APX255" s="130"/>
      <c r="APY255" s="130"/>
      <c r="APZ255" s="130"/>
      <c r="AQA255" s="130"/>
      <c r="AQS255" s="130"/>
      <c r="AQT255" s="130"/>
      <c r="AQU255" s="130"/>
      <c r="AQV255" s="653"/>
      <c r="AQW255" s="653"/>
      <c r="AQX255" s="653"/>
      <c r="AQY255" s="653"/>
      <c r="AQZ255" s="653"/>
      <c r="ARA255" s="653"/>
      <c r="ARB255" s="653"/>
      <c r="ARC255" s="653"/>
      <c r="ARD255" s="653"/>
      <c r="ARE255" s="653"/>
      <c r="ARF255" s="653"/>
      <c r="ARG255" s="130"/>
      <c r="ARH255" s="130"/>
      <c r="ARI255" s="130"/>
      <c r="ARJ255" s="130"/>
      <c r="ARK255" s="130"/>
      <c r="ARL255" s="130"/>
      <c r="ARM255" s="130"/>
      <c r="ARN255" s="130"/>
      <c r="ARO255" s="130"/>
      <c r="ARP255" s="130"/>
      <c r="ARQ255" s="130"/>
      <c r="ARR255" s="130"/>
      <c r="ARS255" s="130"/>
      <c r="ART255" s="130"/>
      <c r="ARU255" s="130"/>
      <c r="ARV255" s="130"/>
      <c r="ARW255" s="130"/>
      <c r="ARX255" s="130"/>
      <c r="ARY255" s="130"/>
      <c r="ARZ255" s="130"/>
      <c r="ASA255" s="130"/>
      <c r="ASB255" s="130"/>
      <c r="ASC255" s="130"/>
      <c r="ASD255" s="130"/>
      <c r="ASE255" s="130"/>
      <c r="ASF255" s="130"/>
      <c r="ASG255" s="130"/>
      <c r="ASH255" s="130"/>
      <c r="ASI255" s="130"/>
      <c r="ASJ255" s="130"/>
      <c r="ASK255" s="130"/>
      <c r="ASL255" s="130"/>
      <c r="ASM255" s="130"/>
      <c r="ASN255" s="130"/>
      <c r="ASO255" s="130"/>
      <c r="ASP255" s="130"/>
      <c r="ASQ255" s="130"/>
      <c r="ASR255" s="130"/>
      <c r="ASS255" s="130"/>
      <c r="AST255" s="130"/>
      <c r="ASU255" s="130"/>
      <c r="ASV255" s="130"/>
      <c r="ASW255" s="130"/>
      <c r="ASX255" s="130"/>
      <c r="ASY255" s="130"/>
      <c r="ASZ255" s="130"/>
      <c r="ATA255" s="130"/>
      <c r="ATB255" s="130"/>
      <c r="ATC255" s="130"/>
      <c r="ATD255" s="130"/>
      <c r="ATE255" s="130"/>
      <c r="ATF255" s="130"/>
      <c r="ATG255" s="130"/>
      <c r="ATH255" s="130"/>
      <c r="ATI255" s="130"/>
      <c r="ATJ255" s="130"/>
      <c r="ATK255" s="130"/>
      <c r="ATL255" s="130"/>
      <c r="ATM255" s="130"/>
      <c r="ATN255" s="130"/>
      <c r="ATO255" s="130"/>
      <c r="ATP255" s="130"/>
      <c r="ATQ255" s="130"/>
      <c r="ATR255" s="130"/>
      <c r="ATS255" s="130"/>
      <c r="ATT255" s="130"/>
      <c r="ATU255" s="130"/>
      <c r="ATV255" s="130"/>
      <c r="ATW255" s="130"/>
      <c r="ATX255" s="130"/>
      <c r="ATY255" s="130"/>
      <c r="ATZ255" s="130"/>
      <c r="AUA255" s="130"/>
      <c r="AUB255" s="130"/>
      <c r="AUC255" s="130"/>
      <c r="AUD255" s="130"/>
      <c r="AUE255" s="130"/>
      <c r="AUF255" s="130"/>
      <c r="AUG255" s="130"/>
      <c r="AUH255" s="130"/>
      <c r="AUI255" s="130"/>
      <c r="AUJ255" s="130"/>
      <c r="AUK255" s="130"/>
      <c r="AUL255" s="130"/>
      <c r="AUM255" s="130"/>
      <c r="AUN255" s="130"/>
      <c r="AUO255" s="130"/>
      <c r="AUP255" s="130"/>
      <c r="AUQ255" s="130"/>
      <c r="AUR255" s="130"/>
      <c r="AUS255" s="130"/>
      <c r="AUT255" s="130"/>
      <c r="AUU255" s="130"/>
      <c r="AUV255" s="130"/>
      <c r="AUW255" s="130"/>
      <c r="AUX255" s="130"/>
      <c r="AUY255" s="130"/>
      <c r="AUZ255" s="130"/>
      <c r="AVA255" s="130"/>
      <c r="AVB255" s="130"/>
      <c r="AVC255" s="130"/>
      <c r="AVD255" s="130"/>
      <c r="AVE255" s="130"/>
      <c r="AVF255" s="130"/>
      <c r="AVG255" s="130"/>
      <c r="AVH255" s="130"/>
      <c r="AVI255" s="130"/>
      <c r="AVJ255" s="130"/>
      <c r="AVK255" s="130"/>
      <c r="AVL255" s="130"/>
      <c r="AVM255" s="130"/>
      <c r="AVN255" s="130"/>
      <c r="AVO255" s="130"/>
      <c r="AVP255" s="130"/>
      <c r="AVQ255" s="130"/>
      <c r="AVR255" s="130"/>
      <c r="AVS255" s="130"/>
      <c r="AVT255" s="130"/>
      <c r="AVU255" s="130"/>
      <c r="AVV255" s="130"/>
      <c r="AVW255" s="130"/>
      <c r="AVX255" s="130"/>
      <c r="AVY255" s="130"/>
      <c r="AVZ255" s="130"/>
      <c r="AWA255" s="130"/>
      <c r="AWB255" s="130"/>
      <c r="AWC255" s="130"/>
      <c r="AWD255" s="130"/>
      <c r="AWE255" s="130"/>
      <c r="AWF255" s="130"/>
      <c r="AWG255" s="130"/>
      <c r="AWH255" s="130"/>
      <c r="AWI255" s="130"/>
      <c r="AWJ255" s="130"/>
      <c r="AWK255" s="130"/>
      <c r="AWL255" s="130"/>
      <c r="AWM255" s="130"/>
      <c r="AWN255" s="130"/>
      <c r="AWO255" s="130"/>
      <c r="AWP255" s="130"/>
      <c r="AWQ255" s="130"/>
      <c r="AWR255" s="130"/>
      <c r="AWS255" s="130"/>
      <c r="AWT255" s="130"/>
      <c r="AWU255" s="130"/>
      <c r="AWV255" s="130"/>
      <c r="AWW255" s="130"/>
      <c r="AWX255" s="130"/>
      <c r="AWY255" s="130"/>
      <c r="AWZ255" s="130"/>
      <c r="AXA255" s="130"/>
      <c r="AXB255" s="130"/>
      <c r="AXC255" s="130"/>
      <c r="AXD255" s="130"/>
      <c r="AXE255" s="130"/>
      <c r="AXF255" s="130"/>
      <c r="AXG255" s="130"/>
      <c r="AXH255" s="130"/>
      <c r="AXI255" s="130"/>
      <c r="AXJ255" s="130"/>
      <c r="AXK255" s="130"/>
      <c r="AXL255" s="130"/>
      <c r="AXM255" s="130"/>
      <c r="AXN255" s="130"/>
      <c r="AXO255" s="130"/>
      <c r="AXP255" s="130"/>
      <c r="AXQ255" s="130"/>
      <c r="AXR255" s="130"/>
      <c r="AXS255" s="130"/>
      <c r="AXT255" s="130"/>
      <c r="AXU255" s="130"/>
      <c r="AXV255" s="130"/>
      <c r="AXW255" s="130"/>
      <c r="AXX255" s="130"/>
      <c r="AXY255" s="130"/>
      <c r="AXZ255" s="130"/>
      <c r="AYA255" s="130"/>
      <c r="AYB255" s="130"/>
      <c r="AYC255" s="130"/>
      <c r="AYD255" s="130"/>
      <c r="AYE255" s="130"/>
      <c r="AYF255" s="130"/>
      <c r="AYG255" s="130"/>
      <c r="AYH255" s="130"/>
      <c r="AYI255" s="130"/>
      <c r="AYJ255" s="130"/>
      <c r="AYK255" s="130"/>
      <c r="AYL255" s="130"/>
      <c r="AYM255" s="130"/>
      <c r="AYN255" s="130"/>
      <c r="AYO255" s="130"/>
      <c r="AYP255" s="130"/>
      <c r="AYQ255" s="130"/>
      <c r="AYR255" s="130"/>
      <c r="AYS255" s="130"/>
      <c r="AYT255" s="130"/>
      <c r="AYU255" s="130"/>
      <c r="AYV255" s="130"/>
      <c r="AYW255" s="130"/>
      <c r="AYX255" s="130"/>
      <c r="AYY255" s="130"/>
      <c r="AYZ255" s="130"/>
      <c r="AZA255" s="130"/>
      <c r="AZB255" s="130"/>
      <c r="AZC255" s="130"/>
      <c r="AZD255" s="130"/>
      <c r="AZE255" s="130"/>
      <c r="AZF255" s="130"/>
      <c r="AZG255" s="130"/>
      <c r="AZH255" s="130"/>
      <c r="AZI255" s="130"/>
      <c r="AZJ255" s="130"/>
      <c r="AZK255" s="130"/>
      <c r="AZL255" s="130"/>
      <c r="AZM255" s="130"/>
      <c r="AZN255" s="130"/>
      <c r="AZO255" s="130"/>
      <c r="AZP255" s="130"/>
      <c r="AZQ255" s="130"/>
      <c r="AZR255" s="130"/>
      <c r="AZS255" s="130"/>
      <c r="AZT255" s="130"/>
      <c r="AZU255" s="130"/>
      <c r="AZV255" s="130"/>
      <c r="AZW255" s="130"/>
      <c r="AZX255" s="130"/>
      <c r="AZY255" s="130"/>
      <c r="AZZ255" s="130"/>
      <c r="BAA255" s="130"/>
      <c r="BAB255" s="130"/>
      <c r="BAC255" s="130"/>
      <c r="BAD255" s="130"/>
      <c r="BAE255" s="130"/>
      <c r="BAF255" s="130"/>
      <c r="BAG255" s="130"/>
      <c r="BAH255" s="130"/>
      <c r="BAI255" s="130"/>
      <c r="BAJ255" s="130"/>
      <c r="BAK255" s="130"/>
      <c r="BAL255" s="130"/>
      <c r="BAM255" s="130"/>
      <c r="BAN255" s="130"/>
      <c r="BAO255" s="130"/>
      <c r="BAP255" s="130"/>
      <c r="BAQ255" s="130"/>
      <c r="BAR255" s="130"/>
      <c r="BAS255" s="130"/>
      <c r="BAT255" s="130"/>
      <c r="BAU255" s="130"/>
      <c r="BAV255" s="130"/>
      <c r="BAW255" s="130"/>
      <c r="BAX255" s="130"/>
      <c r="BAY255" s="130"/>
      <c r="BAZ255" s="130"/>
      <c r="BBA255" s="130"/>
      <c r="BBB255" s="130"/>
      <c r="BBC255" s="130"/>
      <c r="BBD255" s="130"/>
      <c r="BBE255" s="130"/>
      <c r="BBF255" s="130"/>
      <c r="BBG255" s="130"/>
      <c r="BBH255" s="130"/>
      <c r="BBI255" s="130"/>
      <c r="BBJ255" s="130"/>
      <c r="BBK255" s="130"/>
      <c r="BBL255" s="130"/>
      <c r="BBM255" s="130"/>
      <c r="BBN255" s="130"/>
    </row>
    <row r="256" spans="340:1005 1082:1418" ht="48" customHeight="1" thickBot="1">
      <c r="QW256" s="130"/>
      <c r="QX256" s="130"/>
      <c r="QY256" s="130"/>
      <c r="QZ256" s="130"/>
      <c r="RA256" s="130"/>
      <c r="RB256" s="130"/>
      <c r="RC256" s="130"/>
      <c r="RD256" s="130"/>
      <c r="RE256" s="130"/>
      <c r="RF256" s="130"/>
      <c r="RG256" s="130"/>
      <c r="RH256" s="130"/>
      <c r="RI256" s="130"/>
      <c r="ACJ256" s="759">
        <v>-4.0625000000000001E-2</v>
      </c>
      <c r="ACK256" s="760"/>
      <c r="ACL256" s="759">
        <v>0.96499999999999997</v>
      </c>
      <c r="ACM256" s="760"/>
      <c r="ACN256" s="591">
        <v>29</v>
      </c>
      <c r="ACO256" s="759">
        <f t="shared" si="287"/>
        <v>0.93701953124999993</v>
      </c>
      <c r="ACP256" s="760"/>
      <c r="ACQ256" s="757">
        <f t="shared" si="288"/>
        <v>0.68874999999999997</v>
      </c>
      <c r="ACR256" s="758"/>
      <c r="ACT256" s="759">
        <v>-0.1</v>
      </c>
      <c r="ACU256" s="760"/>
      <c r="ACV256" s="759">
        <v>1.06</v>
      </c>
      <c r="ACW256" s="760"/>
      <c r="ACX256" s="592">
        <v>79</v>
      </c>
      <c r="ACY256" s="759">
        <f t="shared" si="289"/>
        <v>0.87237500000000001</v>
      </c>
      <c r="ACZ256" s="760"/>
      <c r="ADA256" s="757">
        <f t="shared" si="290"/>
        <v>1.87625</v>
      </c>
      <c r="ADB256" s="758"/>
      <c r="ADD256" s="1112">
        <v>-0.12</v>
      </c>
      <c r="ADE256" s="1112"/>
      <c r="ADF256" s="1112">
        <v>1.06</v>
      </c>
      <c r="ADG256" s="1112"/>
      <c r="ADH256" s="591">
        <v>129</v>
      </c>
      <c r="ADI256" s="759">
        <f t="shared" si="291"/>
        <v>0.69235000000000002</v>
      </c>
      <c r="ADJ256" s="760"/>
      <c r="ADK256" s="757">
        <f t="shared" si="292"/>
        <v>3.0637500000000002</v>
      </c>
      <c r="ADL256" s="758"/>
      <c r="ADN256" s="1112">
        <v>-0.08</v>
      </c>
      <c r="ADO256" s="1112"/>
      <c r="ADP256" s="1112">
        <v>0.9</v>
      </c>
      <c r="ADQ256" s="1112"/>
      <c r="ADR256" s="592">
        <v>179</v>
      </c>
      <c r="ADS256" s="759">
        <f t="shared" si="293"/>
        <v>0.55990000000000006</v>
      </c>
      <c r="ADT256" s="760"/>
      <c r="ADU256" s="757">
        <f t="shared" si="294"/>
        <v>4.2512499999999998</v>
      </c>
      <c r="ADV256" s="758"/>
      <c r="ADX256" s="1112">
        <v>-5.8823529411764698E-2</v>
      </c>
      <c r="ADY256" s="1112"/>
      <c r="ADZ256" s="1112">
        <v>0.79411764705882304</v>
      </c>
      <c r="AEA256" s="1112"/>
      <c r="AEB256" s="591">
        <v>229</v>
      </c>
      <c r="AEC256" s="759">
        <f t="shared" si="295"/>
        <v>0.47419117647058778</v>
      </c>
      <c r="AED256" s="760"/>
      <c r="AEE256" s="757">
        <f t="shared" si="296"/>
        <v>5.4387499999999998</v>
      </c>
      <c r="AEF256" s="758"/>
      <c r="AEH256" s="1112">
        <v>-5.8823529411764698E-2</v>
      </c>
      <c r="AEI256" s="1112"/>
      <c r="AEJ256" s="1112">
        <v>0.79411764705882304</v>
      </c>
      <c r="AEK256" s="1112"/>
      <c r="AEL256" s="591">
        <v>279</v>
      </c>
      <c r="AEM256" s="759">
        <f t="shared" si="297"/>
        <v>0.40433823529411722</v>
      </c>
      <c r="AEN256" s="760"/>
      <c r="AEO256" s="757">
        <f t="shared" si="298"/>
        <v>6.6262499999999998</v>
      </c>
      <c r="AEP256" s="758"/>
      <c r="AER256" s="1112">
        <v>-3.5714285714285698E-2</v>
      </c>
      <c r="AES256" s="1112"/>
      <c r="AET256" s="1112">
        <v>0.63928571428571401</v>
      </c>
      <c r="AEU256" s="1112"/>
      <c r="AEV256" s="592">
        <v>329</v>
      </c>
      <c r="AEW256" s="759">
        <f t="shared" si="299"/>
        <v>0.36022321428571413</v>
      </c>
      <c r="AEX256" s="760"/>
      <c r="AEY256" s="757">
        <f t="shared" si="300"/>
        <v>7.8137499999999998</v>
      </c>
      <c r="AEZ256" s="758"/>
      <c r="AFB256" s="1112">
        <v>-3.5714285714285698E-2</v>
      </c>
      <c r="AFC256" s="1112"/>
      <c r="AFD256" s="1112">
        <v>0.63928571428571401</v>
      </c>
      <c r="AFE256" s="1112"/>
      <c r="AFF256" s="592">
        <v>379</v>
      </c>
      <c r="AFG256" s="759">
        <f t="shared" si="301"/>
        <v>0.31781249999999983</v>
      </c>
      <c r="AFH256" s="760"/>
      <c r="AFI256" s="757">
        <f t="shared" si="302"/>
        <v>9.0012500000000006</v>
      </c>
      <c r="AFJ256" s="758"/>
      <c r="AGJ256" s="130"/>
      <c r="AGK256" s="130"/>
      <c r="AGL256" s="849"/>
      <c r="AGM256" s="852" t="s">
        <v>416</v>
      </c>
      <c r="AGN256" s="853"/>
      <c r="AGO256" s="425"/>
      <c r="AGP256" s="78"/>
      <c r="AGQ256" s="78"/>
      <c r="AGR256" s="78"/>
      <c r="AGS256" s="78"/>
      <c r="AGT256" s="78"/>
      <c r="AGU256" s="78"/>
      <c r="AGV256" s="425"/>
      <c r="AGW256" s="76" t="s">
        <v>441</v>
      </c>
      <c r="AGX256" s="854" t="s">
        <v>435</v>
      </c>
      <c r="AGY256" s="1111"/>
      <c r="AGZ256" s="920" t="s">
        <v>111</v>
      </c>
      <c r="AHA256" s="921"/>
      <c r="AHB256" s="916" t="s">
        <v>704</v>
      </c>
      <c r="AHC256" s="917"/>
      <c r="AHD256" s="906" t="s">
        <v>447</v>
      </c>
      <c r="AHE256" s="907"/>
      <c r="AHF256" s="907"/>
      <c r="AHG256" s="908"/>
      <c r="AHH256" s="1051" t="s">
        <v>436</v>
      </c>
      <c r="AHI256" s="1051"/>
      <c r="AHJ256" s="1051"/>
      <c r="AHK256" s="1051"/>
      <c r="AHL256" s="1051"/>
      <c r="AHM256" s="1051"/>
      <c r="AHP256" s="130"/>
      <c r="AHQ256" s="130"/>
      <c r="AHR256" s="130"/>
      <c r="AHS256" s="130"/>
      <c r="AHT256" s="130"/>
      <c r="AHW256" s="130"/>
      <c r="AHX256" s="130"/>
      <c r="AHY256" s="130"/>
      <c r="AHZ256" s="130"/>
      <c r="AIA256" s="130"/>
      <c r="AIB256" s="130"/>
      <c r="AIC256" s="130"/>
      <c r="AID256" s="130"/>
      <c r="AIE256" s="130"/>
      <c r="AIF256" s="130"/>
      <c r="AIG256" s="130"/>
      <c r="AJF256" s="130"/>
      <c r="AJG256" s="130"/>
      <c r="AJO256" s="130"/>
      <c r="AJP256" s="130"/>
      <c r="AJQ256" s="130"/>
      <c r="AJR256" s="130"/>
      <c r="AJS256" s="130"/>
      <c r="AJT256" s="130"/>
      <c r="AJU256" s="130"/>
      <c r="AJV256" s="130"/>
      <c r="AJW256" s="130"/>
      <c r="AJX256" s="130"/>
      <c r="AJY256" s="130"/>
      <c r="AJZ256" s="130"/>
      <c r="AKA256" s="130"/>
      <c r="AKB256" s="130"/>
      <c r="AKC256" s="130"/>
      <c r="AKD256" s="130"/>
      <c r="AKE256" s="130"/>
      <c r="AKF256" s="130"/>
      <c r="AKG256" s="130"/>
      <c r="AKH256" s="130"/>
      <c r="AKI256" s="130"/>
      <c r="AKJ256" s="130"/>
      <c r="AKK256" s="130"/>
      <c r="AKL256" s="130"/>
      <c r="AKM256" s="130"/>
      <c r="AKN256" s="130"/>
      <c r="AKO256" s="130"/>
      <c r="AKP256" s="130"/>
      <c r="AKQ256" s="130"/>
      <c r="AKR256" s="130"/>
      <c r="AKS256" s="130"/>
      <c r="AKT256" s="130"/>
      <c r="AKU256" s="130"/>
      <c r="AKV256" s="130"/>
      <c r="AKW256" s="130"/>
      <c r="AKX256" s="130"/>
      <c r="AKY256" s="130"/>
      <c r="AKZ256" s="130"/>
      <c r="ALA256" s="130"/>
      <c r="ALB256" s="130"/>
      <c r="ALC256" s="130"/>
      <c r="ALD256" s="130"/>
      <c r="ALE256" s="130"/>
      <c r="ALF256" s="130"/>
      <c r="ALG256" s="130"/>
      <c r="AOP256" s="130"/>
      <c r="AOQ256" s="130"/>
      <c r="AOR256" s="130"/>
      <c r="AOS256" s="130"/>
      <c r="AOT256" s="130"/>
      <c r="AOU256" s="130"/>
      <c r="AOV256" s="130"/>
      <c r="AOW256" s="130"/>
      <c r="AOX256" s="130"/>
      <c r="AOY256" s="130"/>
      <c r="AOZ256" s="130"/>
      <c r="APA256" s="130"/>
      <c r="APB256" s="130"/>
      <c r="APC256" s="130"/>
      <c r="APD256" s="130"/>
      <c r="APE256" s="130"/>
      <c r="APF256" s="130"/>
      <c r="APG256" s="130"/>
      <c r="APH256" s="130"/>
      <c r="API256" s="130"/>
      <c r="APJ256" s="130"/>
      <c r="APK256" s="130"/>
      <c r="APL256" s="130"/>
      <c r="APM256" s="130"/>
      <c r="APN256" s="130"/>
      <c r="APO256" s="130"/>
      <c r="APP256" s="130"/>
      <c r="APQ256" s="130"/>
      <c r="APR256" s="130"/>
      <c r="APS256" s="130"/>
      <c r="APT256" s="130"/>
      <c r="APU256" s="130"/>
      <c r="APV256" s="130"/>
      <c r="APW256" s="130"/>
      <c r="APX256" s="130"/>
      <c r="APY256" s="130"/>
      <c r="APZ256" s="130"/>
      <c r="AQA256" s="130"/>
      <c r="AQB256" s="130"/>
      <c r="AQC256" s="130"/>
      <c r="AQD256" s="130"/>
      <c r="AQE256" s="130"/>
      <c r="AQF256" s="130"/>
      <c r="AQG256" s="130"/>
      <c r="AQH256" s="130"/>
      <c r="AQI256" s="130"/>
      <c r="AQJ256" s="130"/>
      <c r="AQK256" s="130"/>
      <c r="AQL256" s="130"/>
      <c r="AQM256" s="130"/>
      <c r="AQN256" s="130"/>
      <c r="AQO256" s="130"/>
      <c r="AQP256" s="130"/>
      <c r="AQQ256" s="130"/>
      <c r="AQR256" s="130"/>
      <c r="AQS256" s="130"/>
      <c r="AQT256" s="130"/>
      <c r="AQU256" s="130"/>
      <c r="AQV256" s="653"/>
      <c r="AQW256" s="653"/>
      <c r="AQX256" s="653"/>
      <c r="AQY256" s="653"/>
      <c r="AQZ256" s="653"/>
      <c r="ARA256" s="653"/>
      <c r="ARB256" s="653"/>
      <c r="ARC256" s="653"/>
      <c r="ARD256" s="653"/>
      <c r="ARE256" s="653"/>
      <c r="ARF256" s="653"/>
      <c r="ARG256" s="130"/>
      <c r="ARH256" s="130"/>
      <c r="ARI256" s="130"/>
      <c r="ARJ256" s="130"/>
      <c r="ARK256" s="130"/>
      <c r="ARL256" s="130"/>
      <c r="ARM256" s="130"/>
      <c r="ARN256" s="130"/>
      <c r="ARO256" s="130"/>
      <c r="ARP256" s="130"/>
      <c r="ARQ256" s="130"/>
      <c r="ARR256" s="130"/>
      <c r="ARS256" s="130"/>
      <c r="ART256" s="130"/>
      <c r="ARU256" s="130"/>
      <c r="ARV256" s="130"/>
      <c r="ARW256" s="130"/>
      <c r="ARX256" s="130"/>
      <c r="ARY256" s="130"/>
      <c r="ARZ256" s="130"/>
      <c r="ASA256" s="130"/>
      <c r="ASB256" s="130"/>
      <c r="ASC256" s="130"/>
      <c r="ASD256" s="130"/>
      <c r="ASE256" s="130"/>
      <c r="ASF256" s="130"/>
      <c r="ASG256" s="130"/>
      <c r="ASH256" s="130"/>
      <c r="ASI256" s="130"/>
      <c r="ASJ256" s="130"/>
      <c r="ASK256" s="130"/>
      <c r="ASL256" s="130"/>
      <c r="ASM256" s="130"/>
      <c r="ASN256" s="130"/>
      <c r="ASO256" s="130"/>
      <c r="ASP256" s="130"/>
      <c r="ASQ256" s="130"/>
      <c r="ASR256" s="130"/>
      <c r="ASS256" s="130"/>
      <c r="AST256" s="130"/>
      <c r="ASU256" s="130"/>
      <c r="ASV256" s="130"/>
      <c r="ASW256" s="130"/>
      <c r="ASX256" s="130"/>
      <c r="ASY256" s="130"/>
      <c r="ASZ256" s="130"/>
      <c r="ATA256" s="130"/>
      <c r="ATB256" s="130"/>
      <c r="ATC256" s="130"/>
      <c r="ATD256" s="130"/>
      <c r="ATE256" s="130"/>
      <c r="ATF256" s="130"/>
      <c r="ATG256" s="130"/>
      <c r="ATH256" s="130"/>
      <c r="ATI256" s="130"/>
      <c r="ATJ256" s="130"/>
      <c r="ATK256" s="130"/>
      <c r="ATL256" s="130"/>
      <c r="ATM256" s="130"/>
      <c r="ATN256" s="130"/>
      <c r="ATO256" s="130"/>
      <c r="ATP256" s="130"/>
      <c r="ATQ256" s="130"/>
      <c r="ATR256" s="130"/>
      <c r="ATS256" s="130"/>
      <c r="ATT256" s="130"/>
      <c r="ATU256" s="130"/>
      <c r="ATV256" s="130"/>
      <c r="ATW256" s="130"/>
      <c r="ATX256" s="130"/>
      <c r="ATY256" s="130"/>
      <c r="ATZ256" s="130"/>
      <c r="AUA256" s="130"/>
      <c r="AUB256" s="130"/>
      <c r="AUC256" s="130"/>
      <c r="AUD256" s="130"/>
      <c r="AUE256" s="130"/>
      <c r="AUF256" s="130"/>
      <c r="AUG256" s="130"/>
      <c r="AUH256" s="130"/>
      <c r="AUI256" s="130"/>
      <c r="AUJ256" s="130"/>
      <c r="AUK256" s="130"/>
      <c r="AUL256" s="130"/>
      <c r="AUM256" s="130"/>
      <c r="AUN256" s="130"/>
      <c r="AUO256" s="130"/>
      <c r="AUP256" s="130"/>
      <c r="AUQ256" s="130"/>
      <c r="AUR256" s="130"/>
      <c r="AUS256" s="130"/>
      <c r="AUT256" s="130"/>
      <c r="AUU256" s="130"/>
      <c r="AUV256" s="130"/>
      <c r="AUW256" s="130"/>
      <c r="AUX256" s="130"/>
      <c r="AUY256" s="130"/>
      <c r="AUZ256" s="130"/>
      <c r="AVA256" s="130"/>
      <c r="AVB256" s="130"/>
      <c r="AVC256" s="130"/>
      <c r="AVD256" s="130"/>
      <c r="AVE256" s="130"/>
      <c r="AVF256" s="130"/>
      <c r="AVG256" s="130"/>
      <c r="AVH256" s="130"/>
      <c r="AVI256" s="130"/>
      <c r="AVJ256" s="130"/>
      <c r="AVK256" s="130"/>
      <c r="AVL256" s="130"/>
      <c r="AVM256" s="130"/>
      <c r="AVN256" s="130"/>
      <c r="AVO256" s="130"/>
      <c r="AVP256" s="130"/>
      <c r="AVQ256" s="130"/>
      <c r="AVR256" s="130"/>
      <c r="AVS256" s="130"/>
      <c r="AVT256" s="130"/>
      <c r="AVU256" s="130"/>
      <c r="AVV256" s="130"/>
      <c r="AVW256" s="130"/>
      <c r="AVX256" s="130"/>
      <c r="AVY256" s="130"/>
      <c r="AVZ256" s="130"/>
      <c r="AWA256" s="130"/>
      <c r="AWB256" s="130"/>
      <c r="AWC256" s="130"/>
      <c r="AWD256" s="130"/>
      <c r="AWE256" s="130"/>
      <c r="AWF256" s="130"/>
      <c r="AWG256" s="130"/>
      <c r="AWH256" s="130"/>
      <c r="AWI256" s="130"/>
      <c r="AWJ256" s="130"/>
      <c r="AWK256" s="130"/>
      <c r="AWL256" s="130"/>
      <c r="AWM256" s="130"/>
      <c r="AWN256" s="130"/>
      <c r="AWO256" s="130"/>
      <c r="AWP256" s="130"/>
      <c r="AWQ256" s="130"/>
      <c r="AWR256" s="130"/>
      <c r="AWS256" s="130"/>
      <c r="AWT256" s="130"/>
      <c r="AWU256" s="130"/>
      <c r="AWV256" s="130"/>
      <c r="AWW256" s="130"/>
      <c r="AWX256" s="130"/>
      <c r="AWY256" s="130"/>
      <c r="AWZ256" s="130"/>
      <c r="AXA256" s="130"/>
      <c r="AXB256" s="130"/>
      <c r="AXC256" s="130"/>
      <c r="AXD256" s="130"/>
      <c r="AXE256" s="130"/>
      <c r="AXF256" s="130"/>
      <c r="AXG256" s="130"/>
      <c r="AXH256" s="130"/>
      <c r="AXI256" s="130"/>
      <c r="AXJ256" s="130"/>
      <c r="AXK256" s="130"/>
      <c r="AXL256" s="130"/>
      <c r="AXM256" s="130"/>
      <c r="AXN256" s="130"/>
      <c r="AXO256" s="130"/>
      <c r="AXP256" s="130"/>
      <c r="AXQ256" s="130"/>
      <c r="AXR256" s="130"/>
      <c r="AXS256" s="130"/>
      <c r="AXT256" s="130"/>
      <c r="AXU256" s="130"/>
      <c r="AXV256" s="130"/>
      <c r="AXW256" s="130"/>
      <c r="AXX256" s="130"/>
      <c r="AXY256" s="130"/>
      <c r="AXZ256" s="130"/>
      <c r="AYA256" s="130"/>
      <c r="AYB256" s="130"/>
      <c r="AYC256" s="130"/>
      <c r="AYD256" s="130"/>
      <c r="AYE256" s="130"/>
      <c r="AYF256" s="130"/>
      <c r="AYG256" s="130"/>
      <c r="AYH256" s="130"/>
      <c r="AYI256" s="130"/>
      <c r="AYJ256" s="130"/>
      <c r="AYK256" s="130"/>
      <c r="AYL256" s="130"/>
      <c r="AYM256" s="130"/>
      <c r="AYN256" s="130"/>
      <c r="AYO256" s="130"/>
      <c r="AYP256" s="130"/>
      <c r="AYQ256" s="130"/>
      <c r="AYR256" s="130"/>
      <c r="AYS256" s="130"/>
      <c r="AYT256" s="130"/>
      <c r="AYU256" s="130"/>
      <c r="AYV256" s="130"/>
      <c r="AYW256" s="130"/>
      <c r="AYX256" s="130"/>
      <c r="AYY256" s="130"/>
      <c r="AYZ256" s="130"/>
      <c r="AZA256" s="130"/>
      <c r="AZB256" s="130"/>
      <c r="AZC256" s="130"/>
      <c r="AZD256" s="130"/>
      <c r="AZE256" s="130"/>
      <c r="AZF256" s="130"/>
      <c r="AZG256" s="130"/>
      <c r="AZH256" s="130"/>
      <c r="AZI256" s="130"/>
      <c r="AZJ256" s="130"/>
      <c r="AZK256" s="130"/>
      <c r="AZL256" s="130"/>
      <c r="AZM256" s="130"/>
      <c r="AZN256" s="130"/>
      <c r="AZO256" s="130"/>
      <c r="AZP256" s="130"/>
      <c r="AZQ256" s="130"/>
      <c r="AZR256" s="130"/>
      <c r="AZS256" s="130"/>
      <c r="AZT256" s="130"/>
      <c r="AZU256" s="130"/>
      <c r="AZV256" s="130"/>
      <c r="AZW256" s="130"/>
      <c r="AZX256" s="130"/>
      <c r="AZY256" s="130"/>
      <c r="AZZ256" s="130"/>
      <c r="BAA256" s="130"/>
      <c r="BAB256" s="130"/>
      <c r="BAC256" s="130"/>
      <c r="BAD256" s="130"/>
      <c r="BAE256" s="130"/>
      <c r="BAF256" s="130"/>
      <c r="BAG256" s="130"/>
      <c r="BAH256" s="130"/>
      <c r="BAI256" s="130"/>
      <c r="BAJ256" s="130"/>
      <c r="BAK256" s="130"/>
      <c r="BAL256" s="130"/>
      <c r="BAM256" s="130"/>
      <c r="BAN256" s="130"/>
      <c r="BAO256" s="130"/>
      <c r="BAP256" s="130"/>
      <c r="BAQ256" s="130"/>
      <c r="BAR256" s="130"/>
      <c r="BAS256" s="130"/>
      <c r="BAT256" s="130"/>
      <c r="BAU256" s="130"/>
      <c r="BAV256" s="130"/>
      <c r="BAW256" s="130"/>
      <c r="BAX256" s="130"/>
      <c r="BAY256" s="130"/>
      <c r="BAZ256" s="130"/>
      <c r="BBA256" s="130"/>
      <c r="BBB256" s="130"/>
      <c r="BBC256" s="130"/>
      <c r="BBD256" s="130"/>
      <c r="BBE256" s="130"/>
      <c r="BBF256" s="130"/>
      <c r="BBG256" s="130"/>
      <c r="BBH256" s="130"/>
      <c r="BBI256" s="130"/>
      <c r="BBJ256" s="130"/>
      <c r="BBK256" s="130"/>
      <c r="BBL256" s="130"/>
      <c r="BBM256" s="130"/>
      <c r="BBN256" s="130"/>
    </row>
    <row r="257" spans="450:995 1082:1418" ht="48" customHeight="1">
      <c r="QW257" s="130"/>
      <c r="QX257" s="130"/>
      <c r="QY257" s="130"/>
      <c r="QZ257" s="130"/>
      <c r="RA257" s="130"/>
      <c r="RB257" s="130"/>
      <c r="RC257" s="130"/>
      <c r="RD257" s="130"/>
      <c r="RE257" s="130"/>
      <c r="RF257" s="130"/>
      <c r="RG257" s="130"/>
      <c r="RH257" s="130"/>
      <c r="RI257" s="130"/>
      <c r="ACJ257" s="759">
        <v>-4.0625000000000001E-2</v>
      </c>
      <c r="ACK257" s="760"/>
      <c r="ACL257" s="759">
        <v>0.96499999999999997</v>
      </c>
      <c r="ACM257" s="760"/>
      <c r="ACN257" s="591">
        <v>30</v>
      </c>
      <c r="ACO257" s="759">
        <f t="shared" si="287"/>
        <v>0.93605468749999998</v>
      </c>
      <c r="ACP257" s="760"/>
      <c r="ACQ257" s="757">
        <f t="shared" si="288"/>
        <v>0.71250000000000002</v>
      </c>
      <c r="ACR257" s="758"/>
      <c r="ACT257" s="759">
        <v>-0.1</v>
      </c>
      <c r="ACU257" s="760"/>
      <c r="ACV257" s="759">
        <v>1.06</v>
      </c>
      <c r="ACW257" s="760"/>
      <c r="ACX257" s="592">
        <v>80</v>
      </c>
      <c r="ACY257" s="759">
        <f t="shared" si="289"/>
        <v>0.87000000000000011</v>
      </c>
      <c r="ACZ257" s="760"/>
      <c r="ADA257" s="757">
        <f t="shared" si="290"/>
        <v>1.9</v>
      </c>
      <c r="ADB257" s="758"/>
      <c r="ADD257" s="1112">
        <v>-0.12</v>
      </c>
      <c r="ADE257" s="1112"/>
      <c r="ADF257" s="1112">
        <v>1.06</v>
      </c>
      <c r="ADG257" s="1112"/>
      <c r="ADH257" s="591">
        <v>130</v>
      </c>
      <c r="ADI257" s="759">
        <f t="shared" si="291"/>
        <v>0.6895</v>
      </c>
      <c r="ADJ257" s="760"/>
      <c r="ADK257" s="757">
        <f t="shared" si="292"/>
        <v>3.0874999999999999</v>
      </c>
      <c r="ADL257" s="758"/>
      <c r="ADN257" s="1112">
        <v>-0.08</v>
      </c>
      <c r="ADO257" s="1112"/>
      <c r="ADP257" s="1112">
        <v>0.9</v>
      </c>
      <c r="ADQ257" s="1112"/>
      <c r="ADR257" s="592">
        <v>180</v>
      </c>
      <c r="ADS257" s="759">
        <f t="shared" si="293"/>
        <v>0.55800000000000005</v>
      </c>
      <c r="ADT257" s="760"/>
      <c r="ADU257" s="757">
        <f t="shared" si="294"/>
        <v>4.2750000000000004</v>
      </c>
      <c r="ADV257" s="758"/>
      <c r="ADX257" s="1112">
        <v>-5.8823529411764698E-2</v>
      </c>
      <c r="ADY257" s="1112"/>
      <c r="ADZ257" s="1112">
        <v>0.79411764705882304</v>
      </c>
      <c r="AEA257" s="1112"/>
      <c r="AEB257" s="591">
        <v>230</v>
      </c>
      <c r="AEC257" s="759">
        <f t="shared" si="295"/>
        <v>0.47279411764705837</v>
      </c>
      <c r="AED257" s="760"/>
      <c r="AEE257" s="757">
        <f t="shared" si="296"/>
        <v>5.4625000000000004</v>
      </c>
      <c r="AEF257" s="758"/>
      <c r="AEH257" s="1112">
        <v>-5.8823529411764698E-2</v>
      </c>
      <c r="AEI257" s="1112"/>
      <c r="AEJ257" s="1112">
        <v>0.79411764705882304</v>
      </c>
      <c r="AEK257" s="1112"/>
      <c r="AEL257" s="591">
        <v>280</v>
      </c>
      <c r="AEM257" s="759">
        <f t="shared" si="297"/>
        <v>0.4029411764705878</v>
      </c>
      <c r="AEN257" s="760"/>
      <c r="AEO257" s="757">
        <f t="shared" si="298"/>
        <v>6.65</v>
      </c>
      <c r="AEP257" s="758"/>
      <c r="AER257" s="1112">
        <v>-3.5714285714285698E-2</v>
      </c>
      <c r="AES257" s="1112"/>
      <c r="AET257" s="1112">
        <v>0.63928571428571401</v>
      </c>
      <c r="AEU257" s="1112"/>
      <c r="AEV257" s="592">
        <v>330</v>
      </c>
      <c r="AEW257" s="759">
        <f t="shared" si="299"/>
        <v>0.35937499999999983</v>
      </c>
      <c r="AEX257" s="760"/>
      <c r="AEY257" s="757">
        <f t="shared" si="300"/>
        <v>7.8375000000000004</v>
      </c>
      <c r="AEZ257" s="758"/>
      <c r="AFB257" s="1112">
        <v>-3.5714285714285698E-2</v>
      </c>
      <c r="AFC257" s="1112"/>
      <c r="AFD257" s="1112">
        <v>0.63928571428571401</v>
      </c>
      <c r="AFE257" s="1112"/>
      <c r="AFF257" s="592">
        <v>380</v>
      </c>
      <c r="AFG257" s="759">
        <f t="shared" si="301"/>
        <v>0.31696428571428559</v>
      </c>
      <c r="AFH257" s="760"/>
      <c r="AFI257" s="757">
        <f t="shared" si="302"/>
        <v>9.0250000000000004</v>
      </c>
      <c r="AFJ257" s="758"/>
      <c r="AGK257" s="130"/>
      <c r="AGL257" s="850"/>
      <c r="AGM257" s="861" t="s">
        <v>1216</v>
      </c>
      <c r="AGN257" s="861"/>
      <c r="AGO257" s="861"/>
      <c r="AGP257" s="766">
        <f>$AP$7</f>
        <v>220</v>
      </c>
      <c r="AGQ257" s="766"/>
      <c r="AGR257" s="809" t="s">
        <v>1450</v>
      </c>
      <c r="AGS257" s="797"/>
      <c r="AGT257" s="797"/>
      <c r="AGU257" s="797"/>
      <c r="AGV257" s="797"/>
      <c r="AGW257" s="797"/>
      <c r="AGX257" s="797"/>
      <c r="AGY257" s="798"/>
      <c r="AGZ257" s="835">
        <f>AGP257/((AGP258^2+AGP259^2)^0.5)</f>
        <v>525.01327124596639</v>
      </c>
      <c r="AHA257" s="836"/>
      <c r="AHB257" s="1345" t="s">
        <v>32</v>
      </c>
      <c r="AHC257" s="932"/>
      <c r="AHD257" s="841"/>
      <c r="AHE257" s="843" t="s">
        <v>1388</v>
      </c>
      <c r="AHF257" s="844"/>
      <c r="AHG257" s="847"/>
      <c r="AHH257" s="1052"/>
      <c r="AHI257" s="1052"/>
      <c r="AHJ257" s="1052"/>
      <c r="AHK257" s="1052"/>
      <c r="AHL257" s="1052"/>
      <c r="AHM257" s="1052"/>
      <c r="AHP257" s="130"/>
      <c r="AHQ257" s="130"/>
      <c r="AHR257" s="130"/>
      <c r="AHS257" s="130"/>
      <c r="AHT257" s="130"/>
      <c r="AHW257" s="130"/>
      <c r="AHX257" s="130"/>
      <c r="AHY257" s="130"/>
      <c r="AHZ257" s="130"/>
      <c r="AIA257" s="130"/>
      <c r="AIB257" s="130"/>
      <c r="AIC257" s="130"/>
      <c r="AID257" s="130"/>
      <c r="AIE257" s="130"/>
      <c r="AIF257" s="130"/>
      <c r="AIG257" s="130"/>
      <c r="AJB257" s="130"/>
      <c r="AJC257" s="130"/>
      <c r="AJD257" s="130"/>
      <c r="AJE257" s="130"/>
      <c r="AJF257" s="130"/>
      <c r="AJG257" s="130"/>
      <c r="AJH257" s="130"/>
      <c r="AJI257" s="130"/>
      <c r="AJJ257" s="130"/>
      <c r="AJK257" s="130"/>
      <c r="AJL257" s="130"/>
      <c r="AJM257" s="130"/>
      <c r="AJN257" s="130"/>
      <c r="AJO257" s="130"/>
      <c r="AJP257" s="130"/>
      <c r="AJQ257" s="130"/>
      <c r="AJR257" s="130"/>
      <c r="AJS257" s="130"/>
      <c r="AJT257" s="130"/>
      <c r="AJU257" s="130"/>
      <c r="AJV257" s="130"/>
      <c r="AJW257" s="130"/>
      <c r="AJX257" s="130"/>
      <c r="AJY257" s="130"/>
      <c r="AJZ257" s="130"/>
      <c r="AKA257" s="130"/>
      <c r="AKB257" s="130"/>
      <c r="AKC257" s="130"/>
      <c r="AKD257" s="130"/>
      <c r="AKE257" s="130"/>
      <c r="AKF257" s="130"/>
      <c r="AKG257" s="130"/>
      <c r="AKH257" s="130"/>
      <c r="AKI257" s="130"/>
      <c r="AKJ257" s="130"/>
      <c r="AKK257" s="130"/>
      <c r="AKL257" s="130"/>
      <c r="AKM257" s="130"/>
      <c r="AKN257" s="130"/>
      <c r="AKO257" s="130"/>
      <c r="AKP257" s="130"/>
      <c r="AKQ257" s="130"/>
      <c r="AKR257" s="130"/>
      <c r="AKS257" s="130"/>
      <c r="AKT257" s="130"/>
      <c r="AKU257" s="130"/>
      <c r="AKV257" s="130"/>
      <c r="AKW257" s="130"/>
      <c r="AKX257" s="130"/>
      <c r="AKY257" s="130"/>
      <c r="AKZ257" s="130"/>
      <c r="ALA257" s="130"/>
      <c r="ALB257" s="130"/>
      <c r="ALC257" s="130"/>
      <c r="ALD257" s="130"/>
      <c r="ALE257" s="130"/>
      <c r="ALF257" s="130"/>
      <c r="ALG257" s="130"/>
      <c r="AOP257" s="130"/>
      <c r="AOQ257" s="130"/>
      <c r="AOR257" s="130"/>
      <c r="AOS257" s="130"/>
      <c r="AOT257" s="130"/>
      <c r="AOU257" s="130"/>
      <c r="AOV257" s="130"/>
      <c r="AOW257" s="130"/>
      <c r="AOX257" s="130"/>
      <c r="AOY257" s="130"/>
      <c r="AOZ257" s="130"/>
      <c r="APA257" s="130"/>
      <c r="APB257" s="130"/>
      <c r="APC257" s="130"/>
      <c r="APD257" s="130"/>
      <c r="APE257" s="130"/>
      <c r="APF257" s="130"/>
      <c r="APG257" s="130"/>
      <c r="APH257" s="130"/>
      <c r="API257" s="130"/>
      <c r="APJ257" s="130"/>
      <c r="APK257" s="130"/>
      <c r="APL257" s="130"/>
      <c r="APM257" s="130"/>
      <c r="APN257" s="130"/>
      <c r="APO257" s="130"/>
      <c r="APP257" s="130"/>
      <c r="APQ257" s="130"/>
      <c r="APR257" s="130"/>
      <c r="APS257" s="130"/>
      <c r="APT257" s="130"/>
      <c r="APU257" s="130"/>
      <c r="APV257" s="130"/>
      <c r="APW257" s="130"/>
      <c r="APX257" s="130"/>
      <c r="APY257" s="130"/>
      <c r="APZ257" s="130"/>
      <c r="AQA257" s="130"/>
      <c r="AQB257" s="130"/>
      <c r="AQC257" s="130"/>
      <c r="AQD257" s="130"/>
      <c r="AQE257" s="130"/>
      <c r="AQF257" s="130"/>
      <c r="AQG257" s="130"/>
      <c r="AQH257" s="130"/>
      <c r="AQI257" s="130"/>
      <c r="AQJ257" s="130"/>
      <c r="AQK257" s="130"/>
      <c r="AQL257" s="130"/>
      <c r="AQM257" s="130"/>
      <c r="AQN257" s="130"/>
      <c r="AQO257" s="130"/>
      <c r="AQP257" s="130"/>
      <c r="AQQ257" s="130"/>
      <c r="AQR257" s="130"/>
      <c r="AQS257" s="130"/>
      <c r="AQT257" s="130"/>
      <c r="AQU257" s="130"/>
      <c r="AQV257" s="653"/>
      <c r="AQW257" s="653"/>
      <c r="AQX257" s="653"/>
      <c r="AQY257" s="653"/>
      <c r="AQZ257" s="653"/>
      <c r="ARA257" s="653"/>
      <c r="ARB257" s="653"/>
      <c r="ARC257" s="653"/>
      <c r="ARD257" s="653"/>
      <c r="ARE257" s="653"/>
      <c r="ARF257" s="653"/>
      <c r="ARG257" s="130"/>
      <c r="ARH257" s="130"/>
      <c r="ARI257" s="130"/>
      <c r="ARJ257" s="130"/>
      <c r="ARK257" s="130"/>
      <c r="ARL257" s="130"/>
      <c r="ARM257" s="130"/>
      <c r="ARN257" s="130"/>
      <c r="ARO257" s="130"/>
      <c r="ARP257" s="130"/>
      <c r="ARQ257" s="130"/>
      <c r="ARR257" s="130"/>
      <c r="ARS257" s="130"/>
      <c r="ART257" s="130"/>
      <c r="ARU257" s="130"/>
      <c r="ARV257" s="130"/>
      <c r="ARW257" s="130"/>
      <c r="ARX257" s="130"/>
      <c r="ARY257" s="130"/>
      <c r="ARZ257" s="130"/>
      <c r="ASA257" s="130"/>
      <c r="ASB257" s="130"/>
      <c r="ASC257" s="130"/>
      <c r="ASD257" s="130"/>
      <c r="ASE257" s="130"/>
      <c r="ASF257" s="130"/>
      <c r="ASG257" s="130"/>
      <c r="ASH257" s="130"/>
      <c r="ASI257" s="130"/>
      <c r="ASJ257" s="130"/>
      <c r="ASK257" s="130"/>
      <c r="ASL257" s="130"/>
      <c r="ASM257" s="130"/>
      <c r="ASN257" s="130"/>
      <c r="ASO257" s="130"/>
      <c r="ASP257" s="130"/>
      <c r="ASQ257" s="130"/>
      <c r="ASR257" s="130"/>
      <c r="ASS257" s="130"/>
      <c r="AST257" s="130"/>
      <c r="ASU257" s="130"/>
      <c r="ASV257" s="130"/>
      <c r="ASW257" s="130"/>
      <c r="ASX257" s="130"/>
      <c r="ASY257" s="130"/>
      <c r="ASZ257" s="130"/>
      <c r="ATA257" s="130"/>
      <c r="ATB257" s="130"/>
      <c r="ATC257" s="130"/>
      <c r="ATD257" s="130"/>
      <c r="ATE257" s="130"/>
      <c r="ATF257" s="130"/>
      <c r="ATG257" s="130"/>
      <c r="ATH257" s="130"/>
      <c r="ATI257" s="130"/>
      <c r="ATJ257" s="130"/>
      <c r="ATK257" s="130"/>
      <c r="ATL257" s="130"/>
      <c r="ATM257" s="130"/>
      <c r="ATN257" s="130"/>
      <c r="ATO257" s="130"/>
      <c r="ATP257" s="130"/>
      <c r="ATQ257" s="130"/>
      <c r="ATR257" s="130"/>
      <c r="ATS257" s="130"/>
      <c r="ATT257" s="130"/>
      <c r="ATU257" s="130"/>
      <c r="ATV257" s="130"/>
      <c r="ATW257" s="130"/>
      <c r="ATX257" s="130"/>
      <c r="ATY257" s="130"/>
      <c r="ATZ257" s="130"/>
      <c r="AUA257" s="130"/>
      <c r="AUB257" s="130"/>
      <c r="AUC257" s="130"/>
      <c r="AUD257" s="130"/>
      <c r="AUE257" s="130"/>
      <c r="AUF257" s="130"/>
      <c r="AUG257" s="130"/>
      <c r="AUH257" s="130"/>
      <c r="AUI257" s="130"/>
      <c r="AUJ257" s="130"/>
      <c r="AUK257" s="130"/>
      <c r="AUL257" s="130"/>
      <c r="AUM257" s="130"/>
      <c r="AUN257" s="130"/>
      <c r="AUO257" s="130"/>
      <c r="AUP257" s="130"/>
      <c r="AUQ257" s="130"/>
      <c r="AUR257" s="130"/>
      <c r="AUS257" s="130"/>
      <c r="AUT257" s="130"/>
      <c r="AUU257" s="130"/>
      <c r="AUV257" s="130"/>
      <c r="AUW257" s="130"/>
      <c r="AUX257" s="130"/>
      <c r="AUY257" s="130"/>
      <c r="AUZ257" s="130"/>
      <c r="AVA257" s="130"/>
      <c r="AVB257" s="130"/>
      <c r="AVC257" s="130"/>
      <c r="AVD257" s="130"/>
      <c r="AVE257" s="130"/>
      <c r="AVF257" s="130"/>
      <c r="AVG257" s="130"/>
      <c r="AVH257" s="130"/>
      <c r="AVI257" s="130"/>
      <c r="AVJ257" s="130"/>
      <c r="AVK257" s="130"/>
      <c r="AVL257" s="130"/>
      <c r="AVM257" s="130"/>
      <c r="AVN257" s="130"/>
      <c r="AVO257" s="130"/>
      <c r="AVP257" s="130"/>
      <c r="AVQ257" s="130"/>
      <c r="AVR257" s="130"/>
      <c r="AVS257" s="130"/>
      <c r="AVT257" s="130"/>
      <c r="AVU257" s="130"/>
      <c r="AVV257" s="130"/>
      <c r="AVW257" s="130"/>
      <c r="AVX257" s="130"/>
      <c r="AVY257" s="130"/>
      <c r="AVZ257" s="130"/>
      <c r="AWA257" s="130"/>
      <c r="AWB257" s="130"/>
      <c r="AWC257" s="130"/>
      <c r="AWD257" s="130"/>
      <c r="AWE257" s="130"/>
      <c r="AWF257" s="130"/>
      <c r="AWG257" s="130"/>
      <c r="AWH257" s="130"/>
      <c r="AWI257" s="130"/>
      <c r="AWJ257" s="130"/>
      <c r="AWK257" s="130"/>
      <c r="AWL257" s="130"/>
      <c r="AWM257" s="130"/>
      <c r="AWN257" s="130"/>
      <c r="AWO257" s="130"/>
      <c r="AWP257" s="130"/>
      <c r="AWQ257" s="130"/>
      <c r="AWR257" s="130"/>
      <c r="AWS257" s="130"/>
      <c r="AWT257" s="130"/>
      <c r="AWU257" s="130"/>
      <c r="AWV257" s="130"/>
      <c r="AWW257" s="130"/>
      <c r="AWX257" s="130"/>
      <c r="AWY257" s="130"/>
      <c r="AWZ257" s="130"/>
      <c r="AXA257" s="130"/>
      <c r="AXB257" s="130"/>
      <c r="AXC257" s="130"/>
      <c r="AXD257" s="130"/>
      <c r="AXE257" s="130"/>
      <c r="AXF257" s="130"/>
      <c r="AXG257" s="130"/>
      <c r="AXH257" s="130"/>
      <c r="AXI257" s="130"/>
      <c r="AXJ257" s="130"/>
      <c r="AXK257" s="130"/>
      <c r="AXL257" s="130"/>
      <c r="AXM257" s="130"/>
      <c r="AXN257" s="130"/>
      <c r="AXO257" s="130"/>
      <c r="AXP257" s="130"/>
      <c r="AXQ257" s="130"/>
      <c r="AXR257" s="130"/>
      <c r="AXS257" s="130"/>
      <c r="AXT257" s="130"/>
      <c r="AXU257" s="130"/>
      <c r="AXV257" s="130"/>
      <c r="AXW257" s="130"/>
      <c r="AXX257" s="130"/>
      <c r="AXY257" s="130"/>
      <c r="AXZ257" s="130"/>
      <c r="AYA257" s="130"/>
      <c r="AYB257" s="130"/>
      <c r="AYC257" s="130"/>
      <c r="AYD257" s="130"/>
      <c r="AYE257" s="130"/>
      <c r="AYF257" s="130"/>
      <c r="AYG257" s="130"/>
      <c r="AYH257" s="130"/>
      <c r="AYI257" s="130"/>
      <c r="AYJ257" s="130"/>
      <c r="AYK257" s="130"/>
      <c r="AYL257" s="130"/>
      <c r="AYM257" s="130"/>
      <c r="AYN257" s="130"/>
      <c r="AYO257" s="130"/>
      <c r="AYP257" s="130"/>
      <c r="AYQ257" s="130"/>
      <c r="AYR257" s="130"/>
      <c r="AYS257" s="130"/>
      <c r="AYT257" s="130"/>
      <c r="AYU257" s="130"/>
      <c r="AYV257" s="130"/>
      <c r="AYW257" s="130"/>
      <c r="AYX257" s="130"/>
      <c r="AYY257" s="130"/>
      <c r="AYZ257" s="130"/>
      <c r="AZA257" s="130"/>
      <c r="AZB257" s="130"/>
      <c r="AZC257" s="130"/>
      <c r="AZD257" s="130"/>
      <c r="AZE257" s="130"/>
      <c r="AZF257" s="130"/>
      <c r="AZG257" s="130"/>
      <c r="AZH257" s="130"/>
      <c r="AZI257" s="130"/>
      <c r="AZJ257" s="130"/>
      <c r="AZK257" s="130"/>
      <c r="AZL257" s="130"/>
      <c r="AZM257" s="130"/>
      <c r="AZN257" s="130"/>
      <c r="AZO257" s="130"/>
      <c r="AZP257" s="130"/>
      <c r="AZQ257" s="130"/>
      <c r="AZR257" s="130"/>
      <c r="AZS257" s="130"/>
      <c r="AZT257" s="130"/>
      <c r="AZU257" s="130"/>
      <c r="AZV257" s="130"/>
      <c r="AZW257" s="130"/>
      <c r="AZX257" s="130"/>
      <c r="AZY257" s="130"/>
      <c r="AZZ257" s="130"/>
      <c r="BAA257" s="130"/>
      <c r="BAB257" s="130"/>
      <c r="BAC257" s="130"/>
      <c r="BAD257" s="130"/>
      <c r="BAE257" s="130"/>
      <c r="BAF257" s="130"/>
      <c r="BAG257" s="130"/>
      <c r="BAH257" s="130"/>
      <c r="BAI257" s="130"/>
      <c r="BAJ257" s="130"/>
      <c r="BAK257" s="130"/>
      <c r="BAL257" s="130"/>
      <c r="BAM257" s="130"/>
      <c r="BAN257" s="130"/>
      <c r="BAO257" s="130"/>
      <c r="BAP257" s="130"/>
      <c r="BAQ257" s="130"/>
      <c r="BAR257" s="130"/>
      <c r="BAS257" s="130"/>
      <c r="BAT257" s="130"/>
      <c r="BAU257" s="130"/>
      <c r="BAV257" s="130"/>
      <c r="BAW257" s="130"/>
      <c r="BAX257" s="130"/>
      <c r="BAY257" s="130"/>
      <c r="BAZ257" s="130"/>
      <c r="BBA257" s="130"/>
      <c r="BBB257" s="130"/>
      <c r="BBC257" s="130"/>
      <c r="BBD257" s="130"/>
      <c r="BBE257" s="130"/>
      <c r="BBF257" s="130"/>
      <c r="BBG257" s="130"/>
      <c r="BBH257" s="130"/>
      <c r="BBI257" s="130"/>
      <c r="BBJ257" s="130"/>
      <c r="BBK257" s="130"/>
      <c r="BBL257" s="130"/>
      <c r="BBM257" s="130"/>
      <c r="BBN257" s="130"/>
    </row>
    <row r="258" spans="450:995 1082:1418" ht="48" customHeight="1" thickBot="1">
      <c r="QW258" s="130"/>
      <c r="QX258" s="130"/>
      <c r="QY258" s="130"/>
      <c r="QZ258" s="130"/>
      <c r="RA258" s="130"/>
      <c r="RB258" s="130"/>
      <c r="RC258" s="130"/>
      <c r="RD258" s="130"/>
      <c r="RE258" s="130"/>
      <c r="RF258" s="130"/>
      <c r="RG258" s="130"/>
      <c r="RH258" s="130"/>
      <c r="RI258" s="130"/>
      <c r="RJ258" s="130"/>
      <c r="RK258" s="130"/>
      <c r="RL258" s="130"/>
      <c r="RM258" s="130"/>
      <c r="RN258" s="130"/>
      <c r="ACJ258" s="759">
        <v>-4.0625000000000001E-2</v>
      </c>
      <c r="ACK258" s="760"/>
      <c r="ACL258" s="759">
        <v>0.96499999999999997</v>
      </c>
      <c r="ACM258" s="760"/>
      <c r="ACN258" s="591">
        <v>31</v>
      </c>
      <c r="ACO258" s="759">
        <f t="shared" si="287"/>
        <v>0.93508984374999993</v>
      </c>
      <c r="ACP258" s="760"/>
      <c r="ACQ258" s="757">
        <f t="shared" si="288"/>
        <v>0.73624999999999996</v>
      </c>
      <c r="ACR258" s="758"/>
      <c r="ACT258" s="759">
        <v>-0.1</v>
      </c>
      <c r="ACU258" s="760"/>
      <c r="ACV258" s="759">
        <v>1.06</v>
      </c>
      <c r="ACW258" s="760"/>
      <c r="ACX258" s="592">
        <v>81</v>
      </c>
      <c r="ACY258" s="759">
        <f t="shared" si="289"/>
        <v>0.86762500000000009</v>
      </c>
      <c r="ACZ258" s="760"/>
      <c r="ADA258" s="757">
        <f t="shared" si="290"/>
        <v>1.9237500000000001</v>
      </c>
      <c r="ADB258" s="758"/>
      <c r="ADD258" s="1112">
        <v>-0.12</v>
      </c>
      <c r="ADE258" s="1112"/>
      <c r="ADF258" s="1112">
        <v>1.06</v>
      </c>
      <c r="ADG258" s="1112"/>
      <c r="ADH258" s="591">
        <v>131</v>
      </c>
      <c r="ADI258" s="759">
        <f t="shared" si="291"/>
        <v>0.68664999999999998</v>
      </c>
      <c r="ADJ258" s="760"/>
      <c r="ADK258" s="757">
        <f t="shared" si="292"/>
        <v>3.1112500000000001</v>
      </c>
      <c r="ADL258" s="758"/>
      <c r="ADN258" s="1112">
        <v>-0.08</v>
      </c>
      <c r="ADO258" s="1112"/>
      <c r="ADP258" s="1112">
        <v>0.9</v>
      </c>
      <c r="ADQ258" s="1112"/>
      <c r="ADR258" s="592">
        <v>181</v>
      </c>
      <c r="ADS258" s="759">
        <f t="shared" si="293"/>
        <v>0.55610000000000004</v>
      </c>
      <c r="ADT258" s="760"/>
      <c r="ADU258" s="757">
        <f t="shared" si="294"/>
        <v>4.2987500000000001</v>
      </c>
      <c r="ADV258" s="758"/>
      <c r="ADX258" s="1112">
        <v>-5.8823529411764698E-2</v>
      </c>
      <c r="ADY258" s="1112"/>
      <c r="ADZ258" s="1112">
        <v>0.79411764705882304</v>
      </c>
      <c r="AEA258" s="1112"/>
      <c r="AEB258" s="591">
        <v>231</v>
      </c>
      <c r="AEC258" s="759">
        <f t="shared" si="295"/>
        <v>0.47139705882352895</v>
      </c>
      <c r="AED258" s="760"/>
      <c r="AEE258" s="757">
        <f t="shared" si="296"/>
        <v>5.4862500000000001</v>
      </c>
      <c r="AEF258" s="758"/>
      <c r="AEH258" s="1112">
        <v>-5.8823529411764698E-2</v>
      </c>
      <c r="AEI258" s="1112"/>
      <c r="AEJ258" s="1112">
        <v>0.79411764705882304</v>
      </c>
      <c r="AEK258" s="1112"/>
      <c r="AEL258" s="591">
        <v>281</v>
      </c>
      <c r="AEM258" s="759">
        <f t="shared" si="297"/>
        <v>0.40154411764705839</v>
      </c>
      <c r="AEN258" s="760"/>
      <c r="AEO258" s="757">
        <f t="shared" si="298"/>
        <v>6.6737500000000001</v>
      </c>
      <c r="AEP258" s="758"/>
      <c r="AER258" s="1112">
        <v>-3.5714285714285698E-2</v>
      </c>
      <c r="AES258" s="1112"/>
      <c r="AET258" s="1112">
        <v>0.63928571428571401</v>
      </c>
      <c r="AEU258" s="1112"/>
      <c r="AEV258" s="592">
        <v>331</v>
      </c>
      <c r="AEW258" s="759">
        <f t="shared" si="299"/>
        <v>0.35852678571428559</v>
      </c>
      <c r="AEX258" s="760"/>
      <c r="AEY258" s="757">
        <f t="shared" si="300"/>
        <v>7.8612500000000001</v>
      </c>
      <c r="AEZ258" s="758"/>
      <c r="AFB258" s="1112">
        <v>-3.5714285714285698E-2</v>
      </c>
      <c r="AFC258" s="1112"/>
      <c r="AFD258" s="1112">
        <v>0.63928571428571401</v>
      </c>
      <c r="AFE258" s="1112"/>
      <c r="AFF258" s="592">
        <v>381</v>
      </c>
      <c r="AFG258" s="759">
        <f t="shared" si="301"/>
        <v>0.31611607142857129</v>
      </c>
      <c r="AFH258" s="760"/>
      <c r="AFI258" s="757">
        <f t="shared" si="302"/>
        <v>9.0487500000000001</v>
      </c>
      <c r="AFJ258" s="758"/>
      <c r="AGJ258" s="130"/>
      <c r="AGK258" s="130"/>
      <c r="AGL258" s="850"/>
      <c r="AGM258" s="861" t="s">
        <v>1513</v>
      </c>
      <c r="AGN258" s="861"/>
      <c r="AGO258" s="861"/>
      <c r="AGP258" s="1110">
        <f>$AGZ$278</f>
        <v>0.2542660879528495</v>
      </c>
      <c r="AGQ258" s="1110"/>
      <c r="AGR258" s="775"/>
      <c r="AGS258" s="776"/>
      <c r="AGT258" s="776"/>
      <c r="AGU258" s="776"/>
      <c r="AGV258" s="776"/>
      <c r="AGW258" s="776"/>
      <c r="AGX258" s="776"/>
      <c r="AGY258" s="815"/>
      <c r="AGZ258" s="837"/>
      <c r="AHA258" s="838"/>
      <c r="AHB258" s="1346"/>
      <c r="AHC258" s="934"/>
      <c r="AHD258" s="842"/>
      <c r="AHE258" s="845"/>
      <c r="AHF258" s="846"/>
      <c r="AHG258" s="848"/>
      <c r="AHH258" s="1052"/>
      <c r="AHI258" s="1052"/>
      <c r="AHJ258" s="1052"/>
      <c r="AHK258" s="1052"/>
      <c r="AHL258" s="1052"/>
      <c r="AHM258" s="1052"/>
      <c r="AHP258" s="130"/>
      <c r="AHQ258" s="130"/>
      <c r="AHR258" s="130"/>
      <c r="AHS258" s="130"/>
      <c r="AHT258" s="130"/>
      <c r="AHW258" s="130"/>
      <c r="AHX258" s="130"/>
      <c r="AHY258" s="130"/>
      <c r="AHZ258" s="130"/>
      <c r="AIA258" s="130"/>
      <c r="AIB258" s="130"/>
      <c r="AIC258" s="130"/>
      <c r="AID258" s="130"/>
      <c r="AIE258" s="130"/>
      <c r="AIF258" s="130"/>
      <c r="AIG258" s="130"/>
      <c r="AJB258" s="130"/>
      <c r="AJC258" s="130"/>
      <c r="AJD258" s="130"/>
      <c r="AJE258" s="130"/>
      <c r="AJF258" s="130"/>
      <c r="AJG258" s="130"/>
      <c r="AJH258" s="130"/>
      <c r="AJI258" s="130"/>
      <c r="AJJ258" s="130"/>
      <c r="AJK258" s="130"/>
      <c r="AJL258" s="130"/>
      <c r="AJM258" s="130"/>
      <c r="AJN258" s="130"/>
      <c r="AJO258" s="130"/>
      <c r="AJP258" s="130"/>
      <c r="AJQ258" s="130"/>
      <c r="AJR258" s="130"/>
      <c r="AJS258" s="130"/>
      <c r="AJT258" s="130"/>
      <c r="AJU258" s="130"/>
      <c r="AJV258" s="130"/>
      <c r="AJW258" s="130"/>
      <c r="AJX258" s="130"/>
      <c r="AJY258" s="130"/>
      <c r="AJZ258" s="130"/>
      <c r="AKA258" s="130"/>
      <c r="AKB258" s="130"/>
      <c r="AKC258" s="130"/>
      <c r="AKD258" s="130"/>
      <c r="AKE258" s="130"/>
      <c r="AKF258" s="130"/>
      <c r="AKG258" s="130"/>
      <c r="AKH258" s="130"/>
      <c r="AKI258" s="130"/>
      <c r="AKJ258" s="130"/>
      <c r="AKK258" s="130"/>
      <c r="AKL258" s="130"/>
      <c r="AKM258" s="130"/>
      <c r="AKN258" s="130"/>
      <c r="AKO258" s="130"/>
      <c r="AKP258" s="130"/>
      <c r="AKQ258" s="130"/>
      <c r="AKR258" s="130"/>
      <c r="AKS258" s="130"/>
      <c r="AKT258" s="130"/>
      <c r="AKU258" s="130"/>
      <c r="AKV258" s="130"/>
      <c r="AKW258" s="130"/>
      <c r="AKX258" s="130"/>
      <c r="AKY258" s="130"/>
      <c r="AKZ258" s="130"/>
      <c r="ALA258" s="130"/>
      <c r="ALB258" s="130"/>
      <c r="ALC258" s="130"/>
      <c r="ALD258" s="130"/>
      <c r="ALE258" s="130"/>
      <c r="ALF258" s="130"/>
      <c r="ALG258" s="130"/>
      <c r="AOP258" s="130"/>
      <c r="AOQ258" s="130"/>
      <c r="AOR258" s="130"/>
      <c r="AOS258" s="130"/>
      <c r="AOT258" s="130"/>
      <c r="AOU258" s="130"/>
      <c r="AOV258" s="130"/>
      <c r="AOW258" s="130"/>
      <c r="AOX258" s="130"/>
      <c r="AOY258" s="130"/>
      <c r="AOZ258" s="130"/>
      <c r="APA258" s="130"/>
      <c r="APB258" s="130"/>
      <c r="APC258" s="130"/>
      <c r="APD258" s="130"/>
      <c r="APE258" s="130"/>
      <c r="APF258" s="130"/>
      <c r="APG258" s="130"/>
      <c r="APH258" s="130"/>
      <c r="API258" s="130"/>
      <c r="APJ258" s="130"/>
      <c r="APK258" s="130"/>
      <c r="APL258" s="130"/>
      <c r="APM258" s="130"/>
      <c r="APN258" s="130"/>
      <c r="APO258" s="130"/>
      <c r="APP258" s="130"/>
      <c r="APQ258" s="130"/>
      <c r="APR258" s="130"/>
      <c r="APS258" s="130"/>
      <c r="APT258" s="130"/>
      <c r="APU258" s="130"/>
      <c r="APV258" s="130"/>
      <c r="APW258" s="130"/>
      <c r="APX258" s="130"/>
      <c r="APY258" s="130"/>
      <c r="APZ258" s="130"/>
      <c r="AQA258" s="130"/>
      <c r="AQB258" s="130"/>
      <c r="AQC258" s="130"/>
      <c r="AQD258" s="130"/>
      <c r="AQE258" s="130"/>
      <c r="AQF258" s="130"/>
      <c r="AQG258" s="130"/>
      <c r="AQH258" s="130"/>
      <c r="AQI258" s="130"/>
      <c r="AQJ258" s="130"/>
      <c r="AQK258" s="130"/>
      <c r="AQL258" s="130"/>
      <c r="AQM258" s="130"/>
      <c r="AQN258" s="130"/>
      <c r="AQO258" s="130"/>
      <c r="AQP258" s="130"/>
      <c r="AQQ258" s="130"/>
      <c r="AQR258" s="130"/>
      <c r="AQS258" s="130"/>
      <c r="AQT258" s="130"/>
      <c r="AQU258" s="130"/>
      <c r="AQV258" s="653"/>
      <c r="AQW258" s="653"/>
      <c r="AQX258" s="653"/>
      <c r="AQY258" s="653"/>
      <c r="AQZ258" s="653"/>
      <c r="ARA258" s="653"/>
      <c r="ARB258" s="653"/>
      <c r="ARC258" s="653"/>
      <c r="ARD258" s="653"/>
      <c r="ARE258" s="653"/>
      <c r="ARF258" s="653"/>
      <c r="ARG258" s="130"/>
      <c r="ARH258" s="130"/>
      <c r="ARI258" s="130"/>
      <c r="ARJ258" s="130"/>
      <c r="ARK258" s="130"/>
      <c r="ARL258" s="130"/>
      <c r="ARM258" s="130"/>
      <c r="ARN258" s="130"/>
      <c r="ARO258" s="130"/>
      <c r="ARP258" s="130"/>
      <c r="ARQ258" s="130"/>
      <c r="ARR258" s="130"/>
      <c r="ARS258" s="130"/>
      <c r="ART258" s="130"/>
      <c r="ARU258" s="130"/>
      <c r="ARV258" s="130"/>
      <c r="ARW258" s="130"/>
      <c r="ARX258" s="130"/>
      <c r="ARY258" s="130"/>
      <c r="ARZ258" s="130"/>
      <c r="ASA258" s="130"/>
      <c r="ASB258" s="130"/>
      <c r="ASC258" s="130"/>
      <c r="ASD258" s="130"/>
      <c r="ASE258" s="130"/>
      <c r="ASF258" s="130"/>
      <c r="ASG258" s="130"/>
      <c r="ASH258" s="130"/>
      <c r="ASI258" s="130"/>
      <c r="ASJ258" s="130"/>
      <c r="ASK258" s="130"/>
      <c r="ASL258" s="130"/>
      <c r="ASM258" s="130"/>
      <c r="ASN258" s="130"/>
      <c r="ASO258" s="130"/>
      <c r="ASP258" s="130"/>
      <c r="ASQ258" s="130"/>
      <c r="ASR258" s="130"/>
      <c r="ASS258" s="130"/>
      <c r="AST258" s="130"/>
      <c r="ASU258" s="130"/>
      <c r="ASV258" s="130"/>
      <c r="ASW258" s="130"/>
      <c r="ASX258" s="130"/>
      <c r="ASY258" s="130"/>
      <c r="ASZ258" s="130"/>
      <c r="ATA258" s="130"/>
      <c r="ATB258" s="130"/>
      <c r="ATC258" s="130"/>
      <c r="ATD258" s="130"/>
      <c r="ATE258" s="130"/>
      <c r="ATF258" s="130"/>
      <c r="ATG258" s="130"/>
      <c r="ATH258" s="130"/>
      <c r="ATI258" s="130"/>
      <c r="ATJ258" s="130"/>
      <c r="ATK258" s="130"/>
      <c r="ATL258" s="130"/>
      <c r="ATM258" s="130"/>
      <c r="ATN258" s="130"/>
      <c r="ATO258" s="130"/>
      <c r="ATP258" s="130"/>
      <c r="ATQ258" s="130"/>
      <c r="ATR258" s="130"/>
      <c r="ATS258" s="130"/>
      <c r="ATT258" s="130"/>
      <c r="ATU258" s="130"/>
      <c r="ATV258" s="130"/>
      <c r="ATW258" s="130"/>
      <c r="ATX258" s="130"/>
      <c r="ATY258" s="130"/>
      <c r="ATZ258" s="130"/>
      <c r="AUA258" s="130"/>
      <c r="AUB258" s="130"/>
      <c r="AUC258" s="130"/>
      <c r="AUD258" s="130"/>
      <c r="AUE258" s="130"/>
      <c r="AUF258" s="130"/>
      <c r="AUG258" s="130"/>
      <c r="AUH258" s="130"/>
      <c r="AUI258" s="130"/>
      <c r="AUJ258" s="130"/>
      <c r="AUK258" s="130"/>
      <c r="AUL258" s="130"/>
      <c r="AUM258" s="130"/>
      <c r="AUN258" s="130"/>
      <c r="AUO258" s="130"/>
      <c r="AUP258" s="130"/>
      <c r="AUQ258" s="130"/>
      <c r="AUR258" s="130"/>
      <c r="AUS258" s="130"/>
      <c r="AUT258" s="130"/>
      <c r="AUU258" s="130"/>
      <c r="AUV258" s="130"/>
      <c r="AUW258" s="130"/>
      <c r="AUX258" s="130"/>
      <c r="AUY258" s="130"/>
      <c r="AUZ258" s="130"/>
      <c r="AVA258" s="130"/>
      <c r="AVB258" s="130"/>
      <c r="AVC258" s="130"/>
      <c r="AVD258" s="130"/>
      <c r="AVE258" s="130"/>
      <c r="AVF258" s="130"/>
      <c r="AVG258" s="130"/>
      <c r="AVH258" s="130"/>
      <c r="AVI258" s="130"/>
      <c r="AVJ258" s="130"/>
      <c r="AVK258" s="130"/>
      <c r="AVL258" s="130"/>
      <c r="AVM258" s="130"/>
      <c r="AVN258" s="130"/>
      <c r="AVO258" s="130"/>
      <c r="AVP258" s="130"/>
      <c r="AVQ258" s="130"/>
      <c r="AVR258" s="130"/>
      <c r="AVS258" s="130"/>
      <c r="AVT258" s="130"/>
      <c r="AVU258" s="130"/>
      <c r="AVV258" s="130"/>
      <c r="AVW258" s="130"/>
      <c r="AVX258" s="130"/>
      <c r="AVY258" s="130"/>
      <c r="AVZ258" s="130"/>
      <c r="AWA258" s="130"/>
      <c r="AWB258" s="130"/>
      <c r="AWC258" s="130"/>
      <c r="AWD258" s="130"/>
      <c r="AWE258" s="130"/>
      <c r="AWF258" s="130"/>
      <c r="AWG258" s="130"/>
      <c r="AWH258" s="130"/>
      <c r="AWI258" s="130"/>
      <c r="AWJ258" s="130"/>
      <c r="AWK258" s="130"/>
      <c r="AWL258" s="130"/>
      <c r="AWM258" s="130"/>
      <c r="AWN258" s="130"/>
      <c r="AWO258" s="130"/>
      <c r="AWP258" s="130"/>
      <c r="AWQ258" s="130"/>
      <c r="AWR258" s="130"/>
      <c r="AWS258" s="130"/>
      <c r="AWT258" s="130"/>
      <c r="AWU258" s="130"/>
      <c r="AWV258" s="130"/>
      <c r="AWW258" s="130"/>
      <c r="AWX258" s="130"/>
      <c r="AWY258" s="130"/>
      <c r="AWZ258" s="130"/>
      <c r="AXA258" s="130"/>
      <c r="AXB258" s="130"/>
      <c r="AXC258" s="130"/>
      <c r="AXD258" s="130"/>
      <c r="AXE258" s="130"/>
      <c r="AXF258" s="130"/>
      <c r="AXG258" s="130"/>
      <c r="AXH258" s="130"/>
      <c r="AXI258" s="130"/>
      <c r="AXJ258" s="130"/>
      <c r="AXK258" s="130"/>
      <c r="AXL258" s="130"/>
      <c r="AXM258" s="130"/>
      <c r="AXN258" s="130"/>
      <c r="AXO258" s="130"/>
      <c r="AXP258" s="130"/>
      <c r="AXQ258" s="130"/>
      <c r="AXR258" s="130"/>
      <c r="AXS258" s="130"/>
      <c r="AXT258" s="130"/>
      <c r="AXU258" s="130"/>
      <c r="AXV258" s="130"/>
      <c r="AXW258" s="130"/>
      <c r="AXX258" s="130"/>
      <c r="AXY258" s="130"/>
      <c r="AXZ258" s="130"/>
      <c r="AYA258" s="130"/>
      <c r="AYB258" s="130"/>
      <c r="AYC258" s="130"/>
      <c r="AYD258" s="130"/>
      <c r="AYE258" s="130"/>
      <c r="AYF258" s="130"/>
      <c r="AYG258" s="130"/>
      <c r="AYH258" s="130"/>
      <c r="AYI258" s="130"/>
      <c r="AYJ258" s="130"/>
      <c r="AYK258" s="130"/>
      <c r="AYL258" s="130"/>
      <c r="AYM258" s="130"/>
      <c r="AYN258" s="130"/>
      <c r="AYO258" s="130"/>
      <c r="AYP258" s="130"/>
      <c r="AYQ258" s="130"/>
      <c r="AYR258" s="130"/>
      <c r="AYS258" s="130"/>
      <c r="AYT258" s="130"/>
      <c r="AYU258" s="130"/>
      <c r="AYV258" s="130"/>
      <c r="AYW258" s="130"/>
      <c r="AYX258" s="130"/>
      <c r="AYY258" s="130"/>
      <c r="AYZ258" s="130"/>
      <c r="AZA258" s="130"/>
      <c r="AZB258" s="130"/>
      <c r="AZC258" s="130"/>
      <c r="AZD258" s="130"/>
      <c r="AZE258" s="130"/>
      <c r="AZF258" s="130"/>
      <c r="AZG258" s="130"/>
      <c r="AZH258" s="130"/>
      <c r="AZI258" s="130"/>
      <c r="AZJ258" s="130"/>
      <c r="AZK258" s="130"/>
      <c r="AZL258" s="130"/>
      <c r="AZM258" s="130"/>
      <c r="AZN258" s="130"/>
      <c r="AZO258" s="130"/>
      <c r="AZP258" s="130"/>
      <c r="AZQ258" s="130"/>
      <c r="AZR258" s="130"/>
      <c r="AZS258" s="130"/>
      <c r="AZT258" s="130"/>
      <c r="AZU258" s="130"/>
      <c r="AZV258" s="130"/>
      <c r="AZW258" s="130"/>
      <c r="AZX258" s="130"/>
      <c r="AZY258" s="130"/>
      <c r="AZZ258" s="130"/>
      <c r="BAA258" s="130"/>
      <c r="BAB258" s="130"/>
      <c r="BAC258" s="130"/>
      <c r="BAD258" s="130"/>
      <c r="BAE258" s="130"/>
      <c r="BAF258" s="130"/>
      <c r="BAG258" s="130"/>
      <c r="BAH258" s="130"/>
      <c r="BAI258" s="130"/>
      <c r="BAJ258" s="130"/>
      <c r="BAK258" s="130"/>
      <c r="BAL258" s="130"/>
      <c r="BAM258" s="130"/>
      <c r="BAN258" s="130"/>
      <c r="BAO258" s="130"/>
      <c r="BAP258" s="130"/>
      <c r="BAQ258" s="130"/>
      <c r="BAR258" s="130"/>
      <c r="BAS258" s="130"/>
      <c r="BAT258" s="130"/>
      <c r="BAU258" s="130"/>
      <c r="BAV258" s="130"/>
      <c r="BAW258" s="130"/>
      <c r="BAX258" s="130"/>
      <c r="BAY258" s="130"/>
      <c r="BAZ258" s="130"/>
      <c r="BBA258" s="130"/>
      <c r="BBB258" s="130"/>
      <c r="BBC258" s="130"/>
      <c r="BBD258" s="130"/>
      <c r="BBE258" s="130"/>
      <c r="BBF258" s="130"/>
      <c r="BBG258" s="130"/>
      <c r="BBH258" s="130"/>
      <c r="BBI258" s="130"/>
      <c r="BBJ258" s="130"/>
      <c r="BBK258" s="130"/>
      <c r="BBL258" s="130"/>
      <c r="BBM258" s="130"/>
      <c r="BBN258" s="130"/>
    </row>
    <row r="259" spans="450:995 1082:1418" ht="48" customHeight="1" thickBot="1">
      <c r="QW259" s="130"/>
      <c r="QX259" s="130"/>
      <c r="QY259" s="130"/>
      <c r="QZ259" s="130"/>
      <c r="RA259" s="130"/>
      <c r="RB259" s="130"/>
      <c r="RC259" s="130"/>
      <c r="RD259" s="130"/>
      <c r="RE259" s="130"/>
      <c r="RF259" s="130"/>
      <c r="RG259" s="130"/>
      <c r="RH259" s="130"/>
      <c r="RI259" s="130"/>
      <c r="RJ259" s="130"/>
      <c r="RK259" s="130"/>
      <c r="RL259" s="130"/>
      <c r="RM259" s="130"/>
      <c r="RN259" s="130"/>
      <c r="ACJ259" s="759">
        <v>-4.0625000000000001E-2</v>
      </c>
      <c r="ACK259" s="760"/>
      <c r="ACL259" s="759">
        <v>0.96499999999999997</v>
      </c>
      <c r="ACM259" s="760"/>
      <c r="ACN259" s="591">
        <v>32</v>
      </c>
      <c r="ACO259" s="759">
        <f t="shared" si="287"/>
        <v>0.93412499999999998</v>
      </c>
      <c r="ACP259" s="760"/>
      <c r="ACQ259" s="757">
        <f t="shared" si="288"/>
        <v>0.76</v>
      </c>
      <c r="ACR259" s="758"/>
      <c r="ACT259" s="759">
        <v>-0.1</v>
      </c>
      <c r="ACU259" s="760"/>
      <c r="ACV259" s="759">
        <v>1.06</v>
      </c>
      <c r="ACW259" s="760"/>
      <c r="ACX259" s="592">
        <v>82</v>
      </c>
      <c r="ACY259" s="759">
        <f t="shared" si="289"/>
        <v>0.86525000000000007</v>
      </c>
      <c r="ACZ259" s="760"/>
      <c r="ADA259" s="757">
        <f t="shared" si="290"/>
        <v>1.9475</v>
      </c>
      <c r="ADB259" s="758"/>
      <c r="ADD259" s="1112">
        <v>-0.12</v>
      </c>
      <c r="ADE259" s="1112"/>
      <c r="ADF259" s="1112">
        <v>1.06</v>
      </c>
      <c r="ADG259" s="1112"/>
      <c r="ADH259" s="591">
        <v>132</v>
      </c>
      <c r="ADI259" s="759">
        <f t="shared" si="291"/>
        <v>0.68379999999999996</v>
      </c>
      <c r="ADJ259" s="760"/>
      <c r="ADK259" s="757">
        <f t="shared" si="292"/>
        <v>3.1350000000000002</v>
      </c>
      <c r="ADL259" s="758"/>
      <c r="ADN259" s="1112">
        <v>-0.08</v>
      </c>
      <c r="ADO259" s="1112"/>
      <c r="ADP259" s="1112">
        <v>0.9</v>
      </c>
      <c r="ADQ259" s="1112"/>
      <c r="ADR259" s="592">
        <v>182</v>
      </c>
      <c r="ADS259" s="759">
        <f t="shared" si="293"/>
        <v>0.55420000000000003</v>
      </c>
      <c r="ADT259" s="760"/>
      <c r="ADU259" s="757">
        <f t="shared" si="294"/>
        <v>4.3224999999999998</v>
      </c>
      <c r="ADV259" s="758"/>
      <c r="ADX259" s="1112">
        <v>-5.8823529411764698E-2</v>
      </c>
      <c r="ADY259" s="1112"/>
      <c r="ADZ259" s="1112">
        <v>0.79411764705882304</v>
      </c>
      <c r="AEA259" s="1112"/>
      <c r="AEB259" s="591">
        <v>232</v>
      </c>
      <c r="AEC259" s="759">
        <f t="shared" si="295"/>
        <v>0.46999999999999958</v>
      </c>
      <c r="AED259" s="760"/>
      <c r="AEE259" s="757">
        <f t="shared" si="296"/>
        <v>5.51</v>
      </c>
      <c r="AEF259" s="758"/>
      <c r="AEH259" s="1112">
        <v>-5.8823529411764698E-2</v>
      </c>
      <c r="AEI259" s="1112"/>
      <c r="AEJ259" s="1112">
        <v>0.79411764705882304</v>
      </c>
      <c r="AEK259" s="1112"/>
      <c r="AEL259" s="591">
        <v>282</v>
      </c>
      <c r="AEM259" s="759">
        <f t="shared" si="297"/>
        <v>0.40014705882352897</v>
      </c>
      <c r="AEN259" s="760"/>
      <c r="AEO259" s="757">
        <f t="shared" si="298"/>
        <v>6.6974999999999998</v>
      </c>
      <c r="AEP259" s="758"/>
      <c r="AER259" s="1112">
        <v>-3.5714285714285698E-2</v>
      </c>
      <c r="AES259" s="1112"/>
      <c r="AET259" s="1112">
        <v>0.63928571428571401</v>
      </c>
      <c r="AEU259" s="1112"/>
      <c r="AEV259" s="592">
        <v>332</v>
      </c>
      <c r="AEW259" s="759">
        <f t="shared" si="299"/>
        <v>0.35767857142857129</v>
      </c>
      <c r="AEX259" s="760"/>
      <c r="AEY259" s="757">
        <f t="shared" si="300"/>
        <v>7.8849999999999998</v>
      </c>
      <c r="AEZ259" s="758"/>
      <c r="AFB259" s="1112">
        <v>-3.5714285714285698E-2</v>
      </c>
      <c r="AFC259" s="1112"/>
      <c r="AFD259" s="1112">
        <v>0.63928571428571401</v>
      </c>
      <c r="AFE259" s="1112"/>
      <c r="AFF259" s="592">
        <v>382</v>
      </c>
      <c r="AFG259" s="759">
        <f t="shared" si="301"/>
        <v>0.31526785714285704</v>
      </c>
      <c r="AFH259" s="760"/>
      <c r="AFI259" s="757">
        <f t="shared" si="302"/>
        <v>9.0724999999999998</v>
      </c>
      <c r="AFJ259" s="758"/>
      <c r="AGJ259" s="130"/>
      <c r="AGK259" s="130"/>
      <c r="AGL259" s="851"/>
      <c r="AGM259" s="1163" t="s">
        <v>1512</v>
      </c>
      <c r="AGN259" s="1163"/>
      <c r="AGO259" s="1163"/>
      <c r="AGP259" s="1068">
        <f>$AGZ$274</f>
        <v>0.33307774768934462</v>
      </c>
      <c r="AGQ259" s="1068"/>
      <c r="AGR259" s="777"/>
      <c r="AGS259" s="778"/>
      <c r="AGT259" s="778"/>
      <c r="AGU259" s="778"/>
      <c r="AGV259" s="778"/>
      <c r="AGW259" s="778"/>
      <c r="AGX259" s="778"/>
      <c r="AGY259" s="799"/>
      <c r="AGZ259" s="942"/>
      <c r="AHA259" s="943"/>
      <c r="AHB259" s="943"/>
      <c r="AHC259" s="943"/>
      <c r="AHD259" s="943"/>
      <c r="AHE259" s="943"/>
      <c r="AHF259" s="943"/>
      <c r="AHG259" s="944"/>
      <c r="AHH259" s="1053"/>
      <c r="AHI259" s="1053"/>
      <c r="AHJ259" s="1053"/>
      <c r="AHK259" s="1053"/>
      <c r="AHL259" s="1053"/>
      <c r="AHM259" s="1053"/>
      <c r="AHP259" s="130"/>
      <c r="AHQ259" s="130"/>
      <c r="AHR259" s="130"/>
      <c r="AHS259" s="130"/>
      <c r="AHT259" s="130"/>
      <c r="AHU259" s="130"/>
      <c r="AHW259" s="130"/>
      <c r="AHX259" s="130"/>
      <c r="AHY259" s="130"/>
      <c r="AHZ259" s="130"/>
      <c r="AIA259" s="130"/>
      <c r="AIB259" s="130"/>
      <c r="AIC259" s="130"/>
      <c r="AID259" s="130"/>
      <c r="AIE259" s="130"/>
      <c r="AIF259" s="130"/>
      <c r="AIG259" s="130"/>
      <c r="AJB259" s="130"/>
      <c r="AJJ259" s="130"/>
      <c r="AJK259" s="130"/>
      <c r="AJL259" s="130"/>
      <c r="AJM259" s="130"/>
      <c r="AJN259" s="130"/>
      <c r="AJO259" s="130"/>
      <c r="AJP259" s="130"/>
      <c r="AJQ259" s="130"/>
      <c r="AJR259" s="130"/>
      <c r="AJS259" s="130"/>
      <c r="AJT259" s="130"/>
      <c r="AJU259" s="130"/>
      <c r="AJV259" s="130"/>
      <c r="AJW259" s="130"/>
      <c r="AJX259" s="130"/>
      <c r="AJY259" s="130"/>
      <c r="AJZ259" s="130"/>
      <c r="AKA259" s="130"/>
      <c r="AKB259" s="130"/>
      <c r="AKC259" s="130"/>
      <c r="AKD259" s="130"/>
      <c r="AKE259" s="130"/>
      <c r="AKF259" s="130"/>
      <c r="AKG259" s="130"/>
      <c r="AKH259" s="130"/>
      <c r="AKI259" s="130"/>
      <c r="AKJ259" s="130"/>
      <c r="AKK259" s="130"/>
      <c r="AKL259" s="130"/>
      <c r="AKM259" s="130"/>
      <c r="AKN259" s="130"/>
      <c r="AKO259" s="130"/>
      <c r="AKP259" s="130"/>
      <c r="AKQ259" s="130"/>
      <c r="AKR259" s="130"/>
      <c r="AKS259" s="130"/>
      <c r="AKT259" s="130"/>
      <c r="AKU259" s="130"/>
      <c r="AKV259" s="130"/>
      <c r="AKW259" s="130"/>
      <c r="AKX259" s="130"/>
      <c r="AKY259" s="130"/>
      <c r="AKZ259" s="130"/>
      <c r="ALA259" s="130"/>
      <c r="ALB259" s="130"/>
      <c r="ALC259" s="130"/>
      <c r="ALD259" s="130"/>
      <c r="ALE259" s="130"/>
      <c r="ALF259" s="130"/>
      <c r="ALG259" s="130"/>
      <c r="AOP259" s="130"/>
      <c r="AOQ259" s="130"/>
      <c r="AOR259" s="130"/>
      <c r="AOS259" s="130"/>
      <c r="AOT259" s="130"/>
      <c r="AOU259" s="130"/>
      <c r="AOV259" s="130"/>
      <c r="AOW259" s="130"/>
      <c r="AOX259" s="130"/>
      <c r="AOY259" s="130"/>
      <c r="AOZ259" s="130"/>
      <c r="APA259" s="130"/>
      <c r="APB259" s="130"/>
      <c r="APC259" s="130"/>
      <c r="APD259" s="130"/>
      <c r="APE259" s="130"/>
      <c r="APF259" s="130"/>
      <c r="APG259" s="130"/>
      <c r="APH259" s="130"/>
      <c r="API259" s="130"/>
      <c r="APJ259" s="130"/>
      <c r="APK259" s="130"/>
      <c r="APL259" s="130"/>
      <c r="APM259" s="130"/>
      <c r="APN259" s="130"/>
      <c r="APO259" s="130"/>
      <c r="APP259" s="130"/>
      <c r="APQ259" s="130"/>
      <c r="APR259" s="130"/>
      <c r="APS259" s="130"/>
      <c r="APT259" s="130"/>
      <c r="APU259" s="130"/>
      <c r="APV259" s="130"/>
      <c r="APW259" s="130"/>
      <c r="APX259" s="130"/>
      <c r="APY259" s="130"/>
      <c r="APZ259" s="130"/>
      <c r="AQA259" s="130"/>
      <c r="AQB259" s="130"/>
      <c r="AQC259" s="130"/>
      <c r="AQD259" s="130"/>
      <c r="AQE259" s="130"/>
      <c r="AQF259" s="130"/>
      <c r="AQG259" s="130"/>
      <c r="AQH259" s="130"/>
      <c r="AQI259" s="130"/>
      <c r="AQJ259" s="130"/>
      <c r="AQK259" s="130"/>
      <c r="AQL259" s="130"/>
      <c r="AQM259" s="130"/>
      <c r="AQN259" s="130"/>
      <c r="AQO259" s="130"/>
      <c r="AQP259" s="130"/>
      <c r="AQQ259" s="130"/>
      <c r="AQR259" s="130"/>
      <c r="AQS259" s="130"/>
      <c r="AQT259" s="130"/>
      <c r="AQU259" s="130"/>
      <c r="AQV259" s="653"/>
      <c r="AQW259" s="653"/>
      <c r="AQX259" s="653"/>
      <c r="AQY259" s="653"/>
      <c r="AQZ259" s="653"/>
      <c r="ARA259" s="653"/>
      <c r="ARB259" s="653"/>
      <c r="ARC259" s="653"/>
      <c r="ARD259" s="653"/>
      <c r="ARE259" s="653"/>
      <c r="ARF259" s="653"/>
      <c r="ARG259" s="130"/>
      <c r="ARH259" s="130"/>
      <c r="ARI259" s="130"/>
      <c r="ARJ259" s="130"/>
      <c r="ARK259" s="130"/>
      <c r="ARL259" s="130"/>
      <c r="ARM259" s="130"/>
      <c r="ARN259" s="130"/>
      <c r="ARO259" s="130"/>
      <c r="ARP259" s="130"/>
      <c r="ARQ259" s="130"/>
      <c r="ARR259" s="130"/>
      <c r="ARS259" s="130"/>
      <c r="ART259" s="130"/>
      <c r="ARU259" s="130"/>
      <c r="ARV259" s="130"/>
      <c r="ARW259" s="130"/>
      <c r="ARX259" s="130"/>
      <c r="ARY259" s="130"/>
      <c r="ARZ259" s="130"/>
      <c r="ASA259" s="130"/>
      <c r="ASB259" s="130"/>
      <c r="ASC259" s="130"/>
      <c r="ASD259" s="130"/>
      <c r="ASE259" s="130"/>
      <c r="ASF259" s="130"/>
      <c r="ASG259" s="130"/>
      <c r="ASH259" s="130"/>
      <c r="ASI259" s="130"/>
      <c r="ASJ259" s="130"/>
      <c r="ASK259" s="130"/>
      <c r="ASL259" s="130"/>
      <c r="ASM259" s="130"/>
      <c r="ASN259" s="130"/>
      <c r="ASO259" s="130"/>
      <c r="ASP259" s="130"/>
      <c r="ASQ259" s="130"/>
      <c r="ASR259" s="130"/>
      <c r="ASS259" s="130"/>
      <c r="AST259" s="130"/>
      <c r="ASU259" s="130"/>
      <c r="ASV259" s="130"/>
      <c r="ASW259" s="130"/>
      <c r="ASX259" s="130"/>
      <c r="ASY259" s="130"/>
      <c r="ASZ259" s="130"/>
      <c r="ATA259" s="130"/>
      <c r="ATB259" s="130"/>
      <c r="ATC259" s="130"/>
      <c r="ATD259" s="130"/>
      <c r="ATE259" s="130"/>
      <c r="ATF259" s="130"/>
      <c r="ATG259" s="130"/>
      <c r="ATH259" s="130"/>
      <c r="ATI259" s="130"/>
      <c r="ATJ259" s="130"/>
      <c r="ATK259" s="130"/>
      <c r="ATL259" s="130"/>
      <c r="ATM259" s="130"/>
      <c r="ATN259" s="130"/>
      <c r="ATO259" s="130"/>
      <c r="ATP259" s="130"/>
      <c r="ATQ259" s="130"/>
      <c r="ATR259" s="130"/>
      <c r="ATS259" s="130"/>
      <c r="ATT259" s="130"/>
      <c r="ATU259" s="130"/>
      <c r="ATV259" s="130"/>
      <c r="ATW259" s="130"/>
      <c r="ATX259" s="130"/>
      <c r="ATY259" s="130"/>
      <c r="ATZ259" s="130"/>
      <c r="AUA259" s="130"/>
      <c r="AUB259" s="130"/>
      <c r="AUC259" s="130"/>
      <c r="AUD259" s="130"/>
      <c r="AUE259" s="130"/>
      <c r="AUF259" s="130"/>
      <c r="AUG259" s="130"/>
      <c r="AUH259" s="130"/>
      <c r="AUI259" s="130"/>
      <c r="AUJ259" s="130"/>
      <c r="AUK259" s="130"/>
      <c r="AUL259" s="130"/>
      <c r="AUM259" s="130"/>
      <c r="AUN259" s="130"/>
      <c r="AUO259" s="130"/>
      <c r="AUP259" s="130"/>
      <c r="AUQ259" s="130"/>
      <c r="AUR259" s="130"/>
      <c r="AUS259" s="130"/>
      <c r="AUT259" s="130"/>
      <c r="AUU259" s="130"/>
      <c r="AUV259" s="130"/>
      <c r="AUW259" s="130"/>
      <c r="AUX259" s="130"/>
      <c r="AUY259" s="130"/>
      <c r="AUZ259" s="130"/>
      <c r="AVA259" s="130"/>
      <c r="AVB259" s="130"/>
      <c r="AVC259" s="130"/>
      <c r="AVD259" s="130"/>
      <c r="AVE259" s="130"/>
      <c r="AVF259" s="130"/>
      <c r="AVG259" s="130"/>
      <c r="AVH259" s="130"/>
      <c r="AVI259" s="130"/>
      <c r="AVJ259" s="130"/>
      <c r="AVK259" s="130"/>
      <c r="AVL259" s="130"/>
      <c r="AVM259" s="130"/>
      <c r="AVN259" s="130"/>
      <c r="AVO259" s="130"/>
      <c r="AVP259" s="130"/>
      <c r="AVQ259" s="130"/>
      <c r="AVR259" s="130"/>
      <c r="AVS259" s="130"/>
      <c r="AVT259" s="130"/>
      <c r="AVU259" s="130"/>
      <c r="AVV259" s="130"/>
      <c r="AVW259" s="130"/>
      <c r="AVX259" s="130"/>
      <c r="AVY259" s="130"/>
      <c r="AVZ259" s="130"/>
      <c r="AWA259" s="130"/>
      <c r="AWB259" s="130"/>
      <c r="AWC259" s="130"/>
      <c r="AWD259" s="130"/>
      <c r="AWE259" s="130"/>
      <c r="AWF259" s="130"/>
      <c r="AWG259" s="130"/>
      <c r="AWH259" s="130"/>
      <c r="AWI259" s="130"/>
      <c r="AWJ259" s="130"/>
      <c r="AWK259" s="130"/>
      <c r="AWL259" s="130"/>
      <c r="AWM259" s="130"/>
      <c r="AWN259" s="130"/>
      <c r="AWO259" s="130"/>
      <c r="AWP259" s="130"/>
      <c r="AWQ259" s="130"/>
      <c r="AWR259" s="130"/>
      <c r="AWS259" s="130"/>
      <c r="AWT259" s="130"/>
      <c r="AWU259" s="130"/>
      <c r="AWV259" s="130"/>
      <c r="AWW259" s="130"/>
      <c r="AWX259" s="130"/>
      <c r="AWY259" s="130"/>
      <c r="AWZ259" s="130"/>
      <c r="AXA259" s="130"/>
      <c r="AXB259" s="130"/>
      <c r="AXC259" s="130"/>
      <c r="AXD259" s="130"/>
      <c r="AXE259" s="130"/>
      <c r="AXF259" s="130"/>
      <c r="AXG259" s="130"/>
      <c r="AXH259" s="130"/>
      <c r="AXI259" s="130"/>
      <c r="AXJ259" s="130"/>
      <c r="AXK259" s="130"/>
      <c r="AXL259" s="130"/>
      <c r="AXM259" s="130"/>
      <c r="AXN259" s="130"/>
      <c r="AXO259" s="130"/>
      <c r="AXP259" s="130"/>
      <c r="AXQ259" s="130"/>
      <c r="AXR259" s="130"/>
      <c r="AXS259" s="130"/>
      <c r="AXT259" s="130"/>
      <c r="AXU259" s="130"/>
      <c r="AXV259" s="130"/>
      <c r="AXW259" s="130"/>
      <c r="AXX259" s="130"/>
      <c r="AXY259" s="130"/>
      <c r="AXZ259" s="130"/>
      <c r="AYA259" s="130"/>
      <c r="AYB259" s="130"/>
      <c r="AYC259" s="130"/>
      <c r="AYD259" s="130"/>
      <c r="AYE259" s="130"/>
      <c r="AYF259" s="130"/>
      <c r="AYG259" s="130"/>
      <c r="AYH259" s="130"/>
      <c r="AYI259" s="130"/>
      <c r="AYJ259" s="130"/>
      <c r="AYK259" s="130"/>
      <c r="AYL259" s="130"/>
      <c r="AYM259" s="130"/>
      <c r="AYN259" s="130"/>
      <c r="AYO259" s="130"/>
      <c r="AYP259" s="130"/>
      <c r="AYQ259" s="130"/>
      <c r="AYR259" s="130"/>
      <c r="AYS259" s="130"/>
      <c r="AYT259" s="130"/>
      <c r="AYU259" s="130"/>
      <c r="AYV259" s="130"/>
      <c r="AYW259" s="130"/>
      <c r="AYX259" s="130"/>
      <c r="AYY259" s="130"/>
      <c r="AYZ259" s="130"/>
      <c r="AZA259" s="130"/>
      <c r="AZB259" s="130"/>
      <c r="AZC259" s="130"/>
      <c r="AZD259" s="130"/>
      <c r="AZE259" s="130"/>
      <c r="AZF259" s="130"/>
      <c r="AZG259" s="130"/>
      <c r="AZH259" s="130"/>
      <c r="AZI259" s="130"/>
      <c r="AZJ259" s="130"/>
      <c r="AZK259" s="130"/>
      <c r="AZL259" s="130"/>
      <c r="AZM259" s="130"/>
      <c r="AZN259" s="130"/>
      <c r="AZO259" s="130"/>
      <c r="AZP259" s="130"/>
      <c r="AZQ259" s="130"/>
      <c r="AZR259" s="130"/>
      <c r="AZS259" s="130"/>
      <c r="AZT259" s="130"/>
      <c r="AZU259" s="130"/>
      <c r="AZV259" s="130"/>
      <c r="AZW259" s="130"/>
      <c r="AZX259" s="130"/>
      <c r="AZY259" s="130"/>
      <c r="AZZ259" s="130"/>
      <c r="BAA259" s="130"/>
      <c r="BAB259" s="130"/>
      <c r="BAC259" s="130"/>
      <c r="BAD259" s="130"/>
      <c r="BAE259" s="130"/>
      <c r="BAF259" s="130"/>
      <c r="BAG259" s="130"/>
      <c r="BAH259" s="130"/>
      <c r="BAI259" s="130"/>
      <c r="BAJ259" s="130"/>
      <c r="BAK259" s="130"/>
      <c r="BAL259" s="130"/>
      <c r="BAM259" s="130"/>
      <c r="BAN259" s="130"/>
      <c r="BAO259" s="130"/>
      <c r="BAP259" s="130"/>
      <c r="BAQ259" s="130"/>
      <c r="BAR259" s="130"/>
      <c r="BAS259" s="130"/>
      <c r="BAT259" s="130"/>
      <c r="BAU259" s="130"/>
      <c r="BAV259" s="130"/>
      <c r="BAW259" s="130"/>
      <c r="BAX259" s="130"/>
      <c r="BAY259" s="130"/>
      <c r="BAZ259" s="130"/>
      <c r="BBA259" s="130"/>
      <c r="BBB259" s="130"/>
      <c r="BBC259" s="130"/>
      <c r="BBD259" s="130"/>
      <c r="BBE259" s="130"/>
      <c r="BBF259" s="130"/>
      <c r="BBG259" s="130"/>
      <c r="BBH259" s="130"/>
      <c r="BBI259" s="130"/>
      <c r="BBJ259" s="130"/>
      <c r="BBK259" s="130"/>
      <c r="BBL259" s="130"/>
      <c r="BBM259" s="130"/>
      <c r="BBN259" s="130"/>
    </row>
    <row r="260" spans="450:995 1082:1418" ht="48" customHeight="1">
      <c r="QW260" s="130"/>
      <c r="QX260" s="130"/>
      <c r="QY260" s="130"/>
      <c r="QZ260" s="130"/>
      <c r="RA260" s="130"/>
      <c r="RB260" s="130"/>
      <c r="RC260" s="130"/>
      <c r="RD260" s="130"/>
      <c r="RE260" s="130"/>
      <c r="RF260" s="130"/>
      <c r="RG260" s="130"/>
      <c r="RH260" s="130"/>
      <c r="RI260" s="130"/>
      <c r="RJ260" s="130"/>
      <c r="RK260" s="130"/>
      <c r="RL260" s="130"/>
      <c r="RM260" s="130"/>
      <c r="RN260" s="130"/>
      <c r="ACJ260" s="759">
        <v>-4.0625000000000001E-2</v>
      </c>
      <c r="ACK260" s="760"/>
      <c r="ACL260" s="759">
        <v>0.96499999999999997</v>
      </c>
      <c r="ACM260" s="760"/>
      <c r="ACN260" s="591">
        <v>33</v>
      </c>
      <c r="ACO260" s="759">
        <f t="shared" si="287"/>
        <v>0.93316015624999993</v>
      </c>
      <c r="ACP260" s="760"/>
      <c r="ACQ260" s="757">
        <f t="shared" si="288"/>
        <v>0.78375000000000006</v>
      </c>
      <c r="ACR260" s="758"/>
      <c r="ACT260" s="759">
        <v>-0.1</v>
      </c>
      <c r="ACU260" s="760"/>
      <c r="ACV260" s="759">
        <v>1.06</v>
      </c>
      <c r="ACW260" s="760"/>
      <c r="ACX260" s="592">
        <v>83</v>
      </c>
      <c r="ACY260" s="759">
        <f t="shared" si="289"/>
        <v>0.86287500000000006</v>
      </c>
      <c r="ACZ260" s="760"/>
      <c r="ADA260" s="757">
        <f t="shared" si="290"/>
        <v>1.9712499999999999</v>
      </c>
      <c r="ADB260" s="758"/>
      <c r="ADD260" s="1112">
        <v>-0.12</v>
      </c>
      <c r="ADE260" s="1112"/>
      <c r="ADF260" s="1112">
        <v>1.06</v>
      </c>
      <c r="ADG260" s="1112"/>
      <c r="ADH260" s="591">
        <v>133</v>
      </c>
      <c r="ADI260" s="759">
        <f t="shared" si="291"/>
        <v>0.68095000000000006</v>
      </c>
      <c r="ADJ260" s="760"/>
      <c r="ADK260" s="757">
        <f t="shared" si="292"/>
        <v>3.1587499999999999</v>
      </c>
      <c r="ADL260" s="758"/>
      <c r="ADN260" s="1112">
        <v>-0.08</v>
      </c>
      <c r="ADO260" s="1112"/>
      <c r="ADP260" s="1112">
        <v>0.9</v>
      </c>
      <c r="ADQ260" s="1112"/>
      <c r="ADR260" s="592">
        <v>183</v>
      </c>
      <c r="ADS260" s="759">
        <f t="shared" si="293"/>
        <v>0.55230000000000001</v>
      </c>
      <c r="ADT260" s="760"/>
      <c r="ADU260" s="757">
        <f t="shared" si="294"/>
        <v>4.3462500000000004</v>
      </c>
      <c r="ADV260" s="758"/>
      <c r="ADX260" s="1112">
        <v>-5.8823529411764698E-2</v>
      </c>
      <c r="ADY260" s="1112"/>
      <c r="ADZ260" s="1112">
        <v>0.79411764705882304</v>
      </c>
      <c r="AEA260" s="1112"/>
      <c r="AEB260" s="591">
        <v>233</v>
      </c>
      <c r="AEC260" s="759">
        <f t="shared" si="295"/>
        <v>0.46860294117647011</v>
      </c>
      <c r="AED260" s="760"/>
      <c r="AEE260" s="757">
        <f t="shared" si="296"/>
        <v>5.5337500000000004</v>
      </c>
      <c r="AEF260" s="758"/>
      <c r="AEH260" s="1112">
        <v>-5.8823529411764698E-2</v>
      </c>
      <c r="AEI260" s="1112"/>
      <c r="AEJ260" s="1112">
        <v>0.79411764705882304</v>
      </c>
      <c r="AEK260" s="1112"/>
      <c r="AEL260" s="591">
        <v>283</v>
      </c>
      <c r="AEM260" s="759">
        <f t="shared" si="297"/>
        <v>0.39874999999999955</v>
      </c>
      <c r="AEN260" s="760"/>
      <c r="AEO260" s="757">
        <f t="shared" si="298"/>
        <v>6.7212500000000004</v>
      </c>
      <c r="AEP260" s="758"/>
      <c r="AER260" s="1112">
        <v>-3.5714285714285698E-2</v>
      </c>
      <c r="AES260" s="1112"/>
      <c r="AET260" s="1112">
        <v>0.63928571428571401</v>
      </c>
      <c r="AEU260" s="1112"/>
      <c r="AEV260" s="592">
        <v>333</v>
      </c>
      <c r="AEW260" s="759">
        <f t="shared" si="299"/>
        <v>0.35683035714285699</v>
      </c>
      <c r="AEX260" s="760"/>
      <c r="AEY260" s="757">
        <f t="shared" si="300"/>
        <v>7.9087500000000004</v>
      </c>
      <c r="AEZ260" s="758"/>
      <c r="AFB260" s="1112">
        <v>-3.5714285714285698E-2</v>
      </c>
      <c r="AFC260" s="1112"/>
      <c r="AFD260" s="1112">
        <v>0.63928571428571401</v>
      </c>
      <c r="AFE260" s="1112"/>
      <c r="AFF260" s="592">
        <v>383</v>
      </c>
      <c r="AFG260" s="759">
        <f t="shared" si="301"/>
        <v>0.31441964285714274</v>
      </c>
      <c r="AFH260" s="760"/>
      <c r="AFI260" s="757">
        <f t="shared" si="302"/>
        <v>9.0962499999999995</v>
      </c>
      <c r="AFJ260" s="758"/>
      <c r="AGK260" s="130"/>
      <c r="AHP260" s="130"/>
      <c r="AHQ260" s="130"/>
      <c r="AHR260" s="130"/>
      <c r="AHS260" s="130"/>
      <c r="AHU260" s="130"/>
      <c r="AHV260" s="130"/>
      <c r="AHW260" s="130"/>
      <c r="AHX260" s="130"/>
      <c r="AHY260" s="130"/>
      <c r="AHZ260" s="130"/>
      <c r="AIA260" s="130"/>
      <c r="AIB260" s="130"/>
      <c r="AIC260" s="130"/>
      <c r="AID260" s="130"/>
      <c r="AIE260" s="130"/>
      <c r="AIF260" s="130"/>
      <c r="AIG260" s="130"/>
      <c r="AJB260" s="130"/>
      <c r="AJJ260" s="130"/>
      <c r="AJK260" s="130"/>
      <c r="AJL260" s="130"/>
      <c r="AJM260" s="130"/>
      <c r="AJN260" s="130"/>
      <c r="AJO260" s="130"/>
      <c r="AJP260" s="130"/>
      <c r="AJQ260" s="130"/>
      <c r="AJR260" s="130"/>
      <c r="AJS260" s="130"/>
      <c r="AJT260" s="130"/>
      <c r="AJU260" s="130"/>
      <c r="AJV260" s="130"/>
      <c r="AJW260" s="130"/>
      <c r="AJX260" s="130"/>
      <c r="AJY260" s="130"/>
      <c r="AJZ260" s="130"/>
      <c r="AKA260" s="130"/>
      <c r="AKB260" s="130"/>
      <c r="AKC260" s="130"/>
      <c r="AKD260" s="130"/>
      <c r="AKE260" s="130"/>
      <c r="AKF260" s="130"/>
      <c r="AKG260" s="130"/>
      <c r="AKH260" s="130"/>
      <c r="AKI260" s="130"/>
      <c r="AKJ260" s="130"/>
      <c r="AKK260" s="130"/>
      <c r="AKL260" s="130"/>
      <c r="AKM260" s="130"/>
      <c r="AKN260" s="130"/>
      <c r="AKO260" s="130"/>
      <c r="AKP260" s="130"/>
      <c r="AKQ260" s="130"/>
      <c r="AKR260" s="130"/>
      <c r="AKS260" s="130"/>
      <c r="AKT260" s="130"/>
      <c r="AKU260" s="130"/>
      <c r="AKV260" s="130"/>
      <c r="AKW260" s="130"/>
      <c r="AKX260" s="130"/>
      <c r="AKY260" s="130"/>
      <c r="AKZ260" s="130"/>
      <c r="ALA260" s="130"/>
      <c r="ALB260" s="130"/>
      <c r="ALC260" s="130"/>
      <c r="ALD260" s="130"/>
      <c r="ALE260" s="130"/>
      <c r="ALF260" s="130"/>
      <c r="ALG260" s="130"/>
      <c r="AOP260" s="130"/>
      <c r="AOQ260" s="130"/>
      <c r="AOR260" s="130"/>
      <c r="AOS260" s="130"/>
      <c r="AOT260" s="130"/>
      <c r="AOU260" s="130"/>
      <c r="AOV260" s="130"/>
      <c r="AOW260" s="130"/>
      <c r="AOX260" s="130"/>
      <c r="AOY260" s="130"/>
      <c r="AOZ260" s="130"/>
      <c r="APA260" s="130"/>
      <c r="APB260" s="130"/>
      <c r="APC260" s="130"/>
      <c r="APD260" s="130"/>
      <c r="APE260" s="130"/>
      <c r="APF260" s="130"/>
      <c r="APG260" s="130"/>
      <c r="APH260" s="130"/>
      <c r="API260" s="130"/>
      <c r="APJ260" s="130"/>
      <c r="APK260" s="130"/>
      <c r="APL260" s="130"/>
      <c r="APM260" s="130"/>
      <c r="APN260" s="130"/>
      <c r="APO260" s="130"/>
      <c r="APP260" s="130"/>
      <c r="APQ260" s="130"/>
      <c r="APR260" s="130"/>
      <c r="APS260" s="130"/>
      <c r="APT260" s="130"/>
      <c r="APU260" s="130"/>
      <c r="APV260" s="130"/>
      <c r="APW260" s="130"/>
      <c r="APX260" s="130"/>
      <c r="APY260" s="130"/>
      <c r="APZ260" s="130"/>
      <c r="AQA260" s="130"/>
      <c r="AQB260" s="130"/>
      <c r="AQC260" s="130"/>
      <c r="AQD260" s="130"/>
      <c r="AQE260" s="130"/>
      <c r="AQF260" s="130"/>
      <c r="AQG260" s="130"/>
      <c r="AQH260" s="130"/>
      <c r="AQI260" s="130"/>
      <c r="AQJ260" s="130"/>
      <c r="AQK260" s="130"/>
      <c r="AQL260" s="130"/>
      <c r="AQM260" s="130"/>
      <c r="AQN260" s="130"/>
      <c r="AQO260" s="130"/>
      <c r="AQP260" s="130"/>
      <c r="AQQ260" s="130"/>
      <c r="AQR260" s="130"/>
      <c r="AQS260" s="130"/>
      <c r="AQT260" s="130"/>
      <c r="AQU260" s="130"/>
      <c r="AQV260" s="653"/>
      <c r="AQW260" s="653"/>
      <c r="AQX260" s="653"/>
      <c r="AQY260" s="653"/>
      <c r="AQZ260" s="653"/>
      <c r="ARA260" s="653"/>
      <c r="ARB260" s="653"/>
      <c r="ARC260" s="653"/>
      <c r="ARD260" s="653"/>
      <c r="ARE260" s="653"/>
      <c r="ARF260" s="653"/>
      <c r="ARG260" s="130"/>
      <c r="ARH260" s="130"/>
      <c r="ARI260" s="130"/>
      <c r="ARJ260" s="130"/>
      <c r="ARK260" s="130"/>
      <c r="ARL260" s="130"/>
      <c r="ARM260" s="130"/>
      <c r="ARN260" s="130"/>
      <c r="ARO260" s="130"/>
      <c r="ARP260" s="130"/>
      <c r="ARQ260" s="130"/>
      <c r="ARR260" s="130"/>
      <c r="ARS260" s="130"/>
      <c r="ART260" s="130"/>
      <c r="ARU260" s="130"/>
      <c r="ARV260" s="130"/>
      <c r="ARW260" s="130"/>
      <c r="ARX260" s="130"/>
      <c r="ARY260" s="130"/>
      <c r="ARZ260" s="130"/>
      <c r="ASA260" s="130"/>
      <c r="ASB260" s="130"/>
      <c r="ASC260" s="130"/>
      <c r="ASD260" s="130"/>
      <c r="ASE260" s="130"/>
      <c r="ASF260" s="130"/>
      <c r="ASG260" s="130"/>
      <c r="ASH260" s="130"/>
      <c r="ASI260" s="130"/>
      <c r="ASJ260" s="130"/>
      <c r="ASK260" s="130"/>
      <c r="ASL260" s="130"/>
      <c r="ASM260" s="130"/>
      <c r="ASN260" s="130"/>
      <c r="ASO260" s="130"/>
      <c r="ASP260" s="130"/>
      <c r="ASQ260" s="130"/>
      <c r="ASR260" s="130"/>
      <c r="ASS260" s="130"/>
      <c r="AST260" s="130"/>
      <c r="ASU260" s="130"/>
      <c r="ASV260" s="130"/>
      <c r="ASW260" s="130"/>
      <c r="ASX260" s="130"/>
      <c r="ASY260" s="130"/>
      <c r="ASZ260" s="130"/>
      <c r="ATA260" s="130"/>
      <c r="ATB260" s="130"/>
      <c r="ATC260" s="130"/>
      <c r="ATD260" s="130"/>
      <c r="ATE260" s="130"/>
      <c r="ATF260" s="130"/>
      <c r="ATG260" s="130"/>
      <c r="ATH260" s="130"/>
      <c r="ATI260" s="130"/>
      <c r="ATJ260" s="130"/>
      <c r="ATK260" s="130"/>
      <c r="ATL260" s="130"/>
      <c r="ATM260" s="130"/>
      <c r="ATN260" s="130"/>
      <c r="ATO260" s="130"/>
      <c r="ATP260" s="130"/>
      <c r="ATQ260" s="130"/>
      <c r="ATR260" s="130"/>
      <c r="ATS260" s="130"/>
      <c r="ATT260" s="130"/>
      <c r="ATU260" s="130"/>
      <c r="ATV260" s="130"/>
      <c r="ATW260" s="130"/>
      <c r="ATX260" s="130"/>
      <c r="ATY260" s="130"/>
      <c r="ATZ260" s="130"/>
      <c r="AUA260" s="130"/>
      <c r="AUB260" s="130"/>
      <c r="AUC260" s="130"/>
      <c r="AUD260" s="130"/>
      <c r="AUE260" s="130"/>
      <c r="AUF260" s="130"/>
      <c r="AUG260" s="130"/>
      <c r="AUH260" s="130"/>
      <c r="AUI260" s="130"/>
      <c r="AUJ260" s="130"/>
      <c r="AUK260" s="130"/>
      <c r="AUL260" s="130"/>
      <c r="AUM260" s="130"/>
      <c r="AUN260" s="130"/>
      <c r="AUO260" s="130"/>
      <c r="AUP260" s="130"/>
      <c r="AUQ260" s="130"/>
      <c r="AUR260" s="130"/>
      <c r="AUS260" s="130"/>
      <c r="AUT260" s="130"/>
      <c r="AUU260" s="130"/>
      <c r="AUV260" s="130"/>
      <c r="AUW260" s="130"/>
      <c r="AUX260" s="130"/>
      <c r="AUY260" s="130"/>
      <c r="AUZ260" s="130"/>
      <c r="AVA260" s="130"/>
      <c r="AVB260" s="130"/>
      <c r="AVC260" s="130"/>
      <c r="AVD260" s="130"/>
      <c r="AVE260" s="130"/>
      <c r="AVF260" s="130"/>
      <c r="AVG260" s="130"/>
      <c r="AVH260" s="130"/>
      <c r="AVI260" s="130"/>
      <c r="AVJ260" s="130"/>
      <c r="AVK260" s="130"/>
      <c r="AVL260" s="130"/>
      <c r="AVM260" s="130"/>
      <c r="AVN260" s="130"/>
      <c r="AVO260" s="130"/>
      <c r="AVP260" s="130"/>
      <c r="AVQ260" s="130"/>
      <c r="AVR260" s="130"/>
      <c r="AVS260" s="130"/>
      <c r="AVT260" s="130"/>
      <c r="AVU260" s="130"/>
      <c r="AVV260" s="130"/>
      <c r="AVW260" s="130"/>
      <c r="AVX260" s="130"/>
      <c r="AVY260" s="130"/>
      <c r="AVZ260" s="130"/>
      <c r="AWA260" s="130"/>
      <c r="AWB260" s="130"/>
      <c r="AWC260" s="130"/>
      <c r="AWD260" s="130"/>
      <c r="AWE260" s="130"/>
      <c r="AWF260" s="130"/>
      <c r="AWG260" s="130"/>
      <c r="AWH260" s="130"/>
      <c r="AWI260" s="130"/>
      <c r="AWJ260" s="130"/>
      <c r="AWK260" s="130"/>
      <c r="AWL260" s="130"/>
      <c r="AWM260" s="130"/>
      <c r="AWN260" s="130"/>
      <c r="AWO260" s="130"/>
      <c r="AWP260" s="130"/>
      <c r="AWQ260" s="130"/>
      <c r="AWR260" s="130"/>
      <c r="AWS260" s="130"/>
      <c r="AWT260" s="130"/>
      <c r="AWU260" s="130"/>
      <c r="AWV260" s="130"/>
      <c r="AWW260" s="130"/>
      <c r="AWX260" s="130"/>
      <c r="AWY260" s="130"/>
      <c r="AWZ260" s="130"/>
      <c r="AXA260" s="130"/>
      <c r="AXB260" s="130"/>
      <c r="AXC260" s="130"/>
      <c r="AXD260" s="130"/>
      <c r="AXE260" s="130"/>
      <c r="AXF260" s="130"/>
      <c r="AXG260" s="130"/>
      <c r="AXH260" s="130"/>
      <c r="AXI260" s="130"/>
      <c r="AXJ260" s="130"/>
      <c r="AXK260" s="130"/>
      <c r="AXL260" s="130"/>
      <c r="AXM260" s="130"/>
      <c r="AXN260" s="130"/>
      <c r="AXO260" s="130"/>
      <c r="AXP260" s="130"/>
      <c r="AXQ260" s="130"/>
      <c r="AXR260" s="130"/>
      <c r="AXS260" s="130"/>
      <c r="AXT260" s="130"/>
      <c r="AXU260" s="130"/>
      <c r="AXV260" s="130"/>
      <c r="AXW260" s="130"/>
      <c r="AXX260" s="130"/>
      <c r="AXY260" s="130"/>
      <c r="AXZ260" s="130"/>
      <c r="AYA260" s="130"/>
      <c r="AYB260" s="130"/>
      <c r="AYC260" s="130"/>
      <c r="AYD260" s="130"/>
      <c r="AYE260" s="130"/>
      <c r="AYF260" s="130"/>
      <c r="AYG260" s="130"/>
      <c r="AYH260" s="130"/>
      <c r="AYI260" s="130"/>
      <c r="AYJ260" s="130"/>
      <c r="AYK260" s="130"/>
      <c r="AYL260" s="130"/>
      <c r="AYM260" s="130"/>
      <c r="AYN260" s="130"/>
      <c r="AYO260" s="130"/>
      <c r="AYP260" s="130"/>
      <c r="AYQ260" s="130"/>
      <c r="AYR260" s="130"/>
      <c r="AYS260" s="130"/>
      <c r="AYT260" s="130"/>
      <c r="AYU260" s="130"/>
      <c r="AYV260" s="130"/>
      <c r="AYW260" s="130"/>
      <c r="AYX260" s="130"/>
      <c r="AYY260" s="130"/>
      <c r="AYZ260" s="130"/>
      <c r="AZA260" s="130"/>
      <c r="AZB260" s="130"/>
      <c r="AZC260" s="130"/>
      <c r="AZD260" s="130"/>
      <c r="AZE260" s="130"/>
      <c r="AZF260" s="130"/>
      <c r="AZG260" s="130"/>
      <c r="AZH260" s="130"/>
      <c r="AZI260" s="130"/>
      <c r="AZJ260" s="130"/>
      <c r="AZK260" s="130"/>
      <c r="AZL260" s="130"/>
      <c r="AZM260" s="130"/>
      <c r="AZN260" s="130"/>
      <c r="AZO260" s="130"/>
      <c r="AZP260" s="130"/>
      <c r="AZQ260" s="130"/>
      <c r="AZR260" s="130"/>
      <c r="AZS260" s="130"/>
      <c r="AZT260" s="130"/>
      <c r="AZU260" s="130"/>
      <c r="AZV260" s="130"/>
      <c r="AZW260" s="130"/>
      <c r="AZX260" s="130"/>
      <c r="AZY260" s="130"/>
      <c r="AZZ260" s="130"/>
      <c r="BAA260" s="130"/>
      <c r="BAB260" s="130"/>
      <c r="BAC260" s="130"/>
      <c r="BAD260" s="130"/>
      <c r="BAE260" s="130"/>
      <c r="BAF260" s="130"/>
      <c r="BAG260" s="130"/>
      <c r="BAH260" s="130"/>
      <c r="BAI260" s="130"/>
      <c r="BAJ260" s="130"/>
      <c r="BAK260" s="130"/>
      <c r="BAL260" s="130"/>
      <c r="BAM260" s="130"/>
      <c r="BAN260" s="130"/>
      <c r="BAO260" s="130"/>
      <c r="BAP260" s="130"/>
      <c r="BAQ260" s="130"/>
      <c r="BAR260" s="130"/>
      <c r="BAS260" s="130"/>
      <c r="BAT260" s="130"/>
      <c r="BAU260" s="130"/>
      <c r="BAV260" s="130"/>
      <c r="BAW260" s="130"/>
      <c r="BAX260" s="130"/>
      <c r="BAY260" s="130"/>
      <c r="BAZ260" s="130"/>
      <c r="BBA260" s="130"/>
      <c r="BBB260" s="130"/>
      <c r="BBC260" s="130"/>
      <c r="BBD260" s="130"/>
      <c r="BBE260" s="130"/>
      <c r="BBF260" s="130"/>
      <c r="BBG260" s="130"/>
      <c r="BBH260" s="130"/>
      <c r="BBI260" s="130"/>
      <c r="BBJ260" s="130"/>
      <c r="BBK260" s="130"/>
      <c r="BBL260" s="130"/>
      <c r="BBM260" s="130"/>
      <c r="BBN260" s="130"/>
    </row>
    <row r="261" spans="450:995 1082:1418" ht="48" customHeight="1" thickBot="1">
      <c r="QW261" s="130"/>
      <c r="QX261" s="130"/>
      <c r="QY261" s="130"/>
      <c r="QZ261" s="130"/>
      <c r="RA261" s="130"/>
      <c r="RB261" s="130"/>
      <c r="RC261" s="130"/>
      <c r="RD261" s="130"/>
      <c r="RE261" s="130"/>
      <c r="RF261" s="130"/>
      <c r="RG261" s="130"/>
      <c r="RH261" s="130"/>
      <c r="RI261" s="130"/>
      <c r="RJ261" s="130"/>
      <c r="RK261" s="130"/>
      <c r="RL261" s="130"/>
      <c r="RM261" s="130"/>
      <c r="RN261" s="130"/>
      <c r="ACJ261" s="759">
        <v>-4.0625000000000001E-2</v>
      </c>
      <c r="ACK261" s="760"/>
      <c r="ACL261" s="759">
        <v>0.96499999999999997</v>
      </c>
      <c r="ACM261" s="760"/>
      <c r="ACN261" s="591">
        <v>34</v>
      </c>
      <c r="ACO261" s="759">
        <f t="shared" si="287"/>
        <v>0.93219531249999998</v>
      </c>
      <c r="ACP261" s="760"/>
      <c r="ACQ261" s="757">
        <f t="shared" si="288"/>
        <v>0.8075</v>
      </c>
      <c r="ACR261" s="758"/>
      <c r="ACT261" s="759">
        <v>-0.1</v>
      </c>
      <c r="ACU261" s="760"/>
      <c r="ACV261" s="759">
        <v>1.06</v>
      </c>
      <c r="ACW261" s="760"/>
      <c r="ACX261" s="592">
        <v>84</v>
      </c>
      <c r="ACY261" s="759">
        <f t="shared" si="289"/>
        <v>0.86050000000000004</v>
      </c>
      <c r="ACZ261" s="760"/>
      <c r="ADA261" s="757">
        <f t="shared" si="290"/>
        <v>1.9950000000000001</v>
      </c>
      <c r="ADB261" s="758"/>
      <c r="ADD261" s="1112">
        <v>-0.12</v>
      </c>
      <c r="ADE261" s="1112"/>
      <c r="ADF261" s="1112">
        <v>1.06</v>
      </c>
      <c r="ADG261" s="1112"/>
      <c r="ADH261" s="591">
        <v>134</v>
      </c>
      <c r="ADI261" s="759">
        <f t="shared" si="291"/>
        <v>0.67810000000000004</v>
      </c>
      <c r="ADJ261" s="760"/>
      <c r="ADK261" s="757">
        <f t="shared" si="292"/>
        <v>3.1825000000000001</v>
      </c>
      <c r="ADL261" s="758"/>
      <c r="ADN261" s="1112">
        <v>-0.08</v>
      </c>
      <c r="ADO261" s="1112"/>
      <c r="ADP261" s="1112">
        <v>0.9</v>
      </c>
      <c r="ADQ261" s="1112"/>
      <c r="ADR261" s="592">
        <v>184</v>
      </c>
      <c r="ADS261" s="759">
        <f t="shared" si="293"/>
        <v>0.5504</v>
      </c>
      <c r="ADT261" s="760"/>
      <c r="ADU261" s="757">
        <f t="shared" si="294"/>
        <v>4.37</v>
      </c>
      <c r="ADV261" s="758"/>
      <c r="ADX261" s="1112">
        <v>-5.8823529411764698E-2</v>
      </c>
      <c r="ADY261" s="1112"/>
      <c r="ADZ261" s="1112">
        <v>0.79411764705882304</v>
      </c>
      <c r="AEA261" s="1112"/>
      <c r="AEB261" s="591">
        <v>234</v>
      </c>
      <c r="AEC261" s="759">
        <f t="shared" si="295"/>
        <v>0.46720588235294075</v>
      </c>
      <c r="AED261" s="760"/>
      <c r="AEE261" s="757">
        <f t="shared" si="296"/>
        <v>5.5575000000000001</v>
      </c>
      <c r="AEF261" s="758"/>
      <c r="AEH261" s="1112">
        <v>-3.5714285714285726E-2</v>
      </c>
      <c r="AEI261" s="1112"/>
      <c r="AEJ261" s="1112">
        <v>0.63928571428571446</v>
      </c>
      <c r="AEK261" s="1112"/>
      <c r="AEL261" s="592">
        <v>284</v>
      </c>
      <c r="AEM261" s="759">
        <f t="shared" si="297"/>
        <v>0.39839285714285722</v>
      </c>
      <c r="AEN261" s="760"/>
      <c r="AEO261" s="757">
        <f t="shared" si="298"/>
        <v>6.7450000000000001</v>
      </c>
      <c r="AEP261" s="758"/>
      <c r="AER261" s="1112">
        <v>-3.5714285714285698E-2</v>
      </c>
      <c r="AES261" s="1112"/>
      <c r="AET261" s="1112">
        <v>0.63928571428571401</v>
      </c>
      <c r="AEU261" s="1112"/>
      <c r="AEV261" s="592">
        <v>334</v>
      </c>
      <c r="AEW261" s="759">
        <f t="shared" si="299"/>
        <v>0.35598214285714269</v>
      </c>
      <c r="AEX261" s="760"/>
      <c r="AEY261" s="757">
        <f t="shared" si="300"/>
        <v>7.9325000000000001</v>
      </c>
      <c r="AEZ261" s="758"/>
      <c r="AFB261" s="1112">
        <v>-3.5714285714285698E-2</v>
      </c>
      <c r="AFC261" s="1112"/>
      <c r="AFD261" s="1112">
        <v>0.63928571428571401</v>
      </c>
      <c r="AFE261" s="1112"/>
      <c r="AFF261" s="592">
        <v>384</v>
      </c>
      <c r="AFG261" s="759">
        <f t="shared" si="301"/>
        <v>0.31357142857142839</v>
      </c>
      <c r="AFH261" s="760"/>
      <c r="AFI261" s="757">
        <f t="shared" si="302"/>
        <v>9.120000000000001</v>
      </c>
      <c r="AFJ261" s="758"/>
      <c r="AGK261" s="130"/>
      <c r="AGL261" s="849"/>
      <c r="AGM261" s="852" t="s">
        <v>416</v>
      </c>
      <c r="AGN261" s="853"/>
      <c r="AGO261" s="425"/>
      <c r="AGP261" s="861" t="s">
        <v>1502</v>
      </c>
      <c r="AGQ261" s="861"/>
      <c r="AGR261" s="761">
        <f>$AGZ$257</f>
        <v>525.01327124596639</v>
      </c>
      <c r="AGS261" s="761"/>
      <c r="AGT261" s="78"/>
      <c r="AGU261" s="78"/>
      <c r="AGV261" s="425"/>
      <c r="AGW261" s="76" t="s">
        <v>441</v>
      </c>
      <c r="AGX261" s="854" t="s">
        <v>435</v>
      </c>
      <c r="AGY261" s="1111"/>
      <c r="AGZ261" s="920" t="s">
        <v>111</v>
      </c>
      <c r="AHA261" s="921"/>
      <c r="AHB261" s="916" t="s">
        <v>704</v>
      </c>
      <c r="AHC261" s="917"/>
      <c r="AHD261" s="906" t="s">
        <v>447</v>
      </c>
      <c r="AHE261" s="907"/>
      <c r="AHF261" s="907"/>
      <c r="AHG261" s="908"/>
      <c r="AHH261" s="1051" t="s">
        <v>436</v>
      </c>
      <c r="AHI261" s="1051"/>
      <c r="AHJ261" s="1051"/>
      <c r="AHK261" s="1051"/>
      <c r="AHL261" s="1051"/>
      <c r="AHM261" s="1051"/>
      <c r="AHN261" s="1051"/>
      <c r="AHO261" s="1051"/>
      <c r="AHP261" s="1051"/>
      <c r="AHQ261" s="1051"/>
      <c r="AHR261" s="1051"/>
      <c r="AHS261" s="1051"/>
      <c r="AHU261" s="130"/>
      <c r="AHW261" s="130"/>
      <c r="AHX261" s="130"/>
      <c r="AHY261" s="130"/>
      <c r="AHZ261" s="130"/>
      <c r="AIA261" s="130"/>
      <c r="AIB261" s="130"/>
      <c r="AIC261" s="130"/>
      <c r="AID261" s="130"/>
      <c r="AIE261" s="130"/>
      <c r="AIF261" s="130"/>
      <c r="AIG261" s="130"/>
      <c r="AJB261" s="130"/>
      <c r="AJJ261" s="130"/>
      <c r="AJK261" s="130"/>
      <c r="AJL261" s="130"/>
      <c r="AJM261" s="130"/>
      <c r="AJN261" s="130"/>
      <c r="AJO261" s="130"/>
      <c r="AJP261" s="130"/>
      <c r="AJQ261" s="130"/>
      <c r="AJR261" s="130"/>
      <c r="AJS261" s="130"/>
      <c r="AJT261" s="130"/>
      <c r="AJU261" s="130"/>
      <c r="AJV261" s="130"/>
      <c r="AJW261" s="130"/>
      <c r="AJX261" s="130"/>
      <c r="AJY261" s="130"/>
      <c r="AJZ261" s="130"/>
      <c r="AKA261" s="130"/>
      <c r="AKB261" s="130"/>
      <c r="AKC261" s="130"/>
      <c r="AKD261" s="130"/>
      <c r="AKE261" s="130"/>
      <c r="AKF261" s="130"/>
      <c r="AKG261" s="130"/>
      <c r="AKH261" s="130"/>
      <c r="AKI261" s="130"/>
      <c r="AKJ261" s="130"/>
      <c r="AKK261" s="130"/>
      <c r="AKL261" s="130"/>
      <c r="AKM261" s="130"/>
      <c r="AKN261" s="130"/>
      <c r="AKO261" s="130"/>
      <c r="AKP261" s="130"/>
      <c r="AKQ261" s="130"/>
      <c r="AKR261" s="130"/>
      <c r="AKS261" s="130"/>
      <c r="AKT261" s="130"/>
      <c r="AKU261" s="130"/>
      <c r="AKV261" s="130"/>
      <c r="AKW261" s="130"/>
      <c r="AKX261" s="130"/>
      <c r="AKY261" s="130"/>
      <c r="AKZ261" s="130"/>
      <c r="ALA261" s="130"/>
      <c r="ALB261" s="130"/>
      <c r="ALC261" s="130"/>
      <c r="ALD261" s="130"/>
      <c r="ALE261" s="130"/>
      <c r="ALF261" s="130"/>
      <c r="ALG261" s="130"/>
      <c r="AOP261" s="130"/>
      <c r="AOQ261" s="130"/>
      <c r="AOR261" s="130"/>
      <c r="AOS261" s="130"/>
      <c r="AOT261" s="130"/>
      <c r="AOU261" s="130"/>
      <c r="AOV261" s="130"/>
      <c r="AOW261" s="130"/>
      <c r="AOX261" s="130"/>
      <c r="AOY261" s="130"/>
      <c r="AOZ261" s="130"/>
      <c r="APA261" s="130"/>
      <c r="APB261" s="130"/>
      <c r="APC261" s="130"/>
      <c r="APD261" s="130"/>
      <c r="APE261" s="130"/>
      <c r="APF261" s="130"/>
      <c r="APG261" s="130"/>
      <c r="APH261" s="130"/>
      <c r="API261" s="130"/>
      <c r="APJ261" s="130"/>
      <c r="APK261" s="130"/>
      <c r="APL261" s="130"/>
      <c r="APM261" s="130"/>
      <c r="APN261" s="130"/>
      <c r="APO261" s="130"/>
      <c r="APP261" s="130"/>
      <c r="APQ261" s="130"/>
      <c r="APR261" s="130"/>
      <c r="APS261" s="130"/>
      <c r="APT261" s="130"/>
      <c r="APU261" s="130"/>
      <c r="APV261" s="130"/>
      <c r="APW261" s="130"/>
      <c r="APX261" s="130"/>
      <c r="APY261" s="130"/>
      <c r="APZ261" s="130"/>
      <c r="AQA261" s="130"/>
      <c r="AQB261" s="130"/>
      <c r="AQC261" s="130"/>
      <c r="AQD261" s="130"/>
      <c r="AQE261" s="130"/>
      <c r="AQF261" s="130"/>
      <c r="AQG261" s="130"/>
      <c r="AQH261" s="130"/>
      <c r="AQI261" s="130"/>
      <c r="AQJ261" s="130"/>
      <c r="AQK261" s="130"/>
      <c r="AQL261" s="130"/>
      <c r="AQM261" s="130"/>
      <c r="AQN261" s="130"/>
      <c r="AQO261" s="130"/>
      <c r="AQP261" s="130"/>
      <c r="AQQ261" s="130"/>
      <c r="AQR261" s="130"/>
      <c r="AQS261" s="130"/>
      <c r="AQT261" s="130"/>
      <c r="AQU261" s="130"/>
      <c r="AQV261" s="653"/>
      <c r="AQW261" s="653"/>
      <c r="AQX261" s="653"/>
      <c r="AQY261" s="653"/>
      <c r="AQZ261" s="653"/>
      <c r="ARA261" s="653"/>
      <c r="ARB261" s="653"/>
      <c r="ARC261" s="653"/>
      <c r="ARD261" s="653"/>
      <c r="ARE261" s="653"/>
      <c r="ARF261" s="653"/>
      <c r="ARG261" s="130"/>
      <c r="ARH261" s="130"/>
      <c r="ARI261" s="130"/>
      <c r="ARJ261" s="130"/>
      <c r="ARK261" s="130"/>
      <c r="ARL261" s="130"/>
      <c r="ARM261" s="130"/>
      <c r="ARN261" s="130"/>
      <c r="ARO261" s="130"/>
      <c r="ARP261" s="130"/>
      <c r="ARQ261" s="130"/>
      <c r="ARR261" s="130"/>
      <c r="ARS261" s="130"/>
      <c r="ART261" s="130"/>
      <c r="ARU261" s="130"/>
      <c r="ARV261" s="130"/>
      <c r="ARW261" s="130"/>
      <c r="ARX261" s="130"/>
      <c r="ARY261" s="130"/>
      <c r="ARZ261" s="130"/>
      <c r="ASA261" s="130"/>
      <c r="ASB261" s="130"/>
      <c r="ASC261" s="130"/>
      <c r="ASD261" s="130"/>
      <c r="ASE261" s="130"/>
      <c r="ASF261" s="130"/>
      <c r="ASG261" s="130"/>
      <c r="ASH261" s="130"/>
      <c r="ASI261" s="130"/>
      <c r="ASJ261" s="130"/>
      <c r="ASK261" s="130"/>
      <c r="ASL261" s="130"/>
      <c r="ASM261" s="130"/>
      <c r="ASN261" s="130"/>
      <c r="ASO261" s="130"/>
      <c r="ASP261" s="130"/>
      <c r="ASQ261" s="130"/>
      <c r="ASR261" s="130"/>
      <c r="ASS261" s="130"/>
      <c r="AST261" s="130"/>
      <c r="ASU261" s="130"/>
      <c r="ASV261" s="130"/>
      <c r="ASW261" s="130"/>
      <c r="ASX261" s="130"/>
      <c r="ASY261" s="130"/>
      <c r="ASZ261" s="130"/>
      <c r="ATA261" s="130"/>
      <c r="ATB261" s="130"/>
      <c r="ATC261" s="130"/>
      <c r="ATD261" s="130"/>
      <c r="ATE261" s="130"/>
      <c r="ATF261" s="130"/>
      <c r="ATG261" s="130"/>
      <c r="ATH261" s="130"/>
      <c r="ATI261" s="130"/>
      <c r="ATJ261" s="130"/>
      <c r="ATK261" s="130"/>
      <c r="ATL261" s="130"/>
      <c r="ATM261" s="130"/>
      <c r="ATN261" s="130"/>
      <c r="ATO261" s="130"/>
      <c r="ATP261" s="130"/>
      <c r="ATQ261" s="130"/>
      <c r="ATR261" s="130"/>
      <c r="ATS261" s="130"/>
      <c r="ATT261" s="130"/>
      <c r="ATU261" s="130"/>
      <c r="ATV261" s="130"/>
      <c r="ATW261" s="130"/>
      <c r="ATX261" s="130"/>
      <c r="ATY261" s="130"/>
      <c r="ATZ261" s="130"/>
      <c r="AUA261" s="130"/>
      <c r="AUB261" s="130"/>
      <c r="AUC261" s="130"/>
      <c r="AUD261" s="130"/>
      <c r="AUE261" s="130"/>
      <c r="AUF261" s="130"/>
      <c r="AUG261" s="130"/>
      <c r="AUH261" s="130"/>
      <c r="AUI261" s="130"/>
      <c r="AUJ261" s="130"/>
      <c r="AUK261" s="130"/>
      <c r="AUL261" s="130"/>
      <c r="AUM261" s="130"/>
      <c r="AUN261" s="130"/>
      <c r="AUO261" s="130"/>
      <c r="AUP261" s="130"/>
      <c r="AUQ261" s="130"/>
      <c r="AUR261" s="130"/>
      <c r="AUS261" s="130"/>
      <c r="AUT261" s="130"/>
      <c r="AUU261" s="130"/>
      <c r="AUV261" s="130"/>
      <c r="AUW261" s="130"/>
      <c r="AUX261" s="130"/>
      <c r="AUY261" s="130"/>
      <c r="AUZ261" s="130"/>
      <c r="AVA261" s="130"/>
      <c r="AVB261" s="130"/>
      <c r="AVC261" s="130"/>
      <c r="AVD261" s="130"/>
      <c r="AVE261" s="130"/>
      <c r="AVF261" s="130"/>
      <c r="AVG261" s="130"/>
      <c r="AVH261" s="130"/>
      <c r="AVI261" s="130"/>
      <c r="AVJ261" s="130"/>
      <c r="AVK261" s="130"/>
      <c r="AVL261" s="130"/>
      <c r="AVM261" s="130"/>
      <c r="AVN261" s="130"/>
      <c r="AVO261" s="130"/>
      <c r="AVP261" s="130"/>
      <c r="AVQ261" s="130"/>
      <c r="AVR261" s="130"/>
      <c r="AVS261" s="130"/>
      <c r="AVT261" s="130"/>
      <c r="AVU261" s="130"/>
      <c r="AVV261" s="130"/>
      <c r="AVW261" s="130"/>
      <c r="AVX261" s="130"/>
      <c r="AVY261" s="130"/>
      <c r="AVZ261" s="130"/>
      <c r="AWA261" s="130"/>
      <c r="AWB261" s="130"/>
      <c r="AWC261" s="130"/>
      <c r="AWD261" s="130"/>
      <c r="AWE261" s="130"/>
      <c r="AWF261" s="130"/>
      <c r="AWG261" s="130"/>
      <c r="AWH261" s="130"/>
      <c r="AWI261" s="130"/>
      <c r="AWJ261" s="130"/>
      <c r="AWK261" s="130"/>
      <c r="AWL261" s="130"/>
      <c r="AWM261" s="130"/>
      <c r="AWN261" s="130"/>
      <c r="AWO261" s="130"/>
      <c r="AWP261" s="130"/>
      <c r="AWQ261" s="130"/>
      <c r="AWR261" s="130"/>
      <c r="AWS261" s="130"/>
      <c r="AWT261" s="130"/>
      <c r="AWU261" s="130"/>
      <c r="AWV261" s="130"/>
      <c r="AWW261" s="130"/>
      <c r="AWX261" s="130"/>
      <c r="AWY261" s="130"/>
      <c r="AWZ261" s="130"/>
      <c r="AXA261" s="130"/>
      <c r="AXB261" s="130"/>
      <c r="AXC261" s="130"/>
      <c r="AXD261" s="130"/>
      <c r="AXE261" s="130"/>
      <c r="AXF261" s="130"/>
      <c r="AXG261" s="130"/>
      <c r="AXH261" s="130"/>
      <c r="AXI261" s="130"/>
      <c r="AXJ261" s="130"/>
      <c r="AXK261" s="130"/>
      <c r="AXL261" s="130"/>
      <c r="AXM261" s="130"/>
      <c r="AXN261" s="130"/>
      <c r="AXO261" s="130"/>
      <c r="AXP261" s="130"/>
      <c r="AXQ261" s="130"/>
      <c r="AXR261" s="130"/>
      <c r="AXS261" s="130"/>
      <c r="AXT261" s="130"/>
      <c r="AXU261" s="130"/>
      <c r="AXV261" s="130"/>
      <c r="AXW261" s="130"/>
      <c r="AXX261" s="130"/>
      <c r="AXY261" s="130"/>
      <c r="AXZ261" s="130"/>
      <c r="AYA261" s="130"/>
      <c r="AYB261" s="130"/>
      <c r="AYC261" s="130"/>
      <c r="AYD261" s="130"/>
      <c r="AYE261" s="130"/>
      <c r="AYF261" s="130"/>
      <c r="AYG261" s="130"/>
      <c r="AYH261" s="130"/>
      <c r="AYI261" s="130"/>
      <c r="AYJ261" s="130"/>
      <c r="AYK261" s="130"/>
      <c r="AYL261" s="130"/>
      <c r="AYM261" s="130"/>
      <c r="AYN261" s="130"/>
      <c r="AYO261" s="130"/>
      <c r="AYP261" s="130"/>
      <c r="AYQ261" s="130"/>
      <c r="AYR261" s="130"/>
      <c r="AYS261" s="130"/>
      <c r="AYT261" s="130"/>
      <c r="AYU261" s="130"/>
      <c r="AYV261" s="130"/>
      <c r="AYW261" s="130"/>
      <c r="AYX261" s="130"/>
      <c r="AYY261" s="130"/>
      <c r="AYZ261" s="130"/>
      <c r="AZA261" s="130"/>
      <c r="AZB261" s="130"/>
      <c r="AZC261" s="130"/>
      <c r="AZD261" s="130"/>
      <c r="AZE261" s="130"/>
      <c r="AZF261" s="130"/>
      <c r="AZG261" s="130"/>
      <c r="AZH261" s="130"/>
      <c r="AZI261" s="130"/>
      <c r="AZJ261" s="130"/>
      <c r="AZK261" s="130"/>
      <c r="AZL261" s="130"/>
      <c r="AZM261" s="130"/>
      <c r="AZN261" s="130"/>
      <c r="AZO261" s="130"/>
      <c r="AZP261" s="130"/>
      <c r="AZQ261" s="130"/>
      <c r="AZR261" s="130"/>
      <c r="AZS261" s="130"/>
      <c r="AZT261" s="130"/>
      <c r="AZU261" s="130"/>
      <c r="AZV261" s="130"/>
      <c r="AZW261" s="130"/>
      <c r="AZX261" s="130"/>
      <c r="AZY261" s="130"/>
      <c r="AZZ261" s="130"/>
      <c r="BAA261" s="130"/>
      <c r="BAB261" s="130"/>
      <c r="BAC261" s="130"/>
      <c r="BAD261" s="130"/>
      <c r="BAE261" s="130"/>
      <c r="BAF261" s="130"/>
      <c r="BAG261" s="130"/>
      <c r="BAH261" s="130"/>
      <c r="BAI261" s="130"/>
      <c r="BAJ261" s="130"/>
      <c r="BAK261" s="130"/>
      <c r="BAL261" s="130"/>
      <c r="BAM261" s="130"/>
      <c r="BAN261" s="130"/>
      <c r="BAO261" s="130"/>
      <c r="BAP261" s="130"/>
      <c r="BAQ261" s="130"/>
      <c r="BAR261" s="130"/>
      <c r="BAS261" s="130"/>
      <c r="BAT261" s="130"/>
      <c r="BAU261" s="130"/>
      <c r="BAV261" s="130"/>
      <c r="BAW261" s="130"/>
      <c r="BAX261" s="130"/>
      <c r="BAY261" s="130"/>
      <c r="BAZ261" s="130"/>
      <c r="BBA261" s="130"/>
      <c r="BBB261" s="130"/>
      <c r="BBC261" s="130"/>
      <c r="BBD261" s="130"/>
      <c r="BBE261" s="130"/>
      <c r="BBF261" s="130"/>
      <c r="BBG261" s="130"/>
      <c r="BBH261" s="130"/>
      <c r="BBI261" s="130"/>
      <c r="BBJ261" s="130"/>
      <c r="BBK261" s="130"/>
      <c r="BBL261" s="130"/>
      <c r="BBM261" s="130"/>
      <c r="BBN261" s="130"/>
    </row>
    <row r="262" spans="450:995 1082:1418" ht="48" customHeight="1">
      <c r="QW262" s="130"/>
      <c r="QX262" s="130"/>
      <c r="QY262" s="130"/>
      <c r="QZ262" s="130"/>
      <c r="RA262" s="130"/>
      <c r="RB262" s="130"/>
      <c r="RC262" s="130"/>
      <c r="RD262" s="130"/>
      <c r="RE262" s="130"/>
      <c r="RF262" s="130"/>
      <c r="RG262" s="130"/>
      <c r="RH262" s="130"/>
      <c r="RI262" s="130"/>
      <c r="RJ262" s="130"/>
      <c r="RK262" s="130"/>
      <c r="RL262" s="130"/>
      <c r="RM262" s="130"/>
      <c r="RN262" s="130"/>
      <c r="ACJ262" s="759">
        <v>-4.0625000000000001E-2</v>
      </c>
      <c r="ACK262" s="760"/>
      <c r="ACL262" s="759">
        <v>0.96499999999999997</v>
      </c>
      <c r="ACM262" s="760"/>
      <c r="ACN262" s="591">
        <v>35</v>
      </c>
      <c r="ACO262" s="759">
        <f t="shared" si="287"/>
        <v>0.93123046874999993</v>
      </c>
      <c r="ACP262" s="760"/>
      <c r="ACQ262" s="757">
        <f t="shared" si="288"/>
        <v>0.83125000000000004</v>
      </c>
      <c r="ACR262" s="758"/>
      <c r="ACT262" s="759">
        <v>-0.11999999999999988</v>
      </c>
      <c r="ACU262" s="760"/>
      <c r="ACV262" s="759">
        <v>1.0999999999999996</v>
      </c>
      <c r="ACW262" s="760"/>
      <c r="ACX262" s="591">
        <v>85</v>
      </c>
      <c r="ACY262" s="759">
        <f t="shared" si="289"/>
        <v>0.8577499999999999</v>
      </c>
      <c r="ACZ262" s="760"/>
      <c r="ADA262" s="757">
        <f t="shared" si="290"/>
        <v>2.0187499999999998</v>
      </c>
      <c r="ADB262" s="758"/>
      <c r="ADD262" s="1112">
        <v>-0.12</v>
      </c>
      <c r="ADE262" s="1112"/>
      <c r="ADF262" s="1112">
        <v>1.06</v>
      </c>
      <c r="ADG262" s="1112"/>
      <c r="ADH262" s="591">
        <v>135</v>
      </c>
      <c r="ADI262" s="759">
        <f t="shared" si="291"/>
        <v>0.67525000000000013</v>
      </c>
      <c r="ADJ262" s="760"/>
      <c r="ADK262" s="757">
        <f t="shared" si="292"/>
        <v>3.2062499999999998</v>
      </c>
      <c r="ADL262" s="758"/>
      <c r="ADN262" s="1112">
        <v>-0.08</v>
      </c>
      <c r="ADO262" s="1112"/>
      <c r="ADP262" s="1112">
        <v>0.9</v>
      </c>
      <c r="ADQ262" s="1112"/>
      <c r="ADR262" s="592">
        <v>185</v>
      </c>
      <c r="ADS262" s="759">
        <f t="shared" si="293"/>
        <v>0.54849999999999999</v>
      </c>
      <c r="ADT262" s="760"/>
      <c r="ADU262" s="757">
        <f t="shared" si="294"/>
        <v>4.3937499999999998</v>
      </c>
      <c r="ADV262" s="758"/>
      <c r="ADX262" s="1112">
        <v>-5.8823529411764698E-2</v>
      </c>
      <c r="ADY262" s="1112"/>
      <c r="ADZ262" s="1112">
        <v>0.79411764705882304</v>
      </c>
      <c r="AEA262" s="1112"/>
      <c r="AEB262" s="591">
        <v>235</v>
      </c>
      <c r="AEC262" s="759">
        <f t="shared" si="295"/>
        <v>0.46580882352941133</v>
      </c>
      <c r="AED262" s="760"/>
      <c r="AEE262" s="757">
        <f t="shared" si="296"/>
        <v>5.5812499999999998</v>
      </c>
      <c r="AEF262" s="758"/>
      <c r="AEH262" s="1112">
        <v>-3.5714285714285726E-2</v>
      </c>
      <c r="AEI262" s="1112"/>
      <c r="AEJ262" s="1112">
        <v>0.63928571428571446</v>
      </c>
      <c r="AEK262" s="1112"/>
      <c r="AEL262" s="592">
        <v>285</v>
      </c>
      <c r="AEM262" s="759">
        <f t="shared" si="297"/>
        <v>0.39754464285714297</v>
      </c>
      <c r="AEN262" s="760"/>
      <c r="AEO262" s="757">
        <f t="shared" si="298"/>
        <v>6.7687499999999998</v>
      </c>
      <c r="AEP262" s="758"/>
      <c r="AER262" s="1112">
        <v>-3.5714285714285698E-2</v>
      </c>
      <c r="AES262" s="1112"/>
      <c r="AET262" s="1112">
        <v>0.63928571428571401</v>
      </c>
      <c r="AEU262" s="1112"/>
      <c r="AEV262" s="592">
        <v>335</v>
      </c>
      <c r="AEW262" s="759">
        <f t="shared" si="299"/>
        <v>0.35513392857142845</v>
      </c>
      <c r="AEX262" s="760"/>
      <c r="AEY262" s="757">
        <f t="shared" si="300"/>
        <v>7.9562499999999998</v>
      </c>
      <c r="AEZ262" s="758"/>
      <c r="AFB262" s="1112">
        <v>-3.5714285714285698E-2</v>
      </c>
      <c r="AFC262" s="1112"/>
      <c r="AFD262" s="1112">
        <v>0.63928571428571401</v>
      </c>
      <c r="AFE262" s="1112"/>
      <c r="AFF262" s="592">
        <v>385</v>
      </c>
      <c r="AFG262" s="759">
        <f t="shared" si="301"/>
        <v>0.31272321428571415</v>
      </c>
      <c r="AFH262" s="760"/>
      <c r="AFI262" s="757">
        <f t="shared" si="302"/>
        <v>9.1437500000000007</v>
      </c>
      <c r="AFJ262" s="758"/>
      <c r="AGK262" s="130"/>
      <c r="AGL262" s="850"/>
      <c r="AGM262" s="800" t="s">
        <v>1492</v>
      </c>
      <c r="AGN262" s="982"/>
      <c r="AGO262" s="801"/>
      <c r="AGP262" s="1110">
        <f>$AGZ$269</f>
        <v>1.0114899143204124</v>
      </c>
      <c r="AGQ262" s="1110"/>
      <c r="AGR262" s="809" t="s">
        <v>1449</v>
      </c>
      <c r="AGS262" s="797"/>
      <c r="AGT262" s="797"/>
      <c r="AGU262" s="797"/>
      <c r="AGV262" s="797"/>
      <c r="AGW262" s="797"/>
      <c r="AGX262" s="797"/>
      <c r="AGY262" s="797"/>
      <c r="AGZ262" s="835">
        <f>AGR261*((AGP265^2+(AGP264+AGP263)^2)^0.5)/(AGP262*AGP263)</f>
        <v>526.81606537505411</v>
      </c>
      <c r="AHA262" s="836"/>
      <c r="AHB262" s="1345" t="s">
        <v>32</v>
      </c>
      <c r="AHC262" s="932"/>
      <c r="AHD262" s="841"/>
      <c r="AHE262" s="843" t="s">
        <v>1387</v>
      </c>
      <c r="AHF262" s="844"/>
      <c r="AHG262" s="847"/>
      <c r="AHH262" s="826"/>
      <c r="AHI262" s="945"/>
      <c r="AHJ262" s="945"/>
      <c r="AHK262" s="945"/>
      <c r="AHL262" s="945"/>
      <c r="AHM262" s="945"/>
      <c r="AHN262" s="945"/>
      <c r="AHO262" s="945"/>
      <c r="AHP262" s="945"/>
      <c r="AHQ262" s="945"/>
      <c r="AHR262" s="945"/>
      <c r="AHS262" s="946"/>
      <c r="AHU262" s="130"/>
      <c r="AHV262" s="211"/>
      <c r="AHW262" s="130"/>
      <c r="AHX262" s="130"/>
      <c r="AHY262" s="130"/>
      <c r="AHZ262" s="130"/>
      <c r="AIA262" s="130"/>
      <c r="AIB262" s="130"/>
      <c r="AIC262" s="130"/>
      <c r="AID262" s="130"/>
      <c r="AIE262" s="130"/>
      <c r="AIF262" s="130"/>
      <c r="AIG262" s="130"/>
      <c r="AJD262" s="130"/>
      <c r="AJE262" s="130"/>
      <c r="AJF262" s="130"/>
      <c r="AJG262" s="130"/>
      <c r="AJH262" s="130"/>
      <c r="AJI262" s="130"/>
      <c r="AJJ262" s="130"/>
      <c r="AJK262" s="130"/>
      <c r="AJL262" s="130"/>
      <c r="AJM262" s="130"/>
      <c r="AJN262" s="130"/>
      <c r="AJO262" s="130"/>
      <c r="AJP262" s="130"/>
      <c r="AJQ262" s="130"/>
      <c r="AJR262" s="130"/>
      <c r="AJS262" s="130"/>
      <c r="AJT262" s="130"/>
      <c r="AJU262" s="130"/>
      <c r="AJV262" s="130"/>
      <c r="AJW262" s="130"/>
      <c r="AJX262" s="130"/>
      <c r="AJY262" s="130"/>
      <c r="AJZ262" s="130"/>
      <c r="AKA262" s="130"/>
      <c r="AKB262" s="130"/>
      <c r="AKC262" s="130"/>
      <c r="AKD262" s="130"/>
      <c r="AKE262" s="130"/>
      <c r="AKF262" s="130"/>
      <c r="AKG262" s="130"/>
      <c r="AKH262" s="130"/>
      <c r="AKI262" s="130"/>
      <c r="AKJ262" s="130"/>
      <c r="AKK262" s="130"/>
      <c r="AKL262" s="130"/>
      <c r="AKM262" s="130"/>
      <c r="AKN262" s="130"/>
      <c r="AKO262" s="130"/>
      <c r="AKP262" s="130"/>
      <c r="AKQ262" s="130"/>
      <c r="AKR262" s="130"/>
      <c r="AKS262" s="130"/>
      <c r="AKT262" s="130"/>
      <c r="AKU262" s="130"/>
      <c r="AKV262" s="130"/>
      <c r="AKW262" s="130"/>
      <c r="AKX262" s="130"/>
      <c r="AKY262" s="130"/>
      <c r="AKZ262" s="130"/>
      <c r="ALA262" s="130"/>
      <c r="ALB262" s="130"/>
      <c r="ALC262" s="130"/>
      <c r="ALD262" s="130"/>
      <c r="ALE262" s="130"/>
      <c r="ALF262" s="130"/>
      <c r="ALG262" s="130"/>
      <c r="AOP262" s="130"/>
      <c r="AOQ262" s="130"/>
      <c r="AOR262" s="130"/>
      <c r="AOS262" s="130"/>
      <c r="AOT262" s="130"/>
      <c r="AOU262" s="130"/>
      <c r="AOV262" s="130"/>
      <c r="AOW262" s="130"/>
      <c r="AOX262" s="130"/>
      <c r="AOY262" s="130"/>
      <c r="AOZ262" s="130"/>
      <c r="APA262" s="130"/>
      <c r="APB262" s="130"/>
      <c r="APC262" s="130"/>
      <c r="APD262" s="130"/>
      <c r="APE262" s="130"/>
      <c r="APF262" s="130"/>
      <c r="APG262" s="130"/>
      <c r="APH262" s="130"/>
      <c r="API262" s="130"/>
      <c r="APJ262" s="130"/>
      <c r="APK262" s="130"/>
      <c r="APL262" s="130"/>
      <c r="APM262" s="130"/>
      <c r="APN262" s="130"/>
      <c r="APO262" s="130"/>
      <c r="APP262" s="130"/>
      <c r="APQ262" s="130"/>
      <c r="APR262" s="130"/>
      <c r="APS262" s="130"/>
      <c r="APT262" s="130"/>
      <c r="APU262" s="130"/>
      <c r="APV262" s="130"/>
      <c r="APW262" s="130"/>
      <c r="APX262" s="130"/>
      <c r="APY262" s="130"/>
      <c r="APZ262" s="130"/>
      <c r="AQA262" s="130"/>
      <c r="AQB262" s="130"/>
      <c r="AQC262" s="130"/>
      <c r="AQD262" s="130"/>
      <c r="AQE262" s="130"/>
      <c r="AQF262" s="130"/>
      <c r="AQG262" s="130"/>
      <c r="AQH262" s="130"/>
      <c r="AQI262" s="130"/>
      <c r="AQJ262" s="130"/>
      <c r="AQK262" s="130"/>
      <c r="AQL262" s="130"/>
      <c r="AQM262" s="130"/>
      <c r="AQN262" s="130"/>
      <c r="AQO262" s="130"/>
      <c r="AQP262" s="130"/>
      <c r="AQQ262" s="130"/>
      <c r="AQR262" s="130"/>
      <c r="AQS262" s="130"/>
      <c r="AQT262" s="130"/>
      <c r="AQU262" s="130"/>
      <c r="AQV262" s="653"/>
      <c r="AQW262" s="653"/>
      <c r="AQX262" s="653"/>
      <c r="AQY262" s="653"/>
      <c r="AQZ262" s="653"/>
      <c r="ARA262" s="653"/>
      <c r="ARB262" s="653"/>
      <c r="ARC262" s="653"/>
      <c r="ARD262" s="653"/>
      <c r="ARE262" s="653"/>
      <c r="ARF262" s="653"/>
      <c r="ARG262" s="130"/>
      <c r="ARH262" s="130"/>
      <c r="ARI262" s="130"/>
      <c r="ARJ262" s="130"/>
      <c r="ARK262" s="130"/>
      <c r="ARL262" s="130"/>
      <c r="ARM262" s="130"/>
      <c r="ARN262" s="130"/>
      <c r="ARO262" s="130"/>
      <c r="ARP262" s="130"/>
      <c r="ARQ262" s="130"/>
      <c r="ARR262" s="130"/>
      <c r="ARS262" s="130"/>
      <c r="ART262" s="130"/>
      <c r="ARU262" s="130"/>
      <c r="ARV262" s="130"/>
      <c r="ARW262" s="130"/>
      <c r="ARX262" s="130"/>
      <c r="ARY262" s="130"/>
      <c r="ARZ262" s="130"/>
      <c r="ASA262" s="130"/>
      <c r="ASB262" s="130"/>
      <c r="ASC262" s="130"/>
      <c r="ASD262" s="130"/>
      <c r="ASE262" s="130"/>
      <c r="ASF262" s="130"/>
      <c r="ASG262" s="130"/>
      <c r="ASH262" s="130"/>
      <c r="ASI262" s="130"/>
      <c r="ASJ262" s="130"/>
      <c r="ASK262" s="130"/>
      <c r="ASL262" s="130"/>
      <c r="ASM262" s="130"/>
      <c r="ASN262" s="130"/>
      <c r="ASO262" s="130"/>
      <c r="ASP262" s="130"/>
      <c r="ASQ262" s="130"/>
      <c r="ASR262" s="130"/>
      <c r="ASS262" s="130"/>
      <c r="AST262" s="130"/>
      <c r="ASU262" s="130"/>
      <c r="ASV262" s="130"/>
      <c r="ASW262" s="130"/>
      <c r="ASX262" s="130"/>
      <c r="ASY262" s="130"/>
      <c r="ASZ262" s="130"/>
      <c r="ATA262" s="130"/>
      <c r="ATB262" s="130"/>
      <c r="ATC262" s="130"/>
      <c r="ATD262" s="130"/>
      <c r="ATE262" s="130"/>
      <c r="ATF262" s="130"/>
      <c r="ATG262" s="130"/>
      <c r="ATH262" s="130"/>
      <c r="ATI262" s="130"/>
      <c r="ATJ262" s="130"/>
      <c r="ATK262" s="130"/>
      <c r="ATL262" s="130"/>
      <c r="ATM262" s="130"/>
      <c r="ATN262" s="130"/>
      <c r="ATO262" s="130"/>
      <c r="ATP262" s="130"/>
      <c r="ATQ262" s="130"/>
      <c r="ATR262" s="130"/>
      <c r="ATS262" s="130"/>
      <c r="ATT262" s="130"/>
      <c r="ATU262" s="130"/>
      <c r="ATV262" s="130"/>
      <c r="ATW262" s="130"/>
      <c r="ATX262" s="130"/>
      <c r="ATY262" s="130"/>
      <c r="ATZ262" s="130"/>
      <c r="AUA262" s="130"/>
      <c r="AUB262" s="130"/>
      <c r="AUC262" s="130"/>
      <c r="AUD262" s="130"/>
      <c r="AUE262" s="130"/>
      <c r="AUF262" s="130"/>
      <c r="AUG262" s="130"/>
      <c r="AUH262" s="130"/>
      <c r="AUI262" s="130"/>
      <c r="AUJ262" s="130"/>
      <c r="AUK262" s="130"/>
      <c r="AUL262" s="130"/>
      <c r="AUM262" s="130"/>
      <c r="AUN262" s="130"/>
      <c r="AUO262" s="130"/>
      <c r="AUP262" s="130"/>
      <c r="AUQ262" s="130"/>
      <c r="AUR262" s="130"/>
      <c r="AUS262" s="130"/>
      <c r="AUT262" s="130"/>
      <c r="AUU262" s="130"/>
      <c r="AUV262" s="130"/>
      <c r="AUW262" s="130"/>
      <c r="AUX262" s="130"/>
      <c r="AUY262" s="130"/>
      <c r="AUZ262" s="130"/>
      <c r="AVA262" s="130"/>
      <c r="AVB262" s="130"/>
      <c r="AVC262" s="130"/>
      <c r="AVD262" s="130"/>
      <c r="AVE262" s="130"/>
      <c r="AVF262" s="130"/>
      <c r="AVG262" s="130"/>
      <c r="AVH262" s="130"/>
      <c r="AVI262" s="130"/>
      <c r="AVJ262" s="130"/>
      <c r="AVK262" s="130"/>
      <c r="AVL262" s="130"/>
      <c r="AVM262" s="130"/>
      <c r="AVN262" s="130"/>
      <c r="AVO262" s="130"/>
      <c r="AVP262" s="130"/>
      <c r="AVQ262" s="130"/>
      <c r="AVR262" s="130"/>
      <c r="AVS262" s="130"/>
      <c r="AVT262" s="130"/>
      <c r="AVU262" s="130"/>
      <c r="AVV262" s="130"/>
      <c r="AVW262" s="130"/>
      <c r="AVX262" s="130"/>
      <c r="AVY262" s="130"/>
      <c r="AVZ262" s="130"/>
      <c r="AWA262" s="130"/>
      <c r="AWB262" s="130"/>
      <c r="AWC262" s="130"/>
      <c r="AWD262" s="130"/>
      <c r="AWE262" s="130"/>
      <c r="AWF262" s="130"/>
      <c r="AWG262" s="130"/>
      <c r="AWH262" s="130"/>
      <c r="AWI262" s="130"/>
      <c r="AWJ262" s="130"/>
      <c r="AWK262" s="130"/>
      <c r="AWL262" s="130"/>
      <c r="AWM262" s="130"/>
      <c r="AWN262" s="130"/>
      <c r="AWO262" s="130"/>
      <c r="AWP262" s="130"/>
      <c r="AWQ262" s="130"/>
      <c r="AWR262" s="130"/>
      <c r="AWS262" s="130"/>
      <c r="AWT262" s="130"/>
      <c r="AWU262" s="130"/>
      <c r="AWV262" s="130"/>
      <c r="AWW262" s="130"/>
      <c r="AWX262" s="130"/>
      <c r="AWY262" s="130"/>
      <c r="AWZ262" s="130"/>
      <c r="AXA262" s="130"/>
      <c r="AXB262" s="130"/>
      <c r="AXC262" s="130"/>
      <c r="AXD262" s="130"/>
      <c r="AXE262" s="130"/>
      <c r="AXF262" s="130"/>
      <c r="AXG262" s="130"/>
      <c r="AXH262" s="130"/>
      <c r="AXI262" s="130"/>
      <c r="AXJ262" s="130"/>
      <c r="AXK262" s="130"/>
      <c r="AXL262" s="130"/>
      <c r="AXM262" s="130"/>
      <c r="AXN262" s="130"/>
      <c r="AXO262" s="130"/>
      <c r="AXP262" s="130"/>
      <c r="AXQ262" s="130"/>
      <c r="AXR262" s="130"/>
      <c r="AXS262" s="130"/>
      <c r="AXT262" s="130"/>
      <c r="AXU262" s="130"/>
      <c r="AXV262" s="130"/>
      <c r="AXW262" s="130"/>
      <c r="AXX262" s="130"/>
      <c r="AXY262" s="130"/>
      <c r="AXZ262" s="130"/>
      <c r="AYA262" s="130"/>
      <c r="AYB262" s="130"/>
      <c r="AYC262" s="130"/>
      <c r="AYD262" s="130"/>
      <c r="AYE262" s="130"/>
      <c r="AYF262" s="130"/>
      <c r="AYG262" s="130"/>
      <c r="AYH262" s="130"/>
      <c r="AYI262" s="130"/>
      <c r="AYJ262" s="130"/>
      <c r="AYK262" s="130"/>
      <c r="AYL262" s="130"/>
      <c r="AYM262" s="130"/>
      <c r="AYN262" s="130"/>
      <c r="AYO262" s="130"/>
      <c r="AYP262" s="130"/>
      <c r="AYQ262" s="130"/>
      <c r="AYR262" s="130"/>
      <c r="AYS262" s="130"/>
      <c r="AYT262" s="130"/>
      <c r="AYU262" s="130"/>
      <c r="AYV262" s="130"/>
      <c r="AYW262" s="130"/>
      <c r="AYX262" s="130"/>
      <c r="AYY262" s="130"/>
      <c r="AYZ262" s="130"/>
      <c r="AZA262" s="130"/>
      <c r="AZB262" s="130"/>
      <c r="AZC262" s="130"/>
      <c r="AZD262" s="130"/>
      <c r="AZE262" s="130"/>
      <c r="AZF262" s="130"/>
      <c r="AZG262" s="130"/>
      <c r="AZH262" s="130"/>
      <c r="AZI262" s="130"/>
      <c r="AZJ262" s="130"/>
      <c r="AZK262" s="130"/>
      <c r="AZL262" s="130"/>
      <c r="AZM262" s="130"/>
      <c r="AZN262" s="130"/>
      <c r="AZO262" s="130"/>
      <c r="AZP262" s="130"/>
      <c r="AZQ262" s="130"/>
      <c r="AZR262" s="130"/>
      <c r="AZS262" s="130"/>
      <c r="AZT262" s="130"/>
      <c r="AZU262" s="130"/>
      <c r="AZV262" s="130"/>
      <c r="AZW262" s="130"/>
      <c r="AZX262" s="130"/>
      <c r="AZY262" s="130"/>
      <c r="AZZ262" s="130"/>
      <c r="BAA262" s="130"/>
      <c r="BAB262" s="130"/>
      <c r="BAC262" s="130"/>
      <c r="BAD262" s="130"/>
      <c r="BAE262" s="130"/>
      <c r="BAF262" s="130"/>
      <c r="BAG262" s="130"/>
      <c r="BAH262" s="130"/>
      <c r="BAI262" s="130"/>
      <c r="BAJ262" s="130"/>
      <c r="BAK262" s="130"/>
      <c r="BAL262" s="130"/>
      <c r="BAM262" s="130"/>
      <c r="BAN262" s="130"/>
      <c r="BAO262" s="130"/>
      <c r="BAP262" s="130"/>
      <c r="BAQ262" s="130"/>
      <c r="BAR262" s="130"/>
      <c r="BAS262" s="130"/>
      <c r="BAT262" s="130"/>
      <c r="BAU262" s="130"/>
      <c r="BAV262" s="130"/>
      <c r="BAW262" s="130"/>
      <c r="BAX262" s="130"/>
      <c r="BAY262" s="130"/>
      <c r="BAZ262" s="130"/>
      <c r="BBA262" s="130"/>
      <c r="BBB262" s="130"/>
      <c r="BBC262" s="130"/>
      <c r="BBD262" s="130"/>
      <c r="BBE262" s="130"/>
      <c r="BBF262" s="130"/>
      <c r="BBG262" s="130"/>
      <c r="BBH262" s="130"/>
      <c r="BBI262" s="130"/>
      <c r="BBJ262" s="130"/>
      <c r="BBK262" s="130"/>
      <c r="BBL262" s="130"/>
      <c r="BBM262" s="130"/>
      <c r="BBN262" s="130"/>
    </row>
    <row r="263" spans="450:995 1082:1418" ht="48" customHeight="1" thickBot="1">
      <c r="QW263" s="249"/>
      <c r="QX263" s="249"/>
      <c r="QY263" s="249"/>
      <c r="QZ263" s="249"/>
      <c r="RA263" s="249"/>
      <c r="RB263" s="249"/>
      <c r="RC263" s="249"/>
      <c r="RD263" s="249"/>
      <c r="RE263" s="249"/>
      <c r="RF263" s="249"/>
      <c r="RG263" s="249"/>
      <c r="RH263" s="249"/>
      <c r="RI263" s="249"/>
      <c r="RJ263" s="249"/>
      <c r="RK263" s="249"/>
      <c r="RL263" s="249"/>
      <c r="RM263" s="249"/>
      <c r="RN263" s="249"/>
      <c r="ACJ263" s="759">
        <v>-4.0625000000000001E-2</v>
      </c>
      <c r="ACK263" s="760"/>
      <c r="ACL263" s="759">
        <v>0.96499999999999997</v>
      </c>
      <c r="ACM263" s="760"/>
      <c r="ACN263" s="591">
        <v>36</v>
      </c>
      <c r="ACO263" s="759">
        <f t="shared" si="287"/>
        <v>0.93026562499999998</v>
      </c>
      <c r="ACP263" s="760"/>
      <c r="ACQ263" s="757">
        <f t="shared" si="288"/>
        <v>0.85499999999999998</v>
      </c>
      <c r="ACR263" s="758"/>
      <c r="ACT263" s="759">
        <v>-0.11999999999999988</v>
      </c>
      <c r="ACU263" s="760"/>
      <c r="ACV263" s="759">
        <v>1.0999999999999996</v>
      </c>
      <c r="ACW263" s="760"/>
      <c r="ACX263" s="591">
        <v>86</v>
      </c>
      <c r="ACY263" s="759">
        <f t="shared" si="289"/>
        <v>0.85489999999999988</v>
      </c>
      <c r="ACZ263" s="760"/>
      <c r="ADA263" s="757">
        <f t="shared" si="290"/>
        <v>2.0425</v>
      </c>
      <c r="ADB263" s="758"/>
      <c r="ADD263" s="1112">
        <v>-0.12</v>
      </c>
      <c r="ADE263" s="1112"/>
      <c r="ADF263" s="1112">
        <v>1.06</v>
      </c>
      <c r="ADG263" s="1112"/>
      <c r="ADH263" s="591">
        <v>136</v>
      </c>
      <c r="ADI263" s="759">
        <f t="shared" si="291"/>
        <v>0.67240000000000011</v>
      </c>
      <c r="ADJ263" s="760"/>
      <c r="ADK263" s="757">
        <f t="shared" si="292"/>
        <v>3.23</v>
      </c>
      <c r="ADL263" s="758"/>
      <c r="ADN263" s="1112">
        <v>-0.08</v>
      </c>
      <c r="ADO263" s="1112"/>
      <c r="ADP263" s="1112">
        <v>0.9</v>
      </c>
      <c r="ADQ263" s="1112"/>
      <c r="ADR263" s="592">
        <v>186</v>
      </c>
      <c r="ADS263" s="759">
        <f t="shared" si="293"/>
        <v>0.54659999999999997</v>
      </c>
      <c r="ADT263" s="760"/>
      <c r="ADU263" s="757">
        <f t="shared" si="294"/>
        <v>4.4175000000000004</v>
      </c>
      <c r="ADV263" s="758"/>
      <c r="ADX263" s="1112">
        <v>-5.8823529411764698E-2</v>
      </c>
      <c r="ADY263" s="1112"/>
      <c r="ADZ263" s="1112">
        <v>0.79411764705882304</v>
      </c>
      <c r="AEA263" s="1112"/>
      <c r="AEB263" s="591">
        <v>236</v>
      </c>
      <c r="AEC263" s="759">
        <f t="shared" si="295"/>
        <v>0.46441176470588186</v>
      </c>
      <c r="AED263" s="760"/>
      <c r="AEE263" s="757">
        <f t="shared" si="296"/>
        <v>5.6050000000000004</v>
      </c>
      <c r="AEF263" s="758"/>
      <c r="AEH263" s="1112">
        <v>-3.5714285714285698E-2</v>
      </c>
      <c r="AEI263" s="1112"/>
      <c r="AEJ263" s="1112">
        <v>0.63928571428571401</v>
      </c>
      <c r="AEK263" s="1112"/>
      <c r="AEL263" s="592">
        <v>286</v>
      </c>
      <c r="AEM263" s="759">
        <f t="shared" si="297"/>
        <v>0.39669642857142839</v>
      </c>
      <c r="AEN263" s="760"/>
      <c r="AEO263" s="757">
        <f t="shared" si="298"/>
        <v>6.7925000000000004</v>
      </c>
      <c r="AEP263" s="758"/>
      <c r="AER263" s="1112">
        <v>-3.5714285714285698E-2</v>
      </c>
      <c r="AES263" s="1112"/>
      <c r="AET263" s="1112">
        <v>0.63928571428571401</v>
      </c>
      <c r="AEU263" s="1112"/>
      <c r="AEV263" s="592">
        <v>336</v>
      </c>
      <c r="AEW263" s="759">
        <f t="shared" si="299"/>
        <v>0.35428571428571415</v>
      </c>
      <c r="AEX263" s="760"/>
      <c r="AEY263" s="757">
        <f t="shared" si="300"/>
        <v>7.98</v>
      </c>
      <c r="AEZ263" s="758"/>
      <c r="AFB263" s="1112">
        <v>-3.5714285714285698E-2</v>
      </c>
      <c r="AFC263" s="1112"/>
      <c r="AFD263" s="1112">
        <v>0.63928571428571401</v>
      </c>
      <c r="AFE263" s="1112"/>
      <c r="AFF263" s="592">
        <v>386</v>
      </c>
      <c r="AFG263" s="759">
        <f t="shared" si="301"/>
        <v>0.31187499999999985</v>
      </c>
      <c r="AFH263" s="760"/>
      <c r="AFI263" s="757">
        <f t="shared" si="302"/>
        <v>9.1675000000000004</v>
      </c>
      <c r="AFJ263" s="758"/>
      <c r="AGL263" s="850"/>
      <c r="AGM263" s="800" t="s">
        <v>1468</v>
      </c>
      <c r="AGN263" s="982"/>
      <c r="AGO263" s="801"/>
      <c r="AGP263" s="951">
        <f>$AGZ$126</f>
        <v>17.205099098916754</v>
      </c>
      <c r="AGQ263" s="952"/>
      <c r="AGR263" s="775"/>
      <c r="AGS263" s="776"/>
      <c r="AGT263" s="776"/>
      <c r="AGU263" s="776"/>
      <c r="AGV263" s="776"/>
      <c r="AGW263" s="776"/>
      <c r="AGX263" s="776"/>
      <c r="AGY263" s="776"/>
      <c r="AGZ263" s="837"/>
      <c r="AHA263" s="838"/>
      <c r="AHB263" s="1346"/>
      <c r="AHC263" s="934"/>
      <c r="AHD263" s="842"/>
      <c r="AHE263" s="845"/>
      <c r="AHF263" s="846"/>
      <c r="AHG263" s="848"/>
      <c r="AHH263" s="827"/>
      <c r="AHI263" s="947"/>
      <c r="AHJ263" s="947"/>
      <c r="AHK263" s="947"/>
      <c r="AHL263" s="947"/>
      <c r="AHM263" s="947"/>
      <c r="AHN263" s="947"/>
      <c r="AHO263" s="947"/>
      <c r="AHP263" s="947"/>
      <c r="AHQ263" s="947"/>
      <c r="AHR263" s="947"/>
      <c r="AHS263" s="948"/>
      <c r="AHU263" s="130"/>
      <c r="AIC263" s="130"/>
      <c r="AID263" s="130"/>
      <c r="AIE263" s="130"/>
      <c r="AIF263" s="130"/>
      <c r="AIG263" s="130"/>
      <c r="AJD263" s="130"/>
      <c r="AJE263" s="130"/>
      <c r="AJF263" s="130"/>
      <c r="AJG263" s="130"/>
      <c r="AJH263" s="130"/>
      <c r="AJI263" s="130"/>
      <c r="AJJ263" s="130"/>
      <c r="AJK263" s="130"/>
      <c r="AJL263" s="130"/>
      <c r="AJM263" s="130"/>
      <c r="AJN263" s="130"/>
      <c r="AJO263" s="130"/>
      <c r="AJP263" s="130"/>
      <c r="AJQ263" s="130"/>
      <c r="AJR263" s="130"/>
      <c r="AJS263" s="130"/>
      <c r="AJT263" s="130"/>
      <c r="AJU263" s="130"/>
      <c r="AJV263" s="130"/>
      <c r="AJW263" s="130"/>
      <c r="AJX263" s="130"/>
      <c r="AJY263" s="130"/>
      <c r="AJZ263" s="130"/>
      <c r="AKA263" s="130"/>
      <c r="AKB263" s="130"/>
      <c r="AKC263" s="130"/>
      <c r="AKD263" s="130"/>
      <c r="AKE263" s="130"/>
      <c r="AKF263" s="130"/>
      <c r="AKG263" s="130"/>
      <c r="AKH263" s="130"/>
      <c r="AKI263" s="130"/>
      <c r="AKJ263" s="130"/>
      <c r="AKK263" s="130"/>
      <c r="AKL263" s="130"/>
      <c r="AKM263" s="130"/>
      <c r="AKN263" s="130"/>
      <c r="AKO263" s="130"/>
      <c r="AKP263" s="130"/>
      <c r="AKQ263" s="130"/>
      <c r="AKR263" s="130"/>
      <c r="AKS263" s="130"/>
      <c r="AKT263" s="130"/>
      <c r="AKU263" s="130"/>
      <c r="AKV263" s="130"/>
      <c r="AKW263" s="130"/>
      <c r="AKX263" s="130"/>
      <c r="AKY263" s="130"/>
      <c r="AKZ263" s="130"/>
      <c r="ALA263" s="130"/>
      <c r="ALB263" s="130"/>
      <c r="ALC263" s="130"/>
      <c r="ALD263" s="130"/>
      <c r="ALE263" s="130"/>
      <c r="ALF263" s="130"/>
      <c r="ALG263" s="130"/>
      <c r="AOP263" s="130"/>
      <c r="AOQ263" s="130"/>
      <c r="AOR263" s="130"/>
      <c r="AOS263" s="130"/>
      <c r="AOT263" s="130"/>
      <c r="AOU263" s="130"/>
      <c r="AOV263" s="130"/>
      <c r="AOW263" s="130"/>
      <c r="AOX263" s="130"/>
      <c r="AOY263" s="130"/>
      <c r="AOZ263" s="130"/>
      <c r="APA263" s="130"/>
      <c r="APB263" s="130"/>
      <c r="APC263" s="130"/>
      <c r="APD263" s="130"/>
      <c r="APE263" s="130"/>
      <c r="APF263" s="130"/>
      <c r="APG263" s="130"/>
      <c r="APH263" s="130"/>
      <c r="API263" s="130"/>
      <c r="APJ263" s="130"/>
      <c r="APK263" s="130"/>
      <c r="APL263" s="130"/>
      <c r="APM263" s="130"/>
      <c r="APN263" s="130"/>
      <c r="APO263" s="130"/>
      <c r="APP263" s="130"/>
      <c r="APQ263" s="130"/>
      <c r="APR263" s="130"/>
      <c r="APS263" s="130"/>
      <c r="APT263" s="130"/>
      <c r="APU263" s="130"/>
      <c r="APV263" s="130"/>
      <c r="APW263" s="130"/>
      <c r="APX263" s="130"/>
      <c r="APY263" s="130"/>
      <c r="APZ263" s="130"/>
      <c r="AQA263" s="130"/>
      <c r="AQB263" s="130"/>
      <c r="AQC263" s="130"/>
      <c r="AQD263" s="130"/>
      <c r="AQE263" s="130"/>
      <c r="AQF263" s="130"/>
      <c r="AQG263" s="130"/>
      <c r="AQH263" s="130"/>
      <c r="AQI263" s="130"/>
      <c r="AQJ263" s="130"/>
      <c r="AQK263" s="130"/>
      <c r="AQL263" s="130"/>
      <c r="AQM263" s="130"/>
      <c r="AQN263" s="130"/>
      <c r="AQO263" s="130"/>
      <c r="AQP263" s="130"/>
      <c r="AQQ263" s="130"/>
      <c r="AQR263" s="130"/>
      <c r="AQS263" s="130"/>
      <c r="AQT263" s="130"/>
      <c r="AQU263" s="130"/>
      <c r="AQV263" s="653"/>
      <c r="AQW263" s="653"/>
      <c r="AQX263" s="653"/>
      <c r="AQY263" s="653"/>
      <c r="AQZ263" s="653"/>
      <c r="ARA263" s="653"/>
      <c r="ARB263" s="653"/>
      <c r="ARC263" s="653"/>
      <c r="ARD263" s="653"/>
      <c r="ARE263" s="653"/>
      <c r="ARF263" s="653"/>
      <c r="ARG263" s="130"/>
      <c r="ARH263" s="130"/>
      <c r="ARI263" s="130"/>
      <c r="ARJ263" s="130"/>
      <c r="ARK263" s="130"/>
      <c r="ARL263" s="130"/>
      <c r="ARM263" s="130"/>
      <c r="ARN263" s="130"/>
      <c r="ARO263" s="130"/>
      <c r="ARP263" s="130"/>
      <c r="ARQ263" s="130"/>
      <c r="ARR263" s="130"/>
      <c r="ARS263" s="130"/>
      <c r="ART263" s="130"/>
      <c r="ARU263" s="130"/>
      <c r="ARV263" s="130"/>
      <c r="ARW263" s="130"/>
      <c r="ARX263" s="130"/>
      <c r="ARY263" s="130"/>
      <c r="ARZ263" s="130"/>
      <c r="ASA263" s="130"/>
      <c r="ASB263" s="130"/>
      <c r="ASC263" s="130"/>
      <c r="ASD263" s="130"/>
      <c r="ASE263" s="130"/>
      <c r="ASF263" s="130"/>
      <c r="ASG263" s="130"/>
      <c r="ASH263" s="130"/>
      <c r="ASI263" s="130"/>
      <c r="ASJ263" s="130"/>
      <c r="ASK263" s="130"/>
      <c r="ASL263" s="130"/>
      <c r="ASM263" s="130"/>
      <c r="ASN263" s="130"/>
      <c r="ASO263" s="130"/>
      <c r="ASP263" s="130"/>
      <c r="ASQ263" s="130"/>
      <c r="ASR263" s="130"/>
      <c r="ASS263" s="130"/>
      <c r="AST263" s="130"/>
      <c r="ASU263" s="130"/>
      <c r="ASV263" s="130"/>
      <c r="ASW263" s="130"/>
      <c r="ASX263" s="130"/>
      <c r="ASY263" s="130"/>
      <c r="ASZ263" s="130"/>
      <c r="ATA263" s="130"/>
      <c r="ATB263" s="130"/>
      <c r="ATC263" s="130"/>
      <c r="ATD263" s="130"/>
      <c r="ATE263" s="130"/>
      <c r="ATF263" s="130"/>
      <c r="ATG263" s="130"/>
      <c r="ATH263" s="130"/>
      <c r="ATI263" s="130"/>
      <c r="ATJ263" s="130"/>
      <c r="ATK263" s="130"/>
      <c r="ATL263" s="130"/>
      <c r="ATM263" s="130"/>
      <c r="ATN263" s="130"/>
      <c r="ATO263" s="130"/>
      <c r="ATP263" s="130"/>
      <c r="ATQ263" s="130"/>
      <c r="ATR263" s="130"/>
      <c r="ATS263" s="130"/>
      <c r="ATT263" s="130"/>
      <c r="ATU263" s="130"/>
      <c r="ATV263" s="130"/>
      <c r="ATW263" s="130"/>
      <c r="ATX263" s="130"/>
      <c r="ATY263" s="130"/>
      <c r="ATZ263" s="130"/>
      <c r="AUA263" s="130"/>
      <c r="AUB263" s="130"/>
      <c r="AUC263" s="130"/>
      <c r="AUD263" s="130"/>
      <c r="AUE263" s="130"/>
      <c r="AUF263" s="130"/>
      <c r="AUG263" s="130"/>
      <c r="AUH263" s="130"/>
      <c r="AUI263" s="130"/>
      <c r="AUJ263" s="130"/>
      <c r="AUK263" s="130"/>
      <c r="AUL263" s="130"/>
      <c r="AUM263" s="130"/>
      <c r="AUN263" s="130"/>
      <c r="AUO263" s="130"/>
      <c r="AUP263" s="130"/>
      <c r="AUQ263" s="130"/>
      <c r="AUR263" s="130"/>
      <c r="AUS263" s="130"/>
      <c r="AUT263" s="130"/>
      <c r="AUU263" s="130"/>
      <c r="AUV263" s="130"/>
      <c r="AUW263" s="130"/>
      <c r="AUX263" s="130"/>
      <c r="AUY263" s="130"/>
      <c r="AUZ263" s="130"/>
      <c r="AVA263" s="130"/>
      <c r="AVB263" s="130"/>
      <c r="AVC263" s="130"/>
      <c r="AVD263" s="130"/>
      <c r="AVE263" s="130"/>
      <c r="AVF263" s="130"/>
      <c r="AVG263" s="130"/>
      <c r="AVH263" s="130"/>
      <c r="AVI263" s="130"/>
      <c r="AVJ263" s="130"/>
      <c r="AVK263" s="130"/>
      <c r="AVL263" s="130"/>
      <c r="AVM263" s="130"/>
      <c r="AVN263" s="130"/>
      <c r="AVO263" s="130"/>
      <c r="AVP263" s="130"/>
      <c r="AVQ263" s="130"/>
      <c r="AVR263" s="130"/>
      <c r="AVS263" s="130"/>
      <c r="AVT263" s="130"/>
      <c r="AVU263" s="130"/>
      <c r="AVV263" s="130"/>
      <c r="AVW263" s="130"/>
      <c r="AVX263" s="130"/>
      <c r="AVY263" s="130"/>
      <c r="AVZ263" s="130"/>
      <c r="AWA263" s="130"/>
      <c r="AWB263" s="130"/>
      <c r="AWC263" s="130"/>
      <c r="AWD263" s="130"/>
      <c r="AWE263" s="130"/>
      <c r="AWF263" s="130"/>
      <c r="AWG263" s="130"/>
      <c r="AWH263" s="130"/>
      <c r="AWI263" s="130"/>
      <c r="AWJ263" s="130"/>
      <c r="AWK263" s="130"/>
      <c r="AWL263" s="130"/>
      <c r="AWM263" s="130"/>
      <c r="AWN263" s="130"/>
      <c r="AWO263" s="130"/>
      <c r="AWP263" s="130"/>
      <c r="AWQ263" s="130"/>
      <c r="AWR263" s="130"/>
      <c r="AWS263" s="130"/>
      <c r="AWT263" s="130"/>
      <c r="AWU263" s="130"/>
      <c r="AWV263" s="130"/>
      <c r="AWW263" s="130"/>
      <c r="AWX263" s="130"/>
      <c r="AWY263" s="130"/>
      <c r="AWZ263" s="130"/>
      <c r="AXA263" s="130"/>
      <c r="AXB263" s="130"/>
      <c r="AXC263" s="130"/>
      <c r="AXD263" s="130"/>
      <c r="AXE263" s="130"/>
      <c r="AXF263" s="130"/>
      <c r="AXG263" s="130"/>
      <c r="AXH263" s="130"/>
      <c r="AXI263" s="130"/>
      <c r="AXJ263" s="130"/>
      <c r="AXK263" s="130"/>
      <c r="AXL263" s="130"/>
      <c r="AXM263" s="130"/>
      <c r="AXN263" s="130"/>
      <c r="AXO263" s="130"/>
      <c r="AXP263" s="130"/>
      <c r="AXQ263" s="130"/>
      <c r="AXR263" s="130"/>
      <c r="AXS263" s="130"/>
      <c r="AXT263" s="130"/>
      <c r="AXU263" s="130"/>
      <c r="AXV263" s="130"/>
      <c r="AXW263" s="130"/>
      <c r="AXX263" s="130"/>
      <c r="AXY263" s="130"/>
      <c r="AXZ263" s="130"/>
      <c r="AYA263" s="130"/>
      <c r="AYB263" s="130"/>
      <c r="AYC263" s="130"/>
      <c r="AYD263" s="130"/>
      <c r="AYE263" s="130"/>
      <c r="AYF263" s="130"/>
      <c r="AYG263" s="130"/>
      <c r="AYH263" s="130"/>
      <c r="AYI263" s="130"/>
      <c r="AYJ263" s="130"/>
      <c r="AYK263" s="130"/>
      <c r="AYL263" s="130"/>
      <c r="AYM263" s="130"/>
      <c r="AYN263" s="130"/>
      <c r="AYO263" s="130"/>
      <c r="AYP263" s="130"/>
      <c r="AYQ263" s="130"/>
      <c r="AYR263" s="130"/>
      <c r="AYS263" s="130"/>
      <c r="AYT263" s="130"/>
      <c r="AYU263" s="130"/>
      <c r="AYV263" s="130"/>
      <c r="AYW263" s="130"/>
      <c r="AYX263" s="130"/>
      <c r="AYY263" s="130"/>
      <c r="AYZ263" s="130"/>
      <c r="AZA263" s="130"/>
      <c r="AZB263" s="130"/>
      <c r="AZC263" s="130"/>
      <c r="AZD263" s="130"/>
      <c r="AZE263" s="130"/>
      <c r="AZF263" s="130"/>
      <c r="AZG263" s="130"/>
      <c r="AZH263" s="130"/>
      <c r="AZI263" s="130"/>
      <c r="AZJ263" s="130"/>
      <c r="AZK263" s="130"/>
      <c r="AZL263" s="130"/>
      <c r="AZM263" s="130"/>
      <c r="AZN263" s="130"/>
      <c r="AZO263" s="130"/>
      <c r="AZP263" s="130"/>
      <c r="AZQ263" s="130"/>
      <c r="AZR263" s="130"/>
      <c r="AZS263" s="130"/>
      <c r="AZT263" s="130"/>
      <c r="AZU263" s="130"/>
      <c r="AZV263" s="130"/>
      <c r="AZW263" s="130"/>
      <c r="AZX263" s="130"/>
      <c r="AZY263" s="130"/>
      <c r="AZZ263" s="130"/>
      <c r="BAA263" s="130"/>
      <c r="BAB263" s="130"/>
      <c r="BAC263" s="130"/>
      <c r="BAD263" s="130"/>
      <c r="BAE263" s="130"/>
      <c r="BAF263" s="130"/>
      <c r="BAG263" s="130"/>
      <c r="BAH263" s="130"/>
      <c r="BAI263" s="130"/>
      <c r="BAJ263" s="130"/>
      <c r="BAK263" s="130"/>
      <c r="BAL263" s="130"/>
      <c r="BAM263" s="130"/>
      <c r="BAN263" s="130"/>
      <c r="BAO263" s="130"/>
      <c r="BAP263" s="130"/>
      <c r="BAQ263" s="130"/>
      <c r="BAR263" s="130"/>
      <c r="BAS263" s="130"/>
      <c r="BAT263" s="130"/>
      <c r="BAU263" s="130"/>
      <c r="BAV263" s="130"/>
      <c r="BAW263" s="130"/>
      <c r="BAX263" s="130"/>
      <c r="BAY263" s="130"/>
      <c r="BAZ263" s="130"/>
      <c r="BBA263" s="130"/>
      <c r="BBB263" s="130"/>
      <c r="BBC263" s="130"/>
      <c r="BBD263" s="130"/>
      <c r="BBE263" s="130"/>
      <c r="BBF263" s="130"/>
      <c r="BBG263" s="130"/>
      <c r="BBH263" s="130"/>
      <c r="BBI263" s="130"/>
      <c r="BBJ263" s="130"/>
      <c r="BBK263" s="130"/>
      <c r="BBL263" s="130"/>
      <c r="BBM263" s="130"/>
      <c r="BBN263" s="130"/>
    </row>
    <row r="264" spans="450:995 1082:1418" ht="48" customHeight="1">
      <c r="QW264" s="249"/>
      <c r="QX264" s="249"/>
      <c r="QY264" s="249"/>
      <c r="QZ264" s="249"/>
      <c r="RA264" s="249"/>
      <c r="RB264" s="249"/>
      <c r="RC264" s="249"/>
      <c r="RD264" s="249"/>
      <c r="RE264" s="249"/>
      <c r="RF264" s="249"/>
      <c r="RG264" s="249"/>
      <c r="RH264" s="249"/>
      <c r="RI264" s="249"/>
      <c r="RJ264" s="249"/>
      <c r="RK264" s="249"/>
      <c r="RL264" s="249"/>
      <c r="RM264" s="249"/>
      <c r="RN264" s="249"/>
      <c r="ACJ264" s="759">
        <v>-4.0625000000000001E-2</v>
      </c>
      <c r="ACK264" s="760"/>
      <c r="ACL264" s="759">
        <v>0.96499999999999997</v>
      </c>
      <c r="ACM264" s="760"/>
      <c r="ACN264" s="591">
        <v>37</v>
      </c>
      <c r="ACO264" s="759">
        <f t="shared" si="287"/>
        <v>0.92930078124999993</v>
      </c>
      <c r="ACP264" s="760"/>
      <c r="ACQ264" s="757">
        <f t="shared" si="288"/>
        <v>0.87875000000000003</v>
      </c>
      <c r="ACR264" s="758"/>
      <c r="ACT264" s="759">
        <v>-0.12</v>
      </c>
      <c r="ACU264" s="760"/>
      <c r="ACV264" s="759">
        <v>1.1000000000000001</v>
      </c>
      <c r="ACW264" s="760"/>
      <c r="ACX264" s="591">
        <v>87</v>
      </c>
      <c r="ACY264" s="759">
        <f t="shared" si="289"/>
        <v>0.85205000000000009</v>
      </c>
      <c r="ACZ264" s="760"/>
      <c r="ADA264" s="757">
        <f t="shared" si="290"/>
        <v>2.0662500000000001</v>
      </c>
      <c r="ADB264" s="758"/>
      <c r="ADD264" s="1112">
        <v>-0.12</v>
      </c>
      <c r="ADE264" s="1112"/>
      <c r="ADF264" s="1112">
        <v>1.06</v>
      </c>
      <c r="ADG264" s="1112"/>
      <c r="ADH264" s="591">
        <v>137</v>
      </c>
      <c r="ADI264" s="759">
        <f t="shared" si="291"/>
        <v>0.66955000000000009</v>
      </c>
      <c r="ADJ264" s="760"/>
      <c r="ADK264" s="757">
        <f t="shared" si="292"/>
        <v>3.2537500000000001</v>
      </c>
      <c r="ADL264" s="758"/>
      <c r="ADN264" s="1112">
        <v>-0.08</v>
      </c>
      <c r="ADO264" s="1112"/>
      <c r="ADP264" s="1112">
        <v>0.9</v>
      </c>
      <c r="ADQ264" s="1112"/>
      <c r="ADR264" s="592">
        <v>187</v>
      </c>
      <c r="ADS264" s="759">
        <f t="shared" si="293"/>
        <v>0.54469999999999996</v>
      </c>
      <c r="ADT264" s="760"/>
      <c r="ADU264" s="757">
        <f t="shared" si="294"/>
        <v>4.4412500000000001</v>
      </c>
      <c r="ADV264" s="758"/>
      <c r="ADX264" s="1112">
        <v>-5.8823529411764698E-2</v>
      </c>
      <c r="ADY264" s="1112"/>
      <c r="ADZ264" s="1112">
        <v>0.79411764705882304</v>
      </c>
      <c r="AEA264" s="1112"/>
      <c r="AEB264" s="591">
        <v>237</v>
      </c>
      <c r="AEC264" s="759">
        <f t="shared" si="295"/>
        <v>0.4630147058823525</v>
      </c>
      <c r="AED264" s="760"/>
      <c r="AEE264" s="757">
        <f t="shared" si="296"/>
        <v>5.6287500000000001</v>
      </c>
      <c r="AEF264" s="758"/>
      <c r="AEH264" s="1112">
        <v>-3.5714285714285698E-2</v>
      </c>
      <c r="AEI264" s="1112"/>
      <c r="AEJ264" s="1112">
        <v>0.63928571428571401</v>
      </c>
      <c r="AEK264" s="1112"/>
      <c r="AEL264" s="592">
        <v>287</v>
      </c>
      <c r="AEM264" s="759">
        <f t="shared" si="297"/>
        <v>0.39584821428571415</v>
      </c>
      <c r="AEN264" s="760"/>
      <c r="AEO264" s="757">
        <f t="shared" si="298"/>
        <v>6.8162500000000001</v>
      </c>
      <c r="AEP264" s="758"/>
      <c r="AER264" s="1112">
        <v>-3.5714285714285698E-2</v>
      </c>
      <c r="AES264" s="1112"/>
      <c r="AET264" s="1112">
        <v>0.63928571428571401</v>
      </c>
      <c r="AEU264" s="1112"/>
      <c r="AEV264" s="592">
        <v>337</v>
      </c>
      <c r="AEW264" s="759">
        <f t="shared" si="299"/>
        <v>0.35343749999999985</v>
      </c>
      <c r="AEX264" s="760"/>
      <c r="AEY264" s="757">
        <f t="shared" si="300"/>
        <v>8.0037500000000001</v>
      </c>
      <c r="AEZ264" s="758"/>
      <c r="AFB264" s="1112">
        <v>-3.5714285714285698E-2</v>
      </c>
      <c r="AFC264" s="1112"/>
      <c r="AFD264" s="1112">
        <v>0.63928571428571401</v>
      </c>
      <c r="AFE264" s="1112"/>
      <c r="AFF264" s="592">
        <v>387</v>
      </c>
      <c r="AFG264" s="759">
        <f t="shared" si="301"/>
        <v>0.3110267857142856</v>
      </c>
      <c r="AFH264" s="760"/>
      <c r="AFI264" s="757">
        <f t="shared" si="302"/>
        <v>9.1912500000000001</v>
      </c>
      <c r="AFJ264" s="758"/>
      <c r="AGL264" s="850"/>
      <c r="AGM264" s="800" t="s">
        <v>1513</v>
      </c>
      <c r="AGN264" s="982"/>
      <c r="AGO264" s="801"/>
      <c r="AGP264" s="1110">
        <f>$AGZ$278</f>
        <v>0.2542660879528495</v>
      </c>
      <c r="AGQ264" s="1110"/>
      <c r="AGR264" s="775"/>
      <c r="AGS264" s="776"/>
      <c r="AGT264" s="776"/>
      <c r="AGU264" s="776"/>
      <c r="AGV264" s="776"/>
      <c r="AGW264" s="776"/>
      <c r="AGX264" s="776"/>
      <c r="AGY264" s="776"/>
      <c r="AGZ264" s="1316"/>
      <c r="AHA264" s="1317"/>
      <c r="AHB264" s="1317"/>
      <c r="AHC264" s="1317"/>
      <c r="AHD264" s="1317"/>
      <c r="AHE264" s="1317"/>
      <c r="AHF264" s="1317"/>
      <c r="AHG264" s="1318"/>
      <c r="AHH264" s="827"/>
      <c r="AHI264" s="947"/>
      <c r="AHJ264" s="947"/>
      <c r="AHK264" s="947"/>
      <c r="AHL264" s="947"/>
      <c r="AHM264" s="947"/>
      <c r="AHN264" s="947"/>
      <c r="AHO264" s="947"/>
      <c r="AHP264" s="947"/>
      <c r="AHQ264" s="947"/>
      <c r="AHR264" s="947"/>
      <c r="AHS264" s="948"/>
      <c r="AHU264" s="130"/>
      <c r="AJD264" s="130"/>
      <c r="AJE264" s="130"/>
      <c r="AJF264" s="130"/>
      <c r="AJG264" s="130"/>
      <c r="AJH264" s="130"/>
      <c r="AJI264" s="130"/>
      <c r="AJJ264" s="130"/>
      <c r="AJK264" s="130"/>
      <c r="AJL264" s="130"/>
      <c r="AJM264" s="130"/>
      <c r="AJN264" s="130"/>
      <c r="AJO264" s="130"/>
      <c r="AJP264" s="130"/>
      <c r="AJQ264" s="130"/>
      <c r="AJR264" s="130"/>
      <c r="AJS264" s="130"/>
      <c r="AJT264" s="130"/>
      <c r="AJU264" s="130"/>
      <c r="AJV264" s="130"/>
      <c r="AJW264" s="130"/>
      <c r="AJX264" s="130"/>
      <c r="AJY264" s="130"/>
      <c r="AJZ264" s="130"/>
      <c r="AKA264" s="130"/>
      <c r="AKB264" s="130"/>
      <c r="AKC264" s="130"/>
      <c r="AKD264" s="130"/>
      <c r="AKE264" s="130"/>
      <c r="AKF264" s="130"/>
      <c r="AKG264" s="130"/>
      <c r="AKH264" s="130"/>
      <c r="AKI264" s="130"/>
      <c r="AKJ264" s="130"/>
      <c r="AKK264" s="130"/>
      <c r="AKL264" s="130"/>
      <c r="AKM264" s="130"/>
      <c r="AKN264" s="130"/>
      <c r="AKO264" s="130"/>
      <c r="AKP264" s="130"/>
      <c r="AKQ264" s="130"/>
      <c r="AKR264" s="130"/>
      <c r="AKS264" s="130"/>
      <c r="AKT264" s="130"/>
      <c r="AKU264" s="130"/>
      <c r="AKV264" s="130"/>
      <c r="AKW264" s="130"/>
      <c r="AKX264" s="130"/>
      <c r="AKY264" s="130"/>
      <c r="AKZ264" s="130"/>
      <c r="ALA264" s="130"/>
      <c r="ALB264" s="130"/>
      <c r="ALC264" s="130"/>
      <c r="ALD264" s="130"/>
      <c r="ALE264" s="130"/>
      <c r="ALF264" s="130"/>
      <c r="ALG264" s="130"/>
      <c r="AOP264" s="130"/>
      <c r="AOQ264" s="130"/>
      <c r="AOR264" s="130"/>
      <c r="AOS264" s="130"/>
      <c r="AOT264" s="130"/>
      <c r="AOU264" s="130"/>
      <c r="AOV264" s="130"/>
      <c r="AOW264" s="130"/>
      <c r="AOX264" s="130"/>
      <c r="AOY264" s="130"/>
      <c r="AOZ264" s="130"/>
      <c r="APA264" s="130"/>
      <c r="APB264" s="130"/>
      <c r="APC264" s="130"/>
      <c r="APD264" s="130"/>
      <c r="APE264" s="130"/>
      <c r="APF264" s="130"/>
      <c r="APG264" s="130"/>
      <c r="APH264" s="130"/>
      <c r="API264" s="130"/>
      <c r="APJ264" s="130"/>
      <c r="APK264" s="130"/>
      <c r="APL264" s="130"/>
      <c r="APM264" s="130"/>
      <c r="APN264" s="130"/>
      <c r="APO264" s="130"/>
      <c r="APP264" s="130"/>
      <c r="APQ264" s="130"/>
      <c r="APR264" s="130"/>
      <c r="APS264" s="130"/>
      <c r="APT264" s="130"/>
      <c r="APU264" s="130"/>
      <c r="APV264" s="130"/>
      <c r="APW264" s="130"/>
      <c r="APX264" s="130"/>
      <c r="APY264" s="130"/>
      <c r="APZ264" s="130"/>
      <c r="AQA264" s="130"/>
      <c r="AQB264" s="130"/>
      <c r="AQC264" s="130"/>
      <c r="AQD264" s="130"/>
      <c r="AQE264" s="130"/>
      <c r="AQF264" s="130"/>
      <c r="AQG264" s="130"/>
      <c r="AQH264" s="130"/>
      <c r="AQI264" s="130"/>
      <c r="AQJ264" s="130"/>
      <c r="AQK264" s="130"/>
      <c r="AQL264" s="130"/>
      <c r="AQM264" s="130"/>
      <c r="AQN264" s="130"/>
      <c r="AQO264" s="130"/>
      <c r="AQP264" s="130"/>
      <c r="AQQ264" s="130"/>
      <c r="AQR264" s="130"/>
      <c r="AQS264" s="130"/>
      <c r="AQT264" s="130"/>
      <c r="AQU264" s="130"/>
      <c r="AQV264" s="653"/>
      <c r="AQW264" s="653"/>
      <c r="AQX264" s="653"/>
      <c r="AQY264" s="653"/>
      <c r="AQZ264" s="653"/>
      <c r="ARA264" s="653"/>
      <c r="ARB264" s="653"/>
      <c r="ARC264" s="653"/>
      <c r="ARD264" s="653"/>
      <c r="ARE264" s="653"/>
      <c r="ARF264" s="653"/>
      <c r="ARG264" s="130"/>
      <c r="ARH264" s="130"/>
      <c r="ARI264" s="130"/>
      <c r="ARJ264" s="130"/>
      <c r="ARK264" s="130"/>
      <c r="ARL264" s="130"/>
      <c r="ARM264" s="130"/>
      <c r="ARN264" s="130"/>
      <c r="ARO264" s="130"/>
      <c r="ARP264" s="130"/>
      <c r="ARQ264" s="130"/>
      <c r="ARR264" s="130"/>
      <c r="ARS264" s="130"/>
      <c r="ART264" s="130"/>
      <c r="ARU264" s="130"/>
      <c r="ARV264" s="130"/>
      <c r="ARW264" s="130"/>
      <c r="ARX264" s="130"/>
      <c r="ARY264" s="130"/>
      <c r="ARZ264" s="130"/>
      <c r="ASA264" s="130"/>
      <c r="ASB264" s="130"/>
      <c r="ASC264" s="130"/>
      <c r="ASD264" s="130"/>
      <c r="ASE264" s="130"/>
      <c r="ASF264" s="130"/>
      <c r="ASG264" s="130"/>
      <c r="ASH264" s="130"/>
      <c r="ASI264" s="130"/>
      <c r="ASJ264" s="130"/>
      <c r="ASK264" s="130"/>
      <c r="ASL264" s="130"/>
      <c r="ASM264" s="130"/>
      <c r="ASN264" s="130"/>
      <c r="ASO264" s="130"/>
      <c r="ASP264" s="130"/>
      <c r="ASQ264" s="130"/>
      <c r="ASR264" s="130"/>
      <c r="ASS264" s="130"/>
      <c r="AST264" s="130"/>
      <c r="ASU264" s="130"/>
      <c r="ASV264" s="130"/>
      <c r="ASW264" s="130"/>
      <c r="ASX264" s="130"/>
      <c r="ASY264" s="130"/>
      <c r="ASZ264" s="130"/>
      <c r="ATA264" s="130"/>
      <c r="ATB264" s="130"/>
      <c r="ATC264" s="130"/>
      <c r="ATD264" s="130"/>
      <c r="ATE264" s="130"/>
      <c r="ATF264" s="130"/>
      <c r="ATG264" s="130"/>
      <c r="ATH264" s="130"/>
      <c r="ATI264" s="130"/>
      <c r="ATJ264" s="130"/>
      <c r="ATK264" s="130"/>
      <c r="ATL264" s="130"/>
      <c r="ATM264" s="130"/>
      <c r="ATN264" s="130"/>
      <c r="ATO264" s="130"/>
      <c r="ATP264" s="130"/>
      <c r="ATQ264" s="130"/>
      <c r="ATR264" s="130"/>
      <c r="ATS264" s="130"/>
      <c r="ATT264" s="130"/>
      <c r="ATU264" s="130"/>
      <c r="ATV264" s="130"/>
      <c r="ATW264" s="130"/>
      <c r="ATX264" s="130"/>
      <c r="ATY264" s="130"/>
      <c r="ATZ264" s="130"/>
      <c r="AUA264" s="130"/>
      <c r="AUB264" s="130"/>
      <c r="AUC264" s="130"/>
      <c r="AUD264" s="130"/>
      <c r="AUE264" s="130"/>
      <c r="AUF264" s="130"/>
      <c r="AUG264" s="130"/>
      <c r="AUH264" s="130"/>
      <c r="AUI264" s="130"/>
      <c r="AUJ264" s="130"/>
      <c r="AUK264" s="130"/>
      <c r="AUL264" s="130"/>
      <c r="AUM264" s="130"/>
      <c r="AUN264" s="130"/>
      <c r="AUO264" s="130"/>
      <c r="AUP264" s="130"/>
      <c r="AUQ264" s="130"/>
      <c r="AUR264" s="130"/>
      <c r="AUS264" s="130"/>
      <c r="AUT264" s="130"/>
      <c r="AUU264" s="130"/>
      <c r="AUV264" s="130"/>
      <c r="AUW264" s="130"/>
      <c r="AUX264" s="130"/>
      <c r="AUY264" s="130"/>
      <c r="AUZ264" s="130"/>
      <c r="AVA264" s="130"/>
      <c r="AVB264" s="130"/>
      <c r="AVC264" s="130"/>
      <c r="AVD264" s="130"/>
      <c r="AVE264" s="130"/>
      <c r="AVF264" s="130"/>
      <c r="AVG264" s="130"/>
      <c r="AVH264" s="130"/>
      <c r="AVI264" s="130"/>
      <c r="AVJ264" s="130"/>
      <c r="AVK264" s="130"/>
      <c r="AVL264" s="130"/>
      <c r="AVM264" s="130"/>
      <c r="AVN264" s="130"/>
      <c r="AVO264" s="130"/>
      <c r="AVP264" s="130"/>
      <c r="AVQ264" s="130"/>
      <c r="AVR264" s="130"/>
      <c r="AVS264" s="130"/>
      <c r="AVT264" s="130"/>
      <c r="AVU264" s="130"/>
      <c r="AVV264" s="130"/>
      <c r="AVW264" s="130"/>
      <c r="AVX264" s="130"/>
      <c r="AVY264" s="130"/>
      <c r="AVZ264" s="130"/>
      <c r="AWA264" s="130"/>
      <c r="AWB264" s="130"/>
      <c r="AWC264" s="130"/>
      <c r="AWD264" s="130"/>
      <c r="AWE264" s="130"/>
      <c r="AWF264" s="130"/>
      <c r="AWG264" s="130"/>
      <c r="AWH264" s="130"/>
      <c r="AWI264" s="130"/>
      <c r="AWJ264" s="130"/>
      <c r="AWK264" s="130"/>
      <c r="AWL264" s="130"/>
      <c r="AWM264" s="130"/>
      <c r="AWN264" s="130"/>
      <c r="AWO264" s="130"/>
      <c r="AWP264" s="130"/>
      <c r="AWQ264" s="130"/>
      <c r="AWR264" s="130"/>
      <c r="AWS264" s="130"/>
      <c r="AWT264" s="130"/>
      <c r="AWU264" s="130"/>
      <c r="AWV264" s="130"/>
      <c r="AWW264" s="130"/>
      <c r="AWX264" s="130"/>
      <c r="AWY264" s="130"/>
      <c r="AWZ264" s="130"/>
      <c r="AXA264" s="130"/>
      <c r="AXB264" s="130"/>
      <c r="AXC264" s="130"/>
      <c r="AXD264" s="130"/>
      <c r="AXE264" s="130"/>
      <c r="AXF264" s="130"/>
      <c r="AXG264" s="130"/>
      <c r="AXH264" s="130"/>
      <c r="AXI264" s="130"/>
      <c r="AXJ264" s="130"/>
      <c r="AXK264" s="130"/>
      <c r="AXL264" s="130"/>
      <c r="AXM264" s="130"/>
      <c r="AXN264" s="130"/>
      <c r="AXO264" s="130"/>
      <c r="AXP264" s="130"/>
      <c r="AXQ264" s="130"/>
      <c r="AXR264" s="130"/>
      <c r="AXS264" s="130"/>
      <c r="AXT264" s="130"/>
      <c r="AXU264" s="130"/>
      <c r="AXV264" s="130"/>
      <c r="AXW264" s="130"/>
      <c r="AXX264" s="130"/>
      <c r="AXY264" s="130"/>
      <c r="AXZ264" s="130"/>
      <c r="AYA264" s="130"/>
      <c r="AYB264" s="130"/>
      <c r="AYC264" s="130"/>
      <c r="AYD264" s="130"/>
      <c r="AYE264" s="130"/>
      <c r="AYF264" s="130"/>
      <c r="AYG264" s="130"/>
      <c r="AYH264" s="130"/>
      <c r="AYI264" s="130"/>
      <c r="AYJ264" s="130"/>
      <c r="AYK264" s="130"/>
      <c r="AYL264" s="130"/>
      <c r="AYM264" s="130"/>
      <c r="AYN264" s="130"/>
      <c r="AYO264" s="130"/>
      <c r="AYP264" s="130"/>
      <c r="AYQ264" s="130"/>
      <c r="AYR264" s="130"/>
      <c r="AYS264" s="130"/>
      <c r="AYT264" s="130"/>
      <c r="AYU264" s="130"/>
      <c r="AYV264" s="130"/>
      <c r="AYW264" s="130"/>
      <c r="AYX264" s="130"/>
      <c r="AYY264" s="130"/>
      <c r="AYZ264" s="130"/>
      <c r="AZA264" s="130"/>
      <c r="AZB264" s="130"/>
      <c r="AZC264" s="130"/>
      <c r="AZD264" s="130"/>
      <c r="AZE264" s="130"/>
      <c r="AZF264" s="130"/>
      <c r="AZG264" s="130"/>
      <c r="AZH264" s="130"/>
      <c r="AZI264" s="130"/>
      <c r="AZJ264" s="130"/>
      <c r="AZK264" s="130"/>
      <c r="AZL264" s="130"/>
      <c r="AZM264" s="130"/>
      <c r="AZN264" s="130"/>
      <c r="AZO264" s="130"/>
      <c r="AZP264" s="130"/>
      <c r="AZQ264" s="130"/>
      <c r="AZR264" s="130"/>
      <c r="AZS264" s="130"/>
      <c r="AZT264" s="130"/>
      <c r="AZU264" s="130"/>
      <c r="AZV264" s="130"/>
      <c r="AZW264" s="130"/>
      <c r="AZX264" s="130"/>
      <c r="AZY264" s="130"/>
      <c r="AZZ264" s="130"/>
      <c r="BAA264" s="130"/>
      <c r="BAB264" s="130"/>
      <c r="BAC264" s="130"/>
      <c r="BAD264" s="130"/>
      <c r="BAE264" s="130"/>
      <c r="BAF264" s="130"/>
      <c r="BAG264" s="130"/>
      <c r="BAH264" s="130"/>
      <c r="BAI264" s="130"/>
      <c r="BAJ264" s="130"/>
      <c r="BAK264" s="130"/>
      <c r="BAL264" s="130"/>
      <c r="BAM264" s="130"/>
      <c r="BAN264" s="130"/>
      <c r="BAO264" s="130"/>
      <c r="BAP264" s="130"/>
      <c r="BAQ264" s="130"/>
      <c r="BAR264" s="130"/>
      <c r="BAS264" s="130"/>
      <c r="BAT264" s="130"/>
      <c r="BAU264" s="130"/>
      <c r="BAV264" s="130"/>
      <c r="BAW264" s="130"/>
      <c r="BAX264" s="130"/>
      <c r="BAY264" s="130"/>
      <c r="BAZ264" s="130"/>
      <c r="BBA264" s="130"/>
      <c r="BBB264" s="130"/>
      <c r="BBC264" s="130"/>
      <c r="BBD264" s="130"/>
      <c r="BBE264" s="130"/>
      <c r="BBF264" s="130"/>
      <c r="BBG264" s="130"/>
      <c r="BBH264" s="130"/>
      <c r="BBI264" s="130"/>
      <c r="BBJ264" s="130"/>
      <c r="BBK264" s="130"/>
      <c r="BBL264" s="130"/>
      <c r="BBM264" s="130"/>
      <c r="BBN264" s="130"/>
    </row>
    <row r="265" spans="450:995 1082:1418" ht="48" customHeight="1" thickBot="1">
      <c r="QW265" s="248"/>
      <c r="QX265" s="248"/>
      <c r="QY265" s="248"/>
      <c r="QZ265" s="248"/>
      <c r="RA265" s="248"/>
      <c r="RB265" s="248"/>
      <c r="RC265" s="248"/>
      <c r="RD265" s="248"/>
      <c r="RE265" s="248"/>
      <c r="RF265" s="248"/>
      <c r="RG265" s="248"/>
      <c r="RH265" s="248"/>
      <c r="RI265" s="248"/>
      <c r="RJ265" s="248"/>
      <c r="RK265" s="248"/>
      <c r="RL265" s="248"/>
      <c r="RM265" s="248"/>
      <c r="RN265" s="248"/>
      <c r="UY265" s="130"/>
      <c r="UZ265" s="130"/>
      <c r="VA265" s="130"/>
      <c r="VB265" s="130"/>
      <c r="VC265" s="130"/>
      <c r="VD265" s="130"/>
      <c r="VE265" s="130"/>
      <c r="VF265" s="130"/>
      <c r="VG265" s="130"/>
      <c r="VH265" s="130"/>
      <c r="VI265" s="130"/>
      <c r="ACJ265" s="759">
        <v>-4.0625000000000001E-2</v>
      </c>
      <c r="ACK265" s="760"/>
      <c r="ACL265" s="759">
        <v>0.96499999999999997</v>
      </c>
      <c r="ACM265" s="760"/>
      <c r="ACN265" s="591">
        <v>38</v>
      </c>
      <c r="ACO265" s="759">
        <f t="shared" si="287"/>
        <v>0.92833593749999999</v>
      </c>
      <c r="ACP265" s="760"/>
      <c r="ACQ265" s="757">
        <f t="shared" si="288"/>
        <v>0.90249999999999997</v>
      </c>
      <c r="ACR265" s="758"/>
      <c r="ACT265" s="759">
        <v>-0.12</v>
      </c>
      <c r="ACU265" s="760"/>
      <c r="ACV265" s="759">
        <v>1.1000000000000001</v>
      </c>
      <c r="ACW265" s="760"/>
      <c r="ACX265" s="591">
        <v>88</v>
      </c>
      <c r="ACY265" s="759">
        <f t="shared" si="289"/>
        <v>0.84920000000000018</v>
      </c>
      <c r="ACZ265" s="760"/>
      <c r="ADA265" s="757">
        <f t="shared" si="290"/>
        <v>2.09</v>
      </c>
      <c r="ADB265" s="758"/>
      <c r="ADD265" s="1112">
        <v>-0.12</v>
      </c>
      <c r="ADE265" s="1112"/>
      <c r="ADF265" s="1112">
        <v>1.06</v>
      </c>
      <c r="ADG265" s="1112"/>
      <c r="ADH265" s="591">
        <v>138</v>
      </c>
      <c r="ADI265" s="759">
        <f t="shared" si="291"/>
        <v>0.66670000000000007</v>
      </c>
      <c r="ADJ265" s="760"/>
      <c r="ADK265" s="757">
        <f t="shared" si="292"/>
        <v>3.2774999999999999</v>
      </c>
      <c r="ADL265" s="758"/>
      <c r="ADN265" s="1112">
        <v>-0.08</v>
      </c>
      <c r="ADO265" s="1112"/>
      <c r="ADP265" s="1112">
        <v>0.9</v>
      </c>
      <c r="ADQ265" s="1112"/>
      <c r="ADR265" s="592">
        <v>188</v>
      </c>
      <c r="ADS265" s="759">
        <f t="shared" si="293"/>
        <v>0.54279999999999995</v>
      </c>
      <c r="ADT265" s="760"/>
      <c r="ADU265" s="757">
        <f t="shared" si="294"/>
        <v>4.4649999999999999</v>
      </c>
      <c r="ADV265" s="758"/>
      <c r="ADX265" s="1112">
        <v>-5.8823529411764698E-2</v>
      </c>
      <c r="ADY265" s="1112"/>
      <c r="ADZ265" s="1112">
        <v>0.79411764705882304</v>
      </c>
      <c r="AEA265" s="1112"/>
      <c r="AEB265" s="591">
        <v>238</v>
      </c>
      <c r="AEC265" s="759">
        <f t="shared" si="295"/>
        <v>0.46161764705882308</v>
      </c>
      <c r="AED265" s="760"/>
      <c r="AEE265" s="757">
        <f t="shared" si="296"/>
        <v>5.6524999999999999</v>
      </c>
      <c r="AEF265" s="758"/>
      <c r="AEH265" s="1112">
        <v>-3.5714285714285698E-2</v>
      </c>
      <c r="AEI265" s="1112"/>
      <c r="AEJ265" s="1112">
        <v>0.63928571428571401</v>
      </c>
      <c r="AEK265" s="1112"/>
      <c r="AEL265" s="592">
        <v>288</v>
      </c>
      <c r="AEM265" s="759">
        <f t="shared" si="297"/>
        <v>0.39499999999999985</v>
      </c>
      <c r="AEN265" s="760"/>
      <c r="AEO265" s="757">
        <f t="shared" si="298"/>
        <v>6.84</v>
      </c>
      <c r="AEP265" s="758"/>
      <c r="AER265" s="1112">
        <v>-3.5714285714285698E-2</v>
      </c>
      <c r="AES265" s="1112"/>
      <c r="AET265" s="1112">
        <v>0.63928571428571401</v>
      </c>
      <c r="AEU265" s="1112"/>
      <c r="AEV265" s="592">
        <v>338</v>
      </c>
      <c r="AEW265" s="759">
        <f t="shared" si="299"/>
        <v>0.35258928571428555</v>
      </c>
      <c r="AEX265" s="760"/>
      <c r="AEY265" s="757">
        <f t="shared" si="300"/>
        <v>8.0274999999999999</v>
      </c>
      <c r="AEZ265" s="758"/>
      <c r="AFB265" s="1112">
        <v>-3.5714285714285698E-2</v>
      </c>
      <c r="AFC265" s="1112"/>
      <c r="AFD265" s="1112">
        <v>0.63928571428571401</v>
      </c>
      <c r="AFE265" s="1112"/>
      <c r="AFF265" s="592">
        <v>388</v>
      </c>
      <c r="AFG265" s="759">
        <f t="shared" si="301"/>
        <v>0.3101785714285713</v>
      </c>
      <c r="AFH265" s="760"/>
      <c r="AFI265" s="757">
        <f t="shared" si="302"/>
        <v>9.2149999999999999</v>
      </c>
      <c r="AFJ265" s="758"/>
      <c r="AGJ265" s="248"/>
      <c r="AGK265" s="248"/>
      <c r="AGL265" s="851"/>
      <c r="AGM265" s="802" t="s">
        <v>1512</v>
      </c>
      <c r="AGN265" s="1116"/>
      <c r="AGO265" s="803"/>
      <c r="AGP265" s="1068">
        <f>$AGZ$274</f>
        <v>0.33307774768934462</v>
      </c>
      <c r="AGQ265" s="1068"/>
      <c r="AGR265" s="777"/>
      <c r="AGS265" s="778"/>
      <c r="AGT265" s="778"/>
      <c r="AGU265" s="778"/>
      <c r="AGV265" s="778"/>
      <c r="AGW265" s="778"/>
      <c r="AGX265" s="778"/>
      <c r="AGY265" s="778"/>
      <c r="AGZ265" s="812"/>
      <c r="AHA265" s="813"/>
      <c r="AHB265" s="813"/>
      <c r="AHC265" s="813"/>
      <c r="AHD265" s="813"/>
      <c r="AHE265" s="813"/>
      <c r="AHF265" s="813"/>
      <c r="AHG265" s="814"/>
      <c r="AHH265" s="828"/>
      <c r="AHI265" s="949"/>
      <c r="AHJ265" s="949"/>
      <c r="AHK265" s="949"/>
      <c r="AHL265" s="949"/>
      <c r="AHM265" s="949"/>
      <c r="AHN265" s="949"/>
      <c r="AHO265" s="949"/>
      <c r="AHP265" s="949"/>
      <c r="AHQ265" s="949"/>
      <c r="AHR265" s="949"/>
      <c r="AHS265" s="950"/>
      <c r="AHU265" s="130"/>
    </row>
    <row r="266" spans="450:995 1082:1418" ht="48" customHeight="1">
      <c r="QH266" s="130"/>
      <c r="QI266" s="130"/>
      <c r="QJ266" s="130"/>
      <c r="QK266" s="130"/>
      <c r="QL266" s="130"/>
      <c r="QM266" s="217"/>
      <c r="QN266" s="217"/>
      <c r="QO266" s="217"/>
      <c r="QP266" s="217"/>
      <c r="QQ266" s="217"/>
      <c r="QR266" s="217"/>
      <c r="QS266" s="217"/>
      <c r="QT266" s="217"/>
      <c r="QU266" s="217"/>
      <c r="QV266" s="217"/>
      <c r="QW266" s="217"/>
      <c r="QX266" s="217"/>
      <c r="QY266" s="217"/>
      <c r="QZ266" s="217"/>
      <c r="RA266" s="217"/>
      <c r="RB266" s="217"/>
      <c r="RC266" s="217"/>
      <c r="RD266" s="217"/>
      <c r="RE266" s="217"/>
      <c r="RF266" s="217"/>
      <c r="RG266" s="217"/>
      <c r="RH266" s="217"/>
      <c r="RI266" s="217"/>
      <c r="RJ266" s="217"/>
      <c r="RK266" s="217"/>
      <c r="RL266" s="217"/>
      <c r="RM266" s="217"/>
      <c r="RN266" s="217"/>
      <c r="ACJ266" s="759">
        <v>-4.0625000000000001E-2</v>
      </c>
      <c r="ACK266" s="760"/>
      <c r="ACL266" s="759">
        <v>0.96499999999999997</v>
      </c>
      <c r="ACM266" s="760"/>
      <c r="ACN266" s="591">
        <v>39</v>
      </c>
      <c r="ACO266" s="759">
        <f t="shared" si="287"/>
        <v>0.92737109374999993</v>
      </c>
      <c r="ACP266" s="760"/>
      <c r="ACQ266" s="757">
        <f t="shared" si="288"/>
        <v>0.92625000000000002</v>
      </c>
      <c r="ACR266" s="758"/>
      <c r="ACT266" s="759">
        <v>-0.12</v>
      </c>
      <c r="ACU266" s="760"/>
      <c r="ACV266" s="759">
        <v>1.1000000000000001</v>
      </c>
      <c r="ACW266" s="760"/>
      <c r="ACX266" s="591">
        <v>89</v>
      </c>
      <c r="ACY266" s="759">
        <f t="shared" si="289"/>
        <v>0.84635000000000016</v>
      </c>
      <c r="ACZ266" s="760"/>
      <c r="ADA266" s="757">
        <f t="shared" si="290"/>
        <v>2.11375</v>
      </c>
      <c r="ADB266" s="758"/>
      <c r="ADD266" s="1112">
        <v>-0.12</v>
      </c>
      <c r="ADE266" s="1112"/>
      <c r="ADF266" s="1112">
        <v>1.06</v>
      </c>
      <c r="ADG266" s="1112"/>
      <c r="ADH266" s="591">
        <v>139</v>
      </c>
      <c r="ADI266" s="759">
        <f t="shared" si="291"/>
        <v>0.66385000000000005</v>
      </c>
      <c r="ADJ266" s="760"/>
      <c r="ADK266" s="757">
        <f t="shared" si="292"/>
        <v>3.30125</v>
      </c>
      <c r="ADL266" s="758"/>
      <c r="ADN266" s="1112">
        <v>-0.08</v>
      </c>
      <c r="ADO266" s="1112"/>
      <c r="ADP266" s="1112">
        <v>0.9</v>
      </c>
      <c r="ADQ266" s="1112"/>
      <c r="ADR266" s="592">
        <v>189</v>
      </c>
      <c r="ADS266" s="759">
        <f t="shared" si="293"/>
        <v>0.54089999999999994</v>
      </c>
      <c r="ADT266" s="760"/>
      <c r="ADU266" s="757">
        <f t="shared" si="294"/>
        <v>4.4887500000000005</v>
      </c>
      <c r="ADV266" s="758"/>
      <c r="ADX266" s="1112">
        <v>-5.8823529411764698E-2</v>
      </c>
      <c r="ADY266" s="1112"/>
      <c r="ADZ266" s="1112">
        <v>0.79411764705882304</v>
      </c>
      <c r="AEA266" s="1112"/>
      <c r="AEB266" s="591">
        <v>239</v>
      </c>
      <c r="AEC266" s="759">
        <f t="shared" si="295"/>
        <v>0.46022058823529366</v>
      </c>
      <c r="AED266" s="760"/>
      <c r="AEE266" s="757">
        <f t="shared" si="296"/>
        <v>5.6762500000000005</v>
      </c>
      <c r="AEF266" s="758"/>
      <c r="AEH266" s="1112">
        <v>-3.5714285714285698E-2</v>
      </c>
      <c r="AEI266" s="1112"/>
      <c r="AEJ266" s="1112">
        <v>0.63928571428571401</v>
      </c>
      <c r="AEK266" s="1112"/>
      <c r="AEL266" s="592">
        <v>289</v>
      </c>
      <c r="AEM266" s="759">
        <f t="shared" si="297"/>
        <v>0.39415178571428555</v>
      </c>
      <c r="AEN266" s="760"/>
      <c r="AEO266" s="757">
        <f t="shared" si="298"/>
        <v>6.8637500000000005</v>
      </c>
      <c r="AEP266" s="758"/>
      <c r="AER266" s="1112">
        <v>-3.5714285714285698E-2</v>
      </c>
      <c r="AES266" s="1112"/>
      <c r="AET266" s="1112">
        <v>0.63928571428571401</v>
      </c>
      <c r="AEU266" s="1112"/>
      <c r="AEV266" s="592">
        <v>339</v>
      </c>
      <c r="AEW266" s="759">
        <f t="shared" si="299"/>
        <v>0.35174107142857131</v>
      </c>
      <c r="AEX266" s="760"/>
      <c r="AEY266" s="757">
        <f t="shared" si="300"/>
        <v>8.0512499999999996</v>
      </c>
      <c r="AEZ266" s="758"/>
      <c r="AFB266" s="1112">
        <v>-3.5714285714285698E-2</v>
      </c>
      <c r="AFC266" s="1112"/>
      <c r="AFD266" s="1112">
        <v>0.63928571428571401</v>
      </c>
      <c r="AFE266" s="1112"/>
      <c r="AFF266" s="592">
        <v>389</v>
      </c>
      <c r="AFG266" s="759">
        <f t="shared" si="301"/>
        <v>0.309330357142857</v>
      </c>
      <c r="AFH266" s="760"/>
      <c r="AFI266" s="757">
        <f t="shared" si="302"/>
        <v>9.2387499999999996</v>
      </c>
      <c r="AFJ266" s="758"/>
      <c r="AGJ266" s="217"/>
      <c r="AGK266" s="217"/>
      <c r="AHT266" s="130"/>
      <c r="AHU266" s="130"/>
    </row>
    <row r="267" spans="450:995 1082:1418" ht="48" customHeight="1">
      <c r="ACJ267" s="759">
        <v>-4.0625000000000001E-2</v>
      </c>
      <c r="ACK267" s="760"/>
      <c r="ACL267" s="759">
        <v>0.96499999999999997</v>
      </c>
      <c r="ACM267" s="760"/>
      <c r="ACN267" s="591">
        <v>40</v>
      </c>
      <c r="ACO267" s="759">
        <f t="shared" si="287"/>
        <v>0.92640624999999999</v>
      </c>
      <c r="ACP267" s="760"/>
      <c r="ACQ267" s="757">
        <f t="shared" si="288"/>
        <v>0.95</v>
      </c>
      <c r="ACR267" s="758"/>
      <c r="ACT267" s="759">
        <v>-0.12</v>
      </c>
      <c r="ACU267" s="760"/>
      <c r="ACV267" s="759">
        <v>1.1000000000000001</v>
      </c>
      <c r="ACW267" s="760"/>
      <c r="ACX267" s="591">
        <v>90</v>
      </c>
      <c r="ACY267" s="759">
        <f t="shared" si="289"/>
        <v>0.84350000000000014</v>
      </c>
      <c r="ACZ267" s="760"/>
      <c r="ADA267" s="757">
        <f t="shared" si="290"/>
        <v>2.1375000000000002</v>
      </c>
      <c r="ADB267" s="758"/>
      <c r="ADD267" s="1112">
        <v>-0.12</v>
      </c>
      <c r="ADE267" s="1112"/>
      <c r="ADF267" s="1112">
        <v>1.06</v>
      </c>
      <c r="ADG267" s="1112"/>
      <c r="ADH267" s="591">
        <v>140</v>
      </c>
      <c r="ADI267" s="759">
        <f t="shared" si="291"/>
        <v>0.66100000000000003</v>
      </c>
      <c r="ADJ267" s="760"/>
      <c r="ADK267" s="757">
        <f t="shared" si="292"/>
        <v>3.3250000000000002</v>
      </c>
      <c r="ADL267" s="758"/>
      <c r="ADN267" s="1112">
        <v>-0.08</v>
      </c>
      <c r="ADO267" s="1112"/>
      <c r="ADP267" s="1112">
        <v>0.9</v>
      </c>
      <c r="ADQ267" s="1112"/>
      <c r="ADR267" s="592">
        <v>190</v>
      </c>
      <c r="ADS267" s="759">
        <f t="shared" si="293"/>
        <v>0.53899999999999992</v>
      </c>
      <c r="ADT267" s="760"/>
      <c r="ADU267" s="757">
        <f t="shared" si="294"/>
        <v>4.5125000000000002</v>
      </c>
      <c r="ADV267" s="758"/>
      <c r="ADX267" s="1112">
        <v>-5.8823529411764698E-2</v>
      </c>
      <c r="ADY267" s="1112"/>
      <c r="ADZ267" s="1112">
        <v>0.79411764705882304</v>
      </c>
      <c r="AEA267" s="1112"/>
      <c r="AEB267" s="591">
        <v>240</v>
      </c>
      <c r="AEC267" s="759">
        <f t="shared" si="295"/>
        <v>0.45882352941176424</v>
      </c>
      <c r="AED267" s="760"/>
      <c r="AEE267" s="757">
        <f t="shared" si="296"/>
        <v>5.7</v>
      </c>
      <c r="AEF267" s="758"/>
      <c r="AEH267" s="1112">
        <v>-3.5714285714285698E-2</v>
      </c>
      <c r="AEI267" s="1112"/>
      <c r="AEJ267" s="1112">
        <v>0.63928571428571401</v>
      </c>
      <c r="AEK267" s="1112"/>
      <c r="AEL267" s="592">
        <v>290</v>
      </c>
      <c r="AEM267" s="759">
        <f t="shared" si="297"/>
        <v>0.39330357142857125</v>
      </c>
      <c r="AEN267" s="760"/>
      <c r="AEO267" s="757">
        <f t="shared" si="298"/>
        <v>6.8875000000000002</v>
      </c>
      <c r="AEP267" s="758"/>
      <c r="AER267" s="1112">
        <v>-3.5714285714285698E-2</v>
      </c>
      <c r="AES267" s="1112"/>
      <c r="AET267" s="1112">
        <v>0.63928571428571401</v>
      </c>
      <c r="AEU267" s="1112"/>
      <c r="AEV267" s="592">
        <v>340</v>
      </c>
      <c r="AEW267" s="759">
        <f t="shared" si="299"/>
        <v>0.35089285714285701</v>
      </c>
      <c r="AEX267" s="760"/>
      <c r="AEY267" s="757">
        <f t="shared" si="300"/>
        <v>8.0749999999999993</v>
      </c>
      <c r="AEZ267" s="758"/>
      <c r="AFB267" s="1112">
        <v>-3.5714285714285698E-2</v>
      </c>
      <c r="AFC267" s="1112"/>
      <c r="AFD267" s="1112">
        <v>0.63928571428571401</v>
      </c>
      <c r="AFE267" s="1112"/>
      <c r="AFF267" s="592">
        <v>390</v>
      </c>
      <c r="AFG267" s="759">
        <f t="shared" si="301"/>
        <v>0.30848214285714276</v>
      </c>
      <c r="AFH267" s="760"/>
      <c r="AFI267" s="757">
        <f t="shared" si="302"/>
        <v>9.2624999999999993</v>
      </c>
      <c r="AFJ267" s="758"/>
      <c r="AHT267" s="130"/>
    </row>
    <row r="268" spans="450:995 1082:1418" ht="48" customHeight="1" thickBot="1">
      <c r="QK268" s="211"/>
      <c r="QL268" s="211"/>
      <c r="QM268" s="211"/>
      <c r="QN268" s="211"/>
      <c r="QO268" s="211"/>
      <c r="QP268" s="211"/>
      <c r="QQ268" s="211"/>
      <c r="QR268" s="211"/>
      <c r="QS268" s="211"/>
      <c r="QT268" s="211"/>
      <c r="QU268" s="211"/>
      <c r="QV268" s="211"/>
      <c r="QW268" s="211"/>
      <c r="QX268" s="211"/>
      <c r="QY268" s="211"/>
      <c r="QZ268" s="211"/>
      <c r="RA268" s="211"/>
      <c r="RB268" s="211"/>
      <c r="RC268" s="211"/>
      <c r="RD268" s="211"/>
      <c r="ACJ268" s="759">
        <v>-4.0625000000000001E-2</v>
      </c>
      <c r="ACK268" s="760"/>
      <c r="ACL268" s="759">
        <v>0.96499999999999997</v>
      </c>
      <c r="ACM268" s="760"/>
      <c r="ACN268" s="591">
        <v>41</v>
      </c>
      <c r="ACO268" s="759">
        <f t="shared" si="287"/>
        <v>0.92544140624999993</v>
      </c>
      <c r="ACP268" s="760"/>
      <c r="ACQ268" s="757">
        <f t="shared" si="288"/>
        <v>0.97375</v>
      </c>
      <c r="ACR268" s="758"/>
      <c r="ACT268" s="759">
        <v>-0.12</v>
      </c>
      <c r="ACU268" s="760"/>
      <c r="ACV268" s="759">
        <v>1.1000000000000001</v>
      </c>
      <c r="ACW268" s="760"/>
      <c r="ACX268" s="591">
        <v>91</v>
      </c>
      <c r="ACY268" s="759">
        <f t="shared" si="289"/>
        <v>0.84065000000000012</v>
      </c>
      <c r="ACZ268" s="760"/>
      <c r="ADA268" s="757">
        <f t="shared" si="290"/>
        <v>2.1612499999999999</v>
      </c>
      <c r="ADB268" s="758"/>
      <c r="ADD268" s="1112">
        <v>-0.12</v>
      </c>
      <c r="ADE268" s="1112"/>
      <c r="ADF268" s="1112">
        <v>1.06</v>
      </c>
      <c r="ADG268" s="1112"/>
      <c r="ADH268" s="591">
        <v>141</v>
      </c>
      <c r="ADI268" s="759">
        <f t="shared" si="291"/>
        <v>0.65815000000000001</v>
      </c>
      <c r="ADJ268" s="760"/>
      <c r="ADK268" s="757">
        <f t="shared" si="292"/>
        <v>3.3487499999999999</v>
      </c>
      <c r="ADL268" s="758"/>
      <c r="ADN268" s="1112">
        <v>-0.08</v>
      </c>
      <c r="ADO268" s="1112"/>
      <c r="ADP268" s="1112">
        <v>0.9</v>
      </c>
      <c r="ADQ268" s="1112"/>
      <c r="ADR268" s="592">
        <v>191</v>
      </c>
      <c r="ADS268" s="759">
        <f t="shared" si="293"/>
        <v>0.53710000000000002</v>
      </c>
      <c r="ADT268" s="760"/>
      <c r="ADU268" s="757">
        <f t="shared" si="294"/>
        <v>4.5362499999999999</v>
      </c>
      <c r="ADV268" s="758"/>
      <c r="ADX268" s="1112">
        <v>-5.8823529411764698E-2</v>
      </c>
      <c r="ADY268" s="1112"/>
      <c r="ADZ268" s="1112">
        <v>0.79411764705882304</v>
      </c>
      <c r="AEA268" s="1112"/>
      <c r="AEB268" s="591">
        <v>241</v>
      </c>
      <c r="AEC268" s="759">
        <f t="shared" si="295"/>
        <v>0.45742647058823488</v>
      </c>
      <c r="AED268" s="760"/>
      <c r="AEE268" s="757">
        <f t="shared" si="296"/>
        <v>5.7237499999999999</v>
      </c>
      <c r="AEF268" s="758"/>
      <c r="AEH268" s="1112">
        <v>-3.5714285714285698E-2</v>
      </c>
      <c r="AEI268" s="1112"/>
      <c r="AEJ268" s="1112">
        <v>0.63928571428571401</v>
      </c>
      <c r="AEK268" s="1112"/>
      <c r="AEL268" s="592">
        <v>291</v>
      </c>
      <c r="AEM268" s="759">
        <f t="shared" si="297"/>
        <v>0.39245535714285695</v>
      </c>
      <c r="AEN268" s="760"/>
      <c r="AEO268" s="757">
        <f t="shared" si="298"/>
        <v>6.9112499999999999</v>
      </c>
      <c r="AEP268" s="758"/>
      <c r="AER268" s="1112">
        <v>-3.5714285714285698E-2</v>
      </c>
      <c r="AES268" s="1112"/>
      <c r="AET268" s="1112">
        <v>0.63928571428571401</v>
      </c>
      <c r="AEU268" s="1112"/>
      <c r="AEV268" s="592">
        <v>341</v>
      </c>
      <c r="AEW268" s="759">
        <f t="shared" si="299"/>
        <v>0.35004464285714271</v>
      </c>
      <c r="AEX268" s="760"/>
      <c r="AEY268" s="757">
        <f t="shared" si="300"/>
        <v>8.0987500000000008</v>
      </c>
      <c r="AEZ268" s="758"/>
      <c r="AFB268" s="1112">
        <v>-3.5714285714285698E-2</v>
      </c>
      <c r="AFC268" s="1112"/>
      <c r="AFD268" s="1112">
        <v>0.63928571428571401</v>
      </c>
      <c r="AFE268" s="1112"/>
      <c r="AFF268" s="592">
        <v>391</v>
      </c>
      <c r="AFG268" s="759">
        <f t="shared" si="301"/>
        <v>0.30763392857142841</v>
      </c>
      <c r="AFH268" s="760"/>
      <c r="AFI268" s="757">
        <f t="shared" si="302"/>
        <v>9.2862500000000008</v>
      </c>
      <c r="AFJ268" s="758"/>
      <c r="AGL268" s="849"/>
      <c r="AGM268" s="852" t="s">
        <v>416</v>
      </c>
      <c r="AGN268" s="853"/>
      <c r="AGO268" s="425"/>
      <c r="AGP268" s="78"/>
      <c r="AGQ268" s="78"/>
      <c r="AGR268" s="78"/>
      <c r="AGS268" s="78"/>
      <c r="AGT268" s="78"/>
      <c r="AGU268" s="78"/>
      <c r="AGV268" s="425"/>
      <c r="AGW268" s="76" t="s">
        <v>441</v>
      </c>
      <c r="AGX268" s="854" t="s">
        <v>435</v>
      </c>
      <c r="AGY268" s="1111"/>
      <c r="AGZ268" s="920" t="s">
        <v>111</v>
      </c>
      <c r="AHA268" s="921"/>
      <c r="AHB268" s="916" t="s">
        <v>704</v>
      </c>
      <c r="AHC268" s="922"/>
      <c r="AHD268" s="1051" t="s">
        <v>447</v>
      </c>
      <c r="AHE268" s="1051"/>
      <c r="AHF268" s="1051"/>
      <c r="AHG268" s="1051"/>
      <c r="AHH268" s="1051"/>
      <c r="AHI268" s="906" t="s">
        <v>436</v>
      </c>
      <c r="AHJ268" s="907"/>
      <c r="AHK268" s="907"/>
      <c r="AHL268" s="907"/>
      <c r="AHM268" s="907"/>
      <c r="AHN268" s="908"/>
      <c r="AHQ268" s="130"/>
      <c r="AHR268" s="130"/>
      <c r="AHS268" s="130"/>
      <c r="AHT268" s="130"/>
      <c r="AHU268" s="130"/>
    </row>
    <row r="269" spans="450:995 1082:1418" ht="48" customHeight="1">
      <c r="ACJ269" s="759">
        <v>-4.0625000000000001E-2</v>
      </c>
      <c r="ACK269" s="760"/>
      <c r="ACL269" s="759">
        <v>0.96499999999999997</v>
      </c>
      <c r="ACM269" s="760"/>
      <c r="ACN269" s="591">
        <v>42</v>
      </c>
      <c r="ACO269" s="759">
        <f t="shared" si="287"/>
        <v>0.92447656249999999</v>
      </c>
      <c r="ACP269" s="760"/>
      <c r="ACQ269" s="757">
        <f t="shared" si="288"/>
        <v>0.99750000000000005</v>
      </c>
      <c r="ACR269" s="758"/>
      <c r="ACT269" s="759">
        <v>-0.12</v>
      </c>
      <c r="ACU269" s="760"/>
      <c r="ACV269" s="759">
        <v>1.1000000000000001</v>
      </c>
      <c r="ACW269" s="760"/>
      <c r="ACX269" s="591">
        <v>92</v>
      </c>
      <c r="ACY269" s="759">
        <f t="shared" si="289"/>
        <v>0.8378000000000001</v>
      </c>
      <c r="ACZ269" s="760"/>
      <c r="ADA269" s="757">
        <f t="shared" si="290"/>
        <v>2.1850000000000001</v>
      </c>
      <c r="ADB269" s="758"/>
      <c r="ADD269" s="1112">
        <v>-0.12</v>
      </c>
      <c r="ADE269" s="1112"/>
      <c r="ADF269" s="1112">
        <v>1.06</v>
      </c>
      <c r="ADG269" s="1112"/>
      <c r="ADH269" s="591">
        <v>142</v>
      </c>
      <c r="ADI269" s="759">
        <f t="shared" si="291"/>
        <v>0.65529999999999999</v>
      </c>
      <c r="ADJ269" s="760"/>
      <c r="ADK269" s="757">
        <f t="shared" si="292"/>
        <v>3.3725000000000001</v>
      </c>
      <c r="ADL269" s="758"/>
      <c r="ADN269" s="1112">
        <v>-0.08</v>
      </c>
      <c r="ADO269" s="1112"/>
      <c r="ADP269" s="1112">
        <v>0.9</v>
      </c>
      <c r="ADQ269" s="1112"/>
      <c r="ADR269" s="592">
        <v>192</v>
      </c>
      <c r="ADS269" s="759">
        <f t="shared" si="293"/>
        <v>0.5351999999999999</v>
      </c>
      <c r="ADT269" s="760"/>
      <c r="ADU269" s="757">
        <f t="shared" si="294"/>
        <v>4.5600000000000005</v>
      </c>
      <c r="ADV269" s="758"/>
      <c r="ADX269" s="1112">
        <v>-5.8823529411764698E-2</v>
      </c>
      <c r="ADY269" s="1112"/>
      <c r="ADZ269" s="1112">
        <v>0.79411764705882304</v>
      </c>
      <c r="AEA269" s="1112"/>
      <c r="AEB269" s="591">
        <v>242</v>
      </c>
      <c r="AEC269" s="759">
        <f t="shared" si="295"/>
        <v>0.45602941176470541</v>
      </c>
      <c r="AED269" s="760"/>
      <c r="AEE269" s="757">
        <f t="shared" si="296"/>
        <v>5.7475000000000005</v>
      </c>
      <c r="AEF269" s="758"/>
      <c r="AEG269" s="653"/>
      <c r="AEH269" s="1112">
        <v>-3.5714285714285698E-2</v>
      </c>
      <c r="AEI269" s="1112"/>
      <c r="AEJ269" s="1112">
        <v>0.63928571428571401</v>
      </c>
      <c r="AEK269" s="1112"/>
      <c r="AEL269" s="592">
        <v>292</v>
      </c>
      <c r="AEM269" s="759">
        <f t="shared" si="297"/>
        <v>0.39160714285714271</v>
      </c>
      <c r="AEN269" s="760"/>
      <c r="AEO269" s="757">
        <f t="shared" si="298"/>
        <v>6.9350000000000005</v>
      </c>
      <c r="AEP269" s="758"/>
      <c r="AER269" s="1112">
        <v>-3.5714285714285698E-2</v>
      </c>
      <c r="AES269" s="1112"/>
      <c r="AET269" s="1112">
        <v>0.63928571428571401</v>
      </c>
      <c r="AEU269" s="1112"/>
      <c r="AEV269" s="592">
        <v>342</v>
      </c>
      <c r="AEW269" s="759">
        <f t="shared" si="299"/>
        <v>0.34919642857142841</v>
      </c>
      <c r="AEX269" s="760"/>
      <c r="AEY269" s="757">
        <f t="shared" si="300"/>
        <v>8.1225000000000005</v>
      </c>
      <c r="AEZ269" s="758"/>
      <c r="AFB269" s="1112">
        <v>-3.5714285714285698E-2</v>
      </c>
      <c r="AFC269" s="1112"/>
      <c r="AFD269" s="1112">
        <v>0.63928571428571401</v>
      </c>
      <c r="AFE269" s="1112"/>
      <c r="AFF269" s="592">
        <v>392</v>
      </c>
      <c r="AFG269" s="759">
        <f t="shared" si="301"/>
        <v>0.30678571428571416</v>
      </c>
      <c r="AFH269" s="760"/>
      <c r="AFI269" s="757">
        <f t="shared" si="302"/>
        <v>9.31</v>
      </c>
      <c r="AFJ269" s="758"/>
      <c r="AGL269" s="850"/>
      <c r="AGM269" s="800" t="s">
        <v>1468</v>
      </c>
      <c r="AGN269" s="982"/>
      <c r="AGO269" s="801"/>
      <c r="AGP269" s="951">
        <f>$AGZ$126</f>
        <v>17.205099098916754</v>
      </c>
      <c r="AGQ269" s="952"/>
      <c r="AGR269" s="792" t="s">
        <v>1402</v>
      </c>
      <c r="AGS269" s="792"/>
      <c r="AGT269" s="792"/>
      <c r="AGU269" s="792"/>
      <c r="AGV269" s="792"/>
      <c r="AGW269" s="792"/>
      <c r="AGX269" s="792"/>
      <c r="AGY269" s="793"/>
      <c r="AGZ269" s="835">
        <f>1+AGP270/AGP269</f>
        <v>1.0114899143204124</v>
      </c>
      <c r="AHA269" s="836"/>
      <c r="AHB269" s="1167"/>
      <c r="AHC269" s="840"/>
      <c r="AHD269" s="1248"/>
      <c r="AHE269" s="1093" t="s">
        <v>1421</v>
      </c>
      <c r="AHF269" s="1093"/>
      <c r="AHG269" s="1093"/>
      <c r="AHH269" s="1289"/>
      <c r="AHI269" s="826"/>
      <c r="AHJ269" s="945"/>
      <c r="AHK269" s="945"/>
      <c r="AHL269" s="945"/>
      <c r="AHM269" s="945"/>
      <c r="AHN269" s="946"/>
      <c r="AHO269" s="130"/>
      <c r="AHP269" s="130"/>
      <c r="AHQ269" s="130"/>
      <c r="AHR269" s="130"/>
      <c r="AHS269" s="130"/>
      <c r="AHT269" s="130"/>
      <c r="AHU269" s="130"/>
    </row>
    <row r="270" spans="450:995 1082:1418" ht="48" customHeight="1" thickBot="1">
      <c r="ACJ270" s="759">
        <v>-4.0625000000000001E-2</v>
      </c>
      <c r="ACK270" s="760"/>
      <c r="ACL270" s="759">
        <v>0.96499999999999997</v>
      </c>
      <c r="ACM270" s="760"/>
      <c r="ACN270" s="591">
        <v>43</v>
      </c>
      <c r="ACO270" s="759">
        <f t="shared" si="287"/>
        <v>0.92351171874999993</v>
      </c>
      <c r="ACP270" s="760"/>
      <c r="ACQ270" s="757">
        <f t="shared" si="288"/>
        <v>1.02125</v>
      </c>
      <c r="ACR270" s="758"/>
      <c r="ACT270" s="759">
        <v>-0.12</v>
      </c>
      <c r="ACU270" s="760"/>
      <c r="ACV270" s="759">
        <v>1.1000000000000001</v>
      </c>
      <c r="ACW270" s="760"/>
      <c r="ACX270" s="591">
        <v>93</v>
      </c>
      <c r="ACY270" s="759">
        <f t="shared" si="289"/>
        <v>0.83495000000000008</v>
      </c>
      <c r="ACZ270" s="760"/>
      <c r="ADA270" s="757">
        <f t="shared" si="290"/>
        <v>2.2087500000000002</v>
      </c>
      <c r="ADB270" s="758"/>
      <c r="ADD270" s="1112">
        <v>-0.12</v>
      </c>
      <c r="ADE270" s="1112"/>
      <c r="ADF270" s="1112">
        <v>1.06</v>
      </c>
      <c r="ADG270" s="1112"/>
      <c r="ADH270" s="591">
        <v>143</v>
      </c>
      <c r="ADI270" s="759">
        <f t="shared" si="291"/>
        <v>0.65244999999999997</v>
      </c>
      <c r="ADJ270" s="760"/>
      <c r="ADK270" s="757">
        <f t="shared" si="292"/>
        <v>3.3962500000000002</v>
      </c>
      <c r="ADL270" s="758"/>
      <c r="ADN270" s="1112">
        <v>-0.08</v>
      </c>
      <c r="ADO270" s="1112"/>
      <c r="ADP270" s="1112">
        <v>0.9</v>
      </c>
      <c r="ADQ270" s="1112"/>
      <c r="ADR270" s="592">
        <v>193</v>
      </c>
      <c r="ADS270" s="759">
        <f t="shared" si="293"/>
        <v>0.5333</v>
      </c>
      <c r="ADT270" s="760"/>
      <c r="ADU270" s="757">
        <f t="shared" si="294"/>
        <v>4.5837500000000002</v>
      </c>
      <c r="ADV270" s="758"/>
      <c r="ADX270" s="1112">
        <v>-5.8823529411764698E-2</v>
      </c>
      <c r="ADY270" s="1112"/>
      <c r="ADZ270" s="1112">
        <v>0.79411764705882304</v>
      </c>
      <c r="AEA270" s="1112"/>
      <c r="AEB270" s="591">
        <v>243</v>
      </c>
      <c r="AEC270" s="759">
        <f t="shared" si="295"/>
        <v>0.45463235294117599</v>
      </c>
      <c r="AED270" s="760"/>
      <c r="AEE270" s="757">
        <f t="shared" si="296"/>
        <v>5.7712500000000002</v>
      </c>
      <c r="AEF270" s="758"/>
      <c r="AEG270" s="653"/>
      <c r="AEH270" s="1112">
        <v>-3.5714285714285698E-2</v>
      </c>
      <c r="AEI270" s="1112"/>
      <c r="AEJ270" s="1112">
        <v>0.63928571428571401</v>
      </c>
      <c r="AEK270" s="1112"/>
      <c r="AEL270" s="592">
        <v>293</v>
      </c>
      <c r="AEM270" s="759">
        <f t="shared" si="297"/>
        <v>0.39075892857142841</v>
      </c>
      <c r="AEN270" s="760"/>
      <c r="AEO270" s="757">
        <f t="shared" si="298"/>
        <v>6.9587500000000002</v>
      </c>
      <c r="AEP270" s="758"/>
      <c r="AER270" s="1112">
        <v>-3.5714285714285698E-2</v>
      </c>
      <c r="AES270" s="1112"/>
      <c r="AET270" s="1112">
        <v>0.63928571428571401</v>
      </c>
      <c r="AEU270" s="1112"/>
      <c r="AEV270" s="592">
        <v>343</v>
      </c>
      <c r="AEW270" s="759">
        <f t="shared" si="299"/>
        <v>0.34834821428571411</v>
      </c>
      <c r="AEX270" s="760"/>
      <c r="AEY270" s="757">
        <f t="shared" si="300"/>
        <v>8.1462500000000002</v>
      </c>
      <c r="AEZ270" s="758"/>
      <c r="AFB270" s="1112">
        <v>-3.5714285714285698E-2</v>
      </c>
      <c r="AFC270" s="1112"/>
      <c r="AFD270" s="1112">
        <v>0.63928571428571401</v>
      </c>
      <c r="AFE270" s="1112"/>
      <c r="AFF270" s="592">
        <v>393</v>
      </c>
      <c r="AFG270" s="759">
        <f t="shared" si="301"/>
        <v>0.30593749999999986</v>
      </c>
      <c r="AFH270" s="760"/>
      <c r="AFI270" s="757">
        <f t="shared" si="302"/>
        <v>9.3337500000000002</v>
      </c>
      <c r="AFJ270" s="758"/>
      <c r="AGL270" s="850"/>
      <c r="AGM270" s="800" t="s">
        <v>1466</v>
      </c>
      <c r="AGN270" s="982"/>
      <c r="AGO270" s="801"/>
      <c r="AGP270" s="951">
        <f>$AGZ$218</f>
        <v>0.19768511452075549</v>
      </c>
      <c r="AGQ270" s="952"/>
      <c r="AGR270" s="824"/>
      <c r="AGS270" s="824"/>
      <c r="AGT270" s="824"/>
      <c r="AGU270" s="824"/>
      <c r="AGV270" s="824"/>
      <c r="AGW270" s="824"/>
      <c r="AGX270" s="824"/>
      <c r="AGY270" s="1049"/>
      <c r="AGZ270" s="837"/>
      <c r="AHA270" s="838"/>
      <c r="AHB270" s="1169"/>
      <c r="AHC270" s="799"/>
      <c r="AHD270" s="1249"/>
      <c r="AHE270" s="1291"/>
      <c r="AHF270" s="1291"/>
      <c r="AHG270" s="1291"/>
      <c r="AHH270" s="1290"/>
      <c r="AHI270" s="827"/>
      <c r="AHJ270" s="947"/>
      <c r="AHK270" s="947"/>
      <c r="AHL270" s="947"/>
      <c r="AHM270" s="947"/>
      <c r="AHN270" s="948"/>
      <c r="AHO270" s="130"/>
      <c r="AHP270" s="130"/>
      <c r="AHQ270" s="130"/>
      <c r="AHR270" s="130"/>
      <c r="AHS270" s="130"/>
      <c r="AHT270" s="130"/>
      <c r="AHU270" s="130"/>
    </row>
    <row r="271" spans="450:995 1082:1418" ht="48" customHeight="1" thickBot="1">
      <c r="ACJ271" s="759">
        <v>-4.0625000000000001E-2</v>
      </c>
      <c r="ACK271" s="760"/>
      <c r="ACL271" s="759">
        <v>0.96499999999999997</v>
      </c>
      <c r="ACM271" s="760"/>
      <c r="ACN271" s="591">
        <v>44</v>
      </c>
      <c r="ACO271" s="759">
        <f t="shared" si="287"/>
        <v>0.92254687499999999</v>
      </c>
      <c r="ACP271" s="760"/>
      <c r="ACQ271" s="757">
        <f t="shared" si="288"/>
        <v>1.0449999999999999</v>
      </c>
      <c r="ACR271" s="758"/>
      <c r="ACT271" s="759">
        <v>-0.12</v>
      </c>
      <c r="ACU271" s="760"/>
      <c r="ACV271" s="759">
        <v>1.1000000000000001</v>
      </c>
      <c r="ACW271" s="760"/>
      <c r="ACX271" s="591">
        <v>94</v>
      </c>
      <c r="ACY271" s="759">
        <f t="shared" si="289"/>
        <v>0.83210000000000006</v>
      </c>
      <c r="ACZ271" s="760"/>
      <c r="ADA271" s="757">
        <f t="shared" si="290"/>
        <v>2.2324999999999999</v>
      </c>
      <c r="ADB271" s="758"/>
      <c r="ADD271" s="1112">
        <v>-0.12</v>
      </c>
      <c r="ADE271" s="1112"/>
      <c r="ADF271" s="1112">
        <v>1.06</v>
      </c>
      <c r="ADG271" s="1112"/>
      <c r="ADH271" s="591">
        <v>144</v>
      </c>
      <c r="ADI271" s="759">
        <f t="shared" si="291"/>
        <v>0.64960000000000007</v>
      </c>
      <c r="ADJ271" s="760"/>
      <c r="ADK271" s="757">
        <f t="shared" si="292"/>
        <v>3.42</v>
      </c>
      <c r="ADL271" s="758"/>
      <c r="ADN271" s="1112">
        <v>-0.08</v>
      </c>
      <c r="ADO271" s="1112"/>
      <c r="ADP271" s="1112">
        <v>0.9</v>
      </c>
      <c r="ADQ271" s="1112"/>
      <c r="ADR271" s="592">
        <v>194</v>
      </c>
      <c r="ADS271" s="759">
        <f t="shared" si="293"/>
        <v>0.53140000000000009</v>
      </c>
      <c r="ADT271" s="760"/>
      <c r="ADU271" s="757">
        <f t="shared" si="294"/>
        <v>4.6074999999999999</v>
      </c>
      <c r="ADV271" s="758"/>
      <c r="ADX271" s="1112">
        <v>-5.8823529411764698E-2</v>
      </c>
      <c r="ADY271" s="1112"/>
      <c r="ADZ271" s="1112">
        <v>0.79411764705882304</v>
      </c>
      <c r="AEA271" s="1112"/>
      <c r="AEB271" s="591">
        <v>244</v>
      </c>
      <c r="AEC271" s="759">
        <f t="shared" si="295"/>
        <v>0.45323529411764663</v>
      </c>
      <c r="AED271" s="760"/>
      <c r="AEE271" s="757">
        <f t="shared" si="296"/>
        <v>5.7949999999999999</v>
      </c>
      <c r="AEF271" s="758"/>
      <c r="AEG271" s="653"/>
      <c r="AEH271" s="1112">
        <v>-3.5714285714285698E-2</v>
      </c>
      <c r="AEI271" s="1112"/>
      <c r="AEJ271" s="1112">
        <v>0.63928571428571401</v>
      </c>
      <c r="AEK271" s="1112"/>
      <c r="AEL271" s="592">
        <v>294</v>
      </c>
      <c r="AEM271" s="759">
        <f t="shared" si="297"/>
        <v>0.38991071428571411</v>
      </c>
      <c r="AEN271" s="760"/>
      <c r="AEO271" s="757">
        <f t="shared" si="298"/>
        <v>6.9824999999999999</v>
      </c>
      <c r="AEP271" s="758"/>
      <c r="AER271" s="1112">
        <v>-3.5714285714285698E-2</v>
      </c>
      <c r="AES271" s="1112"/>
      <c r="AET271" s="1112">
        <v>0.63928571428571401</v>
      </c>
      <c r="AEU271" s="1112"/>
      <c r="AEV271" s="592">
        <v>344</v>
      </c>
      <c r="AEW271" s="759">
        <f t="shared" si="299"/>
        <v>0.34749999999999986</v>
      </c>
      <c r="AEX271" s="760"/>
      <c r="AEY271" s="757">
        <f t="shared" si="300"/>
        <v>8.17</v>
      </c>
      <c r="AEZ271" s="758"/>
      <c r="AFB271" s="1112">
        <v>-3.5714285714285698E-2</v>
      </c>
      <c r="AFC271" s="1112"/>
      <c r="AFD271" s="1112">
        <v>0.63928571428571401</v>
      </c>
      <c r="AFE271" s="1112"/>
      <c r="AFF271" s="592">
        <v>394</v>
      </c>
      <c r="AFG271" s="759">
        <f t="shared" si="301"/>
        <v>0.30508928571428562</v>
      </c>
      <c r="AFH271" s="760"/>
      <c r="AFI271" s="757">
        <f t="shared" si="302"/>
        <v>9.3574999999999999</v>
      </c>
      <c r="AFJ271" s="758"/>
      <c r="AGL271" s="851"/>
      <c r="AGM271" s="1319"/>
      <c r="AGN271" s="1319"/>
      <c r="AGO271" s="1319"/>
      <c r="AGP271" s="1319"/>
      <c r="AGQ271" s="1319"/>
      <c r="AGR271" s="795"/>
      <c r="AGS271" s="795"/>
      <c r="AGT271" s="795"/>
      <c r="AGU271" s="795"/>
      <c r="AGV271" s="795"/>
      <c r="AGW271" s="795"/>
      <c r="AGX271" s="795"/>
      <c r="AGY271" s="796"/>
      <c r="AGZ271" s="942"/>
      <c r="AHA271" s="943"/>
      <c r="AHB271" s="943"/>
      <c r="AHC271" s="943"/>
      <c r="AHD271" s="943"/>
      <c r="AHE271" s="943"/>
      <c r="AHF271" s="943"/>
      <c r="AHG271" s="943"/>
      <c r="AHH271" s="944"/>
      <c r="AHI271" s="828"/>
      <c r="AHJ271" s="949"/>
      <c r="AHK271" s="949"/>
      <c r="AHL271" s="949"/>
      <c r="AHM271" s="949"/>
      <c r="AHN271" s="950"/>
      <c r="AHO271" s="130"/>
      <c r="AHP271" s="130"/>
      <c r="AHQ271" s="130"/>
      <c r="AHR271" s="130"/>
      <c r="AHS271" s="130"/>
      <c r="AHT271" s="130"/>
      <c r="AHU271" s="130"/>
      <c r="AIF271" s="130"/>
      <c r="AIG271" s="130"/>
    </row>
    <row r="272" spans="450:995 1082:1418" ht="48" customHeight="1">
      <c r="ACJ272" s="759">
        <v>-4.0625000000000001E-2</v>
      </c>
      <c r="ACK272" s="760"/>
      <c r="ACL272" s="759">
        <v>0.96499999999999997</v>
      </c>
      <c r="ACM272" s="760"/>
      <c r="ACN272" s="591">
        <v>45</v>
      </c>
      <c r="ACO272" s="759">
        <f t="shared" si="287"/>
        <v>0.92158203124999993</v>
      </c>
      <c r="ACP272" s="760"/>
      <c r="ACQ272" s="757">
        <f t="shared" si="288"/>
        <v>1.0687500000000001</v>
      </c>
      <c r="ACR272" s="758"/>
      <c r="ACT272" s="759">
        <v>-0.12</v>
      </c>
      <c r="ACU272" s="760"/>
      <c r="ACV272" s="759">
        <v>1.1000000000000001</v>
      </c>
      <c r="ACW272" s="760"/>
      <c r="ACX272" s="591">
        <v>95</v>
      </c>
      <c r="ACY272" s="759">
        <f t="shared" si="289"/>
        <v>0.82925000000000004</v>
      </c>
      <c r="ACZ272" s="760"/>
      <c r="ADA272" s="757">
        <f t="shared" si="290"/>
        <v>2.2562500000000001</v>
      </c>
      <c r="ADB272" s="758"/>
      <c r="ADD272" s="1112">
        <v>-0.12</v>
      </c>
      <c r="ADE272" s="1112"/>
      <c r="ADF272" s="1112">
        <v>1.06</v>
      </c>
      <c r="ADG272" s="1112"/>
      <c r="ADH272" s="591">
        <v>145</v>
      </c>
      <c r="ADI272" s="759">
        <f t="shared" si="291"/>
        <v>0.64675000000000005</v>
      </c>
      <c r="ADJ272" s="760"/>
      <c r="ADK272" s="757">
        <f t="shared" si="292"/>
        <v>3.4437500000000001</v>
      </c>
      <c r="ADL272" s="758"/>
      <c r="ADN272" s="1112">
        <v>-0.08</v>
      </c>
      <c r="ADO272" s="1112"/>
      <c r="ADP272" s="1112">
        <v>0.9</v>
      </c>
      <c r="ADQ272" s="1112"/>
      <c r="ADR272" s="592">
        <v>195</v>
      </c>
      <c r="ADS272" s="759">
        <f t="shared" si="293"/>
        <v>0.52950000000000008</v>
      </c>
      <c r="ADT272" s="760"/>
      <c r="ADU272" s="757">
        <f t="shared" si="294"/>
        <v>4.6312499999999996</v>
      </c>
      <c r="ADV272" s="758"/>
      <c r="ADX272" s="1112">
        <v>-5.8823529411764698E-2</v>
      </c>
      <c r="ADY272" s="1112"/>
      <c r="ADZ272" s="1112">
        <v>0.79411764705882304</v>
      </c>
      <c r="AEA272" s="1112"/>
      <c r="AEB272" s="591">
        <v>245</v>
      </c>
      <c r="AEC272" s="759">
        <f t="shared" si="295"/>
        <v>0.45183823529411721</v>
      </c>
      <c r="AED272" s="760"/>
      <c r="AEE272" s="757">
        <f t="shared" si="296"/>
        <v>5.8187499999999996</v>
      </c>
      <c r="AEF272" s="758"/>
      <c r="AEG272" s="653"/>
      <c r="AEH272" s="1112">
        <v>-3.5714285714285698E-2</v>
      </c>
      <c r="AEI272" s="1112"/>
      <c r="AEJ272" s="1112">
        <v>0.63928571428571401</v>
      </c>
      <c r="AEK272" s="1112"/>
      <c r="AEL272" s="592">
        <v>295</v>
      </c>
      <c r="AEM272" s="759">
        <f t="shared" si="297"/>
        <v>0.38906249999999987</v>
      </c>
      <c r="AEN272" s="760"/>
      <c r="AEO272" s="757">
        <f t="shared" si="298"/>
        <v>7.0062499999999996</v>
      </c>
      <c r="AEP272" s="758"/>
      <c r="AER272" s="1112">
        <v>-3.5714285714285698E-2</v>
      </c>
      <c r="AES272" s="1112"/>
      <c r="AET272" s="1112">
        <v>0.63928571428571401</v>
      </c>
      <c r="AEU272" s="1112"/>
      <c r="AEV272" s="592">
        <v>345</v>
      </c>
      <c r="AEW272" s="759">
        <f t="shared" si="299"/>
        <v>0.34665178571428557</v>
      </c>
      <c r="AEX272" s="760"/>
      <c r="AEY272" s="757">
        <f t="shared" si="300"/>
        <v>8.1937499999999996</v>
      </c>
      <c r="AEZ272" s="758"/>
      <c r="AFB272" s="1112">
        <v>-3.5714285714285698E-2</v>
      </c>
      <c r="AFC272" s="1112"/>
      <c r="AFD272" s="1112">
        <v>0.63928571428571401</v>
      </c>
      <c r="AFE272" s="1112"/>
      <c r="AFF272" s="592">
        <v>395</v>
      </c>
      <c r="AFG272" s="759">
        <f t="shared" si="301"/>
        <v>0.30424107142857132</v>
      </c>
      <c r="AFH272" s="760"/>
      <c r="AFI272" s="757">
        <f t="shared" si="302"/>
        <v>9.3812499999999996</v>
      </c>
      <c r="AFJ272" s="758"/>
      <c r="AHP272" s="130"/>
      <c r="AHQ272" s="130"/>
      <c r="AHR272" s="130"/>
      <c r="AHS272" s="130"/>
      <c r="AHT272" s="130"/>
      <c r="AHU272" s="130"/>
      <c r="AIF272" s="130"/>
      <c r="AIG272" s="130"/>
    </row>
    <row r="273" spans="460:917" ht="48" customHeight="1" thickBot="1">
      <c r="ACJ273" s="759">
        <v>-4.0625000000000001E-2</v>
      </c>
      <c r="ACK273" s="760"/>
      <c r="ACL273" s="759">
        <v>0.96499999999999997</v>
      </c>
      <c r="ACM273" s="760"/>
      <c r="ACN273" s="591">
        <v>46</v>
      </c>
      <c r="ACO273" s="759">
        <f t="shared" si="287"/>
        <v>0.92061718749999999</v>
      </c>
      <c r="ACP273" s="760"/>
      <c r="ACQ273" s="757">
        <f t="shared" si="288"/>
        <v>1.0925</v>
      </c>
      <c r="ACR273" s="758"/>
      <c r="ACT273" s="759">
        <v>-0.12</v>
      </c>
      <c r="ACU273" s="760"/>
      <c r="ACV273" s="759">
        <v>1.1000000000000001</v>
      </c>
      <c r="ACW273" s="760"/>
      <c r="ACX273" s="591">
        <v>96</v>
      </c>
      <c r="ACY273" s="759">
        <f t="shared" si="289"/>
        <v>0.82640000000000002</v>
      </c>
      <c r="ACZ273" s="760"/>
      <c r="ADA273" s="757">
        <f t="shared" si="290"/>
        <v>2.2800000000000002</v>
      </c>
      <c r="ADB273" s="758"/>
      <c r="ADD273" s="1112">
        <v>-0.12</v>
      </c>
      <c r="ADE273" s="1112"/>
      <c r="ADF273" s="1112">
        <v>1.06</v>
      </c>
      <c r="ADG273" s="1112"/>
      <c r="ADH273" s="591">
        <v>146</v>
      </c>
      <c r="ADI273" s="759">
        <f t="shared" si="291"/>
        <v>0.64390000000000003</v>
      </c>
      <c r="ADJ273" s="760"/>
      <c r="ADK273" s="757">
        <f t="shared" si="292"/>
        <v>3.4675000000000002</v>
      </c>
      <c r="ADL273" s="758"/>
      <c r="ADN273" s="1112">
        <v>-0.08</v>
      </c>
      <c r="ADO273" s="1112"/>
      <c r="ADP273" s="1112">
        <v>0.9</v>
      </c>
      <c r="ADQ273" s="1112"/>
      <c r="ADR273" s="592">
        <v>196</v>
      </c>
      <c r="ADS273" s="759">
        <f t="shared" si="293"/>
        <v>0.52760000000000007</v>
      </c>
      <c r="ADT273" s="760"/>
      <c r="ADU273" s="757">
        <f t="shared" si="294"/>
        <v>4.6550000000000002</v>
      </c>
      <c r="ADV273" s="758"/>
      <c r="ADX273" s="1112">
        <v>-5.8823529411764698E-2</v>
      </c>
      <c r="ADY273" s="1112"/>
      <c r="ADZ273" s="1112">
        <v>0.79411764705882304</v>
      </c>
      <c r="AEA273" s="1112"/>
      <c r="AEB273" s="591">
        <v>246</v>
      </c>
      <c r="AEC273" s="759">
        <f t="shared" si="295"/>
        <v>0.45044117647058779</v>
      </c>
      <c r="AED273" s="760"/>
      <c r="AEE273" s="757">
        <f t="shared" si="296"/>
        <v>5.8425000000000002</v>
      </c>
      <c r="AEF273" s="758"/>
      <c r="AEG273" s="653"/>
      <c r="AEH273" s="1112">
        <v>-3.5714285714285698E-2</v>
      </c>
      <c r="AEI273" s="1112"/>
      <c r="AEJ273" s="1112">
        <v>0.63928571428571401</v>
      </c>
      <c r="AEK273" s="1112"/>
      <c r="AEL273" s="592">
        <v>296</v>
      </c>
      <c r="AEM273" s="759">
        <f t="shared" si="297"/>
        <v>0.38821428571428557</v>
      </c>
      <c r="AEN273" s="760"/>
      <c r="AEO273" s="757">
        <f t="shared" si="298"/>
        <v>7.03</v>
      </c>
      <c r="AEP273" s="758"/>
      <c r="AER273" s="1112">
        <v>-3.5714285714285698E-2</v>
      </c>
      <c r="AES273" s="1112"/>
      <c r="AET273" s="1112">
        <v>0.63928571428571401</v>
      </c>
      <c r="AEU273" s="1112"/>
      <c r="AEV273" s="592">
        <v>346</v>
      </c>
      <c r="AEW273" s="759">
        <f t="shared" si="299"/>
        <v>0.34580357142857132</v>
      </c>
      <c r="AEX273" s="760"/>
      <c r="AEY273" s="757">
        <f t="shared" si="300"/>
        <v>8.2174999999999994</v>
      </c>
      <c r="AEZ273" s="758"/>
      <c r="AFB273" s="1112">
        <v>-3.5714285714285698E-2</v>
      </c>
      <c r="AFC273" s="1112"/>
      <c r="AFD273" s="1112">
        <v>0.63928571428571401</v>
      </c>
      <c r="AFE273" s="1112"/>
      <c r="AFF273" s="592">
        <v>396</v>
      </c>
      <c r="AFG273" s="759">
        <f t="shared" si="301"/>
        <v>0.30339285714285702</v>
      </c>
      <c r="AFH273" s="760"/>
      <c r="AFI273" s="757">
        <f t="shared" si="302"/>
        <v>9.4049999999999994</v>
      </c>
      <c r="AFJ273" s="758"/>
      <c r="AGL273" s="849"/>
      <c r="AGM273" s="852" t="s">
        <v>416</v>
      </c>
      <c r="AGN273" s="853"/>
      <c r="AGO273" s="142"/>
      <c r="AGP273" s="800" t="s">
        <v>1492</v>
      </c>
      <c r="AGQ273" s="982"/>
      <c r="AGR273" s="801"/>
      <c r="AGS273" s="1110">
        <f>$AGZ$269</f>
        <v>1.0114899143204124</v>
      </c>
      <c r="AGT273" s="1110"/>
      <c r="AGU273" s="78"/>
      <c r="AGV273" s="142"/>
      <c r="AGW273" s="76" t="s">
        <v>441</v>
      </c>
      <c r="AGX273" s="854" t="s">
        <v>435</v>
      </c>
      <c r="AGY273" s="1111"/>
      <c r="AGZ273" s="924" t="s">
        <v>111</v>
      </c>
      <c r="AHA273" s="925"/>
      <c r="AHB273" s="916" t="s">
        <v>704</v>
      </c>
      <c r="AHC273" s="917"/>
      <c r="AHD273" s="906" t="s">
        <v>447</v>
      </c>
      <c r="AHE273" s="907"/>
      <c r="AHF273" s="907"/>
      <c r="AHG273" s="908"/>
      <c r="AHH273" s="1051" t="s">
        <v>436</v>
      </c>
      <c r="AHI273" s="1051"/>
      <c r="AHJ273" s="1051"/>
      <c r="AHK273" s="1051"/>
      <c r="AHL273" s="1051"/>
      <c r="AHM273" s="1051"/>
      <c r="AHN273" s="1051"/>
      <c r="AHO273" s="1051"/>
      <c r="AHP273" s="1051"/>
      <c r="AHQ273" s="1051"/>
      <c r="AHR273" s="1051"/>
      <c r="AHS273" s="130"/>
      <c r="AHT273" s="130"/>
      <c r="AIF273" s="130"/>
      <c r="AIG273" s="130"/>
    </row>
    <row r="274" spans="460:917" ht="48" customHeight="1">
      <c r="ACJ274" s="759">
        <v>-4.0625000000000001E-2</v>
      </c>
      <c r="ACK274" s="760"/>
      <c r="ACL274" s="759">
        <v>0.96499999999999997</v>
      </c>
      <c r="ACM274" s="760"/>
      <c r="ACN274" s="591">
        <v>47</v>
      </c>
      <c r="ACO274" s="759">
        <f t="shared" si="287"/>
        <v>0.91965234374999993</v>
      </c>
      <c r="ACP274" s="760"/>
      <c r="ACQ274" s="757">
        <f t="shared" si="288"/>
        <v>1.11625</v>
      </c>
      <c r="ACR274" s="758"/>
      <c r="ACT274" s="759">
        <v>-0.12</v>
      </c>
      <c r="ACU274" s="760"/>
      <c r="ACV274" s="759">
        <v>1.1000000000000001</v>
      </c>
      <c r="ACW274" s="760"/>
      <c r="ACX274" s="591">
        <v>97</v>
      </c>
      <c r="ACY274" s="759">
        <f t="shared" si="289"/>
        <v>0.82355000000000012</v>
      </c>
      <c r="ACZ274" s="760"/>
      <c r="ADA274" s="757">
        <f t="shared" si="290"/>
        <v>2.30375</v>
      </c>
      <c r="ADB274" s="758"/>
      <c r="ADD274" s="1112">
        <v>-0.12</v>
      </c>
      <c r="ADE274" s="1112"/>
      <c r="ADF274" s="1112">
        <v>1.06</v>
      </c>
      <c r="ADG274" s="1112"/>
      <c r="ADH274" s="591">
        <v>147</v>
      </c>
      <c r="ADI274" s="759">
        <f t="shared" si="291"/>
        <v>0.64105000000000012</v>
      </c>
      <c r="ADJ274" s="760"/>
      <c r="ADK274" s="757">
        <f t="shared" si="292"/>
        <v>3.49125</v>
      </c>
      <c r="ADL274" s="758"/>
      <c r="ADN274" s="1112">
        <v>-0.08</v>
      </c>
      <c r="ADO274" s="1112"/>
      <c r="ADP274" s="1112">
        <v>0.9</v>
      </c>
      <c r="ADQ274" s="1112"/>
      <c r="ADR274" s="592">
        <v>197</v>
      </c>
      <c r="ADS274" s="759">
        <f t="shared" si="293"/>
        <v>0.52570000000000006</v>
      </c>
      <c r="ADT274" s="760"/>
      <c r="ADU274" s="757">
        <f t="shared" si="294"/>
        <v>4.67875</v>
      </c>
      <c r="ADV274" s="758"/>
      <c r="ADX274" s="1112">
        <v>-5.8823529411764698E-2</v>
      </c>
      <c r="ADY274" s="1112"/>
      <c r="ADZ274" s="1112">
        <v>0.79411764705882304</v>
      </c>
      <c r="AEA274" s="1112"/>
      <c r="AEB274" s="591">
        <v>247</v>
      </c>
      <c r="AEC274" s="759">
        <f t="shared" si="295"/>
        <v>0.44904411764705837</v>
      </c>
      <c r="AED274" s="760"/>
      <c r="AEE274" s="757">
        <f t="shared" si="296"/>
        <v>5.86625</v>
      </c>
      <c r="AEF274" s="758"/>
      <c r="AEG274" s="653"/>
      <c r="AEH274" s="1112">
        <v>-3.5714285714285698E-2</v>
      </c>
      <c r="AEI274" s="1112"/>
      <c r="AEJ274" s="1112">
        <v>0.63928571428571401</v>
      </c>
      <c r="AEK274" s="1112"/>
      <c r="AEL274" s="592">
        <v>297</v>
      </c>
      <c r="AEM274" s="759">
        <f t="shared" si="297"/>
        <v>0.38736607142857127</v>
      </c>
      <c r="AEN274" s="760"/>
      <c r="AEO274" s="757">
        <f t="shared" si="298"/>
        <v>7.05375</v>
      </c>
      <c r="AEP274" s="758"/>
      <c r="AER274" s="1112">
        <v>-3.5714285714285698E-2</v>
      </c>
      <c r="AES274" s="1112"/>
      <c r="AET274" s="1112">
        <v>0.63928571428571401</v>
      </c>
      <c r="AEU274" s="1112"/>
      <c r="AEV274" s="592">
        <v>347</v>
      </c>
      <c r="AEW274" s="759">
        <f t="shared" si="299"/>
        <v>0.34495535714285697</v>
      </c>
      <c r="AEX274" s="760"/>
      <c r="AEY274" s="757">
        <f t="shared" si="300"/>
        <v>8.2412500000000009</v>
      </c>
      <c r="AEZ274" s="758"/>
      <c r="AFB274" s="1112">
        <v>-3.5714285714285698E-2</v>
      </c>
      <c r="AFC274" s="1112"/>
      <c r="AFD274" s="1112">
        <v>0.63928571428571401</v>
      </c>
      <c r="AFE274" s="1112"/>
      <c r="AFF274" s="592">
        <v>397</v>
      </c>
      <c r="AFG274" s="759">
        <f t="shared" si="301"/>
        <v>0.30254464285714272</v>
      </c>
      <c r="AFH274" s="760"/>
      <c r="AFI274" s="757">
        <f t="shared" si="302"/>
        <v>9.4287500000000009</v>
      </c>
      <c r="AFJ274" s="758"/>
      <c r="AGL274" s="850"/>
      <c r="AGM274" s="800" t="s">
        <v>1466</v>
      </c>
      <c r="AGN274" s="982"/>
      <c r="AGO274" s="801"/>
      <c r="AGP274" s="951">
        <f>$AGZ$218</f>
        <v>0.19768511452075549</v>
      </c>
      <c r="AGQ274" s="952"/>
      <c r="AGR274" s="1411" t="s">
        <v>1481</v>
      </c>
      <c r="AGS274" s="1412"/>
      <c r="AGT274" s="1412"/>
      <c r="AGU274" s="1412"/>
      <c r="AGV274" s="1412"/>
      <c r="AGW274" s="1412"/>
      <c r="AGX274" s="1412"/>
      <c r="AGY274" s="1413"/>
      <c r="AGZ274" s="835">
        <f>AGP274+AGS273*AGP275</f>
        <v>0.33307774768934462</v>
      </c>
      <c r="AHA274" s="836"/>
      <c r="AHB274" s="1253" t="s">
        <v>392</v>
      </c>
      <c r="AHC274" s="1189"/>
      <c r="AHD274" s="1066"/>
      <c r="AHE274" s="1170" t="s">
        <v>1482</v>
      </c>
      <c r="AHF274" s="1172"/>
      <c r="AHG274" s="847"/>
      <c r="AHH274" s="1052"/>
      <c r="AHI274" s="1052"/>
      <c r="AHJ274" s="1052"/>
      <c r="AHK274" s="1052"/>
      <c r="AHL274" s="1052"/>
      <c r="AHM274" s="1052"/>
      <c r="AHN274" s="1052"/>
      <c r="AHO274" s="1052"/>
      <c r="AHP274" s="1052"/>
      <c r="AHQ274" s="1052"/>
      <c r="AHR274" s="1052"/>
      <c r="AHS274" s="130"/>
      <c r="AIC274" s="130"/>
      <c r="AID274" s="130"/>
      <c r="AIE274" s="130"/>
      <c r="AIF274" s="130"/>
      <c r="AIG274" s="130"/>
    </row>
    <row r="275" spans="460:917" ht="48" customHeight="1" thickBot="1">
      <c r="ACJ275" s="759">
        <v>-4.0625000000000001E-2</v>
      </c>
      <c r="ACK275" s="760"/>
      <c r="ACL275" s="759">
        <v>0.96499999999999997</v>
      </c>
      <c r="ACM275" s="760"/>
      <c r="ACN275" s="591">
        <v>48</v>
      </c>
      <c r="ACO275" s="759">
        <f t="shared" si="287"/>
        <v>0.91868749999999999</v>
      </c>
      <c r="ACP275" s="760"/>
      <c r="ACQ275" s="757">
        <f t="shared" si="288"/>
        <v>1.1400000000000001</v>
      </c>
      <c r="ACR275" s="758"/>
      <c r="ACT275" s="759">
        <v>-0.12</v>
      </c>
      <c r="ACU275" s="760"/>
      <c r="ACV275" s="759">
        <v>1.1000000000000001</v>
      </c>
      <c r="ACW275" s="760"/>
      <c r="ACX275" s="591">
        <v>98</v>
      </c>
      <c r="ACY275" s="759">
        <f t="shared" si="289"/>
        <v>0.8207000000000001</v>
      </c>
      <c r="ACZ275" s="760"/>
      <c r="ADA275" s="757">
        <f t="shared" si="290"/>
        <v>2.3275000000000001</v>
      </c>
      <c r="ADB275" s="758"/>
      <c r="ADD275" s="1112">
        <v>-0.12</v>
      </c>
      <c r="ADE275" s="1112"/>
      <c r="ADF275" s="1112">
        <v>1.06</v>
      </c>
      <c r="ADG275" s="1112"/>
      <c r="ADH275" s="591">
        <v>148</v>
      </c>
      <c r="ADI275" s="759">
        <f t="shared" si="291"/>
        <v>0.6382000000000001</v>
      </c>
      <c r="ADJ275" s="760"/>
      <c r="ADK275" s="757">
        <f t="shared" si="292"/>
        <v>3.5150000000000001</v>
      </c>
      <c r="ADL275" s="758"/>
      <c r="ADN275" s="1112">
        <v>-0.08</v>
      </c>
      <c r="ADO275" s="1112"/>
      <c r="ADP275" s="1112">
        <v>0.9</v>
      </c>
      <c r="ADQ275" s="1112"/>
      <c r="ADR275" s="592">
        <v>198</v>
      </c>
      <c r="ADS275" s="759">
        <f t="shared" si="293"/>
        <v>0.52380000000000004</v>
      </c>
      <c r="ADT275" s="760"/>
      <c r="ADU275" s="757">
        <f t="shared" si="294"/>
        <v>4.7024999999999997</v>
      </c>
      <c r="ADV275" s="758"/>
      <c r="ADX275" s="1112">
        <v>-5.8823529411764698E-2</v>
      </c>
      <c r="ADY275" s="1112"/>
      <c r="ADZ275" s="1112">
        <v>0.79411764705882304</v>
      </c>
      <c r="AEA275" s="1112"/>
      <c r="AEB275" s="591">
        <v>248</v>
      </c>
      <c r="AEC275" s="759">
        <f t="shared" si="295"/>
        <v>0.44764705882352901</v>
      </c>
      <c r="AED275" s="760"/>
      <c r="AEE275" s="757">
        <f t="shared" si="296"/>
        <v>5.89</v>
      </c>
      <c r="AEF275" s="758"/>
      <c r="AEG275" s="653"/>
      <c r="AEH275" s="1112">
        <v>-3.5714285714285698E-2</v>
      </c>
      <c r="AEI275" s="1112"/>
      <c r="AEJ275" s="1112">
        <v>0.63928571428571401</v>
      </c>
      <c r="AEK275" s="1112"/>
      <c r="AEL275" s="592">
        <v>298</v>
      </c>
      <c r="AEM275" s="759">
        <f t="shared" si="297"/>
        <v>0.38651785714285697</v>
      </c>
      <c r="AEN275" s="760"/>
      <c r="AEO275" s="757">
        <f t="shared" si="298"/>
        <v>7.0774999999999997</v>
      </c>
      <c r="AEP275" s="758"/>
      <c r="AER275" s="1112">
        <v>-3.5714285714285698E-2</v>
      </c>
      <c r="AES275" s="1112"/>
      <c r="AET275" s="1112">
        <v>0.63928571428571401</v>
      </c>
      <c r="AEU275" s="1112"/>
      <c r="AEV275" s="592">
        <v>348</v>
      </c>
      <c r="AEW275" s="759">
        <f t="shared" si="299"/>
        <v>0.34410714285714272</v>
      </c>
      <c r="AEX275" s="760"/>
      <c r="AEY275" s="757">
        <f t="shared" si="300"/>
        <v>8.2650000000000006</v>
      </c>
      <c r="AEZ275" s="758"/>
      <c r="AFB275" s="1112">
        <v>-3.5714285714285698E-2</v>
      </c>
      <c r="AFC275" s="1112"/>
      <c r="AFD275" s="1112">
        <v>0.63928571428571401</v>
      </c>
      <c r="AFE275" s="1112"/>
      <c r="AFF275" s="592">
        <v>398</v>
      </c>
      <c r="AFG275" s="759">
        <f t="shared" si="301"/>
        <v>0.30169642857142842</v>
      </c>
      <c r="AFH275" s="760"/>
      <c r="AFI275" s="757">
        <f t="shared" si="302"/>
        <v>9.4525000000000006</v>
      </c>
      <c r="AFJ275" s="758"/>
      <c r="AGL275" s="851"/>
      <c r="AGM275" s="802" t="s">
        <v>1480</v>
      </c>
      <c r="AGN275" s="1116"/>
      <c r="AGO275" s="803"/>
      <c r="AGP275" s="1108">
        <f>$AGZ$250</f>
        <v>0.13385465465521237</v>
      </c>
      <c r="AGQ275" s="1109"/>
      <c r="AGR275" s="1303"/>
      <c r="AGS275" s="1414"/>
      <c r="AGT275" s="1414"/>
      <c r="AGU275" s="1414"/>
      <c r="AGV275" s="1414"/>
      <c r="AGW275" s="1414"/>
      <c r="AGX275" s="1414"/>
      <c r="AGY275" s="1304"/>
      <c r="AGZ275" s="837"/>
      <c r="AHA275" s="838"/>
      <c r="AHB275" s="1254"/>
      <c r="AHC275" s="1191"/>
      <c r="AHD275" s="1067"/>
      <c r="AHE275" s="1173"/>
      <c r="AHF275" s="1175"/>
      <c r="AHG275" s="848"/>
      <c r="AHH275" s="1053"/>
      <c r="AHI275" s="1053"/>
      <c r="AHJ275" s="1053"/>
      <c r="AHK275" s="1053"/>
      <c r="AHL275" s="1053"/>
      <c r="AHM275" s="1053"/>
      <c r="AHN275" s="1053"/>
      <c r="AHO275" s="1053"/>
      <c r="AHP275" s="1053"/>
      <c r="AHQ275" s="1053"/>
      <c r="AHR275" s="1053"/>
      <c r="AHS275" s="130"/>
      <c r="AHT275" s="130"/>
      <c r="AIC275" s="130"/>
      <c r="AID275" s="130"/>
      <c r="AIE275" s="130"/>
      <c r="AIF275" s="130"/>
      <c r="AIG275" s="130"/>
    </row>
    <row r="276" spans="460:917" ht="48" customHeight="1">
      <c r="ACF276" s="653"/>
      <c r="ACG276" s="653"/>
      <c r="ACH276" s="653"/>
      <c r="ACI276" s="653"/>
      <c r="ACJ276" s="759">
        <v>-4.0625000000000001E-2</v>
      </c>
      <c r="ACK276" s="760"/>
      <c r="ACL276" s="759">
        <v>0.96499999999999997</v>
      </c>
      <c r="ACM276" s="760"/>
      <c r="ACN276" s="591">
        <v>49</v>
      </c>
      <c r="ACO276" s="759">
        <f t="shared" si="287"/>
        <v>0.91772265624999994</v>
      </c>
      <c r="ACP276" s="760"/>
      <c r="ACQ276" s="757">
        <f t="shared" si="288"/>
        <v>1.1637500000000001</v>
      </c>
      <c r="ACR276" s="758"/>
      <c r="ACT276" s="759">
        <v>-0.12</v>
      </c>
      <c r="ACU276" s="760"/>
      <c r="ACV276" s="759">
        <v>1.1000000000000001</v>
      </c>
      <c r="ACW276" s="760"/>
      <c r="ACX276" s="591">
        <v>99</v>
      </c>
      <c r="ACY276" s="759">
        <f t="shared" si="289"/>
        <v>0.81785000000000019</v>
      </c>
      <c r="ACZ276" s="760"/>
      <c r="ADA276" s="757">
        <f t="shared" si="290"/>
        <v>2.3512499999999998</v>
      </c>
      <c r="ADB276" s="758"/>
      <c r="ADD276" s="1112">
        <v>-0.12</v>
      </c>
      <c r="ADE276" s="1112"/>
      <c r="ADF276" s="1112">
        <v>1.06</v>
      </c>
      <c r="ADG276" s="1112"/>
      <c r="ADH276" s="591">
        <v>149</v>
      </c>
      <c r="ADI276" s="759">
        <f t="shared" si="291"/>
        <v>0.63535000000000008</v>
      </c>
      <c r="ADJ276" s="760"/>
      <c r="ADK276" s="757">
        <f t="shared" si="292"/>
        <v>3.5387499999999998</v>
      </c>
      <c r="ADL276" s="758"/>
      <c r="ADN276" s="1112">
        <v>-0.08</v>
      </c>
      <c r="ADO276" s="1112"/>
      <c r="ADP276" s="1112">
        <v>0.9</v>
      </c>
      <c r="ADQ276" s="1112"/>
      <c r="ADR276" s="592">
        <v>199</v>
      </c>
      <c r="ADS276" s="759">
        <f t="shared" si="293"/>
        <v>0.52190000000000003</v>
      </c>
      <c r="ADT276" s="760"/>
      <c r="ADU276" s="757">
        <f t="shared" si="294"/>
        <v>4.7262500000000003</v>
      </c>
      <c r="ADV276" s="758"/>
      <c r="ADX276" s="1112">
        <v>-5.8823529411764698E-2</v>
      </c>
      <c r="ADY276" s="1112"/>
      <c r="ADZ276" s="1112">
        <v>0.79411764705882304</v>
      </c>
      <c r="AEA276" s="1112"/>
      <c r="AEB276" s="591">
        <v>249</v>
      </c>
      <c r="AEC276" s="759">
        <f t="shared" si="295"/>
        <v>0.44624999999999954</v>
      </c>
      <c r="AED276" s="760"/>
      <c r="AEE276" s="757">
        <f t="shared" si="296"/>
        <v>5.9137500000000003</v>
      </c>
      <c r="AEF276" s="758"/>
      <c r="AEG276" s="653"/>
      <c r="AEH276" s="1112">
        <v>-3.5714285714285698E-2</v>
      </c>
      <c r="AEI276" s="1112"/>
      <c r="AEJ276" s="1112">
        <v>0.63928571428571401</v>
      </c>
      <c r="AEK276" s="1112"/>
      <c r="AEL276" s="592">
        <v>299</v>
      </c>
      <c r="AEM276" s="759">
        <f t="shared" si="297"/>
        <v>0.38566964285714267</v>
      </c>
      <c r="AEN276" s="760"/>
      <c r="AEO276" s="757">
        <f t="shared" si="298"/>
        <v>7.1012500000000003</v>
      </c>
      <c r="AEP276" s="758"/>
      <c r="AER276" s="1112">
        <v>-3.5714285714285698E-2</v>
      </c>
      <c r="AES276" s="1112"/>
      <c r="AET276" s="1112">
        <v>0.63928571428571401</v>
      </c>
      <c r="AEU276" s="1112"/>
      <c r="AEV276" s="592">
        <v>349</v>
      </c>
      <c r="AEW276" s="759">
        <f t="shared" si="299"/>
        <v>0.34325892857142842</v>
      </c>
      <c r="AEX276" s="760"/>
      <c r="AEY276" s="757">
        <f t="shared" si="300"/>
        <v>8.2887500000000003</v>
      </c>
      <c r="AEZ276" s="758"/>
      <c r="AFB276" s="1112">
        <v>-3.5714285714285698E-2</v>
      </c>
      <c r="AFC276" s="1112"/>
      <c r="AFD276" s="1112">
        <v>0.63928571428571401</v>
      </c>
      <c r="AFE276" s="1112"/>
      <c r="AFF276" s="592">
        <v>399</v>
      </c>
      <c r="AFG276" s="759">
        <f t="shared" si="301"/>
        <v>0.30084821428571418</v>
      </c>
      <c r="AFH276" s="760"/>
      <c r="AFI276" s="757">
        <f t="shared" si="302"/>
        <v>9.4762500000000003</v>
      </c>
      <c r="AFJ276" s="758"/>
      <c r="AHM276" s="130"/>
      <c r="AHN276" s="130"/>
      <c r="AHO276" s="130"/>
      <c r="AHP276" s="130"/>
      <c r="AHQ276" s="130"/>
      <c r="AHR276" s="130"/>
      <c r="AHS276" s="130"/>
      <c r="AHT276" s="130"/>
      <c r="AIC276" s="130"/>
      <c r="AID276" s="130"/>
      <c r="AIE276" s="130"/>
      <c r="AIF276" s="130"/>
      <c r="AIG276" s="130"/>
    </row>
    <row r="277" spans="460:917" ht="48" customHeight="1" thickBot="1">
      <c r="ACJ277" s="759">
        <v>-4.0625000000000001E-2</v>
      </c>
      <c r="ACK277" s="760"/>
      <c r="ACL277" s="759">
        <v>0.96499999999999997</v>
      </c>
      <c r="ACM277" s="760"/>
      <c r="ACN277" s="591">
        <v>50</v>
      </c>
      <c r="ACO277" s="759">
        <f t="shared" si="287"/>
        <v>0.91675781249999999</v>
      </c>
      <c r="ACP277" s="760"/>
      <c r="ACQ277" s="757">
        <f t="shared" si="288"/>
        <v>1.1875</v>
      </c>
      <c r="ACR277" s="758"/>
      <c r="ACT277" s="759">
        <v>-0.12</v>
      </c>
      <c r="ACU277" s="760"/>
      <c r="ACV277" s="759">
        <v>1.1000000000000001</v>
      </c>
      <c r="ACW277" s="760"/>
      <c r="ACX277" s="591">
        <v>100</v>
      </c>
      <c r="ACY277" s="759">
        <f t="shared" si="289"/>
        <v>0.81500000000000017</v>
      </c>
      <c r="ACZ277" s="760"/>
      <c r="ADA277" s="757">
        <f t="shared" si="290"/>
        <v>2.375</v>
      </c>
      <c r="ADB277" s="758"/>
      <c r="ADD277" s="1112">
        <v>-0.12</v>
      </c>
      <c r="ADE277" s="1112"/>
      <c r="ADF277" s="1112">
        <v>1.06</v>
      </c>
      <c r="ADG277" s="1112"/>
      <c r="ADH277" s="591">
        <v>150</v>
      </c>
      <c r="ADI277" s="759">
        <f>ADD277*ADK277+ADF277</f>
        <v>0.63250000000000006</v>
      </c>
      <c r="ADJ277" s="760"/>
      <c r="ADK277" s="757">
        <f t="shared" si="292"/>
        <v>3.5625</v>
      </c>
      <c r="ADL277" s="758"/>
      <c r="ADN277" s="1112">
        <v>-0.08</v>
      </c>
      <c r="ADO277" s="1112"/>
      <c r="ADP277" s="1112">
        <v>0.9</v>
      </c>
      <c r="ADQ277" s="1112"/>
      <c r="ADR277" s="592">
        <v>200</v>
      </c>
      <c r="ADS277" s="759">
        <f t="shared" si="293"/>
        <v>0.52</v>
      </c>
      <c r="ADT277" s="760"/>
      <c r="ADU277" s="757">
        <f t="shared" si="294"/>
        <v>4.75</v>
      </c>
      <c r="ADV277" s="758"/>
      <c r="ADX277" s="1112">
        <v>-5.8823529411764698E-2</v>
      </c>
      <c r="ADY277" s="1112"/>
      <c r="ADZ277" s="1112">
        <v>0.79411764705882304</v>
      </c>
      <c r="AEA277" s="1112"/>
      <c r="AEB277" s="591">
        <v>250</v>
      </c>
      <c r="AEC277" s="759">
        <f t="shared" si="295"/>
        <v>0.44485294117647012</v>
      </c>
      <c r="AED277" s="760"/>
      <c r="AEE277" s="757">
        <f t="shared" si="296"/>
        <v>5.9375</v>
      </c>
      <c r="AEF277" s="758"/>
      <c r="AEG277" s="653"/>
      <c r="AEH277" s="1112">
        <v>-3.5714285714285698E-2</v>
      </c>
      <c r="AEI277" s="1112"/>
      <c r="AEJ277" s="1112">
        <v>0.63928571428571401</v>
      </c>
      <c r="AEK277" s="1112"/>
      <c r="AEL277" s="592">
        <v>300</v>
      </c>
      <c r="AEM277" s="759">
        <f t="shared" si="297"/>
        <v>0.38482142857142843</v>
      </c>
      <c r="AEN277" s="760"/>
      <c r="AEO277" s="757">
        <f t="shared" si="298"/>
        <v>7.125</v>
      </c>
      <c r="AEP277" s="758"/>
      <c r="AER277" s="1112">
        <v>-3.5714285714285698E-2</v>
      </c>
      <c r="AES277" s="1112"/>
      <c r="AET277" s="1112">
        <v>0.63928571428571401</v>
      </c>
      <c r="AEU277" s="1112"/>
      <c r="AEV277" s="592">
        <v>350</v>
      </c>
      <c r="AEW277" s="759">
        <f t="shared" si="299"/>
        <v>0.34241071428571412</v>
      </c>
      <c r="AEX277" s="760"/>
      <c r="AEY277" s="757">
        <f t="shared" si="300"/>
        <v>8.3125</v>
      </c>
      <c r="AEZ277" s="758"/>
      <c r="AFB277" s="1112">
        <v>-3.5714285714285698E-2</v>
      </c>
      <c r="AFC277" s="1112"/>
      <c r="AFD277" s="1112">
        <v>0.63928571428571401</v>
      </c>
      <c r="AFE277" s="1112"/>
      <c r="AFF277" s="592">
        <v>400</v>
      </c>
      <c r="AFG277" s="759">
        <f t="shared" si="301"/>
        <v>0.29999999999999988</v>
      </c>
      <c r="AFH277" s="760"/>
      <c r="AFI277" s="757">
        <f t="shared" si="302"/>
        <v>9.5</v>
      </c>
      <c r="AFJ277" s="758"/>
      <c r="AGL277" s="849"/>
      <c r="AGM277" s="852" t="s">
        <v>416</v>
      </c>
      <c r="AGN277" s="853"/>
      <c r="AGO277" s="425"/>
      <c r="AGP277" s="449" t="s">
        <v>1199</v>
      </c>
      <c r="AGQ277" s="883">
        <f>$AHA$15</f>
        <v>1</v>
      </c>
      <c r="AGR277" s="884"/>
      <c r="AGS277" s="78"/>
      <c r="AGT277" s="78"/>
      <c r="AGU277" s="78"/>
      <c r="AGV277" s="425"/>
      <c r="AGW277" s="76" t="s">
        <v>441</v>
      </c>
      <c r="AGX277" s="854" t="s">
        <v>435</v>
      </c>
      <c r="AGY277" s="1111"/>
      <c r="AGZ277" s="920" t="s">
        <v>111</v>
      </c>
      <c r="AHA277" s="921"/>
      <c r="AHB277" s="916" t="s">
        <v>704</v>
      </c>
      <c r="AHC277" s="917"/>
      <c r="AHD277" s="906" t="s">
        <v>447</v>
      </c>
      <c r="AHE277" s="907"/>
      <c r="AHF277" s="907"/>
      <c r="AHG277" s="908"/>
      <c r="AHH277" s="1051" t="s">
        <v>436</v>
      </c>
      <c r="AHI277" s="1051"/>
      <c r="AHJ277" s="1051"/>
      <c r="AHK277" s="1051"/>
      <c r="AHL277" s="1051"/>
      <c r="AHM277" s="1051"/>
      <c r="AHN277" s="1051"/>
      <c r="AHO277" s="1051"/>
      <c r="AHP277" s="1051"/>
      <c r="AHT277" s="130"/>
      <c r="AIC277" s="130"/>
      <c r="AID277" s="130"/>
      <c r="AIE277" s="130"/>
      <c r="AIF277" s="130"/>
      <c r="AIG277" s="130"/>
    </row>
    <row r="278" spans="460:917" ht="48" customHeight="1">
      <c r="AGL278" s="850"/>
      <c r="AGM278" s="800" t="s">
        <v>1492</v>
      </c>
      <c r="AGN278" s="982"/>
      <c r="AGO278" s="801"/>
      <c r="AGP278" s="1110">
        <f>$AGZ$269</f>
        <v>1.0114899143204124</v>
      </c>
      <c r="AGQ278" s="1110"/>
      <c r="AGR278" s="1307" t="s">
        <v>1484</v>
      </c>
      <c r="AGS278" s="1307"/>
      <c r="AGT278" s="1307"/>
      <c r="AGU278" s="1307"/>
      <c r="AGV278" s="1307"/>
      <c r="AGW278" s="1307"/>
      <c r="AGX278" s="1307"/>
      <c r="AGY278" s="1308"/>
      <c r="AGZ278" s="835">
        <f>AGP280+AGP278*AGP279/AGQ277</f>
        <v>0.2542660879528495</v>
      </c>
      <c r="AHA278" s="836"/>
      <c r="AHB278" s="1253" t="s">
        <v>392</v>
      </c>
      <c r="AHC278" s="1189"/>
      <c r="AHD278" s="841"/>
      <c r="AHE278" s="1170" t="s">
        <v>1483</v>
      </c>
      <c r="AHF278" s="1172"/>
      <c r="AHG278" s="847"/>
      <c r="AHH278" s="1052"/>
      <c r="AHI278" s="1052"/>
      <c r="AHJ278" s="1052"/>
      <c r="AHK278" s="1052"/>
      <c r="AHL278" s="1052"/>
      <c r="AHM278" s="1052"/>
      <c r="AHN278" s="1052"/>
      <c r="AHO278" s="1052"/>
      <c r="AHP278" s="1052"/>
      <c r="AHQ278" s="130"/>
      <c r="AHR278" s="130"/>
      <c r="AHS278" s="130"/>
      <c r="AHT278" s="130"/>
      <c r="AIC278" s="130"/>
      <c r="AID278" s="130"/>
      <c r="AIE278" s="130"/>
      <c r="AIF278" s="130"/>
      <c r="AIG278" s="130"/>
    </row>
    <row r="279" spans="460:917" ht="48" customHeight="1" thickBot="1">
      <c r="AGL279" s="850"/>
      <c r="AGM279" s="861" t="s">
        <v>1453</v>
      </c>
      <c r="AGN279" s="861"/>
      <c r="AGO279" s="861"/>
      <c r="AGP279" s="890">
        <f>$AGZ$93</f>
        <v>0.1099161577219142</v>
      </c>
      <c r="AGQ279" s="890"/>
      <c r="AGR279" s="1309"/>
      <c r="AGS279" s="1309"/>
      <c r="AGT279" s="1309"/>
      <c r="AGU279" s="1309"/>
      <c r="AGV279" s="1309"/>
      <c r="AGW279" s="1309"/>
      <c r="AGX279" s="1309"/>
      <c r="AGY279" s="1310"/>
      <c r="AGZ279" s="837"/>
      <c r="AHA279" s="838"/>
      <c r="AHB279" s="1254"/>
      <c r="AHC279" s="1191"/>
      <c r="AHD279" s="842"/>
      <c r="AHE279" s="1173"/>
      <c r="AHF279" s="1175"/>
      <c r="AHG279" s="848"/>
      <c r="AHH279" s="1052"/>
      <c r="AHI279" s="1052"/>
      <c r="AHJ279" s="1052"/>
      <c r="AHK279" s="1052"/>
      <c r="AHL279" s="1052"/>
      <c r="AHM279" s="1052"/>
      <c r="AHN279" s="1052"/>
      <c r="AHO279" s="1052"/>
      <c r="AHP279" s="1052"/>
      <c r="AHQ279" s="130"/>
      <c r="AHR279" s="130"/>
      <c r="AHS279" s="130"/>
      <c r="AHT279" s="130"/>
      <c r="AIC279" s="130"/>
      <c r="AID279" s="130"/>
      <c r="AIE279" s="130"/>
      <c r="AIF279" s="130"/>
      <c r="AIG279" s="130"/>
    </row>
    <row r="280" spans="460:917" ht="48" customHeight="1" thickBot="1">
      <c r="AGL280" s="851"/>
      <c r="AGM280" s="802" t="s">
        <v>1455</v>
      </c>
      <c r="AGN280" s="1116"/>
      <c r="AGO280" s="803"/>
      <c r="AGP280" s="1288">
        <f>$MP$23</f>
        <v>0.14308700299628158</v>
      </c>
      <c r="AGQ280" s="1288"/>
      <c r="AGR280" s="1311"/>
      <c r="AGS280" s="1311"/>
      <c r="AGT280" s="1311"/>
      <c r="AGU280" s="1311"/>
      <c r="AGV280" s="1311"/>
      <c r="AGW280" s="1311"/>
      <c r="AGX280" s="1311"/>
      <c r="AGY280" s="1312"/>
      <c r="AGZ280" s="942"/>
      <c r="AHA280" s="943"/>
      <c r="AHB280" s="943"/>
      <c r="AHC280" s="943"/>
      <c r="AHD280" s="943"/>
      <c r="AHE280" s="943"/>
      <c r="AHF280" s="943"/>
      <c r="AHG280" s="944"/>
      <c r="AHH280" s="1053"/>
      <c r="AHI280" s="1053"/>
      <c r="AHJ280" s="1053"/>
      <c r="AHK280" s="1053"/>
      <c r="AHL280" s="1053"/>
      <c r="AHM280" s="1053"/>
      <c r="AHN280" s="1053"/>
      <c r="AHO280" s="1053"/>
      <c r="AHP280" s="1053"/>
      <c r="AHQ280" s="130"/>
      <c r="AHR280" s="130"/>
      <c r="AHS280" s="130"/>
    </row>
    <row r="281" spans="460:917" ht="48" customHeight="1">
      <c r="QR281" s="130"/>
      <c r="QS281" s="130"/>
      <c r="QT281" s="130"/>
      <c r="QU281" s="130"/>
      <c r="QV281" s="130"/>
      <c r="QW281" s="130"/>
      <c r="QX281" s="130"/>
      <c r="QY281" s="130"/>
      <c r="QZ281" s="130"/>
      <c r="RA281" s="130"/>
      <c r="RB281" s="130"/>
      <c r="RC281" s="130"/>
      <c r="RD281" s="130"/>
      <c r="RE281" s="130"/>
      <c r="RF281" s="130"/>
      <c r="RG281" s="130"/>
      <c r="RH281" s="130"/>
      <c r="RI281" s="130"/>
      <c r="RJ281" s="130"/>
      <c r="RK281" s="130"/>
      <c r="RL281" s="130"/>
      <c r="RM281" s="130"/>
      <c r="RN281" s="130"/>
      <c r="AHR281" s="130"/>
      <c r="AHS281" s="130"/>
    </row>
    <row r="282" spans="460:917" ht="48" customHeight="1" thickBot="1">
      <c r="QR282" s="130"/>
      <c r="QS282" s="130"/>
      <c r="QT282" s="130"/>
      <c r="QU282" s="130"/>
      <c r="QV282" s="130"/>
      <c r="QW282" s="130"/>
      <c r="QX282" s="130"/>
      <c r="QY282" s="130"/>
      <c r="QZ282" s="130"/>
      <c r="RA282" s="130"/>
      <c r="RB282" s="130"/>
      <c r="RC282" s="130"/>
      <c r="RD282" s="130"/>
      <c r="RE282" s="130"/>
      <c r="RF282" s="130"/>
      <c r="RG282" s="130"/>
      <c r="RH282" s="130"/>
      <c r="RI282" s="130"/>
      <c r="RJ282" s="130"/>
      <c r="RK282" s="130"/>
      <c r="RL282" s="130"/>
      <c r="RM282" s="130"/>
      <c r="RN282" s="130"/>
      <c r="AGL282" s="849"/>
      <c r="AGM282" s="139" t="s">
        <v>416</v>
      </c>
      <c r="AGN282" s="134"/>
      <c r="AGO282" s="444"/>
      <c r="AGP282" s="800" t="s">
        <v>1723</v>
      </c>
      <c r="AGQ282" s="982"/>
      <c r="AGR282" s="801"/>
      <c r="AGS282" s="761">
        <f>$AGZ$151</f>
        <v>564.29987192194301</v>
      </c>
      <c r="AGT282" s="761"/>
      <c r="AGU282" s="78"/>
      <c r="AGV282" s="444"/>
      <c r="AGW282" s="76" t="s">
        <v>441</v>
      </c>
      <c r="AGX282" s="854" t="s">
        <v>435</v>
      </c>
      <c r="AGY282" s="855"/>
      <c r="AGZ282" s="920" t="s">
        <v>111</v>
      </c>
      <c r="AHA282" s="921"/>
      <c r="AHB282" s="916" t="s">
        <v>704</v>
      </c>
      <c r="AHC282" s="917"/>
      <c r="AHD282" s="906" t="s">
        <v>447</v>
      </c>
      <c r="AHE282" s="907"/>
      <c r="AHF282" s="907"/>
      <c r="AHG282" s="908"/>
      <c r="AHH282" s="1051" t="s">
        <v>436</v>
      </c>
      <c r="AHI282" s="1051"/>
      <c r="AHJ282" s="1051"/>
      <c r="AHK282" s="1051"/>
    </row>
    <row r="283" spans="460:917" ht="48" customHeight="1">
      <c r="QR283" s="130"/>
      <c r="QS283" s="130"/>
      <c r="QT283" s="130"/>
      <c r="QU283" s="130"/>
      <c r="QV283" s="130"/>
      <c r="QW283" s="130"/>
      <c r="QX283" s="130"/>
      <c r="QY283" s="130"/>
      <c r="QZ283" s="130"/>
      <c r="RA283" s="130"/>
      <c r="RB283" s="130"/>
      <c r="RC283" s="130"/>
      <c r="RD283" s="130"/>
      <c r="RE283" s="130"/>
      <c r="RF283" s="130"/>
      <c r="RG283" s="130"/>
      <c r="RH283" s="130"/>
      <c r="RI283" s="130"/>
      <c r="RJ283" s="130"/>
      <c r="RK283" s="130"/>
      <c r="RL283" s="130"/>
      <c r="RM283" s="130"/>
      <c r="RN283" s="130"/>
      <c r="AGL283" s="850"/>
      <c r="AGM283" s="861" t="s">
        <v>1722</v>
      </c>
      <c r="AGN283" s="861"/>
      <c r="AGO283" s="761">
        <f>$AGZ$262</f>
        <v>526.81606537505411</v>
      </c>
      <c r="AGP283" s="761"/>
      <c r="AGQ283" s="791" t="s">
        <v>1498</v>
      </c>
      <c r="AGR283" s="792"/>
      <c r="AGS283" s="792"/>
      <c r="AGT283" s="792"/>
      <c r="AGU283" s="792"/>
      <c r="AGV283" s="792"/>
      <c r="AGW283" s="792"/>
      <c r="AGX283" s="792"/>
      <c r="AGY283" s="793"/>
      <c r="AGZ283" s="835">
        <f>AGO283/AGS282</f>
        <v>0.93357466763332198</v>
      </c>
      <c r="AHA283" s="836"/>
      <c r="AHB283" s="1322"/>
      <c r="AHC283" s="840"/>
      <c r="AHD283" s="1066"/>
      <c r="AHE283" s="1170" t="s">
        <v>1420</v>
      </c>
      <c r="AHF283" s="1172"/>
      <c r="AHG283" s="1255"/>
      <c r="AHH283" s="1052"/>
      <c r="AHI283" s="1052"/>
      <c r="AHJ283" s="1052"/>
      <c r="AHK283" s="1052"/>
    </row>
    <row r="284" spans="460:917" ht="48" customHeight="1" thickBot="1">
      <c r="QR284" s="130"/>
      <c r="QS284" s="130"/>
      <c r="QT284" s="130"/>
      <c r="QU284" s="130"/>
      <c r="QV284" s="130"/>
      <c r="QW284" s="130"/>
      <c r="QX284" s="130"/>
      <c r="QY284" s="130"/>
      <c r="QZ284" s="130"/>
      <c r="RA284" s="130"/>
      <c r="RB284" s="130"/>
      <c r="RC284" s="130"/>
      <c r="RD284" s="130"/>
      <c r="RE284" s="130"/>
      <c r="RF284" s="130"/>
      <c r="RG284" s="130"/>
      <c r="RH284" s="130"/>
      <c r="RI284" s="130"/>
      <c r="RJ284" s="130"/>
      <c r="RK284" s="130"/>
      <c r="RL284" s="130"/>
      <c r="RM284" s="130"/>
      <c r="RN284" s="130"/>
      <c r="AGL284" s="850"/>
      <c r="AGM284" s="1034"/>
      <c r="AGN284" s="1035"/>
      <c r="AGO284" s="1035"/>
      <c r="AGP284" s="1036"/>
      <c r="AGQ284" s="823"/>
      <c r="AGR284" s="824"/>
      <c r="AGS284" s="824"/>
      <c r="AGT284" s="824"/>
      <c r="AGU284" s="824"/>
      <c r="AGV284" s="824"/>
      <c r="AGW284" s="824"/>
      <c r="AGX284" s="824"/>
      <c r="AGY284" s="1049"/>
      <c r="AGZ284" s="837"/>
      <c r="AHA284" s="838"/>
      <c r="AHB284" s="778"/>
      <c r="AHC284" s="799"/>
      <c r="AHD284" s="1067"/>
      <c r="AHE284" s="1173"/>
      <c r="AHF284" s="1175"/>
      <c r="AHG284" s="1256"/>
      <c r="AHH284" s="1052"/>
      <c r="AHI284" s="1052"/>
      <c r="AHJ284" s="1052"/>
      <c r="AHK284" s="1052"/>
    </row>
    <row r="285" spans="460:917" ht="48" customHeight="1" thickBot="1">
      <c r="QR285" s="130"/>
      <c r="QS285" s="130"/>
      <c r="QT285" s="130"/>
      <c r="QU285" s="130"/>
      <c r="QV285" s="130"/>
      <c r="QW285" s="130"/>
      <c r="QX285" s="130"/>
      <c r="QY285" s="130"/>
      <c r="QZ285" s="130"/>
      <c r="RA285" s="130"/>
      <c r="RB285" s="130"/>
      <c r="RC285" s="130"/>
      <c r="RD285" s="130"/>
      <c r="RE285" s="130"/>
      <c r="RF285" s="130"/>
      <c r="RG285" s="130"/>
      <c r="RH285" s="130"/>
      <c r="RI285" s="130"/>
      <c r="RJ285" s="130"/>
      <c r="RK285" s="130"/>
      <c r="RL285" s="130"/>
      <c r="RM285" s="130"/>
      <c r="RN285" s="130"/>
      <c r="AGL285" s="851"/>
      <c r="AGM285" s="1037"/>
      <c r="AGN285" s="1038"/>
      <c r="AGO285" s="1038"/>
      <c r="AGP285" s="1039"/>
      <c r="AGQ285" s="794"/>
      <c r="AGR285" s="795"/>
      <c r="AGS285" s="795"/>
      <c r="AGT285" s="795"/>
      <c r="AGU285" s="795"/>
      <c r="AGV285" s="795"/>
      <c r="AGW285" s="795"/>
      <c r="AGX285" s="795"/>
      <c r="AGY285" s="796"/>
      <c r="AGZ285" s="942"/>
      <c r="AHA285" s="943"/>
      <c r="AHB285" s="943"/>
      <c r="AHC285" s="943"/>
      <c r="AHD285" s="943"/>
      <c r="AHE285" s="943"/>
      <c r="AHF285" s="943"/>
      <c r="AHG285" s="944"/>
      <c r="AHH285" s="1053"/>
      <c r="AHI285" s="1053"/>
      <c r="AHJ285" s="1053"/>
      <c r="AHK285" s="1053"/>
    </row>
    <row r="286" spans="460:917" ht="48" customHeight="1">
      <c r="QR286" s="130"/>
      <c r="QS286" s="130"/>
      <c r="QT286" s="130"/>
      <c r="QU286" s="130"/>
      <c r="QV286" s="130"/>
      <c r="QW286" s="130"/>
      <c r="QX286" s="130"/>
      <c r="QY286" s="130"/>
      <c r="QZ286" s="130"/>
      <c r="RA286" s="130"/>
      <c r="RB286" s="130"/>
      <c r="RC286" s="130"/>
      <c r="RD286" s="130"/>
      <c r="RE286" s="130"/>
      <c r="RF286" s="130"/>
      <c r="RG286" s="130"/>
      <c r="RH286" s="130"/>
      <c r="RI286" s="130"/>
      <c r="RJ286" s="130"/>
      <c r="RK286" s="130"/>
      <c r="RL286" s="130"/>
      <c r="RM286" s="130"/>
      <c r="RN286" s="130"/>
      <c r="AHY286" s="130"/>
      <c r="AHZ286" s="130"/>
      <c r="AIA286" s="130"/>
    </row>
    <row r="287" spans="460:917" ht="48" customHeight="1">
      <c r="QR287" s="130"/>
      <c r="QS287" s="130"/>
      <c r="QT287" s="130"/>
      <c r="QU287" s="130"/>
      <c r="QV287" s="130"/>
      <c r="QW287" s="130"/>
      <c r="QX287" s="130"/>
      <c r="QY287" s="130"/>
      <c r="QZ287" s="130"/>
      <c r="RA287" s="130"/>
      <c r="RB287" s="130"/>
      <c r="RC287" s="130"/>
      <c r="RD287" s="130"/>
      <c r="RE287" s="130"/>
      <c r="RF287" s="130"/>
      <c r="RG287" s="130"/>
      <c r="RH287" s="130"/>
      <c r="RI287" s="130"/>
      <c r="RJ287" s="130"/>
      <c r="RK287" s="130"/>
      <c r="RL287" s="130"/>
      <c r="RM287" s="130"/>
      <c r="RN287" s="130"/>
      <c r="AGN287" s="199"/>
      <c r="AGO287" s="852" t="s">
        <v>1734</v>
      </c>
      <c r="AGP287" s="923"/>
      <c r="AGQ287" s="199"/>
      <c r="AGR287" s="1069" t="s">
        <v>1042</v>
      </c>
      <c r="AGS287" s="1070"/>
      <c r="AGT287" s="1070"/>
      <c r="AGU287" s="1070"/>
      <c r="AGV287" s="1070"/>
      <c r="AGW287" s="1070"/>
      <c r="AGX287" s="1070"/>
      <c r="AGY287" s="1070"/>
      <c r="AGZ287" s="1070"/>
      <c r="AHA287" s="1070"/>
      <c r="AHB287" s="1071"/>
      <c r="AHC287" s="199"/>
      <c r="AHU287" s="130"/>
      <c r="AHV287" s="130"/>
      <c r="AHW287" s="130"/>
      <c r="AHX287" s="130"/>
      <c r="AHY287" s="130"/>
      <c r="AHZ287" s="130"/>
      <c r="AIA287" s="130"/>
    </row>
    <row r="288" spans="460:917" ht="48" customHeight="1">
      <c r="QR288" s="130"/>
      <c r="QS288" s="130"/>
      <c r="QT288" s="130"/>
      <c r="QU288" s="130"/>
      <c r="QV288" s="130"/>
      <c r="QW288" s="130"/>
      <c r="QX288" s="130"/>
      <c r="QY288" s="130"/>
      <c r="QZ288" s="130"/>
      <c r="RA288" s="130"/>
      <c r="RB288" s="130"/>
      <c r="RC288" s="130"/>
      <c r="RD288" s="130"/>
      <c r="RE288" s="130"/>
      <c r="RF288" s="130"/>
      <c r="RG288" s="130"/>
      <c r="RH288" s="130"/>
      <c r="RI288" s="130"/>
      <c r="RJ288" s="130"/>
      <c r="RK288" s="130"/>
      <c r="RL288" s="130"/>
      <c r="RM288" s="130"/>
      <c r="RN288" s="130"/>
      <c r="UK288" s="130"/>
      <c r="UL288" s="130"/>
      <c r="UM288" s="130"/>
      <c r="UN288" s="130"/>
      <c r="UO288" s="130"/>
      <c r="UP288" s="130"/>
      <c r="UQ288" s="130"/>
      <c r="UR288" s="130"/>
      <c r="US288" s="130"/>
      <c r="UT288" s="130"/>
      <c r="UU288" s="130"/>
      <c r="AHU288" s="130"/>
      <c r="AHV288" s="130"/>
      <c r="AHW288" s="130"/>
      <c r="AHX288" s="130"/>
      <c r="AHY288" s="130"/>
      <c r="AHZ288" s="130"/>
      <c r="AIA288" s="130"/>
    </row>
    <row r="289" spans="222:918" ht="48" customHeight="1" thickBot="1">
      <c r="QR289" s="130"/>
      <c r="QS289" s="130"/>
      <c r="QT289" s="130"/>
      <c r="QU289" s="130"/>
      <c r="QV289" s="130"/>
      <c r="QW289" s="130"/>
      <c r="QX289" s="130"/>
      <c r="QY289" s="130"/>
      <c r="QZ289" s="130"/>
      <c r="RA289" s="130"/>
      <c r="RB289" s="130"/>
      <c r="RC289" s="130"/>
      <c r="RD289" s="130"/>
      <c r="RE289" s="130"/>
      <c r="RF289" s="130"/>
      <c r="RG289" s="130"/>
      <c r="RH289" s="130"/>
      <c r="RI289" s="130"/>
      <c r="RJ289" s="130"/>
      <c r="RK289" s="130"/>
      <c r="RL289" s="130"/>
      <c r="RM289" s="130"/>
      <c r="RN289" s="130"/>
      <c r="UK289" s="130"/>
      <c r="UL289" s="130"/>
      <c r="UM289" s="130"/>
      <c r="UN289" s="130"/>
      <c r="UO289" s="130"/>
      <c r="UP289" s="130"/>
      <c r="UQ289" s="130"/>
      <c r="UR289" s="130"/>
      <c r="US289" s="130"/>
      <c r="UT289" s="130"/>
      <c r="UU289" s="130"/>
      <c r="AGL289" s="849"/>
      <c r="AGM289" s="852" t="s">
        <v>416</v>
      </c>
      <c r="AGN289" s="853"/>
      <c r="AGO289" s="425"/>
      <c r="AGP289" s="78"/>
      <c r="AGQ289" s="78"/>
      <c r="AGR289" s="78"/>
      <c r="AGS289" s="78"/>
      <c r="AGT289" s="78"/>
      <c r="AGU289" s="78"/>
      <c r="AGV289" s="425"/>
      <c r="AGW289" s="76" t="s">
        <v>441</v>
      </c>
      <c r="AGX289" s="854" t="s">
        <v>435</v>
      </c>
      <c r="AGY289" s="1111"/>
      <c r="AGZ289" s="1072" t="s">
        <v>111</v>
      </c>
      <c r="AHA289" s="1074"/>
      <c r="AHB289" s="916" t="s">
        <v>704</v>
      </c>
      <c r="AHC289" s="917"/>
      <c r="AHD289" s="906" t="s">
        <v>447</v>
      </c>
      <c r="AHE289" s="907"/>
      <c r="AHF289" s="907"/>
      <c r="AHG289" s="908"/>
      <c r="AHH289" s="1051" t="s">
        <v>436</v>
      </c>
      <c r="AHI289" s="1051"/>
      <c r="AHJ289" s="1051"/>
      <c r="AHK289" s="1051"/>
      <c r="AHU289" s="130"/>
      <c r="AHV289" s="130"/>
      <c r="AHW289" s="130"/>
      <c r="AHX289" s="130"/>
      <c r="AHY289" s="130"/>
      <c r="AHZ289" s="130"/>
      <c r="AIA289" s="130"/>
    </row>
    <row r="290" spans="222:918" ht="48" customHeight="1">
      <c r="QR290" s="130"/>
      <c r="QS290" s="130"/>
      <c r="QT290" s="130"/>
      <c r="QU290" s="130"/>
      <c r="QV290" s="130"/>
      <c r="QW290" s="130"/>
      <c r="QX290" s="130"/>
      <c r="QY290" s="130"/>
      <c r="QZ290" s="130"/>
      <c r="RA290" s="130"/>
      <c r="RB290" s="130"/>
      <c r="RC290" s="130"/>
      <c r="RD290" s="130"/>
      <c r="RE290" s="130"/>
      <c r="RF290" s="130"/>
      <c r="RG290" s="130"/>
      <c r="RH290" s="130"/>
      <c r="RI290" s="130"/>
      <c r="RJ290" s="130"/>
      <c r="RK290" s="130"/>
      <c r="RL290" s="130"/>
      <c r="RM290" s="130"/>
      <c r="RN290" s="130"/>
      <c r="UK290" s="130"/>
      <c r="UL290" s="130"/>
      <c r="UM290" s="130"/>
      <c r="UN290" s="130"/>
      <c r="UO290" s="130"/>
      <c r="UP290" s="130"/>
      <c r="UQ290" s="130"/>
      <c r="UR290" s="130"/>
      <c r="US290" s="130"/>
      <c r="UT290" s="130"/>
      <c r="UU290" s="130"/>
      <c r="AGL290" s="850"/>
      <c r="AGM290" s="861" t="s">
        <v>1497</v>
      </c>
      <c r="AGN290" s="861"/>
      <c r="AGO290" s="761">
        <f>$AGZ$262</f>
        <v>526.81606537505411</v>
      </c>
      <c r="AGP290" s="761"/>
      <c r="AGQ290" s="809" t="s">
        <v>138</v>
      </c>
      <c r="AGR290" s="797"/>
      <c r="AGS290" s="797"/>
      <c r="AGT290" s="797"/>
      <c r="AGU290" s="797"/>
      <c r="AGV290" s="797"/>
      <c r="AGW290" s="797"/>
      <c r="AGX290" s="797"/>
      <c r="AGY290" s="798"/>
      <c r="AGZ290" s="1167">
        <f>AGO290/AGO291</f>
        <v>8.9752599425817223</v>
      </c>
      <c r="AHA290" s="840"/>
      <c r="AHB290" s="1183" t="s">
        <v>729</v>
      </c>
      <c r="AHC290" s="1184"/>
      <c r="AHD290" s="1066"/>
      <c r="AHE290" s="843" t="s">
        <v>1496</v>
      </c>
      <c r="AHF290" s="844"/>
      <c r="AHG290" s="847"/>
      <c r="AHH290" s="1052"/>
      <c r="AHI290" s="1052"/>
      <c r="AHJ290" s="1052"/>
      <c r="AHK290" s="1052"/>
      <c r="AHM290" s="130"/>
      <c r="AHN290" s="130"/>
      <c r="AHO290" s="130"/>
      <c r="AHP290" s="130"/>
      <c r="AHU290" s="130"/>
      <c r="AHV290" s="130"/>
      <c r="AHW290" s="130"/>
      <c r="AHX290" s="130"/>
      <c r="AHY290" s="130"/>
      <c r="AHZ290" s="130"/>
      <c r="AIA290" s="130"/>
    </row>
    <row r="291" spans="222:918" ht="48" customHeight="1" thickBot="1">
      <c r="QR291" s="130"/>
      <c r="QS291" s="130"/>
      <c r="QT291" s="130"/>
      <c r="QU291" s="130"/>
      <c r="QV291" s="130"/>
      <c r="QW291" s="130"/>
      <c r="QX291" s="130"/>
      <c r="QY291" s="130"/>
      <c r="QZ291" s="130"/>
      <c r="RA291" s="130"/>
      <c r="RB291" s="130"/>
      <c r="RC291" s="130"/>
      <c r="RD291" s="130"/>
      <c r="RE291" s="130"/>
      <c r="RF291" s="130"/>
      <c r="RG291" s="130"/>
      <c r="RH291" s="130"/>
      <c r="RI291" s="130"/>
      <c r="RJ291" s="130"/>
      <c r="RK291" s="130"/>
      <c r="RL291" s="130"/>
      <c r="RM291" s="130"/>
      <c r="RN291" s="130"/>
      <c r="UK291" s="130"/>
      <c r="UL291" s="130"/>
      <c r="UM291" s="130"/>
      <c r="UN291" s="130"/>
      <c r="UO291" s="130"/>
      <c r="UP291" s="130"/>
      <c r="UQ291" s="130"/>
      <c r="UR291" s="130"/>
      <c r="US291" s="130"/>
      <c r="UT291" s="130"/>
      <c r="UU291" s="130"/>
      <c r="AGL291" s="851"/>
      <c r="AGM291" s="802" t="s">
        <v>1078</v>
      </c>
      <c r="AGN291" s="803"/>
      <c r="AGO291" s="804">
        <f>$CN$54</f>
        <v>58.696468820435761</v>
      </c>
      <c r="AGP291" s="804"/>
      <c r="AGQ291" s="777"/>
      <c r="AGR291" s="778"/>
      <c r="AGS291" s="778"/>
      <c r="AGT291" s="778"/>
      <c r="AGU291" s="778"/>
      <c r="AGV291" s="778"/>
      <c r="AGW291" s="778"/>
      <c r="AGX291" s="778"/>
      <c r="AGY291" s="799"/>
      <c r="AGZ291" s="1169"/>
      <c r="AHA291" s="799"/>
      <c r="AHB291" s="1185"/>
      <c r="AHC291" s="1186"/>
      <c r="AHD291" s="1067"/>
      <c r="AHE291" s="845"/>
      <c r="AHF291" s="846"/>
      <c r="AHG291" s="848"/>
      <c r="AHH291" s="1053"/>
      <c r="AHI291" s="1053"/>
      <c r="AHJ291" s="1053"/>
      <c r="AHK291" s="1053"/>
      <c r="AHU291" s="130"/>
      <c r="AHV291" s="130"/>
      <c r="AHW291" s="130"/>
      <c r="AHX291" s="130"/>
      <c r="AHY291" s="130"/>
      <c r="AHZ291" s="130"/>
      <c r="AIA291" s="130"/>
    </row>
    <row r="292" spans="222:918" ht="48" customHeight="1">
      <c r="QR292" s="130"/>
      <c r="QS292" s="130"/>
      <c r="QT292" s="130"/>
      <c r="QU292" s="130"/>
      <c r="QV292" s="130"/>
      <c r="QW292" s="130"/>
      <c r="QX292" s="130"/>
      <c r="QY292" s="130"/>
      <c r="QZ292" s="130"/>
      <c r="RA292" s="130"/>
      <c r="RB292" s="130"/>
      <c r="RC292" s="130"/>
      <c r="RD292" s="130"/>
      <c r="RE292" s="130"/>
      <c r="RF292" s="130"/>
      <c r="RG292" s="130"/>
      <c r="RH292" s="130"/>
      <c r="RI292" s="130"/>
      <c r="RJ292" s="130"/>
      <c r="RK292" s="130"/>
      <c r="RL292" s="130"/>
      <c r="RM292" s="130"/>
      <c r="RN292" s="130"/>
      <c r="UK292" s="130"/>
      <c r="UL292" s="130"/>
      <c r="UM292" s="130"/>
      <c r="UN292" s="130"/>
      <c r="UO292" s="130"/>
      <c r="UP292" s="130"/>
      <c r="UQ292" s="130"/>
      <c r="UR292" s="130"/>
      <c r="US292" s="130"/>
      <c r="UT292" s="130"/>
      <c r="UU292" s="130"/>
      <c r="AHU292" s="130"/>
      <c r="AHV292" s="130"/>
      <c r="AHW292" s="130"/>
      <c r="AHX292" s="130"/>
      <c r="AHY292" s="130"/>
      <c r="AHZ292" s="130"/>
      <c r="AIA292" s="130"/>
    </row>
    <row r="293" spans="222:918" ht="48" customHeight="1" thickBot="1">
      <c r="QR293" s="130"/>
      <c r="QS293" s="130"/>
      <c r="QT293" s="130"/>
      <c r="QU293" s="130"/>
      <c r="QV293" s="130"/>
      <c r="QW293" s="130"/>
      <c r="QX293" s="130"/>
      <c r="QY293" s="130"/>
      <c r="QZ293" s="130"/>
      <c r="RA293" s="130"/>
      <c r="RB293" s="130"/>
      <c r="RC293" s="130"/>
      <c r="RD293" s="130"/>
      <c r="RE293" s="130"/>
      <c r="RF293" s="130"/>
      <c r="RG293" s="130"/>
      <c r="RH293" s="130"/>
      <c r="RI293" s="130"/>
      <c r="RJ293" s="130"/>
      <c r="RK293" s="130"/>
      <c r="RL293" s="130"/>
      <c r="RM293" s="130"/>
      <c r="RN293" s="130"/>
      <c r="UK293" s="130"/>
      <c r="UL293" s="130"/>
      <c r="UM293" s="130"/>
      <c r="UN293" s="130"/>
      <c r="UO293" s="130"/>
      <c r="UP293" s="130"/>
      <c r="UQ293" s="130"/>
      <c r="UR293" s="130"/>
      <c r="US293" s="130"/>
      <c r="UT293" s="130"/>
      <c r="UU293" s="130"/>
      <c r="AGL293" s="849"/>
      <c r="AGM293" s="852" t="s">
        <v>416</v>
      </c>
      <c r="AGN293" s="853"/>
      <c r="AGO293" s="425"/>
      <c r="AGP293" s="443" t="s">
        <v>1078</v>
      </c>
      <c r="AGQ293" s="761">
        <f>$CN$54</f>
        <v>58.696468820435761</v>
      </c>
      <c r="AGR293" s="761"/>
      <c r="AGS293" s="78"/>
      <c r="AGT293" s="78"/>
      <c r="AGU293" s="78"/>
      <c r="AGV293" s="425"/>
      <c r="AGW293" s="76" t="s">
        <v>441</v>
      </c>
      <c r="AGX293" s="854" t="s">
        <v>435</v>
      </c>
      <c r="AGY293" s="1111"/>
      <c r="AGZ293" s="1072" t="s">
        <v>111</v>
      </c>
      <c r="AHA293" s="1074"/>
      <c r="AHB293" s="916" t="s">
        <v>704</v>
      </c>
      <c r="AHC293" s="917"/>
      <c r="AHD293" s="906" t="s">
        <v>447</v>
      </c>
      <c r="AHE293" s="907"/>
      <c r="AHF293" s="907"/>
      <c r="AHG293" s="908"/>
      <c r="AHH293" s="906" t="s">
        <v>436</v>
      </c>
      <c r="AHI293" s="907"/>
      <c r="AHJ293" s="908"/>
      <c r="AHU293" s="130"/>
      <c r="AHV293" s="130"/>
      <c r="AHW293" s="130"/>
      <c r="AHX293" s="130"/>
      <c r="AHY293" s="130"/>
      <c r="AHZ293" s="130"/>
      <c r="AIA293" s="130"/>
    </row>
    <row r="294" spans="222:918" ht="48" customHeight="1">
      <c r="QR294" s="130"/>
      <c r="QS294" s="130"/>
      <c r="QT294" s="130"/>
      <c r="QU294" s="130"/>
      <c r="QV294" s="130"/>
      <c r="QW294" s="130"/>
      <c r="QX294" s="130"/>
      <c r="QY294" s="130"/>
      <c r="QZ294" s="130"/>
      <c r="RA294" s="130"/>
      <c r="RB294" s="130"/>
      <c r="RC294" s="130"/>
      <c r="RD294" s="130"/>
      <c r="RE294" s="130"/>
      <c r="RF294" s="130"/>
      <c r="RG294" s="130"/>
      <c r="RH294" s="130"/>
      <c r="RI294" s="130"/>
      <c r="RJ294" s="130"/>
      <c r="RK294" s="130"/>
      <c r="RL294" s="130"/>
      <c r="RM294" s="130"/>
      <c r="RN294" s="130"/>
      <c r="UK294" s="130"/>
      <c r="UL294" s="130"/>
      <c r="UM294" s="130"/>
      <c r="UN294" s="130"/>
      <c r="UO294" s="130"/>
      <c r="UP294" s="130"/>
      <c r="UQ294" s="130"/>
      <c r="UR294" s="130"/>
      <c r="US294" s="130"/>
      <c r="UT294" s="130"/>
      <c r="UU294" s="130"/>
      <c r="AGL294" s="850"/>
      <c r="AGM294" s="809" t="s">
        <v>1401</v>
      </c>
      <c r="AGN294" s="797"/>
      <c r="AGO294" s="797"/>
      <c r="AGP294" s="797"/>
      <c r="AGQ294" s="797"/>
      <c r="AGR294" s="797"/>
      <c r="AGS294" s="797"/>
      <c r="AGT294" s="797"/>
      <c r="AGU294" s="797"/>
      <c r="AGV294" s="797"/>
      <c r="AGW294" s="797"/>
      <c r="AGX294" s="797"/>
      <c r="AGY294" s="798"/>
      <c r="AGZ294" s="1167">
        <f>AGZ262/CN54</f>
        <v>8.9752599425817223</v>
      </c>
      <c r="AHA294" s="840"/>
      <c r="AHB294" s="1183" t="s">
        <v>729</v>
      </c>
      <c r="AHC294" s="1184"/>
      <c r="AHD294" s="1066"/>
      <c r="AHE294" s="843" t="s">
        <v>1422</v>
      </c>
      <c r="AHF294" s="844"/>
      <c r="AHG294" s="847"/>
      <c r="AHH294" s="826"/>
      <c r="AHI294" s="945"/>
      <c r="AHJ294" s="946"/>
      <c r="AHT294" s="130"/>
      <c r="AHU294" s="130"/>
      <c r="AHV294" s="130"/>
      <c r="AHW294" s="130"/>
      <c r="AHX294" s="130"/>
      <c r="AHY294" s="130"/>
      <c r="AHZ294" s="130"/>
      <c r="AIA294" s="130"/>
    </row>
    <row r="295" spans="222:918" ht="48" customHeight="1" thickBot="1">
      <c r="HN295" s="1"/>
      <c r="QR295" s="130"/>
      <c r="QS295" s="130"/>
      <c r="QT295" s="130"/>
      <c r="QU295" s="130"/>
      <c r="QV295" s="130"/>
      <c r="QW295" s="130"/>
      <c r="QX295" s="130"/>
      <c r="QY295" s="130"/>
      <c r="QZ295" s="130"/>
      <c r="RA295" s="130"/>
      <c r="RB295" s="130"/>
      <c r="RC295" s="130"/>
      <c r="RD295" s="130"/>
      <c r="RE295" s="130"/>
      <c r="RF295" s="130"/>
      <c r="RG295" s="130"/>
      <c r="RH295" s="130"/>
      <c r="RI295" s="130"/>
      <c r="RJ295" s="130"/>
      <c r="RK295" s="130"/>
      <c r="RL295" s="130"/>
      <c r="RM295" s="130"/>
      <c r="RN295" s="130"/>
      <c r="UK295" s="130"/>
      <c r="UL295" s="130"/>
      <c r="UM295" s="130"/>
      <c r="UN295" s="130"/>
      <c r="UO295" s="130"/>
      <c r="UP295" s="130"/>
      <c r="UQ295" s="130"/>
      <c r="UR295" s="130"/>
      <c r="US295" s="130"/>
      <c r="UT295" s="130"/>
      <c r="UU295" s="130"/>
      <c r="AGL295" s="851"/>
      <c r="AGM295" s="777"/>
      <c r="AGN295" s="778"/>
      <c r="AGO295" s="778"/>
      <c r="AGP295" s="778"/>
      <c r="AGQ295" s="778"/>
      <c r="AGR295" s="778"/>
      <c r="AGS295" s="778"/>
      <c r="AGT295" s="778"/>
      <c r="AGU295" s="778"/>
      <c r="AGV295" s="778"/>
      <c r="AGW295" s="778"/>
      <c r="AGX295" s="778"/>
      <c r="AGY295" s="799"/>
      <c r="AGZ295" s="1169"/>
      <c r="AHA295" s="799"/>
      <c r="AHB295" s="1185"/>
      <c r="AHC295" s="1186"/>
      <c r="AHD295" s="1067"/>
      <c r="AHE295" s="845"/>
      <c r="AHF295" s="846"/>
      <c r="AHG295" s="848"/>
      <c r="AHH295" s="828"/>
      <c r="AHI295" s="949"/>
      <c r="AHJ295" s="950"/>
      <c r="AHT295" s="130"/>
      <c r="AHU295" s="130"/>
      <c r="AHV295" s="130"/>
      <c r="AHW295" s="130"/>
      <c r="AHX295" s="130"/>
      <c r="AHY295" s="130"/>
      <c r="AHZ295" s="130"/>
      <c r="AIA295" s="130"/>
    </row>
    <row r="296" spans="222:918" ht="48" customHeight="1">
      <c r="HN296" s="1"/>
      <c r="QR296" s="130"/>
      <c r="QS296" s="130"/>
      <c r="QT296" s="130"/>
      <c r="QU296" s="130"/>
      <c r="QV296" s="130"/>
      <c r="QW296" s="130"/>
      <c r="QX296" s="130"/>
      <c r="QY296" s="130"/>
      <c r="QZ296" s="130"/>
      <c r="RA296" s="130"/>
      <c r="RB296" s="130"/>
      <c r="RC296" s="130"/>
      <c r="RD296" s="130"/>
      <c r="RE296" s="130"/>
      <c r="RF296" s="130"/>
      <c r="RG296" s="130"/>
      <c r="RH296" s="130"/>
      <c r="RI296" s="130"/>
      <c r="RJ296" s="130"/>
      <c r="RK296" s="130"/>
      <c r="RL296" s="130"/>
      <c r="RM296" s="130"/>
      <c r="RN296" s="130"/>
      <c r="UK296" s="130"/>
      <c r="UL296" s="130"/>
      <c r="UM296" s="130"/>
      <c r="UN296" s="130"/>
      <c r="UO296" s="130"/>
      <c r="UP296" s="130"/>
      <c r="UQ296" s="130"/>
      <c r="UR296" s="130"/>
      <c r="US296" s="130"/>
      <c r="UT296" s="130"/>
      <c r="UU296" s="130"/>
      <c r="AHR296" s="130"/>
      <c r="AHS296" s="130"/>
      <c r="AHT296" s="130"/>
      <c r="AHU296" s="130"/>
      <c r="AHV296" s="130"/>
      <c r="AHW296" s="130"/>
      <c r="AHX296" s="130"/>
    </row>
    <row r="297" spans="222:918" ht="48" customHeight="1">
      <c r="HN297" s="1"/>
      <c r="QR297" s="130"/>
      <c r="QS297" s="130"/>
      <c r="QT297" s="130"/>
      <c r="QU297" s="130"/>
      <c r="QV297" s="130"/>
      <c r="QW297" s="130"/>
      <c r="QX297" s="130"/>
      <c r="QY297" s="130"/>
      <c r="QZ297" s="130"/>
      <c r="RA297" s="130"/>
      <c r="RB297" s="130"/>
      <c r="RC297" s="130"/>
      <c r="RD297" s="130"/>
      <c r="RE297" s="130"/>
      <c r="RF297" s="130"/>
      <c r="RG297" s="130"/>
      <c r="RH297" s="130"/>
      <c r="RI297" s="130"/>
      <c r="RJ297" s="130"/>
      <c r="RK297" s="130"/>
      <c r="RL297" s="130"/>
      <c r="RM297" s="130"/>
      <c r="RN297" s="130"/>
      <c r="UK297" s="130"/>
      <c r="UL297" s="130"/>
      <c r="UM297" s="130"/>
      <c r="UN297" s="130"/>
      <c r="UO297" s="130"/>
      <c r="UP297" s="130"/>
      <c r="UQ297" s="130"/>
      <c r="UR297" s="130"/>
      <c r="US297" s="130"/>
      <c r="UT297" s="130"/>
      <c r="UU297" s="130"/>
      <c r="AGN297" s="199"/>
      <c r="AGO297" s="852" t="s">
        <v>1746</v>
      </c>
      <c r="AGP297" s="923"/>
      <c r="AGQ297" s="199"/>
      <c r="AGR297" s="1069" t="s">
        <v>139</v>
      </c>
      <c r="AGS297" s="1070"/>
      <c r="AGT297" s="1070"/>
      <c r="AGU297" s="1070"/>
      <c r="AGV297" s="1070"/>
      <c r="AGW297" s="1070"/>
      <c r="AGX297" s="1070"/>
      <c r="AGY297" s="1070"/>
      <c r="AGZ297" s="1070"/>
      <c r="AHA297" s="1070"/>
      <c r="AHB297" s="1071"/>
      <c r="AHC297" s="199"/>
      <c r="AHR297" s="130"/>
      <c r="AHS297" s="130"/>
      <c r="AHT297" s="130"/>
    </row>
    <row r="298" spans="222:918" ht="48" customHeight="1">
      <c r="QR298" s="130"/>
      <c r="QS298" s="130"/>
      <c r="QT298" s="130"/>
      <c r="QU298" s="130"/>
      <c r="QV298" s="130"/>
      <c r="QW298" s="130"/>
      <c r="QX298" s="130"/>
      <c r="QY298" s="130"/>
      <c r="QZ298" s="130"/>
      <c r="RA298" s="130"/>
      <c r="RB298" s="130"/>
      <c r="RC298" s="130"/>
      <c r="RD298" s="130"/>
      <c r="RE298" s="130"/>
      <c r="RF298" s="130"/>
      <c r="RG298" s="130"/>
      <c r="RH298" s="130"/>
      <c r="RI298" s="130"/>
      <c r="RJ298" s="130"/>
      <c r="RK298" s="130"/>
      <c r="RL298" s="130"/>
      <c r="RM298" s="130"/>
      <c r="RN298" s="130"/>
      <c r="UK298" s="130"/>
      <c r="UL298" s="130"/>
      <c r="UM298" s="130"/>
      <c r="UN298" s="130"/>
      <c r="UO298" s="130"/>
      <c r="UP298" s="130"/>
      <c r="UQ298" s="130"/>
      <c r="UR298" s="130"/>
      <c r="US298" s="130"/>
      <c r="UT298" s="130"/>
      <c r="UU298" s="130"/>
      <c r="AHQ298" s="130"/>
      <c r="AHR298" s="130"/>
      <c r="AHS298" s="130"/>
      <c r="AHT298" s="130"/>
    </row>
    <row r="299" spans="222:918" ht="48" customHeight="1" thickBot="1">
      <c r="QR299" s="130"/>
      <c r="QS299" s="130"/>
      <c r="QT299" s="130"/>
      <c r="QU299" s="130"/>
      <c r="QV299" s="130"/>
      <c r="QW299" s="130"/>
      <c r="QX299" s="130"/>
      <c r="QY299" s="130"/>
      <c r="QZ299" s="130"/>
      <c r="RA299" s="130"/>
      <c r="RB299" s="130"/>
      <c r="RC299" s="130"/>
      <c r="RD299" s="130"/>
      <c r="RE299" s="130"/>
      <c r="RF299" s="130"/>
      <c r="RG299" s="130"/>
      <c r="RH299" s="130"/>
      <c r="RI299" s="130"/>
      <c r="RJ299" s="130"/>
      <c r="RK299" s="130"/>
      <c r="RL299" s="130"/>
      <c r="RM299" s="130"/>
      <c r="RN299" s="130"/>
      <c r="TT299" s="130"/>
      <c r="TU299" s="130"/>
      <c r="TV299" s="130"/>
      <c r="TW299" s="130"/>
      <c r="TX299" s="130"/>
      <c r="TY299" s="130"/>
      <c r="TZ299" s="130"/>
      <c r="UA299" s="130"/>
      <c r="UB299" s="130"/>
      <c r="UC299" s="130"/>
      <c r="UD299" s="130"/>
      <c r="UE299" s="130"/>
      <c r="UF299" s="130"/>
      <c r="UG299" s="130"/>
      <c r="UH299" s="130"/>
      <c r="UI299" s="130"/>
      <c r="UJ299" s="130"/>
      <c r="UK299" s="130"/>
      <c r="UL299" s="130"/>
      <c r="UM299" s="130"/>
      <c r="UN299" s="130"/>
      <c r="UO299" s="130"/>
      <c r="UP299" s="130"/>
      <c r="UQ299" s="130"/>
      <c r="UR299" s="130"/>
      <c r="US299" s="130"/>
      <c r="UT299" s="130"/>
      <c r="UU299" s="130"/>
      <c r="AGL299" s="849"/>
      <c r="AGM299" s="852" t="s">
        <v>416</v>
      </c>
      <c r="AGN299" s="853"/>
      <c r="AGO299" s="425"/>
      <c r="AGP299" s="443" t="s">
        <v>1461</v>
      </c>
      <c r="AGQ299" s="951">
        <f>$AGZ$78</f>
        <v>1.5116531240164504</v>
      </c>
      <c r="AGR299" s="952"/>
      <c r="AGS299" s="452" t="s">
        <v>1199</v>
      </c>
      <c r="AGT299" s="883">
        <f>$AHA$15</f>
        <v>1</v>
      </c>
      <c r="AGU299" s="884"/>
      <c r="AGV299" s="425"/>
      <c r="AGW299" s="76" t="s">
        <v>441</v>
      </c>
      <c r="AGX299" s="854" t="s">
        <v>435</v>
      </c>
      <c r="AGY299" s="1111"/>
      <c r="AGZ299" s="920" t="s">
        <v>111</v>
      </c>
      <c r="AHA299" s="921"/>
      <c r="AHB299" s="916" t="s">
        <v>704</v>
      </c>
      <c r="AHC299" s="917"/>
      <c r="AHD299" s="1051" t="s">
        <v>447</v>
      </c>
      <c r="AHE299" s="1051"/>
      <c r="AHF299" s="1051"/>
      <c r="AHG299" s="1051"/>
      <c r="AHH299" s="1051"/>
      <c r="AHI299" s="1051" t="s">
        <v>436</v>
      </c>
      <c r="AHJ299" s="1051"/>
      <c r="AHK299" s="1051"/>
      <c r="AHL299" s="1051"/>
      <c r="AHM299" s="1051"/>
      <c r="AHN299" s="1051"/>
      <c r="AHO299" s="1051"/>
      <c r="AHP299" s="1051"/>
      <c r="AHQ299" s="1051"/>
      <c r="AHR299" s="1051"/>
      <c r="AHS299" s="130"/>
      <c r="AHT299" s="130"/>
    </row>
    <row r="300" spans="222:918" ht="48" customHeight="1">
      <c r="QR300" s="130"/>
      <c r="QS300" s="130"/>
      <c r="QT300" s="130"/>
      <c r="QU300" s="130"/>
      <c r="QV300" s="130"/>
      <c r="QW300" s="130"/>
      <c r="QX300" s="130"/>
      <c r="QY300" s="130"/>
      <c r="QZ300" s="130"/>
      <c r="RA300" s="130"/>
      <c r="RB300" s="130"/>
      <c r="RC300" s="130"/>
      <c r="RD300" s="130"/>
      <c r="RE300" s="130"/>
      <c r="RF300" s="130"/>
      <c r="RG300" s="130"/>
      <c r="RH300" s="130"/>
      <c r="RI300" s="130"/>
      <c r="RJ300" s="130"/>
      <c r="RK300" s="130"/>
      <c r="RL300" s="130"/>
      <c r="RM300" s="130"/>
      <c r="RN300" s="130"/>
      <c r="TT300" s="130"/>
      <c r="TU300" s="130"/>
      <c r="TV300" s="130"/>
      <c r="TW300" s="130"/>
      <c r="TX300" s="130"/>
      <c r="TY300" s="130"/>
      <c r="TZ300" s="130"/>
      <c r="UA300" s="130"/>
      <c r="UB300" s="130"/>
      <c r="UC300" s="130"/>
      <c r="UD300" s="130"/>
      <c r="UE300" s="130"/>
      <c r="UF300" s="130"/>
      <c r="UG300" s="130"/>
      <c r="UH300" s="130"/>
      <c r="UI300" s="130"/>
      <c r="UJ300" s="130"/>
      <c r="UK300" s="130"/>
      <c r="UL300" s="130"/>
      <c r="UM300" s="130"/>
      <c r="UN300" s="130"/>
      <c r="UO300" s="130"/>
      <c r="UP300" s="130"/>
      <c r="UQ300" s="130"/>
      <c r="UR300" s="130"/>
      <c r="US300" s="130"/>
      <c r="UT300" s="130"/>
      <c r="UU300" s="130"/>
      <c r="AGL300" s="850"/>
      <c r="AGM300" s="1407" t="s">
        <v>1500</v>
      </c>
      <c r="AGN300" s="1407"/>
      <c r="AGO300" s="761">
        <f>$UC$38</f>
        <v>0</v>
      </c>
      <c r="AGP300" s="761"/>
      <c r="AGQ300" s="792" t="s">
        <v>1503</v>
      </c>
      <c r="AGR300" s="792"/>
      <c r="AGS300" s="792"/>
      <c r="AGT300" s="792"/>
      <c r="AGU300" s="792"/>
      <c r="AGV300" s="792"/>
      <c r="AGW300" s="792"/>
      <c r="AGX300" s="792"/>
      <c r="AGY300" s="793"/>
      <c r="AGZ300" s="835" t="e">
        <f>((AGO302/(AGO301^2))^2)*AGQ299*AGO300/AGT299</f>
        <v>#REF!</v>
      </c>
      <c r="AHA300" s="836"/>
      <c r="AHB300" s="839"/>
      <c r="AHC300" s="840"/>
      <c r="AHD300" s="841"/>
      <c r="AHE300" s="843" t="s">
        <v>1499</v>
      </c>
      <c r="AHF300" s="1327"/>
      <c r="AHG300" s="844"/>
      <c r="AHH300" s="847"/>
      <c r="AHI300" s="1052"/>
      <c r="AHJ300" s="1052"/>
      <c r="AHK300" s="1052"/>
      <c r="AHL300" s="1052"/>
      <c r="AHM300" s="1052"/>
      <c r="AHN300" s="1052"/>
      <c r="AHO300" s="1052"/>
      <c r="AHP300" s="1052"/>
      <c r="AHQ300" s="1052"/>
      <c r="AHR300" s="1052"/>
      <c r="AHS300" s="130"/>
      <c r="AHT300" s="130"/>
    </row>
    <row r="301" spans="222:918" ht="48" customHeight="1" thickBot="1">
      <c r="QR301" s="130"/>
      <c r="QS301" s="130"/>
      <c r="QT301" s="130"/>
      <c r="QU301" s="130"/>
      <c r="QV301" s="130"/>
      <c r="QW301" s="130"/>
      <c r="QX301" s="130"/>
      <c r="QY301" s="130"/>
      <c r="QZ301" s="130"/>
      <c r="RA301" s="130"/>
      <c r="RB301" s="130"/>
      <c r="RC301" s="130"/>
      <c r="RD301" s="130"/>
      <c r="RE301" s="130"/>
      <c r="RF301" s="130"/>
      <c r="RG301" s="130"/>
      <c r="RH301" s="130"/>
      <c r="RI301" s="130"/>
      <c r="RJ301" s="130"/>
      <c r="RK301" s="130"/>
      <c r="RL301" s="130"/>
      <c r="RM301" s="130"/>
      <c r="RN301" s="130"/>
      <c r="TT301" s="130"/>
      <c r="TU301" s="130"/>
      <c r="TV301" s="130"/>
      <c r="TW301" s="130"/>
      <c r="TX301" s="130"/>
      <c r="TY301" s="130"/>
      <c r="TZ301" s="130"/>
      <c r="UA301" s="130"/>
      <c r="UB301" s="130"/>
      <c r="UC301" s="130"/>
      <c r="UD301" s="130"/>
      <c r="UE301" s="130"/>
      <c r="UF301" s="130"/>
      <c r="UG301" s="130"/>
      <c r="UH301" s="130"/>
      <c r="UI301" s="130"/>
      <c r="UJ301" s="130"/>
      <c r="UK301" s="130"/>
      <c r="UL301" s="130"/>
      <c r="UM301" s="130"/>
      <c r="UN301" s="130"/>
      <c r="UO301" s="130"/>
      <c r="UP301" s="130"/>
      <c r="UQ301" s="130"/>
      <c r="UR301" s="130"/>
      <c r="US301" s="130"/>
      <c r="UT301" s="130"/>
      <c r="UU301" s="130"/>
      <c r="AGL301" s="850"/>
      <c r="AGM301" s="861" t="s">
        <v>1501</v>
      </c>
      <c r="AGN301" s="861"/>
      <c r="AGO301" s="761" t="e">
        <f>#REF!</f>
        <v>#REF!</v>
      </c>
      <c r="AGP301" s="761"/>
      <c r="AGQ301" s="824"/>
      <c r="AGR301" s="824"/>
      <c r="AGS301" s="824"/>
      <c r="AGT301" s="824"/>
      <c r="AGU301" s="824"/>
      <c r="AGV301" s="824"/>
      <c r="AGW301" s="824"/>
      <c r="AGX301" s="824"/>
      <c r="AGY301" s="1049"/>
      <c r="AGZ301" s="837"/>
      <c r="AHA301" s="838"/>
      <c r="AHB301" s="777"/>
      <c r="AHC301" s="799"/>
      <c r="AHD301" s="842"/>
      <c r="AHE301" s="845"/>
      <c r="AHF301" s="1328"/>
      <c r="AHG301" s="846"/>
      <c r="AHH301" s="848"/>
      <c r="AHI301" s="1052"/>
      <c r="AHJ301" s="1052"/>
      <c r="AHK301" s="1052"/>
      <c r="AHL301" s="1052"/>
      <c r="AHM301" s="1052"/>
      <c r="AHN301" s="1052"/>
      <c r="AHO301" s="1052"/>
      <c r="AHP301" s="1052"/>
      <c r="AHQ301" s="1052"/>
      <c r="AHR301" s="1052"/>
      <c r="AHS301" s="130"/>
      <c r="AHT301" s="130"/>
    </row>
    <row r="302" spans="222:918" ht="48" customHeight="1" thickBot="1">
      <c r="QR302" s="130"/>
      <c r="QS302" s="130"/>
      <c r="QT302" s="130"/>
      <c r="QU302" s="130"/>
      <c r="QV302" s="130"/>
      <c r="QW302" s="130"/>
      <c r="QX302" s="130"/>
      <c r="QY302" s="130"/>
      <c r="QZ302" s="130"/>
      <c r="RA302" s="130"/>
      <c r="RB302" s="130"/>
      <c r="RC302" s="130"/>
      <c r="RD302" s="130"/>
      <c r="RE302" s="130"/>
      <c r="RF302" s="130"/>
      <c r="RG302" s="130"/>
      <c r="RH302" s="130"/>
      <c r="RI302" s="130"/>
      <c r="RJ302" s="130"/>
      <c r="RK302" s="130"/>
      <c r="RL302" s="130"/>
      <c r="RM302" s="130"/>
      <c r="RN302" s="130"/>
      <c r="TT302" s="130"/>
      <c r="TU302" s="130"/>
      <c r="TV302" s="130"/>
      <c r="TW302" s="130"/>
      <c r="TX302" s="130"/>
      <c r="TY302" s="130"/>
      <c r="TZ302" s="130"/>
      <c r="UA302" s="130"/>
      <c r="UB302" s="130"/>
      <c r="UC302" s="130"/>
      <c r="UD302" s="130"/>
      <c r="UE302" s="130"/>
      <c r="UF302" s="130"/>
      <c r="UG302" s="130"/>
      <c r="UH302" s="130"/>
      <c r="UI302" s="130"/>
      <c r="UJ302" s="130"/>
      <c r="UK302" s="130"/>
      <c r="UL302" s="130"/>
      <c r="UM302" s="130"/>
      <c r="UN302" s="130"/>
      <c r="UO302" s="130"/>
      <c r="UP302" s="130"/>
      <c r="UQ302" s="130"/>
      <c r="UR302" s="130"/>
      <c r="US302" s="130"/>
      <c r="UT302" s="130"/>
      <c r="UU302" s="130"/>
      <c r="AGL302" s="851"/>
      <c r="AGM302" s="1163" t="s">
        <v>1502</v>
      </c>
      <c r="AGN302" s="1163"/>
      <c r="AGO302" s="804">
        <f>$AGZ$257</f>
        <v>525.01327124596639</v>
      </c>
      <c r="AGP302" s="804"/>
      <c r="AGQ302" s="795"/>
      <c r="AGR302" s="795"/>
      <c r="AGS302" s="795"/>
      <c r="AGT302" s="795"/>
      <c r="AGU302" s="795"/>
      <c r="AGV302" s="795"/>
      <c r="AGW302" s="795"/>
      <c r="AGX302" s="795"/>
      <c r="AGY302" s="796"/>
      <c r="AGZ302" s="942"/>
      <c r="AHA302" s="943"/>
      <c r="AHB302" s="943"/>
      <c r="AHC302" s="943"/>
      <c r="AHD302" s="943"/>
      <c r="AHE302" s="943"/>
      <c r="AHF302" s="943"/>
      <c r="AHG302" s="943"/>
      <c r="AHH302" s="944"/>
      <c r="AHI302" s="1053"/>
      <c r="AHJ302" s="1053"/>
      <c r="AHK302" s="1053"/>
      <c r="AHL302" s="1053"/>
      <c r="AHM302" s="1053"/>
      <c r="AHN302" s="1053"/>
      <c r="AHO302" s="1053"/>
      <c r="AHP302" s="1053"/>
      <c r="AHQ302" s="1053"/>
      <c r="AHR302" s="1053"/>
      <c r="AHS302" s="130"/>
      <c r="AHT302" s="130"/>
    </row>
    <row r="303" spans="222:918" ht="48" customHeight="1">
      <c r="QR303" s="130"/>
      <c r="QS303" s="130"/>
      <c r="QT303" s="130"/>
      <c r="QU303" s="130"/>
      <c r="QV303" s="130"/>
      <c r="QW303" s="130"/>
      <c r="QX303" s="130"/>
      <c r="QY303" s="130"/>
      <c r="QZ303" s="130"/>
      <c r="RA303" s="130"/>
      <c r="RB303" s="130"/>
      <c r="RC303" s="130"/>
      <c r="RD303" s="130"/>
      <c r="RE303" s="130"/>
      <c r="RF303" s="130"/>
      <c r="RG303" s="130"/>
      <c r="RH303" s="130"/>
      <c r="RI303" s="130"/>
      <c r="RJ303" s="130"/>
      <c r="RK303" s="130"/>
      <c r="RL303" s="130"/>
      <c r="RM303" s="130"/>
      <c r="RN303" s="130"/>
      <c r="TT303" s="130"/>
      <c r="TU303" s="130"/>
      <c r="TV303" s="130"/>
      <c r="TW303" s="130"/>
      <c r="TX303" s="130"/>
      <c r="TY303" s="130"/>
      <c r="TZ303" s="130"/>
      <c r="UA303" s="130"/>
      <c r="UB303" s="130"/>
      <c r="UC303" s="130"/>
      <c r="UD303" s="130"/>
      <c r="UE303" s="130"/>
      <c r="UF303" s="130"/>
      <c r="UG303" s="130"/>
      <c r="UH303" s="130"/>
      <c r="UI303" s="130"/>
      <c r="UJ303" s="130"/>
      <c r="UK303" s="130"/>
      <c r="UL303" s="130"/>
      <c r="UM303" s="130"/>
      <c r="UN303" s="130"/>
      <c r="UO303" s="130"/>
      <c r="UP303" s="130"/>
      <c r="UQ303" s="130"/>
      <c r="UR303" s="130"/>
      <c r="US303" s="130"/>
      <c r="UT303" s="130"/>
      <c r="UU303" s="130"/>
      <c r="AHR303" s="130"/>
      <c r="AHS303" s="130"/>
      <c r="AHT303" s="130"/>
      <c r="AHZ303" s="130"/>
      <c r="AIA303" s="130"/>
      <c r="AIB303" s="130"/>
      <c r="AIC303" s="130"/>
      <c r="AID303" s="130"/>
      <c r="AIE303" s="130"/>
      <c r="AIF303" s="130"/>
      <c r="AIG303" s="130"/>
      <c r="AIH303" s="130"/>
    </row>
    <row r="304" spans="222:918" ht="48" customHeight="1" thickBot="1">
      <c r="QR304" s="130"/>
      <c r="QS304" s="130"/>
      <c r="QT304" s="130"/>
      <c r="QU304" s="130"/>
      <c r="QV304" s="130"/>
      <c r="QW304" s="130"/>
      <c r="QX304" s="130"/>
      <c r="QY304" s="130"/>
      <c r="QZ304" s="130"/>
      <c r="RA304" s="130"/>
      <c r="RB304" s="130"/>
      <c r="RC304" s="130"/>
      <c r="RD304" s="130"/>
      <c r="RE304" s="130"/>
      <c r="RF304" s="130"/>
      <c r="RG304" s="130"/>
      <c r="RH304" s="130"/>
      <c r="RI304" s="130"/>
      <c r="RJ304" s="130"/>
      <c r="RK304" s="130"/>
      <c r="RL304" s="130"/>
      <c r="RM304" s="130"/>
      <c r="RN304" s="130"/>
      <c r="TT304" s="130"/>
      <c r="TU304" s="130"/>
      <c r="TV304" s="130"/>
      <c r="TW304" s="130"/>
      <c r="TX304" s="130"/>
      <c r="TY304" s="130"/>
      <c r="TZ304" s="130"/>
      <c r="UA304" s="130"/>
      <c r="UB304" s="130"/>
      <c r="UC304" s="130"/>
      <c r="UD304" s="130"/>
      <c r="UE304" s="130"/>
      <c r="UF304" s="130"/>
      <c r="UG304" s="130"/>
      <c r="UH304" s="130"/>
      <c r="UI304" s="130"/>
      <c r="UJ304" s="130"/>
      <c r="UK304" s="130"/>
      <c r="UL304" s="130"/>
      <c r="UM304" s="130"/>
      <c r="UN304" s="130"/>
      <c r="UO304" s="130"/>
      <c r="UP304" s="130"/>
      <c r="UQ304" s="130"/>
      <c r="UR304" s="130"/>
      <c r="US304" s="130"/>
      <c r="UT304" s="130"/>
      <c r="UU304" s="130"/>
      <c r="AGL304" s="849"/>
      <c r="AGM304" s="852" t="s">
        <v>416</v>
      </c>
      <c r="AGN304" s="853"/>
      <c r="AGO304" s="425"/>
      <c r="AGP304" s="454" t="s">
        <v>1461</v>
      </c>
      <c r="AGQ304" s="951">
        <f>$AGZ$78</f>
        <v>1.5116531240164504</v>
      </c>
      <c r="AGR304" s="952"/>
      <c r="AGS304" s="452" t="s">
        <v>1199</v>
      </c>
      <c r="AGT304" s="883">
        <f>$AHA$15</f>
        <v>1</v>
      </c>
      <c r="AGU304" s="884"/>
      <c r="AGV304" s="425"/>
      <c r="AGW304" s="76" t="s">
        <v>441</v>
      </c>
      <c r="AGX304" s="854" t="s">
        <v>435</v>
      </c>
      <c r="AGY304" s="1111"/>
      <c r="AGZ304" s="920" t="s">
        <v>111</v>
      </c>
      <c r="AHA304" s="921"/>
      <c r="AHB304" s="916" t="s">
        <v>704</v>
      </c>
      <c r="AHC304" s="917"/>
      <c r="AHD304" s="906" t="s">
        <v>447</v>
      </c>
      <c r="AHE304" s="907"/>
      <c r="AHF304" s="907"/>
      <c r="AHG304" s="908"/>
      <c r="AHH304" s="906" t="s">
        <v>436</v>
      </c>
      <c r="AHI304" s="907"/>
      <c r="AHJ304" s="907"/>
      <c r="AHK304" s="907"/>
      <c r="AHL304" s="907"/>
      <c r="AHM304" s="907"/>
      <c r="AHN304" s="907"/>
      <c r="AHO304" s="907"/>
      <c r="AHP304" s="908"/>
      <c r="AHR304" s="130"/>
      <c r="AHS304" s="130"/>
      <c r="AHZ304" s="130"/>
      <c r="AIA304" s="130"/>
      <c r="AIB304" s="130"/>
      <c r="AIC304" s="130"/>
      <c r="AID304" s="130"/>
      <c r="AIE304" s="130"/>
      <c r="AIF304" s="130"/>
      <c r="AIG304" s="130"/>
      <c r="AIH304" s="130"/>
    </row>
    <row r="305" spans="260:918" ht="48" customHeight="1">
      <c r="QR305" s="130"/>
      <c r="QS305" s="130"/>
      <c r="QT305" s="130"/>
      <c r="QU305" s="130"/>
      <c r="QV305" s="130"/>
      <c r="QW305" s="130"/>
      <c r="QX305" s="130"/>
      <c r="QY305" s="130"/>
      <c r="QZ305" s="130"/>
      <c r="RA305" s="130"/>
      <c r="RB305" s="130"/>
      <c r="RC305" s="130"/>
      <c r="RD305" s="130"/>
      <c r="RE305" s="130"/>
      <c r="RF305" s="130"/>
      <c r="RG305" s="130"/>
      <c r="RH305" s="130"/>
      <c r="RI305" s="130"/>
      <c r="RJ305" s="130"/>
      <c r="RK305" s="130"/>
      <c r="RL305" s="130"/>
      <c r="RM305" s="130"/>
      <c r="RN305" s="130"/>
      <c r="TT305" s="130"/>
      <c r="TU305" s="130"/>
      <c r="TV305" s="130"/>
      <c r="TW305" s="130"/>
      <c r="TX305" s="130"/>
      <c r="TY305" s="130"/>
      <c r="TZ305" s="130"/>
      <c r="UA305" s="130"/>
      <c r="UB305" s="130"/>
      <c r="UC305" s="130"/>
      <c r="UD305" s="130"/>
      <c r="UE305" s="130"/>
      <c r="UF305" s="130"/>
      <c r="UG305" s="130"/>
      <c r="UH305" s="130"/>
      <c r="UI305" s="130"/>
      <c r="UJ305" s="130"/>
      <c r="UK305" s="130"/>
      <c r="UL305" s="130"/>
      <c r="UM305" s="130"/>
      <c r="UN305" s="130"/>
      <c r="UO305" s="130"/>
      <c r="UP305" s="130"/>
      <c r="UQ305" s="130"/>
      <c r="UR305" s="130"/>
      <c r="US305" s="130"/>
      <c r="UT305" s="130"/>
      <c r="UU305" s="130"/>
      <c r="AGL305" s="850"/>
      <c r="AGM305" s="791" t="s">
        <v>1400</v>
      </c>
      <c r="AGN305" s="797"/>
      <c r="AGO305" s="797"/>
      <c r="AGP305" s="797"/>
      <c r="AGQ305" s="797"/>
      <c r="AGR305" s="797"/>
      <c r="AGS305" s="797"/>
      <c r="AGT305" s="797"/>
      <c r="AGU305" s="797"/>
      <c r="AGV305" s="797"/>
      <c r="AGW305" s="797"/>
      <c r="AGX305" s="797"/>
      <c r="AGY305" s="798"/>
      <c r="AGZ305" s="835">
        <f>((AGZ257/(CN54))^2)*AGZ86*AGO300/AGT299</f>
        <v>0</v>
      </c>
      <c r="AHA305" s="836"/>
      <c r="AHB305" s="1301" t="s">
        <v>1652</v>
      </c>
      <c r="AHC305" s="1302"/>
      <c r="AHD305" s="841"/>
      <c r="AHE305" s="843" t="s">
        <v>1415</v>
      </c>
      <c r="AHF305" s="844"/>
      <c r="AHG305" s="847"/>
      <c r="AHH305" s="826"/>
      <c r="AHI305" s="945"/>
      <c r="AHJ305" s="945"/>
      <c r="AHK305" s="945"/>
      <c r="AHL305" s="945"/>
      <c r="AHM305" s="945"/>
      <c r="AHN305" s="945"/>
      <c r="AHO305" s="945"/>
      <c r="AHP305" s="946"/>
      <c r="AHQ305" s="248"/>
      <c r="AHZ305" s="130"/>
      <c r="AIA305" s="130"/>
      <c r="AIB305" s="130"/>
      <c r="AIC305" s="130"/>
      <c r="AID305" s="130"/>
      <c r="AIE305" s="130"/>
      <c r="AIF305" s="130"/>
      <c r="AIG305" s="130"/>
      <c r="AIH305" s="130"/>
    </row>
    <row r="306" spans="260:918" ht="48" customHeight="1" thickBot="1">
      <c r="QR306" s="130"/>
      <c r="QS306" s="130"/>
      <c r="QT306" s="130"/>
      <c r="QU306" s="130"/>
      <c r="QV306" s="130"/>
      <c r="QW306" s="130"/>
      <c r="QX306" s="130"/>
      <c r="QY306" s="130"/>
      <c r="QZ306" s="130"/>
      <c r="RA306" s="130"/>
      <c r="RB306" s="130"/>
      <c r="RC306" s="130"/>
      <c r="RD306" s="130"/>
      <c r="RE306" s="130"/>
      <c r="RF306" s="130"/>
      <c r="RG306" s="130"/>
      <c r="RH306" s="130"/>
      <c r="RI306" s="130"/>
      <c r="RJ306" s="130"/>
      <c r="RK306" s="130"/>
      <c r="RL306" s="130"/>
      <c r="RM306" s="130"/>
      <c r="RN306" s="130"/>
      <c r="TT306" s="130"/>
      <c r="TU306" s="130"/>
      <c r="TV306" s="130"/>
      <c r="TW306" s="130"/>
      <c r="TX306" s="130"/>
      <c r="TY306" s="130"/>
      <c r="TZ306" s="130"/>
      <c r="UA306" s="130"/>
      <c r="UB306" s="130"/>
      <c r="UC306" s="130"/>
      <c r="UD306" s="130"/>
      <c r="UE306" s="130"/>
      <c r="UF306" s="130"/>
      <c r="UG306" s="130"/>
      <c r="UH306" s="130"/>
      <c r="UI306" s="130"/>
      <c r="UJ306" s="130"/>
      <c r="UK306" s="130"/>
      <c r="UL306" s="130"/>
      <c r="UM306" s="130"/>
      <c r="UN306" s="130"/>
      <c r="UO306" s="130"/>
      <c r="UP306" s="130"/>
      <c r="UQ306" s="130"/>
      <c r="UR306" s="130"/>
      <c r="US306" s="130"/>
      <c r="UT306" s="130"/>
      <c r="UU306" s="130"/>
      <c r="AGL306" s="850"/>
      <c r="AGM306" s="775"/>
      <c r="AGN306" s="776"/>
      <c r="AGO306" s="776"/>
      <c r="AGP306" s="776"/>
      <c r="AGQ306" s="776"/>
      <c r="AGR306" s="776"/>
      <c r="AGS306" s="776"/>
      <c r="AGT306" s="776"/>
      <c r="AGU306" s="776"/>
      <c r="AGV306" s="776"/>
      <c r="AGW306" s="776"/>
      <c r="AGX306" s="776"/>
      <c r="AGY306" s="815"/>
      <c r="AGZ306" s="837"/>
      <c r="AHA306" s="838"/>
      <c r="AHB306" s="1303"/>
      <c r="AHC306" s="1304"/>
      <c r="AHD306" s="842"/>
      <c r="AHE306" s="845"/>
      <c r="AHF306" s="846"/>
      <c r="AHG306" s="848"/>
      <c r="AHH306" s="827"/>
      <c r="AHI306" s="947"/>
      <c r="AHJ306" s="947"/>
      <c r="AHK306" s="947"/>
      <c r="AHL306" s="947"/>
      <c r="AHM306" s="947"/>
      <c r="AHN306" s="947"/>
      <c r="AHO306" s="947"/>
      <c r="AHP306" s="948"/>
      <c r="AHQ306" s="217"/>
      <c r="AHZ306" s="130"/>
      <c r="AIA306" s="130"/>
      <c r="AIB306" s="130"/>
      <c r="AIC306" s="130"/>
      <c r="AID306" s="130"/>
      <c r="AIE306" s="130"/>
      <c r="AIF306" s="130"/>
      <c r="AIG306" s="130"/>
      <c r="AIH306" s="130"/>
    </row>
    <row r="307" spans="260:918" ht="48" customHeight="1" thickBot="1">
      <c r="QR307" s="130"/>
      <c r="QS307" s="130"/>
      <c r="QT307" s="130"/>
      <c r="QU307" s="130"/>
      <c r="QV307" s="130"/>
      <c r="QW307" s="130"/>
      <c r="QX307" s="130"/>
      <c r="QY307" s="130"/>
      <c r="QZ307" s="130"/>
      <c r="RA307" s="130"/>
      <c r="RB307" s="130"/>
      <c r="RC307" s="130"/>
      <c r="RD307" s="130"/>
      <c r="RE307" s="130"/>
      <c r="RF307" s="130"/>
      <c r="RG307" s="130"/>
      <c r="RH307" s="130"/>
      <c r="RI307" s="130"/>
      <c r="RJ307" s="130"/>
      <c r="RK307" s="130"/>
      <c r="RL307" s="130"/>
      <c r="RM307" s="130"/>
      <c r="RN307" s="130"/>
      <c r="TT307" s="130"/>
      <c r="TU307" s="130"/>
      <c r="TV307" s="130"/>
      <c r="TW307" s="130"/>
      <c r="TX307" s="130"/>
      <c r="TY307" s="130"/>
      <c r="TZ307" s="130"/>
      <c r="UA307" s="130"/>
      <c r="UB307" s="130"/>
      <c r="UC307" s="130"/>
      <c r="UD307" s="130"/>
      <c r="UE307" s="130"/>
      <c r="UF307" s="130"/>
      <c r="UG307" s="130"/>
      <c r="UH307" s="130"/>
      <c r="UI307" s="130"/>
      <c r="UJ307" s="130"/>
      <c r="UK307" s="130"/>
      <c r="UL307" s="130"/>
      <c r="UM307" s="130"/>
      <c r="UN307" s="130"/>
      <c r="UO307" s="130"/>
      <c r="UP307" s="130"/>
      <c r="UQ307" s="130"/>
      <c r="UR307" s="130"/>
      <c r="US307" s="130"/>
      <c r="UT307" s="130"/>
      <c r="UU307" s="130"/>
      <c r="AGL307" s="851"/>
      <c r="AGM307" s="777"/>
      <c r="AGN307" s="778"/>
      <c r="AGO307" s="778"/>
      <c r="AGP307" s="778"/>
      <c r="AGQ307" s="778"/>
      <c r="AGR307" s="778"/>
      <c r="AGS307" s="778"/>
      <c r="AGT307" s="778"/>
      <c r="AGU307" s="778"/>
      <c r="AGV307" s="778"/>
      <c r="AGW307" s="778"/>
      <c r="AGX307" s="778"/>
      <c r="AGY307" s="799"/>
      <c r="AGZ307" s="942"/>
      <c r="AHA307" s="943"/>
      <c r="AHB307" s="943"/>
      <c r="AHC307" s="943"/>
      <c r="AHD307" s="943"/>
      <c r="AHE307" s="943"/>
      <c r="AHF307" s="943"/>
      <c r="AHG307" s="944"/>
      <c r="AHH307" s="828"/>
      <c r="AHI307" s="949"/>
      <c r="AHJ307" s="949"/>
      <c r="AHK307" s="949"/>
      <c r="AHL307" s="949"/>
      <c r="AHM307" s="949"/>
      <c r="AHN307" s="949"/>
      <c r="AHO307" s="949"/>
      <c r="AHP307" s="950"/>
      <c r="AHZ307" s="130"/>
      <c r="AIA307" s="130"/>
      <c r="AIB307" s="130"/>
      <c r="AIC307" s="130"/>
      <c r="AID307" s="130"/>
      <c r="AIE307" s="130"/>
      <c r="AIF307" s="130"/>
      <c r="AIG307" s="130"/>
      <c r="AIH307" s="130"/>
    </row>
    <row r="308" spans="260:918" ht="48" customHeight="1">
      <c r="QR308" s="130"/>
      <c r="QS308" s="130"/>
      <c r="QT308" s="130"/>
      <c r="QU308" s="130"/>
      <c r="QV308" s="130"/>
      <c r="QW308" s="130"/>
      <c r="QX308" s="130"/>
      <c r="QY308" s="130"/>
      <c r="QZ308" s="130"/>
      <c r="RA308" s="130"/>
      <c r="RB308" s="130"/>
      <c r="RC308" s="130"/>
      <c r="RD308" s="130"/>
      <c r="RE308" s="130"/>
      <c r="RF308" s="130"/>
      <c r="RG308" s="130"/>
      <c r="RH308" s="130"/>
      <c r="RI308" s="130"/>
      <c r="RJ308" s="130"/>
      <c r="RK308" s="130"/>
      <c r="RL308" s="130"/>
      <c r="RM308" s="130"/>
      <c r="RN308" s="130"/>
      <c r="TT308" s="130"/>
      <c r="TU308" s="130"/>
      <c r="TV308" s="130"/>
      <c r="TW308" s="130"/>
      <c r="TX308" s="130"/>
      <c r="TY308" s="130"/>
      <c r="TZ308" s="130"/>
      <c r="UA308" s="130"/>
      <c r="UB308" s="130"/>
      <c r="UC308" s="130"/>
      <c r="UD308" s="130"/>
      <c r="UE308" s="130"/>
      <c r="UF308" s="130"/>
      <c r="UG308" s="130"/>
      <c r="UH308" s="130"/>
      <c r="UI308" s="130"/>
      <c r="UJ308" s="130"/>
      <c r="UK308" s="130"/>
      <c r="UL308" s="130"/>
      <c r="UM308" s="130"/>
      <c r="UN308" s="130"/>
      <c r="UO308" s="130"/>
      <c r="UP308" s="130"/>
      <c r="UQ308" s="130"/>
      <c r="UR308" s="130"/>
      <c r="US308" s="130"/>
      <c r="UT308" s="130"/>
      <c r="UU308" s="130"/>
      <c r="AHZ308" s="130"/>
      <c r="AIA308" s="130"/>
      <c r="AIB308" s="130"/>
      <c r="AIC308" s="130"/>
      <c r="AID308" s="130"/>
      <c r="AIE308" s="130"/>
      <c r="AIF308" s="130"/>
      <c r="AIG308" s="130"/>
      <c r="AIH308" s="130"/>
    </row>
    <row r="309" spans="260:918" ht="48" customHeight="1" thickBot="1">
      <c r="QR309" s="130"/>
      <c r="QS309" s="130"/>
      <c r="QT309" s="130"/>
      <c r="QU309" s="130"/>
      <c r="QV309" s="130"/>
      <c r="QW309" s="130"/>
      <c r="QX309" s="130"/>
      <c r="QY309" s="130"/>
      <c r="QZ309" s="130"/>
      <c r="RA309" s="130"/>
      <c r="RB309" s="130"/>
      <c r="RC309" s="130"/>
      <c r="RD309" s="130"/>
      <c r="RE309" s="130"/>
      <c r="RF309" s="130"/>
      <c r="RG309" s="130"/>
      <c r="RH309" s="130"/>
      <c r="RI309" s="130"/>
      <c r="RJ309" s="130"/>
      <c r="RK309" s="130"/>
      <c r="RL309" s="130"/>
      <c r="RM309" s="130"/>
      <c r="RN309" s="130"/>
      <c r="TT309" s="130"/>
      <c r="TU309" s="130"/>
      <c r="TV309" s="130"/>
      <c r="TW309" s="130"/>
      <c r="TX309" s="130"/>
      <c r="TY309" s="130"/>
      <c r="TZ309" s="130"/>
      <c r="UA309" s="130"/>
      <c r="UB309" s="130"/>
      <c r="UC309" s="130"/>
      <c r="UD309" s="130"/>
      <c r="UE309" s="130"/>
      <c r="UF309" s="130"/>
      <c r="UG309" s="130"/>
      <c r="UH309" s="130"/>
      <c r="UI309" s="130"/>
      <c r="UJ309" s="130"/>
      <c r="UK309" s="130"/>
      <c r="UL309" s="130"/>
      <c r="UM309" s="130"/>
      <c r="UN309" s="130"/>
      <c r="UO309" s="130"/>
      <c r="UP309" s="130"/>
      <c r="UQ309" s="130"/>
      <c r="UR309" s="130"/>
      <c r="US309" s="130"/>
      <c r="UT309" s="130"/>
      <c r="UU309" s="130"/>
      <c r="AGL309" s="849"/>
      <c r="AGM309" s="852" t="s">
        <v>416</v>
      </c>
      <c r="AGN309" s="853"/>
      <c r="AGO309" s="425"/>
      <c r="AGP309" s="426" t="s">
        <v>1078</v>
      </c>
      <c r="AGQ309" s="761">
        <f>$CN$54</f>
        <v>58.696468820435761</v>
      </c>
      <c r="AGR309" s="761"/>
      <c r="AGS309" s="425"/>
      <c r="AGT309" s="76" t="s">
        <v>441</v>
      </c>
      <c r="AGU309" s="854" t="s">
        <v>435</v>
      </c>
      <c r="AGV309" s="891"/>
      <c r="AGW309" s="1072" t="s">
        <v>1396</v>
      </c>
      <c r="AGX309" s="1073"/>
      <c r="AGY309" s="1073"/>
      <c r="AGZ309" s="1326" t="s">
        <v>1397</v>
      </c>
      <c r="AHA309" s="1073"/>
      <c r="AHB309" s="1074"/>
      <c r="AHC309" s="916" t="s">
        <v>704</v>
      </c>
      <c r="AHD309" s="922"/>
      <c r="AHE309" s="1051" t="s">
        <v>447</v>
      </c>
      <c r="AHF309" s="1051"/>
      <c r="AHG309" s="1051"/>
      <c r="AHH309" s="1051"/>
      <c r="AHI309" s="1051"/>
      <c r="AHJ309" s="1051" t="s">
        <v>436</v>
      </c>
      <c r="AHK309" s="1051"/>
      <c r="AHL309" s="1051"/>
      <c r="AHM309" s="1051"/>
      <c r="AHN309" s="1051"/>
      <c r="AHO309" s="1051"/>
      <c r="AHP309" s="1051"/>
      <c r="AHZ309" s="130"/>
      <c r="AIA309" s="130"/>
      <c r="AIB309" s="130"/>
      <c r="AIC309" s="130"/>
      <c r="AID309" s="130"/>
      <c r="AIE309" s="130"/>
      <c r="AIF309" s="130"/>
      <c r="AIG309" s="130"/>
      <c r="AIH309" s="130"/>
    </row>
    <row r="310" spans="260:918" ht="48" customHeight="1">
      <c r="QR310" s="130"/>
      <c r="QS310" s="130"/>
      <c r="QT310" s="130"/>
      <c r="QU310" s="130"/>
      <c r="QV310" s="130"/>
      <c r="QW310" s="130"/>
      <c r="QX310" s="130"/>
      <c r="QY310" s="130"/>
      <c r="QZ310" s="130"/>
      <c r="RA310" s="130"/>
      <c r="RB310" s="130"/>
      <c r="RC310" s="130"/>
      <c r="RD310" s="130"/>
      <c r="RE310" s="130"/>
      <c r="RF310" s="130"/>
      <c r="RG310" s="130"/>
      <c r="RH310" s="130"/>
      <c r="RI310" s="130"/>
      <c r="RJ310" s="130"/>
      <c r="RK310" s="130"/>
      <c r="RL310" s="130"/>
      <c r="RM310" s="130"/>
      <c r="RN310" s="130"/>
      <c r="TT310" s="130"/>
      <c r="TU310" s="130"/>
      <c r="TV310" s="130"/>
      <c r="TW310" s="130"/>
      <c r="TX310" s="130"/>
      <c r="TY310" s="130"/>
      <c r="TZ310" s="130"/>
      <c r="UA310" s="130"/>
      <c r="UB310" s="130"/>
      <c r="UC310" s="130"/>
      <c r="UD310" s="130"/>
      <c r="UE310" s="130"/>
      <c r="UF310" s="130"/>
      <c r="UG310" s="130"/>
      <c r="UH310" s="130"/>
      <c r="UI310" s="130"/>
      <c r="UJ310" s="130"/>
      <c r="UK310" s="130"/>
      <c r="UL310" s="130"/>
      <c r="UM310" s="130"/>
      <c r="UN310" s="130"/>
      <c r="UO310" s="130"/>
      <c r="UP310" s="130"/>
      <c r="UQ310" s="130"/>
      <c r="UR310" s="130"/>
      <c r="US310" s="130"/>
      <c r="UT310" s="130"/>
      <c r="UU310" s="130"/>
      <c r="AGL310" s="850"/>
      <c r="AGM310" s="800" t="s">
        <v>1426</v>
      </c>
      <c r="AGN310" s="982"/>
      <c r="AGO310" s="433" t="s">
        <v>1191</v>
      </c>
      <c r="AGP310" s="436">
        <v>4.5</v>
      </c>
      <c r="AGQ310" s="791" t="s">
        <v>1410</v>
      </c>
      <c r="AGR310" s="792"/>
      <c r="AGS310" s="792"/>
      <c r="AGT310" s="792"/>
      <c r="AGU310" s="792"/>
      <c r="AGV310" s="793"/>
      <c r="AGW310" s="1167">
        <f>AGP310*AGQ309</f>
        <v>264.13410969196093</v>
      </c>
      <c r="AGX310" s="1322"/>
      <c r="AGY310" s="840"/>
      <c r="AGZ310" s="1167">
        <f>AGP310*AGQ309</f>
        <v>264.13410969196093</v>
      </c>
      <c r="AHA310" s="1322"/>
      <c r="AHB310" s="840"/>
      <c r="AHC310" s="1579" t="s">
        <v>32</v>
      </c>
      <c r="AHD310" s="1189"/>
      <c r="AHE310" s="1289"/>
      <c r="AHF310" s="1305" t="s">
        <v>1398</v>
      </c>
      <c r="AHG310" s="1305"/>
      <c r="AHH310" s="1305"/>
      <c r="AHI310" s="1289"/>
      <c r="AHJ310" s="1052"/>
      <c r="AHK310" s="1052"/>
      <c r="AHL310" s="1052"/>
      <c r="AHM310" s="1052"/>
      <c r="AHN310" s="1052"/>
      <c r="AHO310" s="1052"/>
      <c r="AHP310" s="1052"/>
      <c r="AHZ310" s="130"/>
      <c r="AIA310" s="130"/>
      <c r="AIB310" s="130"/>
      <c r="AIC310" s="130"/>
      <c r="AID310" s="130"/>
      <c r="AIE310" s="130"/>
      <c r="AIF310" s="130"/>
      <c r="AIG310" s="130"/>
      <c r="AIH310" s="130"/>
    </row>
    <row r="311" spans="260:918" ht="48" customHeight="1" thickBot="1">
      <c r="QR311" s="130"/>
      <c r="QS311" s="130"/>
      <c r="QT311" s="130"/>
      <c r="QU311" s="130"/>
      <c r="QV311" s="130"/>
      <c r="QW311" s="130"/>
      <c r="QX311" s="130"/>
      <c r="QY311" s="130"/>
      <c r="QZ311" s="130"/>
      <c r="RA311" s="130"/>
      <c r="RB311" s="130"/>
      <c r="RC311" s="130"/>
      <c r="RD311" s="130"/>
      <c r="RE311" s="130"/>
      <c r="RF311" s="130"/>
      <c r="RG311" s="130"/>
      <c r="RH311" s="130"/>
      <c r="RI311" s="130"/>
      <c r="RJ311" s="130"/>
      <c r="RK311" s="130"/>
      <c r="RL311" s="130"/>
      <c r="RM311" s="130"/>
      <c r="RN311" s="130"/>
      <c r="TT311" s="130"/>
      <c r="TU311" s="130"/>
      <c r="TV311" s="130"/>
      <c r="TW311" s="130"/>
      <c r="TX311" s="130"/>
      <c r="TY311" s="130"/>
      <c r="TZ311" s="130"/>
      <c r="UA311" s="130"/>
      <c r="UB311" s="130"/>
      <c r="UC311" s="130"/>
      <c r="UD311" s="130"/>
      <c r="UE311" s="130"/>
      <c r="UF311" s="130"/>
      <c r="UG311" s="130"/>
      <c r="UH311" s="130"/>
      <c r="UI311" s="130"/>
      <c r="UJ311" s="130"/>
      <c r="UK311" s="130"/>
      <c r="UL311" s="130"/>
      <c r="UM311" s="130"/>
      <c r="UN311" s="130"/>
      <c r="UO311" s="130"/>
      <c r="UP311" s="130"/>
      <c r="UQ311" s="130"/>
      <c r="UR311" s="130"/>
      <c r="US311" s="130"/>
      <c r="UT311" s="130"/>
      <c r="UU311" s="130"/>
      <c r="AGL311" s="851"/>
      <c r="AGM311" s="1163" t="s">
        <v>1426</v>
      </c>
      <c r="AGN311" s="1163"/>
      <c r="AGO311" s="435" t="s">
        <v>1190</v>
      </c>
      <c r="AGP311" s="438">
        <v>7.5</v>
      </c>
      <c r="AGQ311" s="794"/>
      <c r="AGR311" s="795"/>
      <c r="AGS311" s="795"/>
      <c r="AGT311" s="795"/>
      <c r="AGU311" s="795"/>
      <c r="AGV311" s="796"/>
      <c r="AGW311" s="1169"/>
      <c r="AGX311" s="778"/>
      <c r="AGY311" s="799"/>
      <c r="AGZ311" s="1169"/>
      <c r="AHA311" s="778"/>
      <c r="AHB311" s="799"/>
      <c r="AHC311" s="1580"/>
      <c r="AHD311" s="1191"/>
      <c r="AHE311" s="1290"/>
      <c r="AHF311" s="1306"/>
      <c r="AHG311" s="1306"/>
      <c r="AHH311" s="1306"/>
      <c r="AHI311" s="1290"/>
      <c r="AHJ311" s="1053"/>
      <c r="AHK311" s="1053"/>
      <c r="AHL311" s="1053"/>
      <c r="AHM311" s="1053"/>
      <c r="AHN311" s="1053"/>
      <c r="AHO311" s="1053"/>
      <c r="AHP311" s="1053"/>
    </row>
    <row r="312" spans="260:918" ht="48" customHeight="1">
      <c r="IZ312" s="130"/>
      <c r="JA312" s="130"/>
      <c r="JB312" s="130"/>
      <c r="JC312" s="130"/>
      <c r="JD312" s="130"/>
      <c r="QR312" s="130"/>
      <c r="QS312" s="130"/>
      <c r="QT312" s="130"/>
      <c r="QU312" s="130"/>
      <c r="QV312" s="130"/>
      <c r="QW312" s="130"/>
      <c r="QX312" s="130"/>
      <c r="QY312" s="130"/>
      <c r="QZ312" s="130"/>
      <c r="RA312" s="130"/>
      <c r="RB312" s="130"/>
      <c r="RC312" s="130"/>
      <c r="RD312" s="130"/>
      <c r="RE312" s="130"/>
      <c r="RF312" s="130"/>
      <c r="RG312" s="130"/>
      <c r="RH312" s="130"/>
      <c r="RI312" s="130"/>
      <c r="RJ312" s="130"/>
      <c r="RK312" s="130"/>
      <c r="RL312" s="130"/>
      <c r="RM312" s="130"/>
      <c r="RN312" s="130"/>
      <c r="TT312" s="130"/>
      <c r="TU312" s="130"/>
      <c r="TV312" s="130"/>
      <c r="TW312" s="130"/>
      <c r="TX312" s="130"/>
      <c r="TY312" s="130"/>
      <c r="TZ312" s="130"/>
      <c r="UA312" s="130"/>
      <c r="UB312" s="130"/>
      <c r="UC312" s="130"/>
      <c r="UD312" s="130"/>
      <c r="UE312" s="130"/>
      <c r="UF312" s="130"/>
      <c r="UG312" s="130"/>
      <c r="UH312" s="130"/>
      <c r="UI312" s="130"/>
      <c r="UJ312" s="130"/>
      <c r="UK312" s="130"/>
      <c r="UL312" s="130"/>
      <c r="UM312" s="130"/>
      <c r="UN312" s="130"/>
      <c r="UO312" s="130"/>
      <c r="UP312" s="130"/>
      <c r="UQ312" s="130"/>
      <c r="UR312" s="130"/>
      <c r="US312" s="130"/>
      <c r="UT312" s="130"/>
      <c r="UU312" s="130"/>
      <c r="AGW312" s="130"/>
      <c r="AGX312" s="130"/>
      <c r="AGY312" s="130"/>
      <c r="AGZ312" s="130"/>
      <c r="AHA312" s="130"/>
      <c r="AHB312" s="130"/>
      <c r="AHC312" s="130"/>
      <c r="AHD312" s="130"/>
      <c r="AHE312" s="130"/>
      <c r="AHF312" s="130"/>
      <c r="AHG312" s="130"/>
      <c r="AHH312" s="130"/>
      <c r="AHI312" s="130"/>
      <c r="AHJ312" s="130"/>
      <c r="AHK312" s="130"/>
      <c r="AHL312" s="130"/>
      <c r="AHM312" s="130"/>
      <c r="AHN312" s="130"/>
      <c r="AHO312" s="130"/>
      <c r="AHP312" s="130"/>
    </row>
    <row r="313" spans="260:918" ht="48" customHeight="1" thickBot="1">
      <c r="IZ313" s="130"/>
      <c r="JA313" s="130"/>
      <c r="JB313" s="130"/>
      <c r="JC313" s="130"/>
      <c r="JD313" s="130"/>
      <c r="QR313" s="130"/>
      <c r="QS313" s="130"/>
      <c r="QT313" s="130"/>
      <c r="QU313" s="130"/>
      <c r="QV313" s="130"/>
      <c r="QW313" s="130"/>
      <c r="QX313" s="130"/>
      <c r="QY313" s="130"/>
      <c r="QZ313" s="130"/>
      <c r="RA313" s="130"/>
      <c r="RB313" s="130"/>
      <c r="RC313" s="130"/>
      <c r="RD313" s="130"/>
      <c r="RE313" s="130"/>
      <c r="RF313" s="130"/>
      <c r="RG313" s="130"/>
      <c r="RH313" s="130"/>
      <c r="RI313" s="130"/>
      <c r="RJ313" s="130"/>
      <c r="RK313" s="130"/>
      <c r="RL313" s="130"/>
      <c r="RM313" s="130"/>
      <c r="RN313" s="130"/>
      <c r="TT313" s="130"/>
      <c r="TU313" s="130"/>
      <c r="TV313" s="130"/>
      <c r="TW313" s="130"/>
      <c r="TX313" s="130"/>
      <c r="TY313" s="130"/>
      <c r="TZ313" s="130"/>
      <c r="UA313" s="130"/>
      <c r="UB313" s="130"/>
      <c r="UC313" s="130"/>
      <c r="UD313" s="130"/>
      <c r="UE313" s="130"/>
      <c r="UF313" s="130"/>
      <c r="UG313" s="130"/>
      <c r="UH313" s="130"/>
      <c r="UI313" s="130"/>
      <c r="UJ313" s="130"/>
      <c r="UK313" s="130"/>
      <c r="UL313" s="130"/>
      <c r="UM313" s="130"/>
      <c r="UN313" s="130"/>
      <c r="UO313" s="130"/>
      <c r="UP313" s="130"/>
      <c r="UQ313" s="130"/>
      <c r="UR313" s="130"/>
      <c r="US313" s="130"/>
      <c r="UT313" s="130"/>
      <c r="UU313" s="130"/>
      <c r="AGL313" s="849"/>
      <c r="AGM313" s="852" t="s">
        <v>416</v>
      </c>
      <c r="AGN313" s="853"/>
      <c r="AGO313" s="425"/>
      <c r="AGP313" s="861" t="s">
        <v>1437</v>
      </c>
      <c r="AGQ313" s="861"/>
      <c r="AGR313" s="951">
        <f>AGZ305</f>
        <v>0</v>
      </c>
      <c r="AGS313" s="952"/>
      <c r="AGT313" s="427"/>
      <c r="AGU313" s="76" t="s">
        <v>441</v>
      </c>
      <c r="AGV313" s="854" t="s">
        <v>435</v>
      </c>
      <c r="AGW313" s="891"/>
      <c r="AGX313" s="1072" t="s">
        <v>1396</v>
      </c>
      <c r="AGY313" s="1073"/>
      <c r="AGZ313" s="1073"/>
      <c r="AHA313" s="1326" t="s">
        <v>1397</v>
      </c>
      <c r="AHB313" s="1073"/>
      <c r="AHC313" s="1074"/>
      <c r="AHD313" s="916" t="s">
        <v>704</v>
      </c>
      <c r="AHE313" s="922"/>
      <c r="AHF313" s="1051" t="s">
        <v>447</v>
      </c>
      <c r="AHG313" s="1051"/>
      <c r="AHH313" s="1051"/>
      <c r="AHI313" s="1051"/>
      <c r="AHJ313" s="1051"/>
      <c r="AHK313" s="1051" t="s">
        <v>436</v>
      </c>
      <c r="AHL313" s="1051"/>
      <c r="AHM313" s="1051"/>
      <c r="AHN313" s="1051"/>
      <c r="AHO313" s="1051"/>
      <c r="AHP313" s="1051"/>
      <c r="AHQ313" s="1051"/>
    </row>
    <row r="314" spans="260:918" ht="48" customHeight="1">
      <c r="IZ314" s="130"/>
      <c r="JA314" s="130"/>
      <c r="JB314" s="130"/>
      <c r="JC314" s="130"/>
      <c r="JD314" s="130"/>
      <c r="QR314" s="130"/>
      <c r="QS314" s="130"/>
      <c r="QT314" s="130"/>
      <c r="QU314" s="130"/>
      <c r="QV314" s="130"/>
      <c r="QW314" s="130"/>
      <c r="QX314" s="130"/>
      <c r="QY314" s="130"/>
      <c r="QZ314" s="130"/>
      <c r="RA314" s="130"/>
      <c r="RB314" s="130"/>
      <c r="RC314" s="130"/>
      <c r="RD314" s="130"/>
      <c r="RE314" s="130"/>
      <c r="RF314" s="130"/>
      <c r="RG314" s="130"/>
      <c r="RH314" s="130"/>
      <c r="RI314" s="130"/>
      <c r="RJ314" s="130"/>
      <c r="RK314" s="130"/>
      <c r="RL314" s="130"/>
      <c r="RM314" s="130"/>
      <c r="RN314" s="130"/>
      <c r="TT314" s="130"/>
      <c r="TU314" s="130"/>
      <c r="TV314" s="130"/>
      <c r="TW314" s="130"/>
      <c r="TX314" s="130"/>
      <c r="TY314" s="130"/>
      <c r="TZ314" s="130"/>
      <c r="UA314" s="130"/>
      <c r="UB314" s="130"/>
      <c r="UC314" s="130"/>
      <c r="UD314" s="130"/>
      <c r="UE314" s="130"/>
      <c r="UF314" s="130"/>
      <c r="UG314" s="130"/>
      <c r="UH314" s="130"/>
      <c r="UI314" s="130"/>
      <c r="UJ314" s="130"/>
      <c r="UK314" s="130"/>
      <c r="UL314" s="130"/>
      <c r="UM314" s="130"/>
      <c r="UN314" s="130"/>
      <c r="UO314" s="130"/>
      <c r="UP314" s="130"/>
      <c r="UQ314" s="130"/>
      <c r="UR314" s="130"/>
      <c r="US314" s="130"/>
      <c r="UT314" s="130"/>
      <c r="UU314" s="130"/>
      <c r="AGL314" s="850"/>
      <c r="AGM314" s="861" t="s">
        <v>1436</v>
      </c>
      <c r="AGN314" s="861"/>
      <c r="AGO314" s="432" t="s">
        <v>1191</v>
      </c>
      <c r="AGP314" s="429">
        <v>1.2</v>
      </c>
      <c r="AGQ314" s="791" t="s">
        <v>1435</v>
      </c>
      <c r="AGR314" s="792"/>
      <c r="AGS314" s="792"/>
      <c r="AGT314" s="792"/>
      <c r="AGU314" s="792"/>
      <c r="AGV314" s="792"/>
      <c r="AGW314" s="792"/>
      <c r="AGX314" s="1167">
        <f>AGR313*AGP314</f>
        <v>0</v>
      </c>
      <c r="AGY314" s="1322"/>
      <c r="AGZ314" s="840"/>
      <c r="AHA314" s="1167">
        <f>AGR313*AGP315</f>
        <v>0</v>
      </c>
      <c r="AHB314" s="1322"/>
      <c r="AHC314" s="840"/>
      <c r="AHD314" s="1301" t="s">
        <v>1652</v>
      </c>
      <c r="AHE314" s="1302"/>
      <c r="AHF314" s="1248"/>
      <c r="AHG314" s="1305" t="s">
        <v>1399</v>
      </c>
      <c r="AHH314" s="1305"/>
      <c r="AHI314" s="1305"/>
      <c r="AHJ314" s="1289"/>
      <c r="AHK314" s="1052"/>
      <c r="AHL314" s="1052"/>
      <c r="AHM314" s="1052"/>
      <c r="AHN314" s="1052"/>
      <c r="AHO314" s="1052"/>
      <c r="AHP314" s="1052"/>
      <c r="AHQ314" s="1052"/>
    </row>
    <row r="315" spans="260:918" ht="48" customHeight="1" thickBot="1">
      <c r="IZ315" s="130"/>
      <c r="JA315" s="130"/>
      <c r="JB315" s="130"/>
      <c r="JC315" s="130"/>
      <c r="JD315" s="130"/>
      <c r="QR315" s="130"/>
      <c r="QS315" s="130"/>
      <c r="QT315" s="130"/>
      <c r="QU315" s="130"/>
      <c r="QV315" s="130"/>
      <c r="QW315" s="130"/>
      <c r="QX315" s="130"/>
      <c r="QY315" s="130"/>
      <c r="QZ315" s="130"/>
      <c r="RA315" s="130"/>
      <c r="RB315" s="130"/>
      <c r="RC315" s="130"/>
      <c r="RD315" s="130"/>
      <c r="RE315" s="130"/>
      <c r="RF315" s="130"/>
      <c r="RG315" s="130"/>
      <c r="RH315" s="130"/>
      <c r="RI315" s="130"/>
      <c r="RJ315" s="130"/>
      <c r="RK315" s="130"/>
      <c r="RL315" s="130"/>
      <c r="RM315" s="130"/>
      <c r="RN315" s="130"/>
      <c r="TT315" s="130"/>
      <c r="TU315" s="130"/>
      <c r="TV315" s="130"/>
      <c r="TW315" s="130"/>
      <c r="TX315" s="130"/>
      <c r="TY315" s="130"/>
      <c r="TZ315" s="130"/>
      <c r="UA315" s="130"/>
      <c r="UB315" s="130"/>
      <c r="UC315" s="130"/>
      <c r="UD315" s="130"/>
      <c r="UE315" s="130"/>
      <c r="UF315" s="130"/>
      <c r="UG315" s="130"/>
      <c r="UH315" s="130"/>
      <c r="UI315" s="130"/>
      <c r="UJ315" s="130"/>
      <c r="UK315" s="130"/>
      <c r="UL315" s="130"/>
      <c r="UM315" s="130"/>
      <c r="UN315" s="130"/>
      <c r="UO315" s="130"/>
      <c r="UP315" s="130"/>
      <c r="UQ315" s="130"/>
      <c r="UR315" s="130"/>
      <c r="US315" s="130"/>
      <c r="UT315" s="130"/>
      <c r="UU315" s="130"/>
      <c r="AGL315" s="851"/>
      <c r="AGM315" s="1163" t="s">
        <v>1436</v>
      </c>
      <c r="AGN315" s="1163"/>
      <c r="AGO315" s="435" t="s">
        <v>1190</v>
      </c>
      <c r="AGP315" s="430">
        <v>2.2000000000000002</v>
      </c>
      <c r="AGQ315" s="794"/>
      <c r="AGR315" s="795"/>
      <c r="AGS315" s="795"/>
      <c r="AGT315" s="795"/>
      <c r="AGU315" s="795"/>
      <c r="AGV315" s="795"/>
      <c r="AGW315" s="795"/>
      <c r="AGX315" s="1169"/>
      <c r="AGY315" s="778"/>
      <c r="AGZ315" s="799"/>
      <c r="AHA315" s="1169"/>
      <c r="AHB315" s="778"/>
      <c r="AHC315" s="799"/>
      <c r="AHD315" s="1303"/>
      <c r="AHE315" s="1304"/>
      <c r="AHF315" s="1249"/>
      <c r="AHG315" s="1306"/>
      <c r="AHH315" s="1306"/>
      <c r="AHI315" s="1306"/>
      <c r="AHJ315" s="1290"/>
      <c r="AHK315" s="1053"/>
      <c r="AHL315" s="1053"/>
      <c r="AHM315" s="1053"/>
      <c r="AHN315" s="1053"/>
      <c r="AHO315" s="1053"/>
      <c r="AHP315" s="1053"/>
      <c r="AHQ315" s="1053"/>
    </row>
    <row r="316" spans="260:918" ht="48" customHeight="1">
      <c r="IZ316" s="130"/>
      <c r="JA316" s="130"/>
      <c r="JB316" s="130"/>
      <c r="JC316" s="130"/>
      <c r="JD316" s="130"/>
      <c r="QR316" s="130"/>
      <c r="QS316" s="130"/>
      <c r="QT316" s="130"/>
      <c r="QU316" s="130"/>
      <c r="QV316" s="130"/>
      <c r="QW316" s="130"/>
      <c r="QX316" s="130"/>
      <c r="QY316" s="130"/>
      <c r="QZ316" s="130"/>
      <c r="RA316" s="130"/>
      <c r="RB316" s="130"/>
      <c r="RC316" s="130"/>
      <c r="RD316" s="130"/>
      <c r="RE316" s="130"/>
      <c r="RF316" s="130"/>
      <c r="RG316" s="130"/>
      <c r="RH316" s="130"/>
      <c r="RI316" s="130"/>
      <c r="RJ316" s="130"/>
      <c r="RK316" s="130"/>
      <c r="RL316" s="130"/>
      <c r="RM316" s="130"/>
      <c r="RN316" s="130"/>
      <c r="TT316" s="130"/>
      <c r="TU316" s="130"/>
      <c r="TV316" s="130"/>
      <c r="TW316" s="130"/>
      <c r="TX316" s="130"/>
      <c r="TY316" s="130"/>
      <c r="TZ316" s="130"/>
      <c r="UA316" s="130"/>
      <c r="UB316" s="130"/>
      <c r="UC316" s="130"/>
      <c r="UD316" s="130"/>
      <c r="UE316" s="130"/>
      <c r="UF316" s="130"/>
      <c r="UG316" s="130"/>
      <c r="UH316" s="130"/>
      <c r="UI316" s="130"/>
      <c r="UJ316" s="130"/>
      <c r="UK316" s="130"/>
      <c r="UL316" s="130"/>
      <c r="UM316" s="130"/>
      <c r="UN316" s="130"/>
      <c r="UO316" s="130"/>
      <c r="UP316" s="130"/>
      <c r="UQ316" s="130"/>
      <c r="UR316" s="130"/>
      <c r="US316" s="130"/>
      <c r="UT316" s="130"/>
      <c r="UU316" s="130"/>
    </row>
    <row r="317" spans="260:918" ht="48" customHeight="1">
      <c r="IZ317" s="130"/>
      <c r="JA317" s="130"/>
      <c r="JB317" s="130"/>
      <c r="JC317" s="130"/>
      <c r="JD317" s="130"/>
      <c r="QR317" s="130"/>
      <c r="QS317" s="130"/>
      <c r="QT317" s="130"/>
      <c r="QU317" s="130"/>
      <c r="QV317" s="130"/>
      <c r="QW317" s="130"/>
      <c r="QX317" s="130"/>
      <c r="QY317" s="130"/>
      <c r="QZ317" s="130"/>
      <c r="RA317" s="130"/>
      <c r="RB317" s="130"/>
      <c r="RC317" s="130"/>
      <c r="RD317" s="130"/>
      <c r="RE317" s="130"/>
      <c r="RF317" s="130"/>
      <c r="RG317" s="130"/>
      <c r="RH317" s="130"/>
      <c r="RI317" s="130"/>
      <c r="RJ317" s="130"/>
      <c r="RK317" s="130"/>
      <c r="RL317" s="130"/>
      <c r="RM317" s="130"/>
      <c r="RN317" s="130"/>
      <c r="TT317" s="130"/>
      <c r="TU317" s="130"/>
      <c r="TV317" s="130"/>
      <c r="TW317" s="130"/>
      <c r="TX317" s="130"/>
      <c r="TY317" s="130"/>
      <c r="TZ317" s="130"/>
      <c r="UA317" s="130"/>
      <c r="UB317" s="130"/>
      <c r="UC317" s="130"/>
      <c r="UD317" s="130"/>
      <c r="UE317" s="130"/>
      <c r="UF317" s="130"/>
      <c r="UG317" s="130"/>
      <c r="UH317" s="130"/>
      <c r="UI317" s="130"/>
      <c r="UJ317" s="130"/>
      <c r="UK317" s="130"/>
      <c r="UL317" s="130"/>
      <c r="UM317" s="130"/>
      <c r="UN317" s="130"/>
      <c r="UO317" s="130"/>
      <c r="UP317" s="130"/>
      <c r="UQ317" s="130"/>
      <c r="UR317" s="130"/>
      <c r="US317" s="130"/>
      <c r="UT317" s="130"/>
      <c r="UU317" s="130"/>
      <c r="AGN317" s="1052"/>
      <c r="AGO317" s="1257" t="s">
        <v>1745</v>
      </c>
      <c r="AGP317" s="1257"/>
      <c r="AGQ317" s="1052"/>
      <c r="AGR317" s="957" t="s">
        <v>1043</v>
      </c>
      <c r="AGS317" s="957"/>
      <c r="AGT317" s="957"/>
      <c r="AGU317" s="957"/>
      <c r="AGV317" s="957"/>
      <c r="AGW317" s="957"/>
      <c r="AGX317" s="957"/>
      <c r="AGY317" s="957"/>
      <c r="AGZ317" s="957"/>
      <c r="AHA317" s="957"/>
      <c r="AHB317" s="957"/>
      <c r="AHC317" s="1052"/>
      <c r="AHJ317" s="130"/>
      <c r="AHK317" s="130"/>
      <c r="AHL317" s="130"/>
      <c r="AHM317" s="130"/>
      <c r="AHN317" s="130"/>
      <c r="AHO317" s="130"/>
      <c r="AHP317" s="130"/>
      <c r="AHQ317" s="130"/>
    </row>
    <row r="318" spans="260:918" ht="48" customHeight="1">
      <c r="IZ318" s="130"/>
      <c r="JA318" s="130"/>
      <c r="JB318" s="130"/>
      <c r="JC318" s="130"/>
      <c r="JD318" s="130"/>
      <c r="QR318" s="130"/>
      <c r="QS318" s="130"/>
      <c r="QT318" s="130"/>
      <c r="QU318" s="130"/>
      <c r="QV318" s="130"/>
      <c r="QW318" s="130"/>
      <c r="QX318" s="130"/>
      <c r="QY318" s="130"/>
      <c r="QZ318" s="130"/>
      <c r="RA318" s="130"/>
      <c r="RB318" s="130"/>
      <c r="RC318" s="130"/>
      <c r="RD318" s="130"/>
      <c r="RE318" s="130"/>
      <c r="RF318" s="130"/>
      <c r="RG318" s="130"/>
      <c r="RH318" s="130"/>
      <c r="RI318" s="130"/>
      <c r="RJ318" s="130"/>
      <c r="RK318" s="130"/>
      <c r="RL318" s="130"/>
      <c r="RM318" s="130"/>
      <c r="RN318" s="130"/>
      <c r="TT318" s="130"/>
      <c r="TU318" s="130"/>
      <c r="TV318" s="130"/>
      <c r="TW318" s="130"/>
      <c r="TX318" s="130"/>
      <c r="TY318" s="130"/>
      <c r="TZ318" s="130"/>
      <c r="UA318" s="130"/>
      <c r="UB318" s="130"/>
      <c r="UC318" s="130"/>
      <c r="UD318" s="130"/>
      <c r="UE318" s="130"/>
      <c r="UF318" s="130"/>
      <c r="UG318" s="130"/>
      <c r="UH318" s="130"/>
      <c r="UI318" s="130"/>
      <c r="UJ318" s="130"/>
      <c r="UK318" s="130"/>
      <c r="UL318" s="130"/>
      <c r="UM318" s="130"/>
      <c r="UN318" s="130"/>
      <c r="UO318" s="130"/>
      <c r="UP318" s="130"/>
      <c r="UQ318" s="130"/>
      <c r="UR318" s="130"/>
      <c r="US318" s="130"/>
      <c r="UT318" s="130"/>
      <c r="UU318" s="130"/>
      <c r="AGN318" s="1052"/>
      <c r="AGO318" s="1257"/>
      <c r="AGP318" s="1257"/>
      <c r="AGQ318" s="1052"/>
      <c r="AGR318" s="957"/>
      <c r="AGS318" s="957"/>
      <c r="AGT318" s="957"/>
      <c r="AGU318" s="957"/>
      <c r="AGV318" s="957"/>
      <c r="AGW318" s="957"/>
      <c r="AGX318" s="957"/>
      <c r="AGY318" s="957"/>
      <c r="AGZ318" s="957"/>
      <c r="AHA318" s="957"/>
      <c r="AHB318" s="957"/>
      <c r="AHC318" s="1052"/>
      <c r="AHJ318" s="130"/>
      <c r="AHK318" s="130"/>
      <c r="AHL318" s="130"/>
      <c r="AHM318" s="130"/>
      <c r="AHN318" s="130"/>
      <c r="AHO318" s="130"/>
      <c r="AHP318" s="130"/>
      <c r="AHQ318" s="130"/>
    </row>
    <row r="319" spans="260:918" ht="48" customHeight="1">
      <c r="QR319" s="130"/>
      <c r="QS319" s="130"/>
      <c r="QT319" s="130"/>
      <c r="QU319" s="130"/>
      <c r="QV319" s="130"/>
      <c r="QW319" s="130"/>
      <c r="QX319" s="130"/>
      <c r="QY319" s="130"/>
      <c r="QZ319" s="130"/>
      <c r="RA319" s="130"/>
      <c r="RB319" s="130"/>
      <c r="RC319" s="130"/>
      <c r="RD319" s="130"/>
      <c r="RE319" s="130"/>
      <c r="RF319" s="130"/>
      <c r="RG319" s="130"/>
      <c r="RH319" s="130"/>
      <c r="RI319" s="130"/>
      <c r="RJ319" s="130"/>
      <c r="RK319" s="130"/>
      <c r="RL319" s="130"/>
      <c r="RM319" s="130"/>
      <c r="RN319" s="130"/>
      <c r="TT319" s="130"/>
      <c r="TU319" s="130"/>
      <c r="TV319" s="130"/>
      <c r="TW319" s="130"/>
      <c r="TX319" s="130"/>
      <c r="TY319" s="130"/>
      <c r="TZ319" s="130"/>
      <c r="UA319" s="130"/>
      <c r="UB319" s="130"/>
      <c r="UC319" s="130"/>
      <c r="UD319" s="130"/>
      <c r="UE319" s="130"/>
      <c r="UF319" s="130"/>
      <c r="UG319" s="130"/>
      <c r="UH319" s="130"/>
      <c r="UI319" s="130"/>
      <c r="UJ319" s="130"/>
      <c r="UK319" s="130"/>
      <c r="UL319" s="130"/>
      <c r="UM319" s="130"/>
      <c r="UN319" s="130"/>
      <c r="UO319" s="130"/>
      <c r="UP319" s="130"/>
      <c r="UQ319" s="130"/>
      <c r="UR319" s="130"/>
      <c r="US319" s="130"/>
      <c r="UT319" s="130"/>
      <c r="UU319" s="130"/>
      <c r="AGL319" s="130"/>
      <c r="AGM319" s="130"/>
      <c r="AGN319" s="130"/>
      <c r="AGO319" s="130"/>
      <c r="AGP319" s="130"/>
      <c r="AGQ319" s="130"/>
      <c r="AGR319" s="130"/>
      <c r="AGS319" s="130"/>
      <c r="AGT319" s="130"/>
      <c r="AGU319" s="130"/>
      <c r="AGV319" s="130"/>
      <c r="AGW319" s="130"/>
      <c r="AGX319" s="130"/>
      <c r="AGY319" s="130"/>
      <c r="AGZ319" s="130"/>
      <c r="AHA319" s="130"/>
      <c r="AHB319" s="130"/>
      <c r="AHC319" s="130"/>
      <c r="AHD319" s="130"/>
      <c r="AHE319" s="130"/>
      <c r="AHF319" s="130"/>
      <c r="AHG319" s="130"/>
      <c r="AHH319" s="130"/>
      <c r="AHI319" s="130"/>
      <c r="AHJ319" s="130"/>
      <c r="AHK319" s="130"/>
      <c r="AHL319" s="130"/>
      <c r="AHM319" s="130"/>
      <c r="AHN319" s="130"/>
      <c r="AHO319" s="130"/>
      <c r="AHP319" s="130"/>
      <c r="AHQ319" s="130"/>
    </row>
    <row r="320" spans="260:918" ht="48" customHeight="1" thickBot="1">
      <c r="QR320" s="130"/>
      <c r="QS320" s="130"/>
      <c r="QT320" s="130"/>
      <c r="QU320" s="130"/>
      <c r="QV320" s="130"/>
      <c r="QW320" s="130"/>
      <c r="QX320" s="130"/>
      <c r="QY320" s="130"/>
      <c r="QZ320" s="130"/>
      <c r="RA320" s="130"/>
      <c r="RB320" s="130"/>
      <c r="RC320" s="130"/>
      <c r="RD320" s="130"/>
      <c r="RE320" s="130"/>
      <c r="RF320" s="130"/>
      <c r="RG320" s="130"/>
      <c r="RH320" s="130"/>
      <c r="RI320" s="130"/>
      <c r="RJ320" s="130"/>
      <c r="RK320" s="130"/>
      <c r="RL320" s="130"/>
      <c r="RM320" s="130"/>
      <c r="RN320" s="130"/>
      <c r="TT320" s="130"/>
      <c r="TU320" s="130"/>
      <c r="TV320" s="130"/>
      <c r="TW320" s="130"/>
      <c r="TX320" s="130"/>
      <c r="TY320" s="130"/>
      <c r="TZ320" s="130"/>
      <c r="UA320" s="130"/>
      <c r="UB320" s="130"/>
      <c r="UC320" s="130"/>
      <c r="UD320" s="130"/>
      <c r="UE320" s="130"/>
      <c r="UF320" s="130"/>
      <c r="UG320" s="130"/>
      <c r="UH320" s="130"/>
      <c r="UI320" s="130"/>
      <c r="UJ320" s="130"/>
      <c r="UK320" s="130"/>
      <c r="UL320" s="130"/>
      <c r="UM320" s="130"/>
      <c r="UN320" s="130"/>
      <c r="UO320" s="130"/>
      <c r="UP320" s="130"/>
      <c r="UQ320" s="130"/>
      <c r="UR320" s="130"/>
      <c r="US320" s="130"/>
      <c r="UT320" s="130"/>
      <c r="UU320" s="130"/>
      <c r="AGL320" s="849"/>
      <c r="AGM320" s="852" t="s">
        <v>416</v>
      </c>
      <c r="AGN320" s="853"/>
      <c r="AGO320" s="425"/>
      <c r="AGP320" s="78"/>
      <c r="AGQ320" s="78"/>
      <c r="AGR320" s="78"/>
      <c r="AGS320" s="78"/>
      <c r="AGT320" s="78"/>
      <c r="AGU320" s="78"/>
      <c r="AGV320" s="425"/>
      <c r="AGW320" s="76" t="s">
        <v>441</v>
      </c>
      <c r="AGX320" s="854" t="s">
        <v>435</v>
      </c>
      <c r="AGY320" s="1111"/>
      <c r="AGZ320" s="920" t="s">
        <v>111</v>
      </c>
      <c r="AHA320" s="921"/>
      <c r="AHB320" s="916" t="s">
        <v>704</v>
      </c>
      <c r="AHC320" s="917"/>
      <c r="AHD320" s="906" t="s">
        <v>447</v>
      </c>
      <c r="AHE320" s="907"/>
      <c r="AHF320" s="907"/>
      <c r="AHG320" s="908"/>
      <c r="AHH320" s="906" t="s">
        <v>436</v>
      </c>
      <c r="AHI320" s="907"/>
      <c r="AHJ320" s="907"/>
      <c r="AHK320" s="907"/>
      <c r="AHL320" s="907"/>
      <c r="AHM320" s="907"/>
      <c r="AHN320" s="907"/>
      <c r="AHO320" s="908"/>
    </row>
    <row r="321" spans="460:899" ht="48" customHeight="1">
      <c r="QR321" s="130"/>
      <c r="QS321" s="130"/>
      <c r="QT321" s="130"/>
      <c r="QU321" s="130"/>
      <c r="QV321" s="130"/>
      <c r="QW321" s="130"/>
      <c r="QX321" s="130"/>
      <c r="QY321" s="130"/>
      <c r="QZ321" s="130"/>
      <c r="RA321" s="130"/>
      <c r="RB321" s="130"/>
      <c r="RC321" s="130"/>
      <c r="RD321" s="130"/>
      <c r="RE321" s="130"/>
      <c r="RF321" s="130"/>
      <c r="RG321" s="130"/>
      <c r="RH321" s="130"/>
      <c r="RI321" s="130"/>
      <c r="RJ321" s="130"/>
      <c r="RK321" s="130"/>
      <c r="RL321" s="130"/>
      <c r="RM321" s="130"/>
      <c r="RN321" s="130"/>
      <c r="TT321" s="130"/>
      <c r="TU321" s="130"/>
      <c r="TV321" s="130"/>
      <c r="TW321" s="130"/>
      <c r="TX321" s="130"/>
      <c r="TY321" s="130"/>
      <c r="TZ321" s="130"/>
      <c r="UA321" s="130"/>
      <c r="UB321" s="130"/>
      <c r="UC321" s="130"/>
      <c r="UD321" s="130"/>
      <c r="UE321" s="130"/>
      <c r="UF321" s="130"/>
      <c r="UG321" s="130"/>
      <c r="UH321" s="130"/>
      <c r="UI321" s="130"/>
      <c r="UJ321" s="130"/>
      <c r="UK321" s="130"/>
      <c r="UL321" s="130"/>
      <c r="UM321" s="130"/>
      <c r="UN321" s="130"/>
      <c r="UO321" s="130"/>
      <c r="UP321" s="130"/>
      <c r="UQ321" s="130"/>
      <c r="UR321" s="130"/>
      <c r="US321" s="130"/>
      <c r="UT321" s="130"/>
      <c r="UU321" s="130"/>
      <c r="AGL321" s="850"/>
      <c r="AGM321" s="1113" t="s">
        <v>1705</v>
      </c>
      <c r="AGN321" s="1114"/>
      <c r="AGO321" s="1115"/>
      <c r="AGP321" s="937">
        <f>$AGZ$218</f>
        <v>0.19768511452075549</v>
      </c>
      <c r="AGQ321" s="937"/>
      <c r="AGR321" s="809" t="s">
        <v>140</v>
      </c>
      <c r="AGS321" s="797"/>
      <c r="AGT321" s="797"/>
      <c r="AGU321" s="797"/>
      <c r="AGV321" s="797"/>
      <c r="AGW321" s="797"/>
      <c r="AGX321" s="797"/>
      <c r="AGY321" s="798"/>
      <c r="AGZ321" s="835">
        <f>MP86/((AGZ218/AGZ269)+AGZ250)</f>
        <v>0.24357254761099373</v>
      </c>
      <c r="AHA321" s="836"/>
      <c r="AHB321" s="839"/>
      <c r="AHC321" s="840"/>
      <c r="AHD321" s="841"/>
      <c r="AHE321" s="843" t="s">
        <v>1414</v>
      </c>
      <c r="AHF321" s="844"/>
      <c r="AHG321" s="847"/>
      <c r="AHH321" s="826"/>
      <c r="AHI321" s="945"/>
      <c r="AHJ321" s="945"/>
      <c r="AHK321" s="945"/>
      <c r="AHL321" s="945"/>
      <c r="AHM321" s="945"/>
      <c r="AHN321" s="945"/>
      <c r="AHO321" s="946"/>
    </row>
    <row r="322" spans="460:899" ht="48" customHeight="1" thickBot="1">
      <c r="QR322" s="130"/>
      <c r="QS322" s="130"/>
      <c r="QT322" s="130"/>
      <c r="QU322" s="130"/>
      <c r="QV322" s="130"/>
      <c r="QW322" s="130"/>
      <c r="QX322" s="130"/>
      <c r="QY322" s="130"/>
      <c r="QZ322" s="130"/>
      <c r="RA322" s="130"/>
      <c r="RB322" s="130"/>
      <c r="RC322" s="130"/>
      <c r="RD322" s="130"/>
      <c r="RE322" s="130"/>
      <c r="RF322" s="130"/>
      <c r="RG322" s="130"/>
      <c r="RH322" s="130"/>
      <c r="RI322" s="130"/>
      <c r="RJ322" s="130"/>
      <c r="RK322" s="130"/>
      <c r="RL322" s="130"/>
      <c r="RM322" s="130"/>
      <c r="RN322" s="130"/>
      <c r="TT322" s="130"/>
      <c r="TU322" s="130"/>
      <c r="TV322" s="130"/>
      <c r="TW322" s="130"/>
      <c r="TX322" s="130"/>
      <c r="TY322" s="130"/>
      <c r="TZ322" s="130"/>
      <c r="UA322" s="130"/>
      <c r="UB322" s="130"/>
      <c r="UC322" s="130"/>
      <c r="UD322" s="130"/>
      <c r="UE322" s="130"/>
      <c r="UF322" s="130"/>
      <c r="UG322" s="130"/>
      <c r="UH322" s="130"/>
      <c r="UI322" s="130"/>
      <c r="UJ322" s="130"/>
      <c r="UK322" s="130"/>
      <c r="UL322" s="130"/>
      <c r="UM322" s="130"/>
      <c r="UN322" s="130"/>
      <c r="UO322" s="130"/>
      <c r="UP322" s="130"/>
      <c r="UQ322" s="130"/>
      <c r="UR322" s="130"/>
      <c r="US322" s="130"/>
      <c r="UT322" s="130"/>
      <c r="UU322" s="130"/>
      <c r="AGL322" s="850"/>
      <c r="AGM322" s="800" t="s">
        <v>1492</v>
      </c>
      <c r="AGN322" s="982"/>
      <c r="AGO322" s="801"/>
      <c r="AGP322" s="1110">
        <f>$AGZ$269</f>
        <v>1.0114899143204124</v>
      </c>
      <c r="AGQ322" s="1110"/>
      <c r="AGR322" s="775"/>
      <c r="AGS322" s="776"/>
      <c r="AGT322" s="776"/>
      <c r="AGU322" s="776"/>
      <c r="AGV322" s="776"/>
      <c r="AGW322" s="776"/>
      <c r="AGX322" s="776"/>
      <c r="AGY322" s="815"/>
      <c r="AGZ322" s="837"/>
      <c r="AHA322" s="838"/>
      <c r="AHB322" s="777"/>
      <c r="AHC322" s="799"/>
      <c r="AHD322" s="842"/>
      <c r="AHE322" s="845"/>
      <c r="AHF322" s="846"/>
      <c r="AHG322" s="848"/>
      <c r="AHH322" s="827"/>
      <c r="AHI322" s="947"/>
      <c r="AHJ322" s="947"/>
      <c r="AHK322" s="947"/>
      <c r="AHL322" s="947"/>
      <c r="AHM322" s="947"/>
      <c r="AHN322" s="947"/>
      <c r="AHO322" s="948"/>
    </row>
    <row r="323" spans="460:899" ht="48" customHeight="1" thickBot="1">
      <c r="QR323" s="130"/>
      <c r="QS323" s="130"/>
      <c r="QT323" s="130"/>
      <c r="QU323" s="130"/>
      <c r="QV323" s="130"/>
      <c r="QW323" s="130"/>
      <c r="QX323" s="130"/>
      <c r="QY323" s="130"/>
      <c r="QZ323" s="130"/>
      <c r="RA323" s="130"/>
      <c r="RB323" s="130"/>
      <c r="RC323" s="130"/>
      <c r="RD323" s="130"/>
      <c r="RE323" s="130"/>
      <c r="RF323" s="130"/>
      <c r="RG323" s="130"/>
      <c r="RH323" s="130"/>
      <c r="RI323" s="130"/>
      <c r="RJ323" s="130"/>
      <c r="RK323" s="130"/>
      <c r="RL323" s="130"/>
      <c r="RM323" s="130"/>
      <c r="RN323" s="130"/>
      <c r="TT323" s="130"/>
      <c r="TU323" s="130"/>
      <c r="TV323" s="130"/>
      <c r="TW323" s="130"/>
      <c r="TX323" s="130"/>
      <c r="TY323" s="130"/>
      <c r="TZ323" s="130"/>
      <c r="UA323" s="130"/>
      <c r="UB323" s="130"/>
      <c r="UC323" s="130"/>
      <c r="UD323" s="130"/>
      <c r="UE323" s="130"/>
      <c r="UF323" s="130"/>
      <c r="UG323" s="130"/>
      <c r="UH323" s="130"/>
      <c r="UI323" s="130"/>
      <c r="UJ323" s="130"/>
      <c r="UK323" s="130"/>
      <c r="UL323" s="130"/>
      <c r="UM323" s="130"/>
      <c r="UN323" s="130"/>
      <c r="UO323" s="130"/>
      <c r="UP323" s="130"/>
      <c r="UQ323" s="130"/>
      <c r="UR323" s="130"/>
      <c r="US323" s="130"/>
      <c r="UT323" s="130"/>
      <c r="UU323" s="130"/>
      <c r="AGL323" s="851"/>
      <c r="AGM323" s="802" t="s">
        <v>1480</v>
      </c>
      <c r="AGN323" s="1116"/>
      <c r="AGO323" s="803"/>
      <c r="AGP323" s="1108">
        <f>$AGZ$250</f>
        <v>0.13385465465521237</v>
      </c>
      <c r="AGQ323" s="1109"/>
      <c r="AGR323" s="777"/>
      <c r="AGS323" s="778"/>
      <c r="AGT323" s="778"/>
      <c r="AGU323" s="778"/>
      <c r="AGV323" s="778"/>
      <c r="AGW323" s="778"/>
      <c r="AGX323" s="778"/>
      <c r="AGY323" s="799"/>
      <c r="AGZ323" s="942"/>
      <c r="AHA323" s="943"/>
      <c r="AHB323" s="943"/>
      <c r="AHC323" s="943"/>
      <c r="AHD323" s="943"/>
      <c r="AHE323" s="943"/>
      <c r="AHF323" s="943"/>
      <c r="AHG323" s="944"/>
      <c r="AHH323" s="828"/>
      <c r="AHI323" s="949"/>
      <c r="AHJ323" s="949"/>
      <c r="AHK323" s="949"/>
      <c r="AHL323" s="949"/>
      <c r="AHM323" s="949"/>
      <c r="AHN323" s="949"/>
      <c r="AHO323" s="950"/>
    </row>
    <row r="324" spans="460:899" ht="48" customHeight="1">
      <c r="QR324" s="130"/>
      <c r="QS324" s="130"/>
      <c r="QT324" s="130"/>
      <c r="QU324" s="130"/>
      <c r="QV324" s="130"/>
      <c r="QW324" s="130"/>
      <c r="QX324" s="130"/>
      <c r="QY324" s="130"/>
      <c r="QZ324" s="130"/>
      <c r="RA324" s="130"/>
      <c r="RB324" s="130"/>
      <c r="RC324" s="130"/>
      <c r="RD324" s="130"/>
      <c r="RE324" s="130"/>
      <c r="RF324" s="130"/>
      <c r="RG324" s="130"/>
      <c r="RH324" s="130"/>
      <c r="RI324" s="130"/>
      <c r="RJ324" s="130"/>
      <c r="RK324" s="130"/>
      <c r="RL324" s="130"/>
      <c r="RM324" s="130"/>
      <c r="RN324" s="130"/>
      <c r="TT324" s="130"/>
      <c r="TU324" s="130"/>
      <c r="TV324" s="130"/>
      <c r="TW324" s="130"/>
      <c r="TX324" s="130"/>
      <c r="TY324" s="130"/>
      <c r="TZ324" s="130"/>
      <c r="UA324" s="130"/>
      <c r="UB324" s="130"/>
      <c r="UC324" s="130"/>
      <c r="UD324" s="130"/>
      <c r="UE324" s="130"/>
      <c r="UF324" s="130"/>
      <c r="UG324" s="130"/>
      <c r="UH324" s="130"/>
      <c r="UI324" s="130"/>
      <c r="UJ324" s="130"/>
      <c r="UK324" s="130"/>
      <c r="UL324" s="130"/>
      <c r="UM324" s="130"/>
      <c r="UN324" s="130"/>
      <c r="UO324" s="130"/>
      <c r="UP324" s="130"/>
      <c r="UQ324" s="130"/>
      <c r="UR324" s="130"/>
      <c r="US324" s="130"/>
      <c r="UT324" s="130"/>
      <c r="UU324" s="130"/>
    </row>
    <row r="325" spans="460:899" ht="48" customHeight="1" thickBot="1">
      <c r="QR325" s="130"/>
      <c r="QS325" s="130"/>
      <c r="QT325" s="130"/>
      <c r="QU325" s="130"/>
      <c r="QV325" s="130"/>
      <c r="QW325" s="130"/>
      <c r="QX325" s="130"/>
      <c r="QY325" s="130"/>
      <c r="QZ325" s="130"/>
      <c r="RA325" s="130"/>
      <c r="RB325" s="130"/>
      <c r="RC325" s="130"/>
      <c r="RD325" s="130"/>
      <c r="RE325" s="130"/>
      <c r="RF325" s="130"/>
      <c r="RG325" s="130"/>
      <c r="RH325" s="130"/>
      <c r="RI325" s="130"/>
      <c r="RJ325" s="130"/>
      <c r="RK325" s="130"/>
      <c r="RL325" s="130"/>
      <c r="RM325" s="130"/>
      <c r="RN325" s="130"/>
      <c r="TT325" s="130"/>
      <c r="TU325" s="130"/>
      <c r="TV325" s="130"/>
      <c r="TW325" s="130"/>
      <c r="TX325" s="130"/>
      <c r="TY325" s="130"/>
      <c r="TZ325" s="130"/>
      <c r="UA325" s="130"/>
      <c r="UB325" s="130"/>
      <c r="UC325" s="130"/>
      <c r="UD325" s="130"/>
      <c r="UE325" s="130"/>
      <c r="UF325" s="130"/>
      <c r="UG325" s="130"/>
      <c r="UH325" s="130"/>
      <c r="UI325" s="130"/>
      <c r="UJ325" s="130"/>
      <c r="UK325" s="130"/>
      <c r="UL325" s="130"/>
      <c r="UM325" s="130"/>
      <c r="UN325" s="130"/>
      <c r="UO325" s="130"/>
      <c r="UP325" s="130"/>
      <c r="UQ325" s="130"/>
      <c r="UR325" s="130"/>
      <c r="US325" s="130"/>
      <c r="UT325" s="130"/>
      <c r="UU325" s="130"/>
      <c r="AGL325" s="849"/>
      <c r="AGM325" s="852" t="s">
        <v>416</v>
      </c>
      <c r="AGN325" s="853"/>
      <c r="AGO325" s="138"/>
      <c r="AGP325" s="78"/>
      <c r="AGQ325" s="78"/>
      <c r="AGR325" s="78"/>
      <c r="AGS325" s="78"/>
      <c r="AGT325" s="78"/>
      <c r="AGU325" s="78"/>
      <c r="AGV325" s="138"/>
      <c r="AGW325" s="76" t="s">
        <v>441</v>
      </c>
      <c r="AGX325" s="854" t="s">
        <v>435</v>
      </c>
      <c r="AGY325" s="855"/>
      <c r="AGZ325" s="920" t="s">
        <v>111</v>
      </c>
      <c r="AHA325" s="921"/>
      <c r="AHB325" s="916" t="s">
        <v>704</v>
      </c>
      <c r="AHC325" s="917"/>
      <c r="AHD325" s="906" t="s">
        <v>447</v>
      </c>
      <c r="AHE325" s="907"/>
      <c r="AHF325" s="907"/>
      <c r="AHG325" s="907"/>
      <c r="AHH325" s="1051" t="s">
        <v>436</v>
      </c>
      <c r="AHI325" s="1051"/>
      <c r="AHJ325" s="1051"/>
      <c r="AHK325" s="1051"/>
      <c r="AHL325" s="1051"/>
      <c r="AHM325" s="1051"/>
    </row>
    <row r="326" spans="460:899" ht="48" customHeight="1">
      <c r="QR326" s="130"/>
      <c r="QS326" s="130"/>
      <c r="QT326" s="130"/>
      <c r="QU326" s="130"/>
      <c r="QV326" s="130"/>
      <c r="QW326" s="130"/>
      <c r="QX326" s="130"/>
      <c r="QY326" s="130"/>
      <c r="QZ326" s="130"/>
      <c r="RA326" s="130"/>
      <c r="RB326" s="130"/>
      <c r="RC326" s="130"/>
      <c r="RD326" s="130"/>
      <c r="RE326" s="130"/>
      <c r="RF326" s="130"/>
      <c r="RG326" s="130"/>
      <c r="RH326" s="130"/>
      <c r="RI326" s="130"/>
      <c r="RJ326" s="130"/>
      <c r="RK326" s="130"/>
      <c r="RL326" s="130"/>
      <c r="RM326" s="130"/>
      <c r="RN326" s="130"/>
      <c r="TT326" s="130"/>
      <c r="TU326" s="130"/>
      <c r="TV326" s="130"/>
      <c r="TW326" s="130"/>
      <c r="TX326" s="130"/>
      <c r="TY326" s="130"/>
      <c r="TZ326" s="130"/>
      <c r="UA326" s="130"/>
      <c r="UB326" s="130"/>
      <c r="UC326" s="130"/>
      <c r="UD326" s="130"/>
      <c r="UE326" s="130"/>
      <c r="UF326" s="130"/>
      <c r="UG326" s="130"/>
      <c r="UH326" s="130"/>
      <c r="UI326" s="130"/>
      <c r="UJ326" s="130"/>
      <c r="UK326" s="130"/>
      <c r="UL326" s="130"/>
      <c r="UM326" s="130"/>
      <c r="UN326" s="130"/>
      <c r="UO326" s="130"/>
      <c r="UP326" s="130"/>
      <c r="UQ326" s="130"/>
      <c r="UR326" s="130"/>
      <c r="US326" s="130"/>
      <c r="UT326" s="130"/>
      <c r="UU326" s="130"/>
      <c r="AEM326" s="653"/>
      <c r="AEN326" s="653"/>
      <c r="AEO326" s="653"/>
      <c r="AEP326" s="653"/>
      <c r="AEQ326" s="653"/>
      <c r="AER326" s="653"/>
      <c r="AES326" s="653"/>
      <c r="AET326" s="653"/>
      <c r="AEU326" s="653"/>
      <c r="AEV326" s="653"/>
      <c r="AEW326" s="653"/>
      <c r="AEX326" s="653"/>
      <c r="AEY326" s="653"/>
      <c r="AEZ326" s="653"/>
      <c r="AFA326" s="653"/>
      <c r="AFB326" s="653"/>
      <c r="AFC326" s="653"/>
      <c r="AFD326" s="653"/>
      <c r="AFE326" s="653"/>
      <c r="AFF326" s="653"/>
      <c r="AFG326" s="653"/>
      <c r="AFH326" s="653"/>
      <c r="AFI326" s="653"/>
      <c r="AFJ326" s="653"/>
      <c r="AFK326" s="653"/>
      <c r="AFL326" s="653"/>
      <c r="AFM326" s="653"/>
      <c r="AFN326" s="653"/>
      <c r="AFO326" s="653"/>
      <c r="AFP326" s="653"/>
      <c r="AFQ326" s="653"/>
      <c r="AFR326" s="653"/>
      <c r="AFS326" s="653"/>
      <c r="AFT326" s="653"/>
      <c r="AFU326" s="653"/>
      <c r="AFV326" s="653"/>
      <c r="AFW326" s="653"/>
      <c r="AFX326" s="653"/>
      <c r="AFY326" s="653"/>
      <c r="AFZ326" s="653"/>
      <c r="AGA326" s="653"/>
      <c r="AGB326" s="653"/>
      <c r="AGC326" s="653"/>
      <c r="AGD326" s="653"/>
      <c r="AGE326" s="653"/>
      <c r="AGF326" s="653"/>
      <c r="AGG326" s="653"/>
      <c r="AGH326" s="653"/>
      <c r="AGI326" s="653"/>
      <c r="AGJ326" s="653"/>
      <c r="AGK326" s="653"/>
      <c r="AGL326" s="850"/>
      <c r="AGM326" s="1113" t="s">
        <v>1705</v>
      </c>
      <c r="AGN326" s="1114"/>
      <c r="AGO326" s="1115"/>
      <c r="AGP326" s="937">
        <f>$AGZ$218</f>
        <v>0.19768511452075549</v>
      </c>
      <c r="AGQ326" s="937"/>
      <c r="AGR326" s="797" t="s">
        <v>125</v>
      </c>
      <c r="AGS326" s="797"/>
      <c r="AGT326" s="797"/>
      <c r="AGU326" s="797"/>
      <c r="AGV326" s="797"/>
      <c r="AGW326" s="797"/>
      <c r="AGX326" s="797"/>
      <c r="AGY326" s="798"/>
      <c r="AGZ326" s="835">
        <f>AGQ332/((AGP326/AGP327)+AGP328)</f>
        <v>0.24357254761099373</v>
      </c>
      <c r="AHA326" s="836"/>
      <c r="AHB326" s="1341" t="s">
        <v>729</v>
      </c>
      <c r="AHC326" s="1342"/>
      <c r="AHD326" s="841"/>
      <c r="AHE326" s="843" t="s">
        <v>1414</v>
      </c>
      <c r="AHF326" s="844"/>
      <c r="AHG326" s="1255"/>
      <c r="AHH326" s="1052"/>
      <c r="AHI326" s="1052"/>
      <c r="AHJ326" s="1052"/>
      <c r="AHK326" s="1052"/>
      <c r="AHL326" s="1052"/>
      <c r="AHM326" s="1052"/>
    </row>
    <row r="327" spans="460:899" ht="48" customHeight="1" thickBot="1">
      <c r="QR327" s="130"/>
      <c r="QS327" s="130"/>
      <c r="QT327" s="130"/>
      <c r="QU327" s="130"/>
      <c r="QV327" s="130"/>
      <c r="QW327" s="130"/>
      <c r="QX327" s="130"/>
      <c r="QY327" s="130"/>
      <c r="QZ327" s="130"/>
      <c r="RA327" s="130"/>
      <c r="RB327" s="130"/>
      <c r="RC327" s="130"/>
      <c r="RD327" s="130"/>
      <c r="RE327" s="130"/>
      <c r="RF327" s="130"/>
      <c r="RG327" s="130"/>
      <c r="RH327" s="130"/>
      <c r="RI327" s="130"/>
      <c r="RJ327" s="130"/>
      <c r="RK327" s="130"/>
      <c r="RL327" s="130"/>
      <c r="RM327" s="130"/>
      <c r="RN327" s="130"/>
      <c r="TT327" s="130"/>
      <c r="TU327" s="130"/>
      <c r="TV327" s="130"/>
      <c r="TW327" s="130"/>
      <c r="TX327" s="130"/>
      <c r="TY327" s="130"/>
      <c r="TZ327" s="130"/>
      <c r="UA327" s="130"/>
      <c r="UB327" s="130"/>
      <c r="UC327" s="130"/>
      <c r="UD327" s="130"/>
      <c r="UE327" s="130"/>
      <c r="UF327" s="130"/>
      <c r="UG327" s="130"/>
      <c r="UH327" s="130"/>
      <c r="UI327" s="130"/>
      <c r="UJ327" s="130"/>
      <c r="UK327" s="130"/>
      <c r="UL327" s="130"/>
      <c r="UM327" s="130"/>
      <c r="UN327" s="130"/>
      <c r="UO327" s="130"/>
      <c r="UP327" s="130"/>
      <c r="UQ327" s="130"/>
      <c r="UR327" s="130"/>
      <c r="US327" s="130"/>
      <c r="UT327" s="130"/>
      <c r="UU327" s="130"/>
      <c r="AEM327" s="653"/>
      <c r="AEN327" s="653"/>
      <c r="AEO327" s="653"/>
      <c r="AEP327" s="653"/>
      <c r="AEQ327" s="653"/>
      <c r="AER327" s="653"/>
      <c r="AES327" s="653"/>
      <c r="AET327" s="653"/>
      <c r="AEU327" s="653"/>
      <c r="AEV327" s="653"/>
      <c r="AEW327" s="653"/>
      <c r="AEX327" s="653"/>
      <c r="AEY327" s="653"/>
      <c r="AEZ327" s="653"/>
      <c r="AFA327" s="653"/>
      <c r="AFB327" s="653"/>
      <c r="AFC327" s="653"/>
      <c r="AFD327" s="653"/>
      <c r="AGK327" s="653"/>
      <c r="AGL327" s="850"/>
      <c r="AGM327" s="800" t="s">
        <v>1492</v>
      </c>
      <c r="AGN327" s="982"/>
      <c r="AGO327" s="801"/>
      <c r="AGP327" s="1110">
        <f>$AGZ$269</f>
        <v>1.0114899143204124</v>
      </c>
      <c r="AGQ327" s="1110"/>
      <c r="AGR327" s="776"/>
      <c r="AGS327" s="776"/>
      <c r="AGT327" s="776"/>
      <c r="AGU327" s="776"/>
      <c r="AGV327" s="776"/>
      <c r="AGW327" s="776"/>
      <c r="AGX327" s="776"/>
      <c r="AGY327" s="815"/>
      <c r="AGZ327" s="837"/>
      <c r="AHA327" s="838"/>
      <c r="AHB327" s="1355"/>
      <c r="AHC327" s="1356"/>
      <c r="AHD327" s="842"/>
      <c r="AHE327" s="845"/>
      <c r="AHF327" s="846"/>
      <c r="AHG327" s="1256"/>
      <c r="AHH327" s="1052"/>
      <c r="AHI327" s="1052"/>
      <c r="AHJ327" s="1052"/>
      <c r="AHK327" s="1052"/>
      <c r="AHL327" s="1052"/>
      <c r="AHM327" s="1052"/>
    </row>
    <row r="328" spans="460:899" ht="48" customHeight="1" thickBot="1">
      <c r="QR328" s="130"/>
      <c r="QS328" s="130"/>
      <c r="QT328" s="130"/>
      <c r="QU328" s="130"/>
      <c r="QV328" s="130"/>
      <c r="QW328" s="130"/>
      <c r="QX328" s="130"/>
      <c r="QY328" s="130"/>
      <c r="QZ328" s="130"/>
      <c r="RA328" s="130"/>
      <c r="RB328" s="130"/>
      <c r="RC328" s="130"/>
      <c r="RD328" s="130"/>
      <c r="RE328" s="130"/>
      <c r="RF328" s="130"/>
      <c r="RG328" s="130"/>
      <c r="RH328" s="130"/>
      <c r="RI328" s="130"/>
      <c r="RJ328" s="130"/>
      <c r="RK328" s="130"/>
      <c r="RL328" s="130"/>
      <c r="RM328" s="130"/>
      <c r="RN328" s="130"/>
      <c r="RO328" s="130"/>
      <c r="RP328" s="130"/>
      <c r="RQ328" s="130"/>
      <c r="RR328" s="130"/>
      <c r="RS328" s="130"/>
      <c r="RT328" s="130"/>
      <c r="RU328" s="130"/>
      <c r="RV328" s="130"/>
      <c r="RW328" s="130"/>
      <c r="RX328" s="130"/>
      <c r="RY328" s="130"/>
      <c r="RZ328" s="130"/>
      <c r="SA328" s="130"/>
      <c r="SB328" s="130"/>
      <c r="SC328" s="130"/>
      <c r="SD328" s="130"/>
      <c r="SE328" s="130"/>
      <c r="SF328" s="130"/>
      <c r="SG328" s="130"/>
      <c r="SH328" s="130"/>
      <c r="SI328" s="130"/>
      <c r="SJ328" s="130"/>
      <c r="SK328" s="130"/>
      <c r="SL328" s="130"/>
      <c r="SM328" s="130"/>
      <c r="SN328" s="130"/>
      <c r="SO328" s="130"/>
      <c r="SP328" s="130"/>
      <c r="SQ328" s="130"/>
      <c r="SR328" s="130"/>
      <c r="SS328" s="130"/>
      <c r="ST328" s="130"/>
      <c r="SU328" s="130"/>
      <c r="SV328" s="130"/>
      <c r="SW328" s="130"/>
      <c r="SX328" s="130"/>
      <c r="SY328" s="130"/>
      <c r="SZ328" s="130"/>
      <c r="TA328" s="130"/>
      <c r="TB328" s="130"/>
      <c r="TC328" s="130"/>
      <c r="TD328" s="130"/>
      <c r="TE328" s="130"/>
      <c r="TF328" s="130"/>
      <c r="TG328" s="130"/>
      <c r="TH328" s="130"/>
      <c r="TI328" s="130"/>
      <c r="TJ328" s="130"/>
      <c r="TK328" s="130"/>
      <c r="TL328" s="130"/>
      <c r="TM328" s="130"/>
      <c r="TN328" s="130"/>
      <c r="TO328" s="130"/>
      <c r="TP328" s="130"/>
      <c r="TQ328" s="130"/>
      <c r="TR328" s="130"/>
      <c r="TS328" s="130"/>
      <c r="TT328" s="130"/>
      <c r="TU328" s="130"/>
      <c r="TV328" s="130"/>
      <c r="TW328" s="130"/>
      <c r="TX328" s="130"/>
      <c r="TY328" s="130"/>
      <c r="TZ328" s="130"/>
      <c r="UA328" s="130"/>
      <c r="UB328" s="130"/>
      <c r="UC328" s="130"/>
      <c r="UD328" s="130"/>
      <c r="UE328" s="130"/>
      <c r="UF328" s="130"/>
      <c r="UG328" s="130"/>
      <c r="UH328" s="130"/>
      <c r="UI328" s="130"/>
      <c r="UJ328" s="130"/>
      <c r="UK328" s="130"/>
      <c r="UL328" s="130"/>
      <c r="UM328" s="130"/>
      <c r="UN328" s="130"/>
      <c r="UO328" s="130"/>
      <c r="UP328" s="130"/>
      <c r="UQ328" s="130"/>
      <c r="UR328" s="130"/>
      <c r="US328" s="130"/>
      <c r="UT328" s="130"/>
      <c r="UU328" s="130"/>
      <c r="AEM328" s="653"/>
      <c r="AEN328" s="653"/>
      <c r="AEO328" s="653"/>
      <c r="AEP328" s="653"/>
      <c r="AEQ328" s="653"/>
      <c r="AER328" s="653"/>
      <c r="AES328" s="653"/>
      <c r="AET328" s="653"/>
      <c r="AEU328" s="653"/>
      <c r="AEV328" s="653"/>
      <c r="AEW328" s="653"/>
      <c r="AEX328" s="653"/>
      <c r="AEY328" s="653"/>
      <c r="AEZ328" s="653"/>
      <c r="AFA328" s="653"/>
      <c r="AFB328" s="653"/>
      <c r="AFC328" s="653"/>
      <c r="AFD328" s="653"/>
      <c r="AGK328" s="653"/>
      <c r="AGL328" s="851"/>
      <c r="AGM328" s="802" t="s">
        <v>1480</v>
      </c>
      <c r="AGN328" s="1116"/>
      <c r="AGO328" s="803"/>
      <c r="AGP328" s="1108">
        <f>$AGZ$250</f>
        <v>0.13385465465521237</v>
      </c>
      <c r="AGQ328" s="1109"/>
      <c r="AGR328" s="778"/>
      <c r="AGS328" s="778"/>
      <c r="AGT328" s="778"/>
      <c r="AGU328" s="778"/>
      <c r="AGV328" s="778"/>
      <c r="AGW328" s="778"/>
      <c r="AGX328" s="778"/>
      <c r="AGY328" s="799"/>
      <c r="AGZ328" s="812"/>
      <c r="AHA328" s="813"/>
      <c r="AHB328" s="813"/>
      <c r="AHC328" s="813"/>
      <c r="AHD328" s="813"/>
      <c r="AHE328" s="813"/>
      <c r="AHF328" s="813"/>
      <c r="AHG328" s="814"/>
      <c r="AHH328" s="1053"/>
      <c r="AHI328" s="1053"/>
      <c r="AHJ328" s="1053"/>
      <c r="AHK328" s="1053"/>
      <c r="AHL328" s="1053"/>
      <c r="AHM328" s="1053"/>
    </row>
    <row r="329" spans="460:899" ht="48" customHeight="1">
      <c r="QR329" s="130"/>
      <c r="QS329" s="130"/>
      <c r="QT329" s="130"/>
      <c r="QU329" s="130"/>
      <c r="QV329" s="130"/>
      <c r="QW329" s="130"/>
      <c r="QX329" s="130"/>
      <c r="QY329" s="130"/>
      <c r="QZ329" s="130"/>
      <c r="RA329" s="130"/>
      <c r="RB329" s="130"/>
      <c r="RC329" s="130"/>
      <c r="RD329" s="130"/>
      <c r="RE329" s="130"/>
      <c r="RF329" s="130"/>
      <c r="RG329" s="130"/>
      <c r="RH329" s="130"/>
      <c r="RI329" s="130"/>
      <c r="RJ329" s="130"/>
      <c r="RK329" s="130"/>
      <c r="RL329" s="130"/>
      <c r="RM329" s="130"/>
      <c r="RN329" s="130"/>
      <c r="RO329" s="130"/>
      <c r="RP329" s="130"/>
      <c r="RQ329" s="130"/>
      <c r="RR329" s="130"/>
      <c r="RS329" s="130"/>
      <c r="RT329" s="130"/>
      <c r="RU329" s="130"/>
      <c r="RV329" s="130"/>
      <c r="RW329" s="130"/>
      <c r="RX329" s="130"/>
      <c r="RY329" s="130"/>
      <c r="RZ329" s="130"/>
      <c r="SA329" s="130"/>
      <c r="SB329" s="130"/>
      <c r="SC329" s="130"/>
      <c r="SD329" s="130"/>
      <c r="SE329" s="130"/>
      <c r="SF329" s="130"/>
      <c r="SG329" s="130"/>
      <c r="SH329" s="130"/>
      <c r="SI329" s="130"/>
      <c r="SJ329" s="130"/>
      <c r="SK329" s="130"/>
      <c r="SL329" s="130"/>
      <c r="SM329" s="130"/>
      <c r="SN329" s="130"/>
      <c r="SO329" s="130"/>
      <c r="SP329" s="130"/>
      <c r="SQ329" s="130"/>
      <c r="SR329" s="130"/>
      <c r="SS329" s="130"/>
      <c r="ST329" s="130"/>
      <c r="SU329" s="130"/>
      <c r="SV329" s="130"/>
      <c r="SW329" s="130"/>
      <c r="SX329" s="130"/>
      <c r="SY329" s="130"/>
      <c r="SZ329" s="130"/>
      <c r="TA329" s="130"/>
      <c r="TB329" s="130"/>
      <c r="TC329" s="130"/>
      <c r="TD329" s="130"/>
      <c r="TE329" s="130"/>
      <c r="TF329" s="130"/>
      <c r="TG329" s="130"/>
      <c r="TH329" s="130"/>
      <c r="TI329" s="130"/>
      <c r="TJ329" s="130"/>
      <c r="TK329" s="130"/>
      <c r="TL329" s="130"/>
      <c r="TM329" s="130"/>
      <c r="TN329" s="130"/>
      <c r="TO329" s="130"/>
      <c r="TP329" s="130"/>
      <c r="TQ329" s="130"/>
      <c r="TR329" s="130"/>
      <c r="TS329" s="130"/>
      <c r="TT329" s="130"/>
      <c r="TU329" s="130"/>
      <c r="TV329" s="130"/>
      <c r="TW329" s="130"/>
      <c r="TX329" s="130"/>
      <c r="TY329" s="130"/>
      <c r="TZ329" s="130"/>
      <c r="UA329" s="130"/>
      <c r="UB329" s="130"/>
      <c r="UC329" s="130"/>
      <c r="UD329" s="130"/>
      <c r="UE329" s="130"/>
      <c r="UF329" s="130"/>
      <c r="UG329" s="130"/>
      <c r="UH329" s="130"/>
      <c r="UI329" s="130"/>
      <c r="UJ329" s="130"/>
      <c r="UK329" s="130"/>
      <c r="UL329" s="130"/>
      <c r="UM329" s="130"/>
      <c r="UN329" s="130"/>
      <c r="UO329" s="130"/>
      <c r="UP329" s="130"/>
      <c r="UQ329" s="130"/>
      <c r="UR329" s="130"/>
      <c r="US329" s="130"/>
      <c r="UT329" s="130"/>
      <c r="UU329" s="130"/>
      <c r="AEM329" s="653"/>
      <c r="AEN329" s="653"/>
      <c r="AEO329" s="653"/>
      <c r="AEP329" s="653"/>
      <c r="AEQ329" s="653"/>
      <c r="AER329" s="653"/>
      <c r="AES329" s="653"/>
      <c r="AET329" s="653"/>
      <c r="AEU329" s="653"/>
      <c r="AEV329" s="653"/>
      <c r="AEW329" s="653"/>
      <c r="AEX329" s="653"/>
      <c r="AEY329" s="653"/>
      <c r="AEZ329" s="653"/>
      <c r="AFA329" s="653"/>
      <c r="AFB329" s="653"/>
      <c r="AFC329" s="653"/>
      <c r="AFD329" s="653"/>
      <c r="AFE329" s="653"/>
      <c r="AFF329" s="653"/>
      <c r="AFG329" s="653"/>
      <c r="AFH329" s="653"/>
      <c r="AFI329" s="653"/>
      <c r="AFJ329" s="653"/>
      <c r="AFK329" s="653"/>
      <c r="AFL329" s="653"/>
      <c r="AFM329" s="653"/>
      <c r="AFN329" s="653"/>
      <c r="AFO329" s="653"/>
      <c r="AFP329" s="653"/>
      <c r="AFQ329" s="653"/>
      <c r="AFR329" s="653"/>
      <c r="AFS329" s="653"/>
      <c r="AFT329" s="653"/>
      <c r="AFU329" s="653"/>
      <c r="AFV329" s="653"/>
      <c r="AFW329" s="653"/>
      <c r="AFX329" s="653"/>
      <c r="AFY329" s="653"/>
      <c r="AFZ329" s="653"/>
      <c r="AGA329" s="653"/>
      <c r="AGB329" s="653"/>
      <c r="AGC329" s="653"/>
      <c r="AGD329" s="653"/>
      <c r="AGE329" s="653"/>
      <c r="AGF329" s="653"/>
      <c r="AGG329" s="653"/>
      <c r="AGH329" s="653"/>
      <c r="AGI329" s="653"/>
      <c r="AGJ329" s="653"/>
      <c r="AGK329" s="653"/>
    </row>
    <row r="330" spans="460:899" ht="48" customHeight="1">
      <c r="QR330" s="130"/>
      <c r="QS330" s="130"/>
      <c r="QT330" s="130"/>
      <c r="QU330" s="130"/>
      <c r="QV330" s="130"/>
      <c r="QW330" s="130"/>
      <c r="QX330" s="130"/>
      <c r="QY330" s="130"/>
      <c r="QZ330" s="130"/>
      <c r="RA330" s="130"/>
      <c r="RB330" s="130"/>
      <c r="RC330" s="130"/>
      <c r="RD330" s="130"/>
      <c r="RE330" s="130"/>
      <c r="RF330" s="130"/>
      <c r="RG330" s="130"/>
      <c r="RH330" s="130"/>
      <c r="RI330" s="130"/>
      <c r="RJ330" s="130"/>
      <c r="RK330" s="130"/>
      <c r="RL330" s="130"/>
      <c r="RM330" s="130"/>
      <c r="RN330" s="130"/>
      <c r="RO330" s="130"/>
      <c r="RP330" s="130"/>
      <c r="RQ330" s="130"/>
      <c r="RR330" s="130"/>
      <c r="RS330" s="130"/>
      <c r="RT330" s="130"/>
      <c r="RU330" s="130"/>
      <c r="RV330" s="130"/>
      <c r="RW330" s="130"/>
      <c r="RX330" s="130"/>
      <c r="RY330" s="130"/>
      <c r="RZ330" s="130"/>
      <c r="SA330" s="130"/>
      <c r="SB330" s="130"/>
      <c r="SC330" s="130"/>
      <c r="SD330" s="130"/>
      <c r="SE330" s="130"/>
      <c r="SF330" s="130"/>
      <c r="SG330" s="130"/>
      <c r="SH330" s="130"/>
      <c r="SI330" s="130"/>
      <c r="SJ330" s="130"/>
      <c r="SK330" s="130"/>
      <c r="SL330" s="130"/>
      <c r="SM330" s="130"/>
      <c r="SN330" s="130"/>
      <c r="SO330" s="130"/>
      <c r="SP330" s="130"/>
      <c r="SQ330" s="130"/>
      <c r="SR330" s="130"/>
      <c r="SS330" s="130"/>
      <c r="ST330" s="130"/>
      <c r="SU330" s="130"/>
      <c r="SV330" s="130"/>
      <c r="SW330" s="130"/>
      <c r="SX330" s="130"/>
      <c r="SY330" s="130"/>
      <c r="SZ330" s="130"/>
      <c r="TA330" s="130"/>
      <c r="TB330" s="130"/>
      <c r="TC330" s="130"/>
      <c r="TD330" s="130"/>
      <c r="TE330" s="130"/>
      <c r="TF330" s="130"/>
      <c r="TG330" s="130"/>
      <c r="TH330" s="130"/>
      <c r="TI330" s="130"/>
      <c r="TJ330" s="130"/>
      <c r="TK330" s="130"/>
      <c r="TL330" s="130"/>
      <c r="TM330" s="130"/>
      <c r="TN330" s="130"/>
      <c r="TO330" s="130"/>
      <c r="TP330" s="130"/>
      <c r="TQ330" s="130"/>
      <c r="TR330" s="130"/>
      <c r="TS330" s="130"/>
      <c r="TT330" s="130"/>
      <c r="TU330" s="130"/>
      <c r="TV330" s="130"/>
      <c r="TW330" s="130"/>
      <c r="TX330" s="130"/>
      <c r="TY330" s="130"/>
      <c r="TZ330" s="130"/>
      <c r="UA330" s="130"/>
      <c r="UB330" s="130"/>
      <c r="UC330" s="130"/>
      <c r="UD330" s="130"/>
      <c r="UE330" s="130"/>
      <c r="UF330" s="130"/>
      <c r="UG330" s="130"/>
      <c r="UH330" s="130"/>
      <c r="UI330" s="130"/>
      <c r="UJ330" s="130"/>
      <c r="UK330" s="130"/>
      <c r="UL330" s="130"/>
      <c r="UM330" s="130"/>
      <c r="UN330" s="130"/>
      <c r="UO330" s="130"/>
      <c r="UP330" s="130"/>
      <c r="UQ330" s="130"/>
      <c r="UR330" s="130"/>
      <c r="US330" s="130"/>
      <c r="UT330" s="130"/>
      <c r="UU330" s="130"/>
      <c r="AEM330" s="653"/>
      <c r="AEN330" s="653"/>
      <c r="AEO330" s="653"/>
      <c r="AEP330" s="653"/>
      <c r="AEQ330" s="653"/>
      <c r="AER330" s="653"/>
      <c r="AES330" s="653"/>
      <c r="AET330" s="653"/>
      <c r="AEU330" s="653"/>
      <c r="AEV330" s="653"/>
      <c r="AEW330" s="653"/>
      <c r="AEX330" s="653"/>
      <c r="AEY330" s="653"/>
      <c r="AEZ330" s="653"/>
      <c r="AFA330" s="653"/>
      <c r="AFB330" s="653"/>
      <c r="AFC330" s="653"/>
      <c r="AFD330" s="653"/>
      <c r="AFE330" s="653"/>
      <c r="AFF330" s="653"/>
      <c r="AFG330" s="653"/>
      <c r="AFH330" s="653"/>
      <c r="AFI330" s="653"/>
      <c r="AFJ330" s="653"/>
      <c r="AFK330" s="653"/>
      <c r="AFL330" s="653"/>
      <c r="AFM330" s="653"/>
      <c r="AFN330" s="653"/>
      <c r="AFO330" s="653"/>
      <c r="AFP330" s="653"/>
      <c r="AFQ330" s="653"/>
      <c r="AFR330" s="653"/>
      <c r="AFS330" s="653"/>
      <c r="AFT330" s="653"/>
      <c r="AFU330" s="653"/>
      <c r="AFV330" s="653"/>
      <c r="AFW330" s="653"/>
      <c r="AFX330" s="653"/>
      <c r="AFY330" s="653"/>
      <c r="AFZ330" s="653"/>
      <c r="AGA330" s="653"/>
      <c r="AGB330" s="653"/>
      <c r="AGC330" s="653"/>
      <c r="AGD330" s="653"/>
      <c r="AGE330" s="653"/>
      <c r="AGF330" s="653"/>
      <c r="AGG330" s="653"/>
      <c r="AGH330" s="653"/>
      <c r="AGI330" s="653"/>
      <c r="AGJ330" s="653"/>
      <c r="AGK330" s="653"/>
    </row>
    <row r="331" spans="460:899" ht="48" customHeight="1">
      <c r="QR331" s="130"/>
      <c r="QS331" s="130"/>
      <c r="QT331" s="130"/>
      <c r="QU331" s="130"/>
      <c r="QV331" s="130"/>
      <c r="QW331" s="130"/>
      <c r="QX331" s="130"/>
      <c r="QY331" s="130"/>
      <c r="QZ331" s="130"/>
      <c r="RA331" s="130"/>
      <c r="RB331" s="130"/>
      <c r="RC331" s="130"/>
      <c r="RD331" s="130"/>
      <c r="RE331" s="130"/>
      <c r="RF331" s="130"/>
      <c r="RG331" s="130"/>
      <c r="RH331" s="130"/>
      <c r="RI331" s="130"/>
      <c r="RJ331" s="130"/>
      <c r="RK331" s="130"/>
      <c r="RL331" s="130"/>
      <c r="RM331" s="130"/>
      <c r="RN331" s="130"/>
      <c r="RO331" s="130"/>
      <c r="RP331" s="130"/>
      <c r="RQ331" s="130"/>
      <c r="RR331" s="130"/>
      <c r="RS331" s="130"/>
      <c r="RT331" s="130"/>
      <c r="RU331" s="130"/>
      <c r="RV331" s="130"/>
      <c r="RW331" s="130"/>
      <c r="RX331" s="130"/>
      <c r="RY331" s="130"/>
      <c r="RZ331" s="130"/>
      <c r="SA331" s="130"/>
      <c r="SB331" s="130"/>
      <c r="SC331" s="130"/>
      <c r="SD331" s="130"/>
      <c r="SE331" s="130"/>
      <c r="SF331" s="130"/>
      <c r="SG331" s="130"/>
      <c r="SH331" s="130"/>
      <c r="SI331" s="130"/>
      <c r="SJ331" s="130"/>
      <c r="SK331" s="130"/>
      <c r="SL331" s="130"/>
      <c r="SM331" s="130"/>
      <c r="SN331" s="130"/>
      <c r="SO331" s="130"/>
      <c r="SP331" s="130"/>
      <c r="SQ331" s="130"/>
      <c r="SR331" s="130"/>
      <c r="SS331" s="130"/>
      <c r="ST331" s="130"/>
      <c r="SU331" s="130"/>
      <c r="SV331" s="130"/>
      <c r="SW331" s="130"/>
      <c r="SX331" s="130"/>
      <c r="SY331" s="130"/>
      <c r="SZ331" s="130"/>
      <c r="TA331" s="130"/>
      <c r="TB331" s="130"/>
      <c r="TC331" s="130"/>
      <c r="TD331" s="130"/>
      <c r="TE331" s="130"/>
      <c r="TF331" s="130"/>
      <c r="TG331" s="130"/>
      <c r="TH331" s="130"/>
      <c r="TI331" s="130"/>
      <c r="TJ331" s="130"/>
      <c r="TK331" s="130"/>
      <c r="TL331" s="130"/>
      <c r="TM331" s="130"/>
      <c r="TN331" s="130"/>
      <c r="TO331" s="130"/>
      <c r="TP331" s="130"/>
      <c r="TQ331" s="130"/>
      <c r="TR331" s="130"/>
      <c r="TS331" s="130"/>
      <c r="TT331" s="130"/>
      <c r="TU331" s="130"/>
      <c r="TV331" s="130"/>
      <c r="TW331" s="130"/>
      <c r="TX331" s="130"/>
      <c r="TY331" s="130"/>
      <c r="TZ331" s="130"/>
      <c r="UA331" s="130"/>
      <c r="UB331" s="130"/>
      <c r="UC331" s="130"/>
      <c r="UD331" s="130"/>
      <c r="UE331" s="130"/>
      <c r="UF331" s="130"/>
      <c r="UG331" s="130"/>
      <c r="UH331" s="130"/>
      <c r="UI331" s="130"/>
      <c r="UJ331" s="130"/>
      <c r="UK331" s="130"/>
      <c r="UL331" s="130"/>
      <c r="UM331" s="130"/>
      <c r="UN331" s="130"/>
      <c r="UO331" s="130"/>
      <c r="UP331" s="130"/>
      <c r="UQ331" s="130"/>
      <c r="UR331" s="130"/>
      <c r="US331" s="130"/>
      <c r="UT331" s="130"/>
      <c r="UU331" s="130"/>
      <c r="AEM331" s="653"/>
      <c r="AEN331" s="653"/>
      <c r="AEO331" s="653"/>
      <c r="AEP331" s="653"/>
      <c r="AEQ331" s="653"/>
      <c r="AER331" s="653"/>
      <c r="AES331" s="653"/>
      <c r="AET331" s="653"/>
      <c r="AEU331" s="653"/>
      <c r="AEV331" s="653"/>
      <c r="AEW331" s="653"/>
      <c r="AEX331" s="653"/>
      <c r="AEY331" s="653"/>
      <c r="AEZ331" s="653"/>
      <c r="AFA331" s="653"/>
      <c r="AFB331" s="653"/>
      <c r="AFC331" s="653"/>
      <c r="AFD331" s="653"/>
      <c r="AFE331" s="653"/>
      <c r="AFF331" s="653"/>
      <c r="AFG331" s="653"/>
      <c r="AFH331" s="653"/>
      <c r="AFI331" s="653"/>
      <c r="AFJ331" s="653"/>
      <c r="AFK331" s="653"/>
      <c r="AFL331" s="653"/>
      <c r="AFM331" s="653"/>
      <c r="AFN331" s="653"/>
      <c r="AFO331" s="653"/>
      <c r="AFP331" s="653"/>
      <c r="AFQ331" s="653"/>
      <c r="AFR331" s="653"/>
      <c r="AFS331" s="653"/>
      <c r="AFT331" s="653"/>
      <c r="AFU331" s="653"/>
      <c r="AFV331" s="653"/>
      <c r="AFW331" s="653"/>
      <c r="AFX331" s="653"/>
      <c r="AFY331" s="653"/>
      <c r="AFZ331" s="653"/>
      <c r="AGA331" s="653"/>
      <c r="AGB331" s="653"/>
      <c r="AGC331" s="653"/>
      <c r="AGD331" s="653"/>
      <c r="AGE331" s="653"/>
      <c r="AGF331" s="653"/>
      <c r="AGG331" s="653"/>
      <c r="AGH331" s="653"/>
      <c r="AGI331" s="653"/>
      <c r="AGJ331" s="653"/>
      <c r="AGK331" s="653"/>
      <c r="AGO331" s="940" t="s">
        <v>1339</v>
      </c>
      <c r="AGP331" s="941"/>
      <c r="AGQ331" s="1156">
        <f>$MM$241</f>
        <v>0.37750130463778836</v>
      </c>
      <c r="AGR331" s="1156"/>
    </row>
    <row r="332" spans="460:899" ht="48" customHeight="1">
      <c r="QR332" s="130"/>
      <c r="QS332" s="130"/>
      <c r="QT332" s="130"/>
      <c r="QU332" s="130"/>
      <c r="QV332" s="130"/>
      <c r="QW332" s="130"/>
      <c r="QX332" s="130"/>
      <c r="QY332" s="130"/>
      <c r="QZ332" s="130"/>
      <c r="RA332" s="130"/>
      <c r="RB332" s="130"/>
      <c r="RC332" s="130"/>
      <c r="RD332" s="130"/>
      <c r="RE332" s="130"/>
      <c r="RF332" s="130"/>
      <c r="RG332" s="130"/>
      <c r="RH332" s="130"/>
      <c r="RI332" s="130"/>
      <c r="RJ332" s="130"/>
      <c r="RK332" s="130"/>
      <c r="RL332" s="130"/>
      <c r="RM332" s="130"/>
      <c r="RN332" s="130"/>
      <c r="RO332" s="130"/>
      <c r="RP332" s="130"/>
      <c r="RQ332" s="130"/>
      <c r="RR332" s="130"/>
      <c r="RS332" s="130"/>
      <c r="RT332" s="130"/>
      <c r="RU332" s="130"/>
      <c r="RV332" s="130"/>
      <c r="RW332" s="130"/>
      <c r="RX332" s="130"/>
      <c r="RY332" s="130"/>
      <c r="RZ332" s="130"/>
      <c r="SA332" s="130"/>
      <c r="SB332" s="130"/>
      <c r="SC332" s="130"/>
      <c r="SD332" s="130"/>
      <c r="SE332" s="130"/>
      <c r="SF332" s="130"/>
      <c r="SG332" s="130"/>
      <c r="SH332" s="130"/>
      <c r="SI332" s="130"/>
      <c r="SJ332" s="130"/>
      <c r="SK332" s="130"/>
      <c r="SL332" s="130"/>
      <c r="SM332" s="130"/>
      <c r="SN332" s="130"/>
      <c r="SO332" s="130"/>
      <c r="SP332" s="130"/>
      <c r="SQ332" s="130"/>
      <c r="SR332" s="130"/>
      <c r="SS332" s="130"/>
      <c r="ST332" s="130"/>
      <c r="SU332" s="130"/>
      <c r="SV332" s="130"/>
      <c r="SW332" s="130"/>
      <c r="SX332" s="130"/>
      <c r="SY332" s="130"/>
      <c r="SZ332" s="130"/>
      <c r="TA332" s="130"/>
      <c r="TB332" s="130"/>
      <c r="TC332" s="130"/>
      <c r="TD332" s="130"/>
      <c r="TE332" s="130"/>
      <c r="TF332" s="130"/>
      <c r="TG332" s="130"/>
      <c r="TH332" s="130"/>
      <c r="TI332" s="130"/>
      <c r="TJ332" s="130"/>
      <c r="TK332" s="130"/>
      <c r="TL332" s="130"/>
      <c r="TM332" s="130"/>
      <c r="TN332" s="130"/>
      <c r="TO332" s="130"/>
      <c r="TP332" s="130"/>
      <c r="TQ332" s="130"/>
      <c r="TR332" s="130"/>
      <c r="TS332" s="130"/>
      <c r="TT332" s="130"/>
      <c r="TU332" s="130"/>
      <c r="TV332" s="130"/>
      <c r="TW332" s="130"/>
      <c r="TX332" s="130"/>
      <c r="TY332" s="130"/>
      <c r="TZ332" s="130"/>
      <c r="UA332" s="130"/>
      <c r="UB332" s="130"/>
      <c r="UC332" s="130"/>
      <c r="UD332" s="130"/>
      <c r="UE332" s="130"/>
      <c r="UF332" s="130"/>
      <c r="UG332" s="130"/>
      <c r="UH332" s="130"/>
      <c r="UI332" s="130"/>
      <c r="UJ332" s="130"/>
      <c r="UK332" s="130"/>
      <c r="UL332" s="130"/>
      <c r="UM332" s="130"/>
      <c r="UN332" s="130"/>
      <c r="UO332" s="130"/>
      <c r="UP332" s="130"/>
      <c r="UQ332" s="130"/>
      <c r="UR332" s="130"/>
      <c r="US332" s="130"/>
      <c r="UT332" s="130"/>
      <c r="UU332" s="130"/>
      <c r="AEM332" s="653"/>
      <c r="AEN332" s="653"/>
      <c r="AEO332" s="653"/>
      <c r="AEP332" s="653"/>
      <c r="AEQ332" s="653"/>
      <c r="AER332" s="653"/>
      <c r="AES332" s="653"/>
      <c r="AET332" s="653"/>
      <c r="AEU332" s="653"/>
      <c r="AEV332" s="653"/>
      <c r="AEW332" s="653"/>
      <c r="AEX332" s="653"/>
      <c r="AEY332" s="653"/>
      <c r="AEZ332" s="653"/>
      <c r="AFA332" s="653"/>
      <c r="AFB332" s="653"/>
      <c r="AFC332" s="653"/>
      <c r="AFD332" s="653"/>
      <c r="AFE332" s="653"/>
      <c r="AFF332" s="653"/>
      <c r="AFG332" s="653"/>
      <c r="AFH332" s="653"/>
      <c r="AFI332" s="653"/>
      <c r="AFJ332" s="653"/>
      <c r="AFK332" s="653"/>
      <c r="AFL332" s="653"/>
      <c r="AFM332" s="653"/>
      <c r="AFN332" s="653"/>
      <c r="AFO332" s="653"/>
      <c r="AFP332" s="653"/>
      <c r="AFQ332" s="653"/>
      <c r="AFR332" s="653"/>
      <c r="AFS332" s="653"/>
      <c r="AFT332" s="653"/>
      <c r="AFU332" s="653"/>
      <c r="AFV332" s="653"/>
      <c r="AFW332" s="653"/>
      <c r="AFX332" s="653"/>
      <c r="AFY332" s="653"/>
      <c r="AFZ332" s="653"/>
      <c r="AGA332" s="653"/>
      <c r="AGB332" s="653"/>
      <c r="AGC332" s="653"/>
      <c r="AGD332" s="653"/>
      <c r="AGE332" s="653"/>
      <c r="AGF332" s="653"/>
      <c r="AGG332" s="653"/>
      <c r="AGH332" s="653"/>
      <c r="AGI332" s="653"/>
      <c r="AGJ332" s="653"/>
      <c r="AGK332" s="653"/>
      <c r="AGO332" s="800" t="s">
        <v>1243</v>
      </c>
      <c r="AGP332" s="801"/>
      <c r="AGQ332" s="937">
        <f>$MP$86</f>
        <v>8.0207023726710278E-2</v>
      </c>
      <c r="AGR332" s="937"/>
    </row>
    <row r="333" spans="460:899" ht="48" customHeight="1">
      <c r="QR333" s="130"/>
      <c r="QS333" s="130"/>
      <c r="QT333" s="130"/>
      <c r="QU333" s="130"/>
      <c r="QV333" s="130"/>
      <c r="QW333" s="130"/>
      <c r="QX333" s="130"/>
      <c r="QY333" s="130"/>
      <c r="QZ333" s="130"/>
      <c r="RA333" s="130"/>
      <c r="RB333" s="130"/>
      <c r="RC333" s="130"/>
      <c r="RD333" s="130"/>
      <c r="RE333" s="130"/>
      <c r="RF333" s="130"/>
      <c r="RG333" s="130"/>
      <c r="RH333" s="130"/>
      <c r="RI333" s="130"/>
      <c r="RJ333" s="130"/>
      <c r="RK333" s="130"/>
      <c r="RL333" s="130"/>
      <c r="RM333" s="130"/>
      <c r="RN333" s="130"/>
      <c r="RO333" s="130"/>
      <c r="RP333" s="130"/>
      <c r="RQ333" s="130"/>
      <c r="RR333" s="130"/>
      <c r="RS333" s="130"/>
      <c r="RT333" s="130"/>
      <c r="RU333" s="130"/>
      <c r="RV333" s="130"/>
      <c r="RW333" s="130"/>
      <c r="RX333" s="130"/>
      <c r="RY333" s="130"/>
      <c r="RZ333" s="130"/>
      <c r="SA333" s="130"/>
      <c r="SB333" s="130"/>
      <c r="SC333" s="130"/>
      <c r="SD333" s="130"/>
      <c r="SE333" s="130"/>
      <c r="SF333" s="130"/>
      <c r="SG333" s="130"/>
      <c r="SH333" s="130"/>
      <c r="SI333" s="130"/>
      <c r="SJ333" s="130"/>
      <c r="SK333" s="130"/>
      <c r="SL333" s="130"/>
      <c r="SM333" s="130"/>
      <c r="SN333" s="130"/>
      <c r="SO333" s="130"/>
      <c r="SP333" s="130"/>
      <c r="SQ333" s="130"/>
      <c r="SR333" s="130"/>
      <c r="SS333" s="130"/>
      <c r="ST333" s="130"/>
      <c r="SU333" s="130"/>
      <c r="SV333" s="130"/>
      <c r="SW333" s="130"/>
      <c r="SX333" s="130"/>
      <c r="SY333" s="130"/>
      <c r="SZ333" s="130"/>
      <c r="TA333" s="130"/>
      <c r="TB333" s="130"/>
      <c r="TC333" s="130"/>
      <c r="TD333" s="130"/>
      <c r="TE333" s="130"/>
      <c r="TF333" s="130"/>
      <c r="TG333" s="130"/>
      <c r="TH333" s="130"/>
      <c r="TI333" s="130"/>
      <c r="TJ333" s="130"/>
      <c r="TK333" s="130"/>
      <c r="TL333" s="130"/>
      <c r="TM333" s="130"/>
      <c r="TN333" s="130"/>
      <c r="TO333" s="130"/>
      <c r="TP333" s="130"/>
      <c r="TQ333" s="130"/>
      <c r="TR333" s="130"/>
      <c r="TS333" s="130"/>
      <c r="TT333" s="130"/>
      <c r="TU333" s="130"/>
      <c r="TV333" s="130"/>
      <c r="TW333" s="130"/>
      <c r="TX333" s="130"/>
      <c r="TY333" s="130"/>
      <c r="TZ333" s="130"/>
      <c r="UA333" s="130"/>
      <c r="UB333" s="130"/>
      <c r="UC333" s="130"/>
      <c r="UD333" s="130"/>
      <c r="UE333" s="130"/>
      <c r="UF333" s="130"/>
      <c r="UG333" s="130"/>
      <c r="UH333" s="130"/>
      <c r="UI333" s="130"/>
      <c r="UJ333" s="130"/>
      <c r="UK333" s="130"/>
      <c r="UL333" s="130"/>
      <c r="UM333" s="130"/>
      <c r="UN333" s="130"/>
      <c r="UO333" s="130"/>
      <c r="UP333" s="130"/>
      <c r="UQ333" s="130"/>
      <c r="UR333" s="130"/>
      <c r="US333" s="130"/>
      <c r="UT333" s="130"/>
      <c r="UU333" s="130"/>
      <c r="AEM333" s="653"/>
      <c r="AEN333" s="653"/>
      <c r="AEO333" s="653"/>
      <c r="AEP333" s="653"/>
      <c r="AEQ333" s="653"/>
      <c r="AER333" s="653"/>
      <c r="AES333" s="653"/>
      <c r="AET333" s="653"/>
      <c r="AEU333" s="653"/>
      <c r="AEV333" s="653"/>
      <c r="AEW333" s="653"/>
      <c r="AEX333" s="653"/>
      <c r="AEY333" s="653"/>
      <c r="AEZ333" s="653"/>
      <c r="AFA333" s="653"/>
      <c r="AFB333" s="653"/>
      <c r="AFC333" s="653"/>
      <c r="AFD333" s="653"/>
      <c r="AFE333" s="653"/>
      <c r="AFF333" s="653"/>
      <c r="AFG333" s="653"/>
      <c r="AFH333" s="653"/>
      <c r="AFI333" s="653"/>
      <c r="AFJ333" s="653"/>
      <c r="AFK333" s="653"/>
      <c r="AFL333" s="653"/>
      <c r="AFM333" s="653"/>
      <c r="AFN333" s="653"/>
      <c r="AFO333" s="653"/>
      <c r="AFP333" s="653"/>
      <c r="AFQ333" s="653"/>
      <c r="AFR333" s="653"/>
      <c r="AFS333" s="653"/>
      <c r="AFT333" s="653"/>
      <c r="AFU333" s="653"/>
      <c r="AFV333" s="653"/>
      <c r="AFW333" s="653"/>
      <c r="AFX333" s="653"/>
      <c r="AFY333" s="653"/>
      <c r="AFZ333" s="653"/>
      <c r="AGA333" s="653"/>
      <c r="AGB333" s="653"/>
      <c r="AGC333" s="653"/>
      <c r="AGD333" s="653"/>
      <c r="AGE333" s="653"/>
      <c r="AGF333" s="653"/>
      <c r="AGG333" s="653"/>
      <c r="AGH333" s="653"/>
      <c r="AGI333" s="653"/>
      <c r="AGJ333" s="653"/>
      <c r="AGK333" s="653"/>
    </row>
    <row r="334" spans="460:899" ht="48" customHeight="1">
      <c r="QR334" s="130"/>
      <c r="QS334" s="130"/>
      <c r="QT334" s="130"/>
      <c r="QU334" s="130"/>
      <c r="QV334" s="130"/>
      <c r="QW334" s="130"/>
      <c r="QX334" s="130"/>
      <c r="QY334" s="130"/>
      <c r="QZ334" s="130"/>
      <c r="RA334" s="130"/>
      <c r="RB334" s="130"/>
      <c r="RC334" s="130"/>
      <c r="RD334" s="130"/>
      <c r="RE334" s="130"/>
      <c r="RF334" s="130"/>
      <c r="RG334" s="130"/>
      <c r="RH334" s="130"/>
      <c r="RI334" s="130"/>
      <c r="RJ334" s="130"/>
      <c r="RK334" s="130"/>
      <c r="RL334" s="130"/>
      <c r="RM334" s="130"/>
      <c r="RN334" s="130"/>
      <c r="RO334" s="130"/>
      <c r="RP334" s="130"/>
      <c r="RQ334" s="130"/>
      <c r="RR334" s="130"/>
      <c r="RS334" s="130"/>
      <c r="RT334" s="130"/>
      <c r="RU334" s="130"/>
      <c r="RV334" s="130"/>
      <c r="RW334" s="130"/>
      <c r="RX334" s="130"/>
      <c r="RY334" s="130"/>
      <c r="RZ334" s="130"/>
      <c r="SA334" s="130"/>
      <c r="SB334" s="130"/>
      <c r="SC334" s="130"/>
      <c r="SD334" s="130"/>
      <c r="SE334" s="130"/>
      <c r="SF334" s="130"/>
      <c r="SG334" s="130"/>
      <c r="SH334" s="130"/>
      <c r="SI334" s="130"/>
      <c r="SJ334" s="130"/>
      <c r="SK334" s="130"/>
      <c r="SL334" s="130"/>
      <c r="SM334" s="130"/>
      <c r="SN334" s="130"/>
      <c r="SO334" s="130"/>
      <c r="SP334" s="130"/>
      <c r="SQ334" s="130"/>
      <c r="SR334" s="130"/>
      <c r="SS334" s="130"/>
      <c r="ST334" s="130"/>
      <c r="SU334" s="130"/>
      <c r="SV334" s="130"/>
      <c r="SW334" s="130"/>
      <c r="SX334" s="130"/>
      <c r="SY334" s="130"/>
      <c r="SZ334" s="130"/>
      <c r="TA334" s="130"/>
      <c r="TB334" s="130"/>
      <c r="TC334" s="130"/>
      <c r="TD334" s="130"/>
      <c r="TE334" s="130"/>
      <c r="TF334" s="130"/>
      <c r="TG334" s="130"/>
      <c r="TH334" s="130"/>
      <c r="TI334" s="130"/>
      <c r="TJ334" s="130"/>
      <c r="TK334" s="130"/>
      <c r="TL334" s="130"/>
      <c r="TM334" s="130"/>
      <c r="TN334" s="130"/>
      <c r="TO334" s="130"/>
      <c r="TP334" s="130"/>
      <c r="TQ334" s="130"/>
      <c r="TR334" s="130"/>
      <c r="TS334" s="130"/>
      <c r="TT334" s="130"/>
      <c r="TU334" s="130"/>
      <c r="TV334" s="130"/>
      <c r="TW334" s="130"/>
      <c r="TX334" s="130"/>
      <c r="TY334" s="130"/>
      <c r="TZ334" s="130"/>
      <c r="UA334" s="130"/>
      <c r="UB334" s="130"/>
      <c r="UC334" s="130"/>
      <c r="UD334" s="130"/>
      <c r="UE334" s="130"/>
      <c r="UF334" s="130"/>
      <c r="UG334" s="130"/>
      <c r="UH334" s="130"/>
      <c r="UI334" s="130"/>
      <c r="UJ334" s="130"/>
      <c r="UK334" s="130"/>
      <c r="UL334" s="130"/>
      <c r="UM334" s="130"/>
      <c r="UN334" s="130"/>
      <c r="UO334" s="130"/>
      <c r="UP334" s="130"/>
      <c r="UQ334" s="130"/>
      <c r="UR334" s="130"/>
      <c r="US334" s="130"/>
      <c r="UT334" s="130"/>
      <c r="UU334" s="130"/>
      <c r="AEM334" s="653"/>
      <c r="AEN334" s="653"/>
      <c r="AEO334" s="653"/>
      <c r="AEP334" s="653"/>
      <c r="AEQ334" s="653"/>
      <c r="AER334" s="653"/>
      <c r="AES334" s="653"/>
      <c r="AET334" s="653"/>
      <c r="AEU334" s="653"/>
      <c r="AEV334" s="653"/>
      <c r="AEW334" s="653"/>
      <c r="AEX334" s="653"/>
      <c r="AEY334" s="653"/>
      <c r="AEZ334" s="653"/>
      <c r="AFA334" s="653"/>
      <c r="AFB334" s="653"/>
      <c r="AFC334" s="653"/>
      <c r="AFD334" s="653"/>
      <c r="AFE334" s="653"/>
      <c r="AFF334" s="653"/>
      <c r="AFG334" s="653"/>
      <c r="AFH334" s="653"/>
      <c r="AFI334" s="653"/>
      <c r="AFJ334" s="653"/>
      <c r="AFK334" s="653"/>
      <c r="AFL334" s="653"/>
      <c r="AFM334" s="653"/>
      <c r="AFN334" s="653"/>
      <c r="AFO334" s="653"/>
      <c r="AFP334" s="653"/>
      <c r="AFQ334" s="653"/>
      <c r="AFR334" s="653"/>
      <c r="AFS334" s="653"/>
      <c r="AFT334" s="653"/>
      <c r="AFU334" s="653"/>
      <c r="AFV334" s="653"/>
      <c r="AFW334" s="653"/>
      <c r="AFX334" s="653"/>
      <c r="AFY334" s="653"/>
      <c r="AFZ334" s="653"/>
      <c r="AGA334" s="653"/>
      <c r="AGB334" s="653"/>
      <c r="AGC334" s="653"/>
      <c r="AGD334" s="653"/>
      <c r="AGE334" s="653"/>
      <c r="AGF334" s="653"/>
      <c r="AGG334" s="653"/>
      <c r="AGH334" s="653"/>
      <c r="AGI334" s="653"/>
      <c r="AGJ334" s="653"/>
      <c r="AGK334" s="653"/>
    </row>
    <row r="335" spans="460:899" ht="48" customHeight="1">
      <c r="QR335" s="130"/>
      <c r="QS335" s="130"/>
      <c r="QT335" s="130"/>
      <c r="QU335" s="130"/>
      <c r="QV335" s="130"/>
      <c r="QW335" s="130"/>
      <c r="QX335" s="130"/>
      <c r="QY335" s="130"/>
      <c r="QZ335" s="130"/>
      <c r="RA335" s="130"/>
      <c r="RB335" s="130"/>
      <c r="RC335" s="130"/>
      <c r="RD335" s="130"/>
      <c r="RE335" s="130"/>
      <c r="RF335" s="130"/>
      <c r="RG335" s="130"/>
      <c r="RH335" s="130"/>
      <c r="RI335" s="130"/>
      <c r="RJ335" s="130"/>
      <c r="RK335" s="130"/>
      <c r="RL335" s="130"/>
      <c r="RM335" s="130"/>
      <c r="RN335" s="130"/>
      <c r="RO335" s="130"/>
      <c r="RP335" s="130"/>
      <c r="RQ335" s="130"/>
      <c r="RR335" s="130"/>
      <c r="RS335" s="130"/>
      <c r="RT335" s="130"/>
      <c r="RU335" s="130"/>
      <c r="RV335" s="130"/>
      <c r="RW335" s="130"/>
      <c r="RX335" s="130"/>
      <c r="RY335" s="130"/>
      <c r="RZ335" s="130"/>
      <c r="SA335" s="130"/>
      <c r="SB335" s="130"/>
      <c r="SC335" s="130"/>
      <c r="SD335" s="130"/>
      <c r="SE335" s="130"/>
      <c r="SF335" s="130"/>
      <c r="SG335" s="130"/>
      <c r="SH335" s="130"/>
      <c r="SI335" s="130"/>
      <c r="SJ335" s="130"/>
      <c r="SK335" s="130"/>
      <c r="SL335" s="130"/>
      <c r="SM335" s="130"/>
      <c r="SN335" s="130"/>
      <c r="SO335" s="130"/>
      <c r="SP335" s="130"/>
      <c r="SQ335" s="130"/>
      <c r="SR335" s="130"/>
      <c r="SS335" s="130"/>
      <c r="ST335" s="130"/>
      <c r="SU335" s="130"/>
      <c r="SV335" s="130"/>
      <c r="SW335" s="130"/>
      <c r="SX335" s="130"/>
      <c r="SY335" s="130"/>
      <c r="SZ335" s="130"/>
      <c r="TA335" s="130"/>
      <c r="TB335" s="130"/>
      <c r="TC335" s="130"/>
      <c r="TD335" s="130"/>
      <c r="TE335" s="130"/>
      <c r="TF335" s="130"/>
      <c r="TG335" s="130"/>
      <c r="TH335" s="130"/>
      <c r="TI335" s="130"/>
      <c r="TJ335" s="130"/>
      <c r="TK335" s="130"/>
      <c r="TL335" s="130"/>
      <c r="TM335" s="130"/>
      <c r="TN335" s="130"/>
      <c r="TO335" s="130"/>
      <c r="TP335" s="130"/>
      <c r="TQ335" s="130"/>
      <c r="TR335" s="130"/>
      <c r="TS335" s="130"/>
      <c r="TT335" s="130"/>
      <c r="TU335" s="130"/>
      <c r="TV335" s="130"/>
      <c r="TW335" s="130"/>
      <c r="TX335" s="130"/>
      <c r="TY335" s="130"/>
      <c r="TZ335" s="130"/>
      <c r="UA335" s="130"/>
      <c r="UB335" s="130"/>
      <c r="UC335" s="130"/>
      <c r="UD335" s="130"/>
      <c r="UE335" s="130"/>
      <c r="UF335" s="130"/>
      <c r="UG335" s="130"/>
      <c r="UH335" s="130"/>
      <c r="UI335" s="130"/>
      <c r="UJ335" s="130"/>
      <c r="UK335" s="130"/>
      <c r="UL335" s="130"/>
      <c r="UM335" s="130"/>
      <c r="UN335" s="130"/>
      <c r="UO335" s="130"/>
      <c r="UP335" s="130"/>
      <c r="UQ335" s="130"/>
      <c r="UR335" s="130"/>
      <c r="US335" s="130"/>
      <c r="UT335" s="130"/>
      <c r="UU335" s="130"/>
      <c r="AEM335" s="653"/>
      <c r="AEN335" s="653"/>
      <c r="AEO335" s="653"/>
      <c r="AEP335" s="653"/>
      <c r="AEQ335" s="653"/>
      <c r="AER335" s="653"/>
      <c r="AES335" s="653"/>
      <c r="AET335" s="653"/>
      <c r="AEU335" s="653"/>
      <c r="AEV335" s="653"/>
      <c r="AEW335" s="653"/>
      <c r="AEX335" s="653"/>
      <c r="AEY335" s="653"/>
      <c r="AEZ335" s="653"/>
      <c r="AFA335" s="653"/>
      <c r="AFB335" s="653"/>
      <c r="AFC335" s="653"/>
      <c r="AFD335" s="653"/>
      <c r="AFE335" s="653"/>
      <c r="AFF335" s="653"/>
      <c r="AFG335" s="653"/>
      <c r="AFH335" s="653"/>
      <c r="AFI335" s="653"/>
      <c r="AFJ335" s="653"/>
      <c r="AFK335" s="653"/>
      <c r="AFL335" s="653"/>
      <c r="AFM335" s="653"/>
      <c r="AFN335" s="653"/>
      <c r="AFO335" s="653"/>
      <c r="AFP335" s="653"/>
      <c r="AFQ335" s="653"/>
      <c r="AFR335" s="653"/>
      <c r="AFS335" s="653"/>
      <c r="AFT335" s="653"/>
      <c r="AFU335" s="653"/>
      <c r="AFV335" s="653"/>
      <c r="AFW335" s="653"/>
      <c r="AFX335" s="653"/>
      <c r="AFY335" s="653"/>
      <c r="AFZ335" s="653"/>
      <c r="AGA335" s="653"/>
      <c r="AGB335" s="653"/>
      <c r="AGC335" s="653"/>
      <c r="AGD335" s="653"/>
      <c r="AGE335" s="653"/>
      <c r="AGF335" s="653"/>
      <c r="AGG335" s="653"/>
      <c r="AGH335" s="653"/>
      <c r="AGI335" s="653"/>
      <c r="AGJ335" s="653"/>
      <c r="AGK335" s="653"/>
    </row>
    <row r="336" spans="460:899" ht="48" customHeight="1">
      <c r="QR336" s="130"/>
      <c r="QS336" s="130"/>
      <c r="QT336" s="130"/>
      <c r="QU336" s="130"/>
      <c r="QV336" s="130"/>
      <c r="QW336" s="130"/>
      <c r="QX336" s="130"/>
      <c r="QY336" s="130"/>
      <c r="QZ336" s="130"/>
      <c r="RA336" s="130"/>
      <c r="RB336" s="130"/>
      <c r="RC336" s="130"/>
      <c r="RD336" s="130"/>
      <c r="RE336" s="130"/>
      <c r="RF336" s="130"/>
      <c r="RG336" s="130"/>
      <c r="RH336" s="130"/>
      <c r="RI336" s="130"/>
      <c r="RJ336" s="130"/>
      <c r="RK336" s="130"/>
      <c r="RL336" s="130"/>
      <c r="RM336" s="130"/>
      <c r="RN336" s="130"/>
      <c r="RO336" s="130"/>
      <c r="RP336" s="130"/>
      <c r="RQ336" s="130"/>
      <c r="RR336" s="130"/>
      <c r="RS336" s="130"/>
      <c r="RT336" s="130"/>
      <c r="RU336" s="130"/>
      <c r="RV336" s="130"/>
      <c r="RW336" s="130"/>
      <c r="RX336" s="130"/>
      <c r="RY336" s="130"/>
      <c r="RZ336" s="130"/>
      <c r="SA336" s="130"/>
      <c r="SB336" s="130"/>
      <c r="SC336" s="130"/>
      <c r="SD336" s="130"/>
      <c r="SE336" s="130"/>
      <c r="SF336" s="130"/>
      <c r="SG336" s="130"/>
      <c r="SH336" s="130"/>
      <c r="SI336" s="130"/>
      <c r="SJ336" s="130"/>
      <c r="SK336" s="130"/>
      <c r="SL336" s="130"/>
      <c r="SM336" s="130"/>
      <c r="SN336" s="130"/>
      <c r="SO336" s="130"/>
      <c r="SP336" s="130"/>
      <c r="SQ336" s="130"/>
      <c r="SR336" s="130"/>
      <c r="SS336" s="130"/>
      <c r="ST336" s="130"/>
      <c r="SU336" s="130"/>
      <c r="SV336" s="130"/>
      <c r="SW336" s="130"/>
      <c r="SX336" s="130"/>
      <c r="SY336" s="130"/>
      <c r="SZ336" s="130"/>
      <c r="TA336" s="130"/>
      <c r="TB336" s="130"/>
      <c r="TC336" s="130"/>
      <c r="TD336" s="130"/>
      <c r="TE336" s="130"/>
      <c r="TF336" s="130"/>
      <c r="TG336" s="130"/>
      <c r="TH336" s="130"/>
      <c r="TI336" s="130"/>
      <c r="TJ336" s="130"/>
      <c r="TK336" s="130"/>
      <c r="TL336" s="130"/>
      <c r="TM336" s="130"/>
      <c r="TN336" s="130"/>
      <c r="TO336" s="130"/>
      <c r="TP336" s="130"/>
      <c r="TQ336" s="130"/>
      <c r="TR336" s="130"/>
      <c r="TS336" s="130"/>
      <c r="TT336" s="130"/>
      <c r="TU336" s="130"/>
      <c r="TV336" s="130"/>
      <c r="TW336" s="130"/>
      <c r="TX336" s="130"/>
      <c r="TY336" s="130"/>
      <c r="TZ336" s="130"/>
      <c r="UA336" s="130"/>
      <c r="UB336" s="130"/>
      <c r="UC336" s="130"/>
      <c r="UD336" s="130"/>
      <c r="UE336" s="130"/>
      <c r="UF336" s="130"/>
      <c r="UG336" s="130"/>
      <c r="UH336" s="130"/>
      <c r="UI336" s="130"/>
      <c r="UJ336" s="130"/>
      <c r="UK336" s="130"/>
      <c r="UL336" s="130"/>
      <c r="UM336" s="130"/>
      <c r="UN336" s="130"/>
      <c r="UO336" s="130"/>
      <c r="UP336" s="130"/>
      <c r="UQ336" s="130"/>
      <c r="UR336" s="130"/>
      <c r="US336" s="130"/>
      <c r="UT336" s="130"/>
      <c r="UU336" s="130"/>
      <c r="AEM336" s="653"/>
      <c r="AEN336" s="653"/>
      <c r="AEO336" s="653"/>
      <c r="AEP336" s="653"/>
      <c r="AEQ336" s="653"/>
      <c r="AER336" s="653"/>
      <c r="AES336" s="653"/>
      <c r="AET336" s="653"/>
      <c r="AEU336" s="653"/>
      <c r="AEV336" s="653"/>
      <c r="AEW336" s="653"/>
      <c r="AEX336" s="653"/>
      <c r="AEY336" s="653"/>
      <c r="AEZ336" s="653"/>
      <c r="AFA336" s="653"/>
      <c r="AFB336" s="653"/>
      <c r="AFC336" s="653"/>
      <c r="AFD336" s="653"/>
      <c r="AFE336" s="653"/>
      <c r="AFF336" s="653"/>
      <c r="AFG336" s="653"/>
      <c r="AFH336" s="653"/>
      <c r="AFI336" s="653"/>
      <c r="AFJ336" s="653"/>
      <c r="AFK336" s="653"/>
      <c r="AFL336" s="653"/>
      <c r="AFM336" s="653"/>
      <c r="AFN336" s="653"/>
      <c r="AFO336" s="653"/>
      <c r="AFP336" s="653"/>
      <c r="AFQ336" s="653"/>
      <c r="AFR336" s="653"/>
      <c r="AFS336" s="653"/>
      <c r="AFT336" s="653"/>
      <c r="AFU336" s="653"/>
      <c r="AFV336" s="653"/>
      <c r="AFW336" s="653"/>
      <c r="AFX336" s="653"/>
      <c r="AFY336" s="653"/>
      <c r="AFZ336" s="653"/>
      <c r="AGA336" s="653"/>
      <c r="AGB336" s="653"/>
      <c r="AGC336" s="653"/>
      <c r="AGD336" s="653"/>
      <c r="AGE336" s="653"/>
      <c r="AGF336" s="653"/>
      <c r="AGG336" s="653"/>
      <c r="AGH336" s="653"/>
      <c r="AGI336" s="653"/>
      <c r="AGJ336" s="653"/>
      <c r="AGK336" s="653"/>
    </row>
    <row r="337" spans="460:869" ht="48" customHeight="1">
      <c r="QR337" s="130"/>
      <c r="QS337" s="130"/>
      <c r="QT337" s="130"/>
      <c r="QU337" s="130"/>
      <c r="QV337" s="130"/>
      <c r="QW337" s="130"/>
      <c r="QX337" s="130"/>
      <c r="QY337" s="130"/>
      <c r="QZ337" s="130"/>
      <c r="RA337" s="130"/>
      <c r="RB337" s="130"/>
      <c r="RC337" s="130"/>
      <c r="RD337" s="130"/>
      <c r="RE337" s="130"/>
      <c r="RF337" s="130"/>
      <c r="RG337" s="130"/>
      <c r="RH337" s="130"/>
      <c r="RI337" s="130"/>
      <c r="RJ337" s="130"/>
      <c r="RK337" s="130"/>
      <c r="RL337" s="130"/>
      <c r="RM337" s="130"/>
      <c r="RN337" s="130"/>
      <c r="RO337" s="130"/>
      <c r="RP337" s="130"/>
      <c r="RQ337" s="130"/>
      <c r="RR337" s="130"/>
      <c r="RS337" s="130"/>
      <c r="RT337" s="130"/>
      <c r="RU337" s="130"/>
      <c r="RV337" s="130"/>
      <c r="RW337" s="130"/>
      <c r="RX337" s="130"/>
      <c r="RY337" s="130"/>
      <c r="RZ337" s="130"/>
      <c r="SA337" s="130"/>
      <c r="SB337" s="130"/>
      <c r="SC337" s="130"/>
      <c r="SD337" s="130"/>
      <c r="SE337" s="130"/>
      <c r="SF337" s="130"/>
      <c r="SG337" s="130"/>
      <c r="SH337" s="130"/>
      <c r="SI337" s="130"/>
      <c r="SJ337" s="130"/>
      <c r="SK337" s="130"/>
      <c r="SL337" s="130"/>
      <c r="SM337" s="130"/>
      <c r="SN337" s="130"/>
      <c r="SO337" s="130"/>
      <c r="SP337" s="130"/>
      <c r="SQ337" s="130"/>
      <c r="SR337" s="130"/>
      <c r="SS337" s="130"/>
      <c r="ST337" s="130"/>
      <c r="SU337" s="130"/>
      <c r="SV337" s="130"/>
      <c r="SW337" s="130"/>
      <c r="SX337" s="130"/>
      <c r="SY337" s="130"/>
      <c r="SZ337" s="130"/>
      <c r="TA337" s="130"/>
      <c r="TB337" s="130"/>
      <c r="TC337" s="130"/>
      <c r="TD337" s="130"/>
      <c r="TE337" s="130"/>
      <c r="TF337" s="130"/>
      <c r="TG337" s="130"/>
      <c r="TH337" s="130"/>
      <c r="TI337" s="130"/>
      <c r="TJ337" s="130"/>
      <c r="TK337" s="130"/>
      <c r="TL337" s="130"/>
      <c r="TM337" s="130"/>
      <c r="TN337" s="130"/>
      <c r="TO337" s="130"/>
      <c r="TP337" s="130"/>
      <c r="TQ337" s="130"/>
      <c r="TR337" s="130"/>
      <c r="TS337" s="130"/>
      <c r="TT337" s="130"/>
      <c r="TU337" s="130"/>
      <c r="TV337" s="130"/>
      <c r="TW337" s="130"/>
      <c r="TX337" s="130"/>
      <c r="TY337" s="130"/>
      <c r="TZ337" s="130"/>
      <c r="UA337" s="130"/>
      <c r="UB337" s="130"/>
      <c r="UC337" s="130"/>
      <c r="UD337" s="130"/>
      <c r="UE337" s="130"/>
      <c r="UF337" s="130"/>
      <c r="UG337" s="130"/>
      <c r="UH337" s="130"/>
      <c r="UI337" s="130"/>
      <c r="UJ337" s="130"/>
      <c r="UK337" s="130"/>
      <c r="UL337" s="130"/>
      <c r="UM337" s="130"/>
      <c r="UN337" s="130"/>
      <c r="UO337" s="130"/>
      <c r="UP337" s="130"/>
      <c r="UQ337" s="130"/>
      <c r="UR337" s="130"/>
      <c r="US337" s="130"/>
      <c r="UT337" s="130"/>
      <c r="UU337" s="130"/>
      <c r="AEM337" s="653"/>
      <c r="AEN337" s="653"/>
      <c r="AEO337" s="653"/>
      <c r="AEP337" s="653"/>
      <c r="AEQ337" s="653"/>
      <c r="AER337" s="653"/>
      <c r="AES337" s="653"/>
      <c r="AET337" s="653"/>
      <c r="AEU337" s="653"/>
      <c r="AEV337" s="653"/>
      <c r="AEW337" s="653"/>
      <c r="AEX337" s="653"/>
      <c r="AEY337" s="653"/>
      <c r="AEZ337" s="653"/>
      <c r="AFA337" s="653"/>
      <c r="AFB337" s="653"/>
      <c r="AFC337" s="653"/>
      <c r="AFD337" s="653"/>
      <c r="AFE337" s="653"/>
      <c r="AFF337" s="653"/>
      <c r="AFG337" s="653"/>
      <c r="AFH337" s="653"/>
      <c r="AFI337" s="653"/>
      <c r="AFJ337" s="653"/>
      <c r="AFK337" s="653"/>
      <c r="AFL337" s="653"/>
      <c r="AFM337" s="653"/>
      <c r="AFN337" s="653"/>
      <c r="AFO337" s="653"/>
      <c r="AFP337" s="653"/>
      <c r="AFQ337" s="653"/>
      <c r="AFR337" s="653"/>
      <c r="AFS337" s="653"/>
      <c r="AFT337" s="653"/>
      <c r="AFU337" s="653"/>
      <c r="AFV337" s="653"/>
      <c r="AFW337" s="653"/>
      <c r="AFX337" s="653"/>
      <c r="AFY337" s="653"/>
      <c r="AFZ337" s="653"/>
      <c r="AGA337" s="653"/>
      <c r="AGB337" s="653"/>
      <c r="AGC337" s="653"/>
      <c r="AGD337" s="653"/>
      <c r="AGE337" s="653"/>
      <c r="AGF337" s="653"/>
      <c r="AGG337" s="653"/>
      <c r="AGH337" s="653"/>
      <c r="AGI337" s="653"/>
      <c r="AGJ337" s="653"/>
      <c r="AGK337" s="653"/>
    </row>
    <row r="338" spans="460:869" ht="48" customHeight="1">
      <c r="QR338" s="130"/>
      <c r="QS338" s="130"/>
      <c r="QT338" s="130"/>
      <c r="QU338" s="130"/>
      <c r="QV338" s="130"/>
      <c r="QW338" s="130"/>
      <c r="QX338" s="130"/>
      <c r="QY338" s="130"/>
      <c r="QZ338" s="130"/>
      <c r="RA338" s="130"/>
      <c r="RB338" s="130"/>
      <c r="RC338" s="130"/>
      <c r="RD338" s="130"/>
      <c r="RE338" s="130"/>
      <c r="RF338" s="130"/>
      <c r="RG338" s="130"/>
      <c r="RH338" s="130"/>
      <c r="RI338" s="130"/>
      <c r="RJ338" s="130"/>
      <c r="RK338" s="130"/>
      <c r="RL338" s="130"/>
      <c r="RM338" s="130"/>
      <c r="RN338" s="130"/>
      <c r="RO338" s="130"/>
      <c r="RP338" s="130"/>
      <c r="RQ338" s="130"/>
      <c r="RR338" s="130"/>
      <c r="RS338" s="130"/>
      <c r="RT338" s="130"/>
      <c r="RU338" s="130"/>
      <c r="RV338" s="130"/>
      <c r="RW338" s="130"/>
      <c r="RX338" s="130"/>
      <c r="RY338" s="130"/>
      <c r="RZ338" s="130"/>
      <c r="SA338" s="130"/>
      <c r="SB338" s="130"/>
      <c r="SC338" s="130"/>
      <c r="SD338" s="130"/>
      <c r="SE338" s="130"/>
      <c r="SF338" s="130"/>
      <c r="SG338" s="130"/>
      <c r="SH338" s="130"/>
      <c r="SI338" s="130"/>
      <c r="SJ338" s="130"/>
      <c r="SK338" s="130"/>
      <c r="SL338" s="130"/>
      <c r="SM338" s="130"/>
      <c r="SN338" s="130"/>
      <c r="SO338" s="130"/>
      <c r="SP338" s="130"/>
      <c r="SQ338" s="130"/>
      <c r="SR338" s="130"/>
      <c r="SS338" s="130"/>
      <c r="ST338" s="130"/>
      <c r="SU338" s="130"/>
      <c r="SV338" s="130"/>
      <c r="SW338" s="130"/>
      <c r="SX338" s="130"/>
      <c r="SY338" s="130"/>
      <c r="SZ338" s="130"/>
      <c r="TA338" s="130"/>
      <c r="TB338" s="130"/>
      <c r="TC338" s="130"/>
      <c r="TD338" s="130"/>
      <c r="TE338" s="130"/>
      <c r="TF338" s="130"/>
      <c r="TG338" s="130"/>
      <c r="TH338" s="130"/>
      <c r="TI338" s="130"/>
      <c r="TJ338" s="130"/>
      <c r="TK338" s="130"/>
      <c r="TL338" s="130"/>
      <c r="TM338" s="130"/>
      <c r="TN338" s="130"/>
      <c r="TO338" s="130"/>
      <c r="TP338" s="130"/>
      <c r="TQ338" s="130"/>
      <c r="TR338" s="130"/>
      <c r="TS338" s="130"/>
      <c r="TT338" s="130"/>
      <c r="TU338" s="130"/>
      <c r="TV338" s="130"/>
      <c r="TW338" s="130"/>
      <c r="TX338" s="130"/>
      <c r="TY338" s="130"/>
      <c r="TZ338" s="130"/>
      <c r="UA338" s="130"/>
      <c r="UB338" s="130"/>
      <c r="UC338" s="130"/>
      <c r="UD338" s="130"/>
      <c r="UE338" s="130"/>
      <c r="UF338" s="130"/>
      <c r="UG338" s="130"/>
      <c r="UH338" s="130"/>
      <c r="UI338" s="130"/>
      <c r="UJ338" s="130"/>
      <c r="UK338" s="130"/>
      <c r="UL338" s="130"/>
      <c r="UM338" s="130"/>
      <c r="UN338" s="130"/>
      <c r="UO338" s="130"/>
      <c r="UP338" s="130"/>
      <c r="UQ338" s="130"/>
      <c r="UR338" s="130"/>
      <c r="US338" s="130"/>
      <c r="UT338" s="130"/>
      <c r="UU338" s="130"/>
      <c r="AEM338" s="653"/>
      <c r="AEN338" s="653"/>
      <c r="AEO338" s="653"/>
      <c r="AEP338" s="653"/>
      <c r="AEQ338" s="653"/>
      <c r="AER338" s="653"/>
      <c r="AES338" s="653"/>
      <c r="AET338" s="653"/>
      <c r="AEU338" s="653"/>
      <c r="AEV338" s="653"/>
      <c r="AEW338" s="653"/>
      <c r="AEX338" s="653"/>
      <c r="AEY338" s="653"/>
      <c r="AEZ338" s="653"/>
      <c r="AFA338" s="653"/>
      <c r="AFB338" s="653"/>
      <c r="AFC338" s="653"/>
      <c r="AFD338" s="653"/>
      <c r="AFE338" s="653"/>
      <c r="AFF338" s="653"/>
      <c r="AFG338" s="653"/>
      <c r="AFH338" s="653"/>
      <c r="AFI338" s="653"/>
      <c r="AFJ338" s="653"/>
      <c r="AFK338" s="653"/>
      <c r="AFL338" s="653"/>
      <c r="AFM338" s="653"/>
      <c r="AFN338" s="653"/>
      <c r="AFO338" s="653"/>
      <c r="AFP338" s="653"/>
      <c r="AFQ338" s="653"/>
      <c r="AFR338" s="653"/>
      <c r="AFS338" s="653"/>
      <c r="AFT338" s="653"/>
      <c r="AFU338" s="653"/>
      <c r="AFV338" s="653"/>
      <c r="AFW338" s="653"/>
      <c r="AFX338" s="653"/>
      <c r="AFY338" s="653"/>
      <c r="AFZ338" s="653"/>
      <c r="AGA338" s="653"/>
      <c r="AGB338" s="653"/>
      <c r="AGC338" s="653"/>
      <c r="AGD338" s="653"/>
      <c r="AGE338" s="653"/>
      <c r="AGF338" s="653"/>
      <c r="AGG338" s="653"/>
      <c r="AGH338" s="653"/>
      <c r="AGI338" s="653"/>
      <c r="AGJ338" s="653"/>
      <c r="AGK338" s="653"/>
    </row>
    <row r="339" spans="460:869" ht="48" customHeight="1">
      <c r="QR339" s="130"/>
      <c r="QS339" s="130"/>
      <c r="QT339" s="130"/>
      <c r="QU339" s="130"/>
      <c r="QV339" s="130"/>
      <c r="QW339" s="130"/>
      <c r="QX339" s="130"/>
      <c r="QY339" s="130"/>
      <c r="QZ339" s="130"/>
      <c r="RA339" s="130"/>
      <c r="RB339" s="130"/>
      <c r="RC339" s="130"/>
      <c r="RD339" s="130"/>
      <c r="RE339" s="130"/>
      <c r="RF339" s="130"/>
      <c r="RG339" s="130"/>
      <c r="RH339" s="130"/>
      <c r="RI339" s="130"/>
      <c r="RJ339" s="130"/>
      <c r="RK339" s="130"/>
      <c r="RL339" s="130"/>
      <c r="RM339" s="130"/>
      <c r="RN339" s="130"/>
      <c r="RO339" s="130"/>
      <c r="RP339" s="130"/>
      <c r="RQ339" s="130"/>
      <c r="RR339" s="130"/>
      <c r="RS339" s="130"/>
      <c r="RT339" s="130"/>
      <c r="RU339" s="130"/>
      <c r="RV339" s="130"/>
      <c r="RW339" s="130"/>
      <c r="RX339" s="130"/>
      <c r="RY339" s="130"/>
      <c r="RZ339" s="130"/>
      <c r="SA339" s="130"/>
      <c r="SB339" s="130"/>
      <c r="SC339" s="130"/>
      <c r="SD339" s="130"/>
      <c r="SE339" s="130"/>
      <c r="SF339" s="130"/>
      <c r="SG339" s="130"/>
      <c r="SH339" s="130"/>
      <c r="SI339" s="130"/>
      <c r="SJ339" s="130"/>
      <c r="SK339" s="130"/>
      <c r="SL339" s="130"/>
      <c r="SM339" s="130"/>
      <c r="SN339" s="130"/>
      <c r="SO339" s="130"/>
      <c r="SP339" s="130"/>
      <c r="SQ339" s="130"/>
      <c r="SR339" s="130"/>
      <c r="SS339" s="130"/>
      <c r="ST339" s="130"/>
      <c r="SU339" s="130"/>
      <c r="SV339" s="130"/>
      <c r="SW339" s="130"/>
      <c r="SX339" s="130"/>
      <c r="SY339" s="130"/>
      <c r="SZ339" s="130"/>
      <c r="TA339" s="130"/>
      <c r="TB339" s="130"/>
      <c r="TC339" s="130"/>
      <c r="TD339" s="130"/>
      <c r="TE339" s="130"/>
      <c r="TF339" s="130"/>
      <c r="TG339" s="130"/>
      <c r="TH339" s="130"/>
      <c r="TI339" s="130"/>
      <c r="TJ339" s="130"/>
      <c r="TK339" s="130"/>
      <c r="TL339" s="130"/>
      <c r="TM339" s="130"/>
      <c r="TN339" s="130"/>
      <c r="TO339" s="130"/>
      <c r="TP339" s="130"/>
      <c r="TQ339" s="130"/>
      <c r="TR339" s="130"/>
      <c r="TS339" s="130"/>
      <c r="TT339" s="130"/>
      <c r="TU339" s="130"/>
      <c r="TV339" s="130"/>
      <c r="TW339" s="130"/>
      <c r="TX339" s="130"/>
      <c r="TY339" s="130"/>
      <c r="TZ339" s="130"/>
      <c r="UA339" s="130"/>
      <c r="UB339" s="130"/>
      <c r="UC339" s="130"/>
      <c r="UD339" s="130"/>
      <c r="UE339" s="130"/>
      <c r="UF339" s="130"/>
      <c r="UG339" s="130"/>
      <c r="UH339" s="130"/>
      <c r="UI339" s="130"/>
      <c r="UJ339" s="130"/>
      <c r="UK339" s="130"/>
      <c r="UL339" s="130"/>
      <c r="UM339" s="130"/>
      <c r="UN339" s="130"/>
      <c r="UO339" s="130"/>
      <c r="UP339" s="130"/>
      <c r="UQ339" s="130"/>
      <c r="UR339" s="130"/>
      <c r="US339" s="130"/>
      <c r="UT339" s="130"/>
      <c r="UU339" s="130"/>
      <c r="AEM339" s="653"/>
      <c r="AEN339" s="653"/>
      <c r="AEO339" s="653"/>
      <c r="AEP339" s="653"/>
      <c r="AEQ339" s="653"/>
      <c r="AER339" s="653"/>
      <c r="AES339" s="653"/>
      <c r="AET339" s="653"/>
      <c r="AEU339" s="653"/>
      <c r="AEV339" s="653"/>
      <c r="AEW339" s="653"/>
      <c r="AEX339" s="653"/>
      <c r="AEY339" s="653"/>
      <c r="AEZ339" s="653"/>
      <c r="AFA339" s="653"/>
      <c r="AFB339" s="653"/>
      <c r="AFC339" s="653"/>
      <c r="AFD339" s="653"/>
      <c r="AFE339" s="653"/>
      <c r="AFF339" s="653"/>
      <c r="AFG339" s="653"/>
      <c r="AFH339" s="653"/>
      <c r="AFI339" s="653"/>
      <c r="AFJ339" s="653"/>
      <c r="AFK339" s="653"/>
      <c r="AFL339" s="653"/>
      <c r="AFM339" s="653"/>
      <c r="AFN339" s="653"/>
      <c r="AFO339" s="653"/>
      <c r="AFP339" s="653"/>
      <c r="AFQ339" s="653"/>
      <c r="AFR339" s="653"/>
      <c r="AFS339" s="653"/>
      <c r="AFT339" s="653"/>
      <c r="AFU339" s="653"/>
      <c r="AFV339" s="653"/>
      <c r="AFW339" s="653"/>
      <c r="AFX339" s="653"/>
      <c r="AFY339" s="653"/>
      <c r="AFZ339" s="653"/>
      <c r="AGA339" s="653"/>
      <c r="AGB339" s="653"/>
      <c r="AGC339" s="653"/>
      <c r="AGD339" s="653"/>
      <c r="AGE339" s="653"/>
      <c r="AGF339" s="653"/>
      <c r="AGG339" s="653"/>
      <c r="AGH339" s="653"/>
      <c r="AGI339" s="653"/>
      <c r="AGJ339" s="653"/>
      <c r="AGK339" s="653"/>
    </row>
    <row r="340" spans="460:869" ht="48" customHeight="1">
      <c r="QR340" s="130"/>
      <c r="QS340" s="130"/>
      <c r="QT340" s="130"/>
      <c r="QU340" s="130"/>
      <c r="QV340" s="130"/>
      <c r="QW340" s="130"/>
      <c r="QX340" s="130"/>
      <c r="QY340" s="130"/>
      <c r="QZ340" s="130"/>
      <c r="RA340" s="130"/>
      <c r="RB340" s="130"/>
      <c r="RC340" s="130"/>
      <c r="RD340" s="130"/>
      <c r="RE340" s="130"/>
      <c r="RF340" s="130"/>
      <c r="RG340" s="130"/>
      <c r="RH340" s="130"/>
      <c r="RI340" s="130"/>
      <c r="RJ340" s="130"/>
      <c r="RK340" s="130"/>
      <c r="RL340" s="130"/>
      <c r="RM340" s="130"/>
      <c r="RN340" s="130"/>
      <c r="RO340" s="130"/>
      <c r="RP340" s="130"/>
      <c r="RQ340" s="130"/>
      <c r="RR340" s="130"/>
      <c r="RS340" s="130"/>
      <c r="RT340" s="130"/>
      <c r="RU340" s="130"/>
      <c r="RV340" s="130"/>
      <c r="RW340" s="130"/>
      <c r="RX340" s="130"/>
      <c r="RY340" s="130"/>
      <c r="RZ340" s="130"/>
      <c r="SA340" s="130"/>
      <c r="SB340" s="130"/>
      <c r="SC340" s="130"/>
      <c r="SD340" s="130"/>
      <c r="SE340" s="130"/>
      <c r="SF340" s="130"/>
      <c r="SG340" s="130"/>
      <c r="SH340" s="130"/>
      <c r="SI340" s="130"/>
      <c r="SJ340" s="130"/>
      <c r="SK340" s="130"/>
      <c r="SL340" s="130"/>
      <c r="SM340" s="130"/>
      <c r="SN340" s="130"/>
      <c r="SO340" s="130"/>
      <c r="SP340" s="130"/>
      <c r="SQ340" s="130"/>
      <c r="SR340" s="130"/>
      <c r="SS340" s="130"/>
      <c r="ST340" s="130"/>
      <c r="SU340" s="130"/>
      <c r="SV340" s="130"/>
      <c r="SW340" s="130"/>
      <c r="SX340" s="130"/>
      <c r="SY340" s="130"/>
      <c r="SZ340" s="130"/>
      <c r="TA340" s="130"/>
      <c r="TB340" s="130"/>
      <c r="TC340" s="130"/>
      <c r="TD340" s="130"/>
      <c r="TE340" s="130"/>
      <c r="TF340" s="130"/>
      <c r="TG340" s="130"/>
      <c r="TH340" s="130"/>
      <c r="TI340" s="130"/>
      <c r="TJ340" s="130"/>
      <c r="TK340" s="130"/>
      <c r="TL340" s="130"/>
      <c r="TM340" s="130"/>
      <c r="TN340" s="130"/>
      <c r="TO340" s="130"/>
      <c r="TP340" s="130"/>
      <c r="TQ340" s="130"/>
      <c r="TR340" s="130"/>
      <c r="TS340" s="130"/>
      <c r="TT340" s="130"/>
      <c r="TU340" s="130"/>
      <c r="TV340" s="130"/>
      <c r="TW340" s="130"/>
      <c r="TX340" s="130"/>
      <c r="TY340" s="130"/>
      <c r="TZ340" s="130"/>
      <c r="UA340" s="130"/>
      <c r="UB340" s="130"/>
      <c r="UC340" s="130"/>
      <c r="UD340" s="130"/>
      <c r="UE340" s="130"/>
      <c r="UF340" s="130"/>
      <c r="UG340" s="130"/>
      <c r="UH340" s="130"/>
      <c r="UI340" s="130"/>
      <c r="UJ340" s="130"/>
      <c r="UK340" s="130"/>
      <c r="UL340" s="130"/>
      <c r="UM340" s="130"/>
      <c r="UN340" s="130"/>
      <c r="UO340" s="130"/>
      <c r="UP340" s="130"/>
      <c r="UQ340" s="130"/>
      <c r="UR340" s="130"/>
      <c r="US340" s="130"/>
      <c r="UT340" s="130"/>
      <c r="UU340" s="130"/>
      <c r="AEM340" s="653"/>
      <c r="AEN340" s="653"/>
      <c r="AEO340" s="653"/>
      <c r="AEP340" s="653"/>
      <c r="AEQ340" s="653"/>
      <c r="AER340" s="653"/>
      <c r="AES340" s="653"/>
      <c r="AET340" s="653"/>
      <c r="AEU340" s="653"/>
      <c r="AEV340" s="653"/>
      <c r="AEW340" s="653"/>
      <c r="AEX340" s="653"/>
      <c r="AEY340" s="653"/>
      <c r="AEZ340" s="653"/>
      <c r="AFA340" s="653"/>
      <c r="AFB340" s="653"/>
      <c r="AFC340" s="653"/>
      <c r="AFD340" s="653"/>
      <c r="AFE340" s="653"/>
      <c r="AFF340" s="653"/>
      <c r="AFG340" s="653"/>
      <c r="AFH340" s="653"/>
      <c r="AFI340" s="653"/>
      <c r="AFJ340" s="653"/>
      <c r="AFK340" s="653"/>
      <c r="AFL340" s="653"/>
      <c r="AFM340" s="653"/>
      <c r="AFN340" s="653"/>
      <c r="AFO340" s="653"/>
      <c r="AFP340" s="653"/>
      <c r="AFQ340" s="653"/>
      <c r="AFR340" s="653"/>
      <c r="AFS340" s="653"/>
      <c r="AFT340" s="653"/>
      <c r="AFU340" s="653"/>
      <c r="AFV340" s="653"/>
      <c r="AFW340" s="653"/>
      <c r="AFX340" s="653"/>
      <c r="AFY340" s="653"/>
      <c r="AFZ340" s="653"/>
      <c r="AGA340" s="653"/>
      <c r="AGB340" s="653"/>
      <c r="AGC340" s="653"/>
      <c r="AGD340" s="653"/>
      <c r="AGE340" s="653"/>
      <c r="AGF340" s="653"/>
      <c r="AGG340" s="653"/>
      <c r="AGH340" s="653"/>
      <c r="AGI340" s="653"/>
      <c r="AGJ340" s="653"/>
      <c r="AGK340" s="653"/>
    </row>
    <row r="341" spans="460:869" ht="48" customHeight="1">
      <c r="QR341" s="130"/>
      <c r="QS341" s="130"/>
      <c r="QT341" s="130"/>
      <c r="QU341" s="130"/>
      <c r="QV341" s="130"/>
      <c r="QW341" s="130"/>
      <c r="QX341" s="130"/>
      <c r="QY341" s="130"/>
      <c r="QZ341" s="130"/>
      <c r="RA341" s="130"/>
      <c r="RB341" s="130"/>
      <c r="RC341" s="130"/>
      <c r="RD341" s="130"/>
      <c r="RE341" s="130"/>
      <c r="RF341" s="130"/>
      <c r="RG341" s="130"/>
      <c r="RH341" s="130"/>
      <c r="RI341" s="130"/>
      <c r="RJ341" s="130"/>
      <c r="RK341" s="130"/>
      <c r="RL341" s="130"/>
      <c r="RM341" s="130"/>
      <c r="RN341" s="130"/>
      <c r="RO341" s="130"/>
      <c r="RP341" s="130"/>
      <c r="RQ341" s="130"/>
      <c r="RR341" s="130"/>
      <c r="RS341" s="130"/>
      <c r="RT341" s="130"/>
      <c r="RU341" s="130"/>
      <c r="RV341" s="130"/>
      <c r="RW341" s="130"/>
      <c r="RX341" s="130"/>
      <c r="RY341" s="130"/>
      <c r="RZ341" s="130"/>
      <c r="SA341" s="130"/>
      <c r="SB341" s="130"/>
      <c r="SC341" s="130"/>
      <c r="SD341" s="130"/>
      <c r="SE341" s="130"/>
      <c r="SF341" s="130"/>
      <c r="SG341" s="130"/>
      <c r="SH341" s="130"/>
      <c r="SI341" s="130"/>
      <c r="SJ341" s="130"/>
      <c r="SK341" s="130"/>
      <c r="SL341" s="130"/>
      <c r="SM341" s="130"/>
      <c r="SN341" s="130"/>
      <c r="SO341" s="130"/>
      <c r="SP341" s="130"/>
      <c r="SQ341" s="130"/>
      <c r="SR341" s="130"/>
      <c r="SS341" s="130"/>
      <c r="ST341" s="130"/>
      <c r="SU341" s="130"/>
      <c r="SV341" s="130"/>
      <c r="SW341" s="130"/>
      <c r="SX341" s="130"/>
      <c r="SY341" s="130"/>
      <c r="SZ341" s="130"/>
      <c r="TA341" s="130"/>
      <c r="TB341" s="130"/>
      <c r="TC341" s="130"/>
      <c r="TD341" s="130"/>
      <c r="TE341" s="130"/>
      <c r="TF341" s="130"/>
      <c r="TG341" s="130"/>
      <c r="TH341" s="130"/>
      <c r="TI341" s="130"/>
      <c r="TJ341" s="130"/>
      <c r="TK341" s="130"/>
      <c r="TL341" s="130"/>
      <c r="TM341" s="130"/>
      <c r="TN341" s="130"/>
      <c r="TO341" s="130"/>
      <c r="TP341" s="130"/>
      <c r="TQ341" s="130"/>
      <c r="TR341" s="130"/>
      <c r="TS341" s="130"/>
      <c r="TT341" s="130"/>
      <c r="TU341" s="130"/>
      <c r="TV341" s="130"/>
      <c r="TW341" s="130"/>
      <c r="TX341" s="130"/>
      <c r="TY341" s="130"/>
      <c r="TZ341" s="130"/>
      <c r="UA341" s="130"/>
      <c r="UB341" s="130"/>
      <c r="UC341" s="130"/>
      <c r="UD341" s="130"/>
      <c r="UE341" s="130"/>
      <c r="UF341" s="130"/>
      <c r="UG341" s="130"/>
      <c r="UH341" s="130"/>
      <c r="UI341" s="130"/>
      <c r="UJ341" s="130"/>
      <c r="UK341" s="130"/>
      <c r="UL341" s="130"/>
      <c r="UM341" s="130"/>
      <c r="UN341" s="130"/>
      <c r="UO341" s="130"/>
      <c r="UP341" s="130"/>
      <c r="UQ341" s="130"/>
      <c r="UR341" s="130"/>
      <c r="US341" s="130"/>
      <c r="UT341" s="130"/>
      <c r="UU341" s="130"/>
      <c r="AEM341" s="653"/>
      <c r="AEN341" s="653"/>
      <c r="AEO341" s="653"/>
      <c r="AEP341" s="653"/>
      <c r="AEQ341" s="653"/>
      <c r="AER341" s="653"/>
      <c r="AES341" s="653"/>
      <c r="AET341" s="653"/>
      <c r="AEU341" s="653"/>
      <c r="AEV341" s="653"/>
      <c r="AEW341" s="653"/>
      <c r="AEX341" s="653"/>
      <c r="AEY341" s="653"/>
      <c r="AEZ341" s="653"/>
      <c r="AFA341" s="653"/>
      <c r="AFB341" s="653"/>
      <c r="AFC341" s="653"/>
      <c r="AFD341" s="653"/>
      <c r="AFE341" s="653"/>
      <c r="AFF341" s="653"/>
      <c r="AFG341" s="653"/>
      <c r="AFH341" s="653"/>
      <c r="AFI341" s="653"/>
      <c r="AFJ341" s="653"/>
      <c r="AFK341" s="653"/>
      <c r="AFL341" s="653"/>
      <c r="AFM341" s="653"/>
      <c r="AFN341" s="653"/>
      <c r="AFO341" s="653"/>
      <c r="AFP341" s="653"/>
      <c r="AFQ341" s="653"/>
      <c r="AFR341" s="653"/>
      <c r="AFS341" s="653"/>
      <c r="AFT341" s="653"/>
      <c r="AFU341" s="653"/>
      <c r="AFV341" s="653"/>
      <c r="AFW341" s="653"/>
      <c r="AFX341" s="653"/>
      <c r="AFY341" s="653"/>
      <c r="AFZ341" s="653"/>
      <c r="AGA341" s="653"/>
      <c r="AGB341" s="653"/>
      <c r="AGC341" s="653"/>
      <c r="AGD341" s="653"/>
      <c r="AGE341" s="653"/>
      <c r="AGF341" s="653"/>
      <c r="AGG341" s="653"/>
      <c r="AGH341" s="653"/>
      <c r="AGI341" s="653"/>
      <c r="AGJ341" s="653"/>
      <c r="AGK341" s="653"/>
    </row>
    <row r="342" spans="460:869" ht="48" customHeight="1">
      <c r="QR342" s="130"/>
      <c r="QS342" s="130"/>
      <c r="QT342" s="130"/>
      <c r="QU342" s="130"/>
      <c r="QV342" s="130"/>
      <c r="QW342" s="130"/>
      <c r="QX342" s="130"/>
      <c r="QY342" s="130"/>
      <c r="QZ342" s="130"/>
      <c r="RA342" s="130"/>
      <c r="RB342" s="130"/>
      <c r="RC342" s="130"/>
      <c r="RD342" s="130"/>
      <c r="RE342" s="130"/>
      <c r="RF342" s="130"/>
      <c r="RG342" s="130"/>
      <c r="RH342" s="130"/>
      <c r="RI342" s="130"/>
      <c r="RJ342" s="130"/>
      <c r="RK342" s="130"/>
      <c r="RL342" s="130"/>
      <c r="RM342" s="130"/>
      <c r="RN342" s="130"/>
      <c r="RO342" s="130"/>
      <c r="RP342" s="130"/>
      <c r="RQ342" s="130"/>
      <c r="RR342" s="130"/>
      <c r="RS342" s="130"/>
      <c r="RT342" s="130"/>
      <c r="RU342" s="130"/>
      <c r="RV342" s="130"/>
      <c r="RW342" s="130"/>
      <c r="RX342" s="130"/>
      <c r="RY342" s="130"/>
      <c r="RZ342" s="130"/>
      <c r="SA342" s="130"/>
      <c r="SB342" s="130"/>
      <c r="SC342" s="130"/>
      <c r="SD342" s="130"/>
      <c r="SE342" s="130"/>
      <c r="SF342" s="130"/>
      <c r="SG342" s="130"/>
      <c r="SH342" s="130"/>
      <c r="SI342" s="130"/>
      <c r="SJ342" s="130"/>
      <c r="SK342" s="130"/>
      <c r="SL342" s="130"/>
      <c r="SM342" s="130"/>
      <c r="SN342" s="130"/>
      <c r="SO342" s="130"/>
      <c r="SP342" s="130"/>
      <c r="SQ342" s="130"/>
      <c r="SR342" s="130"/>
      <c r="SS342" s="130"/>
      <c r="ST342" s="130"/>
      <c r="SU342" s="130"/>
      <c r="SV342" s="130"/>
      <c r="SW342" s="130"/>
      <c r="SX342" s="130"/>
      <c r="SY342" s="130"/>
      <c r="SZ342" s="130"/>
      <c r="TA342" s="130"/>
      <c r="TB342" s="130"/>
      <c r="TC342" s="130"/>
      <c r="TD342" s="130"/>
      <c r="TE342" s="130"/>
      <c r="TF342" s="130"/>
      <c r="TG342" s="130"/>
      <c r="TH342" s="130"/>
      <c r="TI342" s="130"/>
      <c r="TJ342" s="130"/>
      <c r="TK342" s="130"/>
      <c r="TL342" s="130"/>
      <c r="TM342" s="130"/>
      <c r="TN342" s="130"/>
      <c r="TO342" s="130"/>
      <c r="TP342" s="130"/>
      <c r="TQ342" s="130"/>
      <c r="TR342" s="130"/>
      <c r="TS342" s="130"/>
      <c r="TT342" s="130"/>
      <c r="TU342" s="130"/>
      <c r="TV342" s="130"/>
      <c r="TW342" s="130"/>
      <c r="TX342" s="130"/>
      <c r="TY342" s="130"/>
      <c r="TZ342" s="130"/>
      <c r="UA342" s="130"/>
      <c r="UB342" s="130"/>
      <c r="UC342" s="130"/>
      <c r="UD342" s="130"/>
      <c r="UE342" s="130"/>
      <c r="UF342" s="130"/>
      <c r="UG342" s="130"/>
      <c r="UH342" s="130"/>
      <c r="UI342" s="130"/>
      <c r="UJ342" s="130"/>
      <c r="UK342" s="130"/>
      <c r="UL342" s="130"/>
      <c r="UM342" s="130"/>
      <c r="UN342" s="130"/>
      <c r="UO342" s="130"/>
      <c r="UP342" s="130"/>
      <c r="UQ342" s="130"/>
      <c r="UR342" s="130"/>
      <c r="US342" s="130"/>
      <c r="UT342" s="130"/>
      <c r="UU342" s="130"/>
      <c r="AEM342" s="653"/>
      <c r="AEN342" s="653"/>
      <c r="AEO342" s="653"/>
      <c r="AEP342" s="653"/>
      <c r="AEQ342" s="653"/>
      <c r="AER342" s="653"/>
      <c r="AES342" s="653"/>
      <c r="AET342" s="653"/>
      <c r="AEU342" s="653"/>
      <c r="AEV342" s="653"/>
      <c r="AEW342" s="653"/>
      <c r="AEX342" s="653"/>
      <c r="AEY342" s="653"/>
      <c r="AEZ342" s="653"/>
      <c r="AFA342" s="653"/>
      <c r="AFB342" s="653"/>
      <c r="AFC342" s="653"/>
      <c r="AFD342" s="653"/>
      <c r="AFE342" s="653"/>
      <c r="AFF342" s="653"/>
      <c r="AFG342" s="653"/>
      <c r="AFH342" s="653"/>
      <c r="AFI342" s="653"/>
      <c r="AFJ342" s="653"/>
      <c r="AFK342" s="653"/>
      <c r="AFL342" s="653"/>
      <c r="AFM342" s="653"/>
      <c r="AFN342" s="653"/>
      <c r="AFO342" s="653"/>
      <c r="AFP342" s="653"/>
      <c r="AFQ342" s="653"/>
      <c r="AFR342" s="653"/>
      <c r="AFS342" s="653"/>
      <c r="AFT342" s="653"/>
      <c r="AFU342" s="653"/>
      <c r="AFV342" s="653"/>
      <c r="AFW342" s="653"/>
      <c r="AFX342" s="653"/>
      <c r="AFY342" s="653"/>
      <c r="AFZ342" s="653"/>
      <c r="AGA342" s="653"/>
      <c r="AGB342" s="653"/>
      <c r="AGC342" s="653"/>
      <c r="AGD342" s="653"/>
      <c r="AGE342" s="653"/>
      <c r="AGF342" s="653"/>
      <c r="AGG342" s="653"/>
      <c r="AGH342" s="653"/>
      <c r="AGI342" s="653"/>
      <c r="AGJ342" s="653"/>
      <c r="AGK342" s="653"/>
    </row>
    <row r="343" spans="460:869" ht="48" customHeight="1">
      <c r="QR343" s="130"/>
      <c r="QS343" s="130"/>
      <c r="QT343" s="130"/>
      <c r="QU343" s="130"/>
      <c r="QV343" s="130"/>
      <c r="QW343" s="130"/>
      <c r="QX343" s="130"/>
      <c r="QY343" s="130"/>
      <c r="QZ343" s="130"/>
      <c r="RA343" s="130"/>
      <c r="RB343" s="130"/>
      <c r="RC343" s="130"/>
      <c r="RD343" s="130"/>
      <c r="RE343" s="130"/>
      <c r="RF343" s="130"/>
      <c r="RG343" s="130"/>
      <c r="RH343" s="130"/>
      <c r="RI343" s="130"/>
      <c r="RJ343" s="130"/>
      <c r="RK343" s="130"/>
      <c r="RL343" s="130"/>
      <c r="RM343" s="130"/>
      <c r="RN343" s="130"/>
      <c r="RO343" s="130"/>
      <c r="RP343" s="130"/>
      <c r="RQ343" s="130"/>
      <c r="RR343" s="130"/>
      <c r="RS343" s="130"/>
      <c r="RT343" s="130"/>
      <c r="RU343" s="130"/>
      <c r="RV343" s="130"/>
      <c r="RW343" s="130"/>
      <c r="RX343" s="130"/>
      <c r="RY343" s="130"/>
      <c r="RZ343" s="130"/>
      <c r="SA343" s="130"/>
      <c r="SB343" s="130"/>
      <c r="SC343" s="130"/>
      <c r="SD343" s="130"/>
      <c r="SE343" s="130"/>
      <c r="SF343" s="130"/>
      <c r="SG343" s="130"/>
      <c r="SH343" s="130"/>
      <c r="SI343" s="130"/>
      <c r="SJ343" s="130"/>
      <c r="SK343" s="130"/>
      <c r="SL343" s="130"/>
      <c r="SM343" s="130"/>
      <c r="SN343" s="130"/>
      <c r="SO343" s="130"/>
      <c r="SP343" s="130"/>
      <c r="SQ343" s="130"/>
      <c r="SR343" s="130"/>
      <c r="SS343" s="130"/>
      <c r="ST343" s="130"/>
      <c r="SU343" s="130"/>
      <c r="SV343" s="130"/>
      <c r="SW343" s="130"/>
      <c r="SX343" s="130"/>
      <c r="SY343" s="130"/>
      <c r="SZ343" s="130"/>
      <c r="TA343" s="130"/>
      <c r="TB343" s="130"/>
      <c r="TC343" s="130"/>
      <c r="TD343" s="130"/>
      <c r="TE343" s="130"/>
      <c r="TF343" s="130"/>
      <c r="TG343" s="130"/>
      <c r="TH343" s="130"/>
      <c r="TI343" s="130"/>
      <c r="TJ343" s="130"/>
      <c r="TK343" s="130"/>
      <c r="TL343" s="130"/>
      <c r="TM343" s="130"/>
      <c r="TN343" s="130"/>
      <c r="TO343" s="130"/>
      <c r="TP343" s="130"/>
      <c r="TQ343" s="130"/>
      <c r="TR343" s="130"/>
      <c r="TS343" s="130"/>
      <c r="TT343" s="130"/>
      <c r="TU343" s="130"/>
      <c r="TV343" s="130"/>
      <c r="TW343" s="130"/>
      <c r="TX343" s="130"/>
      <c r="TY343" s="130"/>
      <c r="TZ343" s="130"/>
      <c r="UA343" s="130"/>
      <c r="UB343" s="130"/>
      <c r="UC343" s="130"/>
      <c r="UD343" s="130"/>
      <c r="UE343" s="130"/>
      <c r="UF343" s="130"/>
      <c r="UG343" s="130"/>
      <c r="UH343" s="130"/>
      <c r="UI343" s="130"/>
      <c r="UJ343" s="130"/>
      <c r="UK343" s="130"/>
      <c r="UL343" s="130"/>
      <c r="UM343" s="130"/>
      <c r="UN343" s="130"/>
      <c r="UO343" s="130"/>
      <c r="UP343" s="130"/>
      <c r="UQ343" s="130"/>
      <c r="UR343" s="130"/>
      <c r="US343" s="130"/>
      <c r="UT343" s="130"/>
      <c r="UU343" s="130"/>
      <c r="AEM343" s="653"/>
      <c r="AEN343" s="653"/>
      <c r="AEO343" s="653"/>
      <c r="AEP343" s="653"/>
      <c r="AEQ343" s="653"/>
      <c r="AER343" s="653"/>
      <c r="AES343" s="653"/>
      <c r="AET343" s="653"/>
      <c r="AEU343" s="653"/>
      <c r="AEV343" s="653"/>
      <c r="AEW343" s="653"/>
      <c r="AEX343" s="653"/>
      <c r="AEY343" s="653"/>
      <c r="AEZ343" s="653"/>
      <c r="AFA343" s="653"/>
      <c r="AFB343" s="653"/>
      <c r="AFC343" s="653"/>
      <c r="AFD343" s="653"/>
      <c r="AFE343" s="653"/>
      <c r="AFF343" s="653"/>
      <c r="AFG343" s="653"/>
      <c r="AFH343" s="653"/>
      <c r="AFI343" s="653"/>
      <c r="AFJ343" s="653"/>
      <c r="AFK343" s="653"/>
      <c r="AFL343" s="653"/>
      <c r="AFM343" s="653"/>
      <c r="AFN343" s="653"/>
      <c r="AFO343" s="653"/>
      <c r="AFP343" s="653"/>
      <c r="AFQ343" s="653"/>
      <c r="AFR343" s="653"/>
      <c r="AFS343" s="653"/>
      <c r="AFT343" s="653"/>
      <c r="AFU343" s="653"/>
      <c r="AFV343" s="653"/>
      <c r="AFW343" s="653"/>
      <c r="AFX343" s="653"/>
      <c r="AFY343" s="653"/>
      <c r="AFZ343" s="653"/>
      <c r="AGA343" s="653"/>
      <c r="AGB343" s="653"/>
      <c r="AGC343" s="653"/>
      <c r="AGD343" s="653"/>
      <c r="AGE343" s="653"/>
      <c r="AGF343" s="653"/>
      <c r="AGG343" s="653"/>
      <c r="AGH343" s="653"/>
      <c r="AGI343" s="653"/>
      <c r="AGJ343" s="653"/>
      <c r="AGK343" s="653"/>
    </row>
    <row r="344" spans="460:869" ht="48" customHeight="1">
      <c r="QR344" s="130"/>
      <c r="QS344" s="130"/>
      <c r="QT344" s="130"/>
      <c r="QU344" s="130"/>
      <c r="QV344" s="130"/>
      <c r="QW344" s="130"/>
      <c r="QX344" s="130"/>
      <c r="QY344" s="130"/>
      <c r="QZ344" s="130"/>
      <c r="RA344" s="130"/>
      <c r="RB344" s="130"/>
      <c r="RC344" s="130"/>
      <c r="RD344" s="130"/>
      <c r="RE344" s="130"/>
      <c r="RF344" s="130"/>
      <c r="RG344" s="130"/>
      <c r="RH344" s="130"/>
      <c r="RI344" s="130"/>
      <c r="RJ344" s="130"/>
      <c r="RK344" s="130"/>
      <c r="RL344" s="130"/>
      <c r="RM344" s="130"/>
      <c r="RN344" s="130"/>
      <c r="RO344" s="130"/>
      <c r="RP344" s="130"/>
      <c r="RQ344" s="130"/>
      <c r="RR344" s="130"/>
      <c r="RS344" s="130"/>
      <c r="RT344" s="130"/>
      <c r="RU344" s="130"/>
      <c r="RV344" s="130"/>
      <c r="RW344" s="130"/>
      <c r="RX344" s="130"/>
      <c r="RY344" s="130"/>
      <c r="RZ344" s="130"/>
      <c r="SA344" s="130"/>
      <c r="SB344" s="130"/>
      <c r="SC344" s="130"/>
      <c r="SD344" s="130"/>
      <c r="SE344" s="130"/>
      <c r="SF344" s="130"/>
      <c r="SG344" s="130"/>
      <c r="SH344" s="130"/>
      <c r="SI344" s="130"/>
      <c r="SJ344" s="130"/>
      <c r="SK344" s="130"/>
      <c r="SL344" s="130"/>
      <c r="SM344" s="130"/>
      <c r="SN344" s="130"/>
      <c r="SO344" s="130"/>
      <c r="SP344" s="130"/>
      <c r="SQ344" s="130"/>
      <c r="SR344" s="130"/>
      <c r="SS344" s="130"/>
      <c r="ST344" s="130"/>
      <c r="SU344" s="130"/>
      <c r="SV344" s="130"/>
      <c r="SW344" s="130"/>
      <c r="SX344" s="130"/>
      <c r="SY344" s="130"/>
      <c r="SZ344" s="130"/>
      <c r="TA344" s="130"/>
      <c r="TB344" s="130"/>
      <c r="TC344" s="130"/>
      <c r="TD344" s="130"/>
      <c r="TE344" s="130"/>
      <c r="TF344" s="130"/>
      <c r="TG344" s="130"/>
      <c r="TH344" s="130"/>
      <c r="TI344" s="130"/>
      <c r="TJ344" s="130"/>
      <c r="TK344" s="130"/>
      <c r="TL344" s="130"/>
      <c r="TM344" s="130"/>
      <c r="TN344" s="130"/>
      <c r="TO344" s="130"/>
      <c r="TP344" s="130"/>
      <c r="TQ344" s="130"/>
      <c r="TR344" s="130"/>
      <c r="TS344" s="130"/>
      <c r="TT344" s="130"/>
      <c r="TU344" s="130"/>
      <c r="TV344" s="130"/>
      <c r="TW344" s="130"/>
      <c r="TX344" s="130"/>
      <c r="TY344" s="130"/>
      <c r="TZ344" s="130"/>
      <c r="UA344" s="130"/>
      <c r="UB344" s="130"/>
      <c r="UC344" s="130"/>
      <c r="UD344" s="130"/>
      <c r="UE344" s="130"/>
      <c r="UF344" s="130"/>
      <c r="UG344" s="130"/>
      <c r="UH344" s="130"/>
      <c r="UI344" s="130"/>
      <c r="UJ344" s="130"/>
      <c r="UK344" s="130"/>
      <c r="UL344" s="130"/>
      <c r="UM344" s="130"/>
      <c r="UN344" s="130"/>
      <c r="UO344" s="130"/>
      <c r="UP344" s="130"/>
      <c r="UQ344" s="130"/>
      <c r="UR344" s="130"/>
      <c r="US344" s="130"/>
      <c r="UT344" s="130"/>
      <c r="UU344" s="130"/>
      <c r="AEM344" s="653"/>
      <c r="AEN344" s="653"/>
      <c r="AEO344" s="653"/>
      <c r="AEP344" s="653"/>
      <c r="AEQ344" s="653"/>
      <c r="AER344" s="653"/>
      <c r="AES344" s="653"/>
      <c r="AET344" s="653"/>
      <c r="AEU344" s="653"/>
      <c r="AEV344" s="653"/>
      <c r="AEW344" s="653"/>
      <c r="AEX344" s="653"/>
      <c r="AEY344" s="653"/>
      <c r="AEZ344" s="653"/>
      <c r="AFA344" s="653"/>
      <c r="AFB344" s="653"/>
      <c r="AFC344" s="653"/>
      <c r="AFD344" s="653"/>
      <c r="AFE344" s="653"/>
      <c r="AFF344" s="653"/>
      <c r="AFG344" s="653"/>
      <c r="AFH344" s="653"/>
      <c r="AFI344" s="653"/>
      <c r="AFJ344" s="653"/>
      <c r="AFK344" s="653"/>
      <c r="AFL344" s="653"/>
      <c r="AFM344" s="653"/>
      <c r="AFN344" s="653"/>
      <c r="AFO344" s="653"/>
      <c r="AFP344" s="653"/>
      <c r="AFQ344" s="653"/>
      <c r="AFR344" s="653"/>
      <c r="AFS344" s="653"/>
      <c r="AFT344" s="653"/>
      <c r="AFU344" s="653"/>
      <c r="AFV344" s="653"/>
      <c r="AFW344" s="653"/>
      <c r="AFX344" s="653"/>
      <c r="AFY344" s="653"/>
      <c r="AFZ344" s="653"/>
      <c r="AGA344" s="653"/>
      <c r="AGB344" s="653"/>
      <c r="AGC344" s="653"/>
      <c r="AGD344" s="653"/>
      <c r="AGE344" s="653"/>
      <c r="AGF344" s="653"/>
      <c r="AGG344" s="653"/>
      <c r="AGH344" s="653"/>
      <c r="AGI344" s="653"/>
      <c r="AGJ344" s="653"/>
      <c r="AGK344" s="653"/>
    </row>
    <row r="345" spans="460:869" ht="48" customHeight="1">
      <c r="QR345" s="130"/>
      <c r="QS345" s="130"/>
      <c r="QT345" s="130"/>
      <c r="QU345" s="130"/>
      <c r="QV345" s="130"/>
      <c r="QW345" s="130"/>
      <c r="QX345" s="130"/>
      <c r="QY345" s="130"/>
      <c r="QZ345" s="130"/>
      <c r="RA345" s="130"/>
      <c r="RB345" s="130"/>
      <c r="RC345" s="130"/>
      <c r="RD345" s="130"/>
      <c r="RE345" s="130"/>
      <c r="RF345" s="130"/>
      <c r="RG345" s="130"/>
      <c r="RH345" s="130"/>
      <c r="RI345" s="130"/>
      <c r="RJ345" s="130"/>
      <c r="RK345" s="130"/>
      <c r="RL345" s="130"/>
      <c r="RM345" s="130"/>
      <c r="RN345" s="130"/>
      <c r="RO345" s="130"/>
      <c r="RP345" s="130"/>
      <c r="RQ345" s="130"/>
      <c r="RR345" s="130"/>
      <c r="RS345" s="130"/>
      <c r="RT345" s="130"/>
      <c r="RU345" s="130"/>
      <c r="RV345" s="130"/>
      <c r="RW345" s="130"/>
      <c r="RX345" s="130"/>
      <c r="RY345" s="130"/>
      <c r="RZ345" s="130"/>
      <c r="SA345" s="130"/>
      <c r="SB345" s="130"/>
      <c r="SC345" s="130"/>
      <c r="SD345" s="130"/>
      <c r="SE345" s="130"/>
      <c r="SF345" s="130"/>
      <c r="SG345" s="130"/>
      <c r="SH345" s="130"/>
      <c r="SI345" s="130"/>
      <c r="SJ345" s="130"/>
      <c r="SK345" s="130"/>
      <c r="SL345" s="130"/>
      <c r="SM345" s="130"/>
      <c r="SN345" s="130"/>
      <c r="SO345" s="130"/>
      <c r="SP345" s="130"/>
      <c r="SQ345" s="130"/>
      <c r="SR345" s="130"/>
      <c r="SS345" s="130"/>
      <c r="ST345" s="130"/>
      <c r="SU345" s="130"/>
      <c r="SV345" s="130"/>
      <c r="SW345" s="130"/>
      <c r="SX345" s="130"/>
      <c r="SY345" s="130"/>
      <c r="SZ345" s="130"/>
      <c r="TA345" s="130"/>
      <c r="TB345" s="130"/>
      <c r="TC345" s="130"/>
      <c r="TD345" s="130"/>
      <c r="TE345" s="130"/>
      <c r="TF345" s="130"/>
      <c r="TG345" s="130"/>
      <c r="TH345" s="130"/>
      <c r="TI345" s="130"/>
      <c r="TJ345" s="130"/>
      <c r="TK345" s="130"/>
      <c r="TL345" s="130"/>
      <c r="TM345" s="130"/>
      <c r="TN345" s="130"/>
      <c r="TO345" s="130"/>
      <c r="TP345" s="130"/>
      <c r="TQ345" s="130"/>
      <c r="TR345" s="130"/>
      <c r="TS345" s="130"/>
      <c r="TT345" s="130"/>
      <c r="TU345" s="130"/>
      <c r="TV345" s="130"/>
      <c r="TW345" s="130"/>
      <c r="TX345" s="130"/>
      <c r="TY345" s="130"/>
      <c r="TZ345" s="130"/>
      <c r="UA345" s="130"/>
      <c r="UB345" s="130"/>
      <c r="UC345" s="130"/>
      <c r="UD345" s="130"/>
      <c r="UE345" s="130"/>
      <c r="UF345" s="130"/>
      <c r="UG345" s="130"/>
      <c r="UH345" s="130"/>
      <c r="UI345" s="130"/>
      <c r="UJ345" s="130"/>
      <c r="UK345" s="130"/>
      <c r="UL345" s="130"/>
      <c r="UM345" s="130"/>
      <c r="UN345" s="130"/>
      <c r="UO345" s="130"/>
      <c r="UP345" s="130"/>
      <c r="UQ345" s="130"/>
      <c r="UR345" s="130"/>
      <c r="US345" s="130"/>
      <c r="UT345" s="130"/>
      <c r="UU345" s="130"/>
    </row>
    <row r="346" spans="460:869" ht="48" customHeight="1">
      <c r="QR346" s="130"/>
      <c r="QS346" s="130"/>
      <c r="QT346" s="130"/>
      <c r="QU346" s="130"/>
      <c r="QV346" s="130"/>
      <c r="QW346" s="130"/>
      <c r="QX346" s="130"/>
      <c r="QY346" s="130"/>
      <c r="QZ346" s="130"/>
      <c r="RA346" s="130"/>
      <c r="RB346" s="130"/>
      <c r="RC346" s="130"/>
      <c r="RD346" s="130"/>
      <c r="RE346" s="130"/>
      <c r="RF346" s="130"/>
      <c r="RG346" s="130"/>
      <c r="RH346" s="130"/>
      <c r="RI346" s="130"/>
      <c r="RJ346" s="130"/>
      <c r="RK346" s="130"/>
      <c r="RL346" s="130"/>
      <c r="RM346" s="130"/>
      <c r="RN346" s="130"/>
      <c r="RO346" s="130"/>
      <c r="RP346" s="130"/>
      <c r="RQ346" s="130"/>
      <c r="RR346" s="130"/>
      <c r="RS346" s="130"/>
      <c r="RT346" s="130"/>
      <c r="RU346" s="130"/>
      <c r="RV346" s="130"/>
      <c r="RW346" s="130"/>
      <c r="RX346" s="130"/>
      <c r="RY346" s="130"/>
      <c r="RZ346" s="130"/>
      <c r="SA346" s="130"/>
      <c r="SB346" s="130"/>
      <c r="SC346" s="130"/>
      <c r="SD346" s="130"/>
      <c r="SE346" s="130"/>
      <c r="SF346" s="130"/>
      <c r="SG346" s="130"/>
      <c r="SH346" s="130"/>
      <c r="SI346" s="130"/>
      <c r="SJ346" s="130"/>
      <c r="SK346" s="130"/>
      <c r="SL346" s="130"/>
      <c r="SM346" s="130"/>
      <c r="SN346" s="130"/>
      <c r="SO346" s="130"/>
      <c r="SP346" s="130"/>
      <c r="SQ346" s="130"/>
      <c r="SR346" s="130"/>
      <c r="SS346" s="130"/>
      <c r="ST346" s="130"/>
      <c r="SU346" s="130"/>
      <c r="SV346" s="130"/>
      <c r="SW346" s="130"/>
      <c r="SX346" s="130"/>
      <c r="SY346" s="130"/>
      <c r="SZ346" s="130"/>
      <c r="TA346" s="130"/>
      <c r="TB346" s="130"/>
      <c r="TC346" s="130"/>
      <c r="TD346" s="130"/>
      <c r="TE346" s="130"/>
      <c r="TF346" s="130"/>
      <c r="TG346" s="130"/>
      <c r="TH346" s="130"/>
      <c r="TI346" s="130"/>
      <c r="TJ346" s="130"/>
      <c r="TK346" s="130"/>
      <c r="TL346" s="130"/>
      <c r="TM346" s="130"/>
      <c r="TN346" s="130"/>
      <c r="TO346" s="130"/>
      <c r="TP346" s="130"/>
      <c r="TQ346" s="130"/>
      <c r="TR346" s="130"/>
      <c r="TS346" s="130"/>
      <c r="TT346" s="130"/>
      <c r="TU346" s="130"/>
      <c r="TV346" s="130"/>
      <c r="TW346" s="130"/>
      <c r="TX346" s="130"/>
      <c r="TY346" s="130"/>
      <c r="TZ346" s="130"/>
      <c r="UA346" s="130"/>
      <c r="UB346" s="130"/>
      <c r="UC346" s="130"/>
      <c r="UD346" s="130"/>
      <c r="UE346" s="130"/>
      <c r="UF346" s="130"/>
      <c r="UG346" s="130"/>
      <c r="UH346" s="130"/>
      <c r="UI346" s="130"/>
      <c r="UJ346" s="130"/>
      <c r="UK346" s="130"/>
      <c r="UL346" s="130"/>
      <c r="UM346" s="130"/>
      <c r="UN346" s="130"/>
      <c r="UO346" s="130"/>
      <c r="UP346" s="130"/>
      <c r="UQ346" s="130"/>
      <c r="UR346" s="130"/>
      <c r="US346" s="130"/>
      <c r="UT346" s="130"/>
      <c r="UU346" s="130"/>
    </row>
    <row r="347" spans="460:869" ht="48" customHeight="1">
      <c r="QR347" s="130"/>
      <c r="QS347" s="130"/>
      <c r="QT347" s="130"/>
      <c r="QU347" s="130"/>
      <c r="QV347" s="130"/>
      <c r="QW347" s="130"/>
      <c r="QX347" s="130"/>
      <c r="QY347" s="130"/>
      <c r="QZ347" s="130"/>
      <c r="RA347" s="130"/>
      <c r="RB347" s="130"/>
      <c r="RC347" s="130"/>
      <c r="RD347" s="130"/>
      <c r="RE347" s="130"/>
      <c r="RF347" s="130"/>
      <c r="RG347" s="130"/>
      <c r="RH347" s="130"/>
      <c r="RI347" s="130"/>
      <c r="RJ347" s="130"/>
      <c r="RK347" s="130"/>
      <c r="RL347" s="130"/>
      <c r="RM347" s="130"/>
      <c r="RN347" s="130"/>
      <c r="RO347" s="130"/>
      <c r="RP347" s="130"/>
      <c r="RQ347" s="130"/>
      <c r="RR347" s="130"/>
      <c r="RS347" s="130"/>
      <c r="RT347" s="130"/>
      <c r="RU347" s="130"/>
      <c r="RV347" s="130"/>
      <c r="RW347" s="130"/>
      <c r="RX347" s="130"/>
      <c r="RY347" s="130"/>
      <c r="RZ347" s="130"/>
      <c r="SA347" s="130"/>
      <c r="SB347" s="130"/>
      <c r="SC347" s="130"/>
      <c r="SD347" s="130"/>
      <c r="SE347" s="130"/>
      <c r="SF347" s="130"/>
      <c r="SG347" s="130"/>
      <c r="SH347" s="130"/>
      <c r="SI347" s="130"/>
      <c r="SJ347" s="130"/>
      <c r="SK347" s="130"/>
      <c r="SL347" s="130"/>
      <c r="SM347" s="130"/>
      <c r="SN347" s="130"/>
      <c r="SO347" s="130"/>
      <c r="SP347" s="130"/>
      <c r="SQ347" s="130"/>
      <c r="SR347" s="130"/>
      <c r="SS347" s="130"/>
      <c r="ST347" s="130"/>
      <c r="SU347" s="130"/>
      <c r="SV347" s="130"/>
      <c r="SW347" s="130"/>
      <c r="SX347" s="130"/>
      <c r="SY347" s="130"/>
      <c r="SZ347" s="130"/>
      <c r="TA347" s="130"/>
      <c r="TB347" s="130"/>
      <c r="TC347" s="130"/>
      <c r="TD347" s="130"/>
      <c r="TE347" s="130"/>
      <c r="TF347" s="130"/>
      <c r="TG347" s="130"/>
      <c r="TH347" s="130"/>
      <c r="TI347" s="130"/>
      <c r="TJ347" s="130"/>
      <c r="TK347" s="130"/>
      <c r="TL347" s="130"/>
      <c r="TM347" s="130"/>
      <c r="TN347" s="130"/>
      <c r="TO347" s="130"/>
      <c r="TP347" s="130"/>
      <c r="TQ347" s="130"/>
      <c r="TR347" s="130"/>
      <c r="TS347" s="130"/>
      <c r="TT347" s="130"/>
      <c r="TU347" s="130"/>
      <c r="TV347" s="130"/>
      <c r="TW347" s="130"/>
      <c r="TX347" s="130"/>
      <c r="TY347" s="130"/>
      <c r="TZ347" s="130"/>
      <c r="UA347" s="130"/>
      <c r="UB347" s="130"/>
      <c r="UC347" s="130"/>
      <c r="UD347" s="130"/>
      <c r="UE347" s="130"/>
      <c r="UF347" s="130"/>
      <c r="UG347" s="130"/>
      <c r="UH347" s="130"/>
      <c r="UI347" s="130"/>
      <c r="UJ347" s="130"/>
      <c r="UK347" s="130"/>
      <c r="UL347" s="130"/>
      <c r="UM347" s="130"/>
      <c r="UN347" s="130"/>
      <c r="UO347" s="130"/>
      <c r="UP347" s="130"/>
      <c r="UQ347" s="130"/>
      <c r="UR347" s="130"/>
      <c r="US347" s="130"/>
      <c r="UT347" s="130"/>
      <c r="UU347" s="130"/>
    </row>
    <row r="348" spans="460:869" ht="48" customHeight="1">
      <c r="QR348" s="130"/>
      <c r="QS348" s="130"/>
      <c r="QT348" s="130"/>
      <c r="QU348" s="130"/>
      <c r="QV348" s="130"/>
      <c r="QW348" s="130"/>
      <c r="QX348" s="130"/>
      <c r="QY348" s="130"/>
      <c r="QZ348" s="130"/>
      <c r="RA348" s="130"/>
      <c r="RB348" s="130"/>
      <c r="RC348" s="130"/>
      <c r="RD348" s="130"/>
      <c r="RE348" s="130"/>
      <c r="RF348" s="130"/>
      <c r="RG348" s="130"/>
      <c r="RH348" s="130"/>
      <c r="RI348" s="130"/>
      <c r="RJ348" s="130"/>
      <c r="RK348" s="130"/>
      <c r="RL348" s="130"/>
      <c r="RM348" s="130"/>
      <c r="RN348" s="130"/>
      <c r="RO348" s="130"/>
      <c r="RP348" s="130"/>
      <c r="RQ348" s="130"/>
      <c r="RR348" s="130"/>
      <c r="RS348" s="130"/>
      <c r="RT348" s="130"/>
      <c r="RU348" s="130"/>
      <c r="RV348" s="130"/>
      <c r="RW348" s="130"/>
      <c r="RX348" s="130"/>
      <c r="RY348" s="130"/>
      <c r="RZ348" s="130"/>
      <c r="SA348" s="130"/>
      <c r="SB348" s="130"/>
      <c r="SC348" s="130"/>
      <c r="SD348" s="130"/>
      <c r="SE348" s="130"/>
      <c r="SF348" s="130"/>
      <c r="SG348" s="130"/>
      <c r="SH348" s="130"/>
      <c r="SI348" s="130"/>
      <c r="SJ348" s="130"/>
      <c r="SK348" s="130"/>
      <c r="SL348" s="130"/>
      <c r="SM348" s="130"/>
      <c r="SN348" s="130"/>
      <c r="SO348" s="130"/>
      <c r="SP348" s="130"/>
      <c r="SQ348" s="130"/>
      <c r="SR348" s="130"/>
      <c r="SS348" s="130"/>
      <c r="ST348" s="130"/>
      <c r="SU348" s="130"/>
      <c r="SV348" s="130"/>
      <c r="SW348" s="130"/>
      <c r="SX348" s="130"/>
      <c r="SY348" s="130"/>
      <c r="SZ348" s="130"/>
      <c r="TA348" s="130"/>
      <c r="TB348" s="130"/>
      <c r="TC348" s="130"/>
      <c r="TD348" s="130"/>
      <c r="TE348" s="130"/>
      <c r="TF348" s="130"/>
      <c r="TG348" s="130"/>
      <c r="TH348" s="130"/>
      <c r="TI348" s="130"/>
      <c r="TJ348" s="130"/>
      <c r="TK348" s="130"/>
      <c r="TL348" s="130"/>
      <c r="TM348" s="130"/>
      <c r="TN348" s="130"/>
      <c r="TO348" s="130"/>
      <c r="TP348" s="130"/>
      <c r="TQ348" s="130"/>
      <c r="TR348" s="130"/>
      <c r="TS348" s="130"/>
      <c r="TT348" s="130"/>
      <c r="TU348" s="130"/>
      <c r="TV348" s="130"/>
      <c r="TW348" s="130"/>
      <c r="TX348" s="130"/>
      <c r="TY348" s="130"/>
      <c r="TZ348" s="130"/>
      <c r="UA348" s="130"/>
      <c r="UB348" s="130"/>
      <c r="UC348" s="130"/>
      <c r="UD348" s="130"/>
      <c r="UE348" s="130"/>
      <c r="UF348" s="130"/>
      <c r="UG348" s="130"/>
      <c r="UH348" s="130"/>
      <c r="UI348" s="130"/>
      <c r="UJ348" s="130"/>
      <c r="UK348" s="130"/>
      <c r="UL348" s="130"/>
      <c r="UM348" s="130"/>
      <c r="UN348" s="130"/>
      <c r="UO348" s="130"/>
      <c r="UP348" s="130"/>
      <c r="UQ348" s="130"/>
      <c r="UR348" s="130"/>
      <c r="US348" s="130"/>
      <c r="UT348" s="130"/>
      <c r="UU348" s="130"/>
    </row>
    <row r="349" spans="460:869" ht="48" customHeight="1">
      <c r="QR349" s="130"/>
      <c r="QS349" s="130"/>
      <c r="QT349" s="130"/>
      <c r="QU349" s="130"/>
      <c r="QV349" s="130"/>
      <c r="QW349" s="130"/>
      <c r="QX349" s="130"/>
      <c r="QY349" s="130"/>
      <c r="QZ349" s="130"/>
      <c r="RA349" s="130"/>
      <c r="RB349" s="130"/>
      <c r="RC349" s="130"/>
      <c r="RD349" s="130"/>
      <c r="RE349" s="130"/>
      <c r="RF349" s="130"/>
      <c r="RG349" s="130"/>
      <c r="RH349" s="130"/>
      <c r="RI349" s="130"/>
      <c r="RJ349" s="130"/>
      <c r="RK349" s="130"/>
      <c r="RL349" s="130"/>
      <c r="RM349" s="130"/>
      <c r="RN349" s="130"/>
      <c r="RO349" s="130"/>
      <c r="RP349" s="130"/>
      <c r="RQ349" s="130"/>
      <c r="RR349" s="130"/>
      <c r="RS349" s="130"/>
      <c r="RT349" s="130"/>
      <c r="RU349" s="130"/>
      <c r="RV349" s="130"/>
      <c r="RW349" s="130"/>
      <c r="RX349" s="130"/>
      <c r="RY349" s="130"/>
      <c r="RZ349" s="130"/>
      <c r="SA349" s="130"/>
      <c r="SB349" s="130"/>
      <c r="SC349" s="130"/>
      <c r="SD349" s="130"/>
      <c r="SE349" s="130"/>
      <c r="SF349" s="130"/>
      <c r="SG349" s="130"/>
      <c r="SH349" s="130"/>
      <c r="SI349" s="130"/>
      <c r="SJ349" s="130"/>
      <c r="SK349" s="130"/>
      <c r="SL349" s="130"/>
      <c r="SM349" s="130"/>
      <c r="SN349" s="130"/>
      <c r="SO349" s="130"/>
      <c r="SP349" s="130"/>
      <c r="SQ349" s="130"/>
      <c r="SR349" s="130"/>
      <c r="SS349" s="130"/>
      <c r="ST349" s="130"/>
      <c r="SU349" s="130"/>
      <c r="SV349" s="130"/>
      <c r="SW349" s="130"/>
      <c r="SX349" s="130"/>
      <c r="SY349" s="130"/>
      <c r="SZ349" s="130"/>
      <c r="TA349" s="130"/>
      <c r="TB349" s="130"/>
      <c r="TC349" s="130"/>
      <c r="TD349" s="130"/>
      <c r="TE349" s="130"/>
      <c r="TF349" s="130"/>
      <c r="TG349" s="130"/>
      <c r="TH349" s="130"/>
      <c r="TI349" s="130"/>
      <c r="TJ349" s="130"/>
      <c r="TK349" s="130"/>
      <c r="TL349" s="130"/>
      <c r="TM349" s="130"/>
      <c r="TN349" s="130"/>
      <c r="TO349" s="130"/>
      <c r="TP349" s="130"/>
      <c r="TQ349" s="130"/>
      <c r="TR349" s="130"/>
      <c r="TS349" s="130"/>
      <c r="TT349" s="130"/>
      <c r="TU349" s="130"/>
      <c r="TV349" s="130"/>
      <c r="TW349" s="130"/>
      <c r="TX349" s="130"/>
      <c r="TY349" s="130"/>
      <c r="TZ349" s="130"/>
      <c r="UA349" s="130"/>
      <c r="UB349" s="130"/>
      <c r="UC349" s="130"/>
      <c r="UD349" s="130"/>
      <c r="UE349" s="130"/>
      <c r="UF349" s="130"/>
      <c r="UG349" s="130"/>
      <c r="UH349" s="130"/>
      <c r="UI349" s="130"/>
      <c r="UJ349" s="130"/>
      <c r="UK349" s="130"/>
      <c r="UL349" s="130"/>
      <c r="UM349" s="130"/>
      <c r="UN349" s="130"/>
      <c r="UO349" s="130"/>
      <c r="UP349" s="130"/>
      <c r="UQ349" s="130"/>
      <c r="UR349" s="130"/>
      <c r="US349" s="130"/>
      <c r="UT349" s="130"/>
      <c r="UU349" s="130"/>
    </row>
    <row r="350" spans="460:869" ht="48" customHeight="1">
      <c r="QR350" s="130"/>
      <c r="QS350" s="130"/>
      <c r="QT350" s="130"/>
      <c r="QU350" s="130"/>
      <c r="QV350" s="130"/>
      <c r="QW350" s="130"/>
      <c r="QX350" s="130"/>
      <c r="QY350" s="130"/>
      <c r="QZ350" s="130"/>
      <c r="RA350" s="130"/>
      <c r="RB350" s="130"/>
      <c r="RC350" s="130"/>
      <c r="RD350" s="130"/>
      <c r="RE350" s="130"/>
      <c r="RF350" s="130"/>
      <c r="RG350" s="130"/>
      <c r="RH350" s="130"/>
      <c r="RI350" s="130"/>
      <c r="RJ350" s="130"/>
      <c r="RK350" s="130"/>
      <c r="RL350" s="130"/>
      <c r="RM350" s="130"/>
      <c r="RN350" s="130"/>
      <c r="RO350" s="130"/>
      <c r="RP350" s="130"/>
      <c r="RQ350" s="130"/>
      <c r="RR350" s="130"/>
      <c r="RS350" s="130"/>
      <c r="RT350" s="130"/>
      <c r="RU350" s="130"/>
      <c r="RV350" s="130"/>
      <c r="RW350" s="130"/>
      <c r="RX350" s="130"/>
      <c r="RY350" s="130"/>
      <c r="RZ350" s="130"/>
      <c r="SA350" s="130"/>
      <c r="SB350" s="130"/>
      <c r="SC350" s="130"/>
      <c r="SD350" s="130"/>
      <c r="SE350" s="130"/>
      <c r="SF350" s="130"/>
      <c r="SG350" s="130"/>
      <c r="SH350" s="130"/>
      <c r="SI350" s="130"/>
      <c r="SJ350" s="130"/>
      <c r="SK350" s="130"/>
      <c r="SL350" s="130"/>
      <c r="SM350" s="130"/>
      <c r="SN350" s="130"/>
      <c r="SO350" s="130"/>
      <c r="SP350" s="130"/>
      <c r="SQ350" s="130"/>
      <c r="SR350" s="130"/>
      <c r="SS350" s="130"/>
      <c r="ST350" s="130"/>
      <c r="SU350" s="130"/>
      <c r="SV350" s="130"/>
      <c r="SW350" s="130"/>
      <c r="SX350" s="130"/>
      <c r="SY350" s="130"/>
      <c r="SZ350" s="130"/>
      <c r="TA350" s="130"/>
      <c r="TB350" s="130"/>
      <c r="TC350" s="130"/>
      <c r="TD350" s="130"/>
      <c r="TE350" s="130"/>
      <c r="TF350" s="130"/>
      <c r="TG350" s="130"/>
      <c r="TH350" s="130"/>
      <c r="TI350" s="130"/>
      <c r="TJ350" s="130"/>
      <c r="TK350" s="130"/>
      <c r="TL350" s="130"/>
      <c r="TM350" s="130"/>
      <c r="TN350" s="130"/>
      <c r="TO350" s="130"/>
      <c r="TP350" s="130"/>
      <c r="TQ350" s="130"/>
      <c r="TR350" s="130"/>
      <c r="TS350" s="130"/>
      <c r="TT350" s="130"/>
      <c r="TU350" s="130"/>
      <c r="TV350" s="130"/>
      <c r="TW350" s="130"/>
      <c r="TX350" s="130"/>
      <c r="TY350" s="130"/>
      <c r="TZ350" s="130"/>
      <c r="UA350" s="130"/>
      <c r="UB350" s="130"/>
      <c r="UC350" s="130"/>
      <c r="UD350" s="130"/>
      <c r="UE350" s="130"/>
      <c r="UF350" s="130"/>
      <c r="UG350" s="130"/>
      <c r="UH350" s="130"/>
      <c r="UI350" s="130"/>
      <c r="UJ350" s="130"/>
      <c r="UK350" s="130"/>
      <c r="UL350" s="130"/>
      <c r="UM350" s="130"/>
      <c r="UN350" s="130"/>
      <c r="UO350" s="130"/>
      <c r="UP350" s="130"/>
      <c r="UQ350" s="130"/>
      <c r="UR350" s="130"/>
      <c r="US350" s="130"/>
      <c r="UT350" s="130"/>
      <c r="UU350" s="130"/>
    </row>
    <row r="351" spans="460:869" ht="48" customHeight="1">
      <c r="QR351" s="130"/>
      <c r="QS351" s="130"/>
      <c r="QT351" s="130"/>
      <c r="QU351" s="130"/>
      <c r="QV351" s="130"/>
      <c r="QW351" s="130"/>
      <c r="QX351" s="130"/>
      <c r="QY351" s="130"/>
      <c r="QZ351" s="130"/>
      <c r="RA351" s="130"/>
      <c r="RB351" s="130"/>
      <c r="RC351" s="130"/>
      <c r="RD351" s="130"/>
      <c r="RE351" s="130"/>
      <c r="RF351" s="130"/>
      <c r="RG351" s="130"/>
      <c r="RH351" s="130"/>
      <c r="RI351" s="130"/>
      <c r="RJ351" s="130"/>
      <c r="RK351" s="130"/>
      <c r="RL351" s="130"/>
      <c r="RM351" s="130"/>
      <c r="RN351" s="130"/>
      <c r="RO351" s="130"/>
      <c r="RP351" s="130"/>
      <c r="RQ351" s="130"/>
      <c r="RR351" s="130"/>
      <c r="RS351" s="130"/>
      <c r="RT351" s="130"/>
      <c r="RU351" s="130"/>
      <c r="RV351" s="130"/>
      <c r="RW351" s="130"/>
      <c r="RX351" s="130"/>
      <c r="RY351" s="130"/>
      <c r="RZ351" s="130"/>
      <c r="SA351" s="130"/>
      <c r="SB351" s="130"/>
      <c r="SC351" s="130"/>
      <c r="SD351" s="130"/>
      <c r="SE351" s="130"/>
      <c r="SF351" s="130"/>
      <c r="SG351" s="130"/>
      <c r="SH351" s="130"/>
      <c r="SI351" s="130"/>
      <c r="SJ351" s="130"/>
      <c r="SK351" s="130"/>
      <c r="SL351" s="130"/>
      <c r="SM351" s="130"/>
      <c r="SN351" s="130"/>
      <c r="SO351" s="130"/>
      <c r="SP351" s="130"/>
      <c r="SQ351" s="130"/>
      <c r="SR351" s="130"/>
      <c r="SS351" s="130"/>
      <c r="ST351" s="130"/>
      <c r="SU351" s="130"/>
      <c r="SV351" s="130"/>
      <c r="SW351" s="130"/>
      <c r="SX351" s="130"/>
      <c r="SY351" s="130"/>
      <c r="SZ351" s="130"/>
      <c r="TA351" s="130"/>
      <c r="TB351" s="130"/>
      <c r="TC351" s="130"/>
      <c r="TD351" s="130"/>
      <c r="TE351" s="130"/>
      <c r="TF351" s="130"/>
      <c r="TG351" s="130"/>
      <c r="TH351" s="130"/>
      <c r="TI351" s="130"/>
      <c r="TJ351" s="130"/>
      <c r="TK351" s="130"/>
      <c r="TL351" s="130"/>
      <c r="TM351" s="130"/>
      <c r="TN351" s="130"/>
      <c r="TO351" s="130"/>
      <c r="TP351" s="130"/>
      <c r="TQ351" s="130"/>
      <c r="TR351" s="130"/>
      <c r="TS351" s="130"/>
      <c r="TT351" s="130"/>
      <c r="TU351" s="130"/>
      <c r="TV351" s="130"/>
      <c r="TW351" s="130"/>
      <c r="TX351" s="130"/>
      <c r="TY351" s="130"/>
      <c r="TZ351" s="130"/>
      <c r="UA351" s="130"/>
      <c r="UB351" s="130"/>
      <c r="UC351" s="130"/>
      <c r="UD351" s="130"/>
      <c r="UE351" s="130"/>
      <c r="UF351" s="130"/>
      <c r="UG351" s="130"/>
      <c r="UH351" s="130"/>
      <c r="UI351" s="130"/>
      <c r="UJ351" s="130"/>
      <c r="UK351" s="130"/>
      <c r="UL351" s="130"/>
      <c r="UM351" s="130"/>
      <c r="UN351" s="130"/>
      <c r="UO351" s="130"/>
      <c r="UP351" s="130"/>
      <c r="UQ351" s="130"/>
      <c r="UR351" s="130"/>
      <c r="US351" s="130"/>
      <c r="UT351" s="130"/>
      <c r="UU351" s="130"/>
    </row>
    <row r="352" spans="460:869" ht="48" customHeight="1">
      <c r="QR352" s="130"/>
      <c r="QS352" s="130"/>
      <c r="QT352" s="130"/>
      <c r="QU352" s="130"/>
      <c r="QV352" s="130"/>
      <c r="QW352" s="130"/>
      <c r="QX352" s="130"/>
      <c r="QY352" s="130"/>
      <c r="QZ352" s="130"/>
      <c r="RA352" s="130"/>
      <c r="RB352" s="130"/>
      <c r="RC352" s="130"/>
      <c r="RD352" s="130"/>
      <c r="RE352" s="130"/>
      <c r="RF352" s="130"/>
      <c r="RG352" s="130"/>
      <c r="RH352" s="130"/>
      <c r="RI352" s="130"/>
      <c r="RJ352" s="130"/>
      <c r="RK352" s="130"/>
      <c r="RL352" s="130"/>
      <c r="RM352" s="130"/>
      <c r="RN352" s="130"/>
      <c r="RO352" s="130"/>
      <c r="RP352" s="130"/>
      <c r="RQ352" s="130"/>
      <c r="RR352" s="130"/>
      <c r="RS352" s="130"/>
      <c r="RT352" s="130"/>
      <c r="RU352" s="130"/>
      <c r="RV352" s="130"/>
      <c r="RW352" s="130"/>
      <c r="RX352" s="130"/>
      <c r="RY352" s="130"/>
      <c r="RZ352" s="130"/>
      <c r="SA352" s="130"/>
      <c r="SB352" s="130"/>
      <c r="SC352" s="130"/>
      <c r="SD352" s="130"/>
      <c r="SE352" s="130"/>
      <c r="SF352" s="130"/>
      <c r="SG352" s="130"/>
      <c r="SH352" s="130"/>
      <c r="SI352" s="130"/>
      <c r="SJ352" s="130"/>
      <c r="SK352" s="130"/>
      <c r="SL352" s="130"/>
      <c r="SM352" s="130"/>
      <c r="SN352" s="130"/>
      <c r="SO352" s="130"/>
      <c r="SP352" s="130"/>
      <c r="SQ352" s="130"/>
      <c r="SR352" s="130"/>
      <c r="SS352" s="130"/>
      <c r="ST352" s="130"/>
      <c r="SU352" s="130"/>
      <c r="SV352" s="130"/>
      <c r="SW352" s="130"/>
      <c r="SX352" s="130"/>
      <c r="SY352" s="130"/>
      <c r="SZ352" s="130"/>
      <c r="TA352" s="130"/>
      <c r="TB352" s="130"/>
      <c r="TC352" s="130"/>
      <c r="TD352" s="130"/>
      <c r="TE352" s="130"/>
      <c r="TF352" s="130"/>
      <c r="TG352" s="130"/>
      <c r="TH352" s="130"/>
      <c r="TI352" s="130"/>
      <c r="TJ352" s="130"/>
      <c r="TK352" s="130"/>
      <c r="TL352" s="130"/>
      <c r="TM352" s="130"/>
      <c r="TN352" s="130"/>
      <c r="TO352" s="130"/>
      <c r="TP352" s="130"/>
      <c r="TQ352" s="130"/>
      <c r="TR352" s="130"/>
      <c r="TS352" s="130"/>
      <c r="TT352" s="130"/>
      <c r="TU352" s="130"/>
      <c r="TV352" s="130"/>
      <c r="TW352" s="130"/>
      <c r="TX352" s="130"/>
      <c r="TY352" s="130"/>
      <c r="TZ352" s="130"/>
      <c r="UA352" s="130"/>
      <c r="UB352" s="130"/>
      <c r="UC352" s="130"/>
      <c r="UD352" s="130"/>
      <c r="UE352" s="130"/>
      <c r="UF352" s="130"/>
      <c r="UG352" s="130"/>
      <c r="UH352" s="130"/>
      <c r="UI352" s="130"/>
      <c r="UJ352" s="130"/>
      <c r="UK352" s="130"/>
      <c r="UL352" s="130"/>
      <c r="UM352" s="130"/>
      <c r="UN352" s="130"/>
      <c r="UO352" s="130"/>
      <c r="UP352" s="130"/>
      <c r="UQ352" s="130"/>
      <c r="UR352" s="130"/>
      <c r="US352" s="130"/>
      <c r="UT352" s="130"/>
      <c r="UU352" s="130"/>
    </row>
    <row r="353" spans="460:567" ht="48" customHeight="1">
      <c r="QR353" s="130"/>
      <c r="QS353" s="130"/>
      <c r="QT353" s="130"/>
      <c r="QU353" s="130"/>
      <c r="QV353" s="130"/>
      <c r="QW353" s="130"/>
      <c r="QX353" s="130"/>
      <c r="QY353" s="130"/>
      <c r="QZ353" s="130"/>
      <c r="RA353" s="130"/>
      <c r="RB353" s="130"/>
      <c r="RC353" s="130"/>
      <c r="RD353" s="130"/>
      <c r="RE353" s="130"/>
      <c r="RF353" s="130"/>
      <c r="RG353" s="130"/>
      <c r="RH353" s="130"/>
      <c r="RI353" s="130"/>
      <c r="RJ353" s="130"/>
      <c r="RK353" s="130"/>
      <c r="RL353" s="130"/>
      <c r="RM353" s="130"/>
      <c r="RN353" s="130"/>
      <c r="RO353" s="130"/>
      <c r="RP353" s="130"/>
      <c r="RQ353" s="130"/>
      <c r="RR353" s="130"/>
      <c r="RS353" s="130"/>
      <c r="RT353" s="130"/>
      <c r="RU353" s="130"/>
      <c r="RV353" s="130"/>
      <c r="RW353" s="130"/>
      <c r="RX353" s="130"/>
      <c r="RY353" s="130"/>
      <c r="RZ353" s="130"/>
      <c r="SA353" s="130"/>
      <c r="SB353" s="130"/>
      <c r="SC353" s="130"/>
      <c r="SD353" s="130"/>
      <c r="SE353" s="130"/>
      <c r="SF353" s="130"/>
      <c r="SG353" s="130"/>
      <c r="SH353" s="130"/>
      <c r="SI353" s="130"/>
      <c r="SJ353" s="130"/>
      <c r="SK353" s="130"/>
      <c r="SL353" s="130"/>
      <c r="SM353" s="130"/>
      <c r="SN353" s="130"/>
      <c r="SO353" s="130"/>
      <c r="SP353" s="130"/>
      <c r="SQ353" s="130"/>
      <c r="SR353" s="130"/>
      <c r="SS353" s="130"/>
      <c r="ST353" s="130"/>
      <c r="SU353" s="130"/>
      <c r="SV353" s="130"/>
      <c r="SW353" s="130"/>
      <c r="SX353" s="130"/>
      <c r="SY353" s="130"/>
      <c r="SZ353" s="130"/>
      <c r="TA353" s="130"/>
      <c r="TB353" s="130"/>
      <c r="TC353" s="130"/>
      <c r="TD353" s="130"/>
      <c r="TE353" s="130"/>
      <c r="TF353" s="130"/>
      <c r="TG353" s="130"/>
      <c r="TH353" s="130"/>
      <c r="TI353" s="130"/>
      <c r="TJ353" s="130"/>
      <c r="TK353" s="130"/>
      <c r="TL353" s="130"/>
      <c r="TM353" s="130"/>
      <c r="TN353" s="130"/>
      <c r="TO353" s="130"/>
      <c r="TP353" s="130"/>
      <c r="TQ353" s="130"/>
      <c r="TR353" s="130"/>
      <c r="TS353" s="130"/>
      <c r="TT353" s="130"/>
      <c r="TU353" s="130"/>
      <c r="TV353" s="130"/>
      <c r="TW353" s="130"/>
      <c r="TX353" s="130"/>
      <c r="TY353" s="130"/>
      <c r="TZ353" s="130"/>
      <c r="UA353" s="130"/>
      <c r="UB353" s="130"/>
      <c r="UC353" s="130"/>
      <c r="UD353" s="130"/>
      <c r="UE353" s="130"/>
      <c r="UF353" s="130"/>
      <c r="UG353" s="130"/>
      <c r="UH353" s="130"/>
      <c r="UI353" s="130"/>
      <c r="UJ353" s="130"/>
      <c r="UK353" s="130"/>
      <c r="UL353" s="130"/>
      <c r="UM353" s="130"/>
      <c r="UN353" s="130"/>
      <c r="UO353" s="130"/>
      <c r="UP353" s="130"/>
      <c r="UQ353" s="130"/>
      <c r="UR353" s="130"/>
      <c r="US353" s="130"/>
      <c r="UT353" s="130"/>
      <c r="UU353" s="130"/>
    </row>
    <row r="354" spans="460:567" ht="48" customHeight="1">
      <c r="QR354" s="130"/>
      <c r="QS354" s="130"/>
      <c r="QT354" s="130"/>
      <c r="QU354" s="130"/>
      <c r="QV354" s="130"/>
      <c r="QW354" s="130"/>
      <c r="QX354" s="130"/>
      <c r="QY354" s="130"/>
      <c r="QZ354" s="130"/>
      <c r="RA354" s="130"/>
      <c r="RB354" s="130"/>
      <c r="RC354" s="130"/>
      <c r="RD354" s="130"/>
      <c r="RE354" s="130"/>
      <c r="RF354" s="130"/>
      <c r="RG354" s="130"/>
      <c r="RH354" s="130"/>
      <c r="RI354" s="130"/>
      <c r="RJ354" s="130"/>
      <c r="RK354" s="130"/>
      <c r="RL354" s="130"/>
      <c r="RM354" s="130"/>
      <c r="RN354" s="130"/>
      <c r="RO354" s="130"/>
      <c r="RP354" s="130"/>
      <c r="RQ354" s="130"/>
      <c r="RR354" s="130"/>
      <c r="RS354" s="130"/>
      <c r="RT354" s="130"/>
      <c r="RU354" s="130"/>
      <c r="RV354" s="130"/>
      <c r="RW354" s="130"/>
      <c r="RX354" s="130"/>
      <c r="RY354" s="130"/>
      <c r="RZ354" s="130"/>
      <c r="SA354" s="130"/>
      <c r="SB354" s="130"/>
      <c r="SC354" s="130"/>
      <c r="SD354" s="130"/>
      <c r="SE354" s="130"/>
      <c r="SF354" s="130"/>
      <c r="SG354" s="130"/>
      <c r="SH354" s="130"/>
      <c r="SI354" s="130"/>
      <c r="SJ354" s="130"/>
      <c r="SK354" s="130"/>
      <c r="SL354" s="130"/>
      <c r="SM354" s="130"/>
      <c r="SN354" s="130"/>
      <c r="SO354" s="130"/>
      <c r="SP354" s="130"/>
      <c r="SQ354" s="130"/>
      <c r="SR354" s="130"/>
      <c r="SS354" s="130"/>
      <c r="ST354" s="130"/>
      <c r="SU354" s="130"/>
      <c r="SV354" s="130"/>
      <c r="SW354" s="130"/>
      <c r="SX354" s="130"/>
      <c r="SY354" s="130"/>
      <c r="SZ354" s="130"/>
      <c r="TA354" s="130"/>
      <c r="TB354" s="130"/>
      <c r="TC354" s="130"/>
      <c r="TD354" s="130"/>
      <c r="TE354" s="130"/>
      <c r="TF354" s="130"/>
      <c r="TG354" s="130"/>
      <c r="TH354" s="130"/>
      <c r="TI354" s="130"/>
      <c r="TJ354" s="130"/>
      <c r="TK354" s="130"/>
      <c r="TL354" s="130"/>
      <c r="TM354" s="130"/>
      <c r="TN354" s="130"/>
      <c r="TO354" s="130"/>
      <c r="TP354" s="130"/>
      <c r="TQ354" s="130"/>
      <c r="TR354" s="130"/>
      <c r="TS354" s="130"/>
      <c r="TT354" s="130"/>
      <c r="TU354" s="130"/>
      <c r="TV354" s="130"/>
      <c r="TW354" s="130"/>
      <c r="TX354" s="130"/>
      <c r="TY354" s="130"/>
      <c r="TZ354" s="130"/>
      <c r="UA354" s="130"/>
      <c r="UB354" s="130"/>
      <c r="UC354" s="130"/>
      <c r="UD354" s="130"/>
      <c r="UE354" s="130"/>
      <c r="UF354" s="130"/>
      <c r="UG354" s="130"/>
      <c r="UH354" s="130"/>
      <c r="UI354" s="130"/>
      <c r="UJ354" s="130"/>
      <c r="UK354" s="130"/>
      <c r="UL354" s="130"/>
      <c r="UM354" s="130"/>
      <c r="UN354" s="130"/>
      <c r="UO354" s="130"/>
      <c r="UP354" s="130"/>
      <c r="UQ354" s="130"/>
      <c r="UR354" s="130"/>
      <c r="US354" s="130"/>
      <c r="UT354" s="130"/>
      <c r="UU354" s="130"/>
    </row>
    <row r="355" spans="460:567" ht="48" customHeight="1">
      <c r="QR355" s="130"/>
      <c r="QS355" s="130"/>
      <c r="QT355" s="130"/>
      <c r="QU355" s="130"/>
      <c r="QV355" s="130"/>
      <c r="QW355" s="130"/>
      <c r="QX355" s="130"/>
      <c r="QY355" s="130"/>
      <c r="QZ355" s="130"/>
      <c r="RA355" s="130"/>
      <c r="RB355" s="130"/>
      <c r="RC355" s="130"/>
      <c r="RD355" s="130"/>
      <c r="RE355" s="130"/>
      <c r="RF355" s="130"/>
      <c r="RG355" s="130"/>
      <c r="RH355" s="130"/>
      <c r="RI355" s="130"/>
      <c r="RJ355" s="130"/>
      <c r="RK355" s="130"/>
      <c r="RL355" s="130"/>
      <c r="RM355" s="130"/>
      <c r="RN355" s="130"/>
      <c r="RO355" s="130"/>
      <c r="RP355" s="130"/>
      <c r="RQ355" s="130"/>
      <c r="RR355" s="130"/>
      <c r="RS355" s="130"/>
      <c r="RT355" s="130"/>
      <c r="RU355" s="130"/>
      <c r="RV355" s="130"/>
      <c r="RW355" s="130"/>
      <c r="RX355" s="130"/>
      <c r="RY355" s="130"/>
      <c r="RZ355" s="130"/>
      <c r="SA355" s="130"/>
      <c r="SB355" s="130"/>
      <c r="SC355" s="130"/>
      <c r="SD355" s="130"/>
      <c r="SE355" s="130"/>
      <c r="SF355" s="130"/>
      <c r="SG355" s="130"/>
      <c r="SH355" s="130"/>
      <c r="SI355" s="130"/>
      <c r="SJ355" s="130"/>
      <c r="SK355" s="130"/>
      <c r="SL355" s="130"/>
      <c r="SM355" s="130"/>
      <c r="SN355" s="130"/>
      <c r="SO355" s="130"/>
      <c r="SP355" s="130"/>
      <c r="SQ355" s="130"/>
      <c r="SR355" s="130"/>
      <c r="SS355" s="130"/>
      <c r="ST355" s="130"/>
      <c r="SU355" s="130"/>
      <c r="SV355" s="130"/>
      <c r="SW355" s="130"/>
      <c r="SX355" s="130"/>
      <c r="SY355" s="130"/>
      <c r="SZ355" s="130"/>
      <c r="TA355" s="130"/>
      <c r="TB355" s="130"/>
      <c r="TC355" s="130"/>
      <c r="TD355" s="130"/>
      <c r="TE355" s="130"/>
      <c r="TF355" s="130"/>
      <c r="TG355" s="130"/>
      <c r="TH355" s="130"/>
      <c r="TI355" s="130"/>
      <c r="TJ355" s="130"/>
      <c r="TK355" s="130"/>
      <c r="TL355" s="130"/>
      <c r="TM355" s="130"/>
      <c r="TN355" s="130"/>
      <c r="TO355" s="130"/>
      <c r="TP355" s="130"/>
      <c r="TQ355" s="130"/>
      <c r="TR355" s="130"/>
      <c r="TS355" s="130"/>
      <c r="TT355" s="130"/>
      <c r="TU355" s="130"/>
      <c r="TV355" s="130"/>
      <c r="TW355" s="130"/>
      <c r="TX355" s="130"/>
      <c r="TY355" s="130"/>
      <c r="TZ355" s="130"/>
      <c r="UA355" s="130"/>
      <c r="UB355" s="130"/>
      <c r="UC355" s="130"/>
      <c r="UD355" s="130"/>
      <c r="UE355" s="130"/>
      <c r="UF355" s="130"/>
      <c r="UG355" s="130"/>
      <c r="UH355" s="130"/>
      <c r="UI355" s="130"/>
      <c r="UJ355" s="130"/>
      <c r="UK355" s="130"/>
      <c r="UL355" s="130"/>
      <c r="UM355" s="130"/>
      <c r="UN355" s="130"/>
      <c r="UO355" s="130"/>
      <c r="UP355" s="130"/>
      <c r="UQ355" s="130"/>
      <c r="UR355" s="130"/>
      <c r="US355" s="130"/>
      <c r="UT355" s="130"/>
      <c r="UU355" s="130"/>
    </row>
    <row r="356" spans="460:567" ht="48" customHeight="1">
      <c r="QR356" s="130"/>
      <c r="QS356" s="130"/>
      <c r="QT356" s="130"/>
      <c r="QU356" s="130"/>
      <c r="QV356" s="130"/>
      <c r="QW356" s="130"/>
      <c r="QX356" s="130"/>
      <c r="QY356" s="130"/>
      <c r="QZ356" s="130"/>
      <c r="RA356" s="130"/>
      <c r="RB356" s="130"/>
      <c r="RC356" s="130"/>
      <c r="RD356" s="130"/>
      <c r="RE356" s="130"/>
      <c r="RF356" s="130"/>
      <c r="RG356" s="130"/>
      <c r="RH356" s="130"/>
      <c r="RI356" s="130"/>
      <c r="RJ356" s="130"/>
      <c r="RK356" s="130"/>
      <c r="RL356" s="130"/>
      <c r="RM356" s="130"/>
      <c r="RN356" s="130"/>
      <c r="RO356" s="130"/>
      <c r="RP356" s="130"/>
      <c r="RQ356" s="130"/>
      <c r="RR356" s="130"/>
      <c r="RS356" s="130"/>
      <c r="RT356" s="130"/>
      <c r="RU356" s="130"/>
      <c r="RV356" s="130"/>
      <c r="RW356" s="130"/>
      <c r="RX356" s="130"/>
      <c r="RY356" s="130"/>
      <c r="RZ356" s="130"/>
      <c r="SA356" s="130"/>
      <c r="SB356" s="130"/>
      <c r="SC356" s="130"/>
      <c r="SD356" s="130"/>
      <c r="SE356" s="130"/>
      <c r="SF356" s="130"/>
      <c r="SG356" s="130"/>
      <c r="SH356" s="130"/>
      <c r="SI356" s="130"/>
      <c r="SJ356" s="130"/>
      <c r="SK356" s="130"/>
      <c r="SL356" s="130"/>
      <c r="SM356" s="130"/>
      <c r="SN356" s="130"/>
      <c r="SO356" s="130"/>
      <c r="SP356" s="130"/>
      <c r="SQ356" s="130"/>
      <c r="SR356" s="130"/>
      <c r="SS356" s="130"/>
      <c r="ST356" s="130"/>
      <c r="SU356" s="130"/>
      <c r="SV356" s="130"/>
      <c r="SW356" s="130"/>
      <c r="SX356" s="130"/>
      <c r="SY356" s="130"/>
      <c r="SZ356" s="130"/>
      <c r="TA356" s="130"/>
      <c r="TB356" s="130"/>
      <c r="TC356" s="130"/>
      <c r="TD356" s="130"/>
      <c r="TE356" s="130"/>
      <c r="TF356" s="130"/>
      <c r="TG356" s="130"/>
      <c r="TH356" s="130"/>
      <c r="TI356" s="130"/>
      <c r="TJ356" s="130"/>
      <c r="TK356" s="130"/>
      <c r="TL356" s="130"/>
      <c r="TM356" s="130"/>
      <c r="TN356" s="130"/>
      <c r="TO356" s="130"/>
      <c r="TP356" s="130"/>
      <c r="TQ356" s="130"/>
      <c r="TR356" s="130"/>
      <c r="TS356" s="130"/>
      <c r="TT356" s="130"/>
      <c r="TU356" s="130"/>
      <c r="TV356" s="130"/>
      <c r="TW356" s="130"/>
      <c r="TX356" s="130"/>
      <c r="TY356" s="130"/>
      <c r="TZ356" s="130"/>
      <c r="UA356" s="130"/>
      <c r="UB356" s="130"/>
      <c r="UC356" s="130"/>
      <c r="UD356" s="130"/>
      <c r="UE356" s="130"/>
      <c r="UF356" s="130"/>
      <c r="UG356" s="130"/>
      <c r="UH356" s="130"/>
      <c r="UI356" s="130"/>
      <c r="UJ356" s="130"/>
      <c r="UK356" s="130"/>
      <c r="UL356" s="130"/>
      <c r="UM356" s="130"/>
      <c r="UN356" s="130"/>
      <c r="UO356" s="130"/>
      <c r="UP356" s="130"/>
      <c r="UQ356" s="130"/>
      <c r="UR356" s="130"/>
      <c r="US356" s="130"/>
      <c r="UT356" s="130"/>
      <c r="UU356" s="130"/>
    </row>
    <row r="357" spans="460:567" ht="48" customHeight="1">
      <c r="QR357" s="130"/>
      <c r="QS357" s="130"/>
      <c r="QT357" s="130"/>
      <c r="QU357" s="130"/>
      <c r="QV357" s="130"/>
      <c r="QW357" s="130"/>
      <c r="QX357" s="130"/>
      <c r="QY357" s="130"/>
      <c r="QZ357" s="130"/>
      <c r="RA357" s="130"/>
      <c r="RB357" s="130"/>
      <c r="RC357" s="130"/>
      <c r="RD357" s="130"/>
      <c r="RE357" s="130"/>
      <c r="RF357" s="130"/>
      <c r="RG357" s="130"/>
      <c r="RH357" s="130"/>
      <c r="RI357" s="130"/>
      <c r="RJ357" s="130"/>
      <c r="RK357" s="130"/>
      <c r="RL357" s="130"/>
      <c r="RM357" s="130"/>
      <c r="RN357" s="130"/>
      <c r="RO357" s="130"/>
      <c r="RP357" s="130"/>
      <c r="RQ357" s="130"/>
      <c r="RR357" s="130"/>
      <c r="RS357" s="130"/>
      <c r="RT357" s="130"/>
      <c r="RU357" s="130"/>
      <c r="RV357" s="130"/>
      <c r="RW357" s="130"/>
      <c r="RX357" s="130"/>
      <c r="RY357" s="130"/>
      <c r="RZ357" s="130"/>
      <c r="SA357" s="130"/>
      <c r="SB357" s="130"/>
      <c r="SC357" s="130"/>
      <c r="SD357" s="130"/>
      <c r="SE357" s="130"/>
      <c r="SF357" s="130"/>
      <c r="SG357" s="130"/>
      <c r="SH357" s="130"/>
      <c r="SI357" s="130"/>
      <c r="SJ357" s="130"/>
      <c r="SK357" s="130"/>
      <c r="SL357" s="130"/>
      <c r="SM357" s="130"/>
      <c r="SN357" s="130"/>
      <c r="SO357" s="130"/>
      <c r="SP357" s="130"/>
      <c r="SQ357" s="130"/>
      <c r="SR357" s="130"/>
      <c r="SS357" s="130"/>
      <c r="ST357" s="130"/>
      <c r="SU357" s="130"/>
      <c r="SV357" s="130"/>
      <c r="SW357" s="130"/>
      <c r="SX357" s="130"/>
      <c r="SY357" s="130"/>
      <c r="SZ357" s="130"/>
      <c r="TA357" s="130"/>
      <c r="TB357" s="130"/>
      <c r="TC357" s="130"/>
      <c r="TD357" s="130"/>
      <c r="TE357" s="130"/>
      <c r="TF357" s="130"/>
      <c r="TG357" s="130"/>
      <c r="TH357" s="130"/>
      <c r="TI357" s="130"/>
      <c r="TJ357" s="130"/>
      <c r="TK357" s="130"/>
      <c r="TL357" s="130"/>
      <c r="TM357" s="130"/>
      <c r="TN357" s="130"/>
      <c r="TO357" s="130"/>
      <c r="TP357" s="130"/>
      <c r="TQ357" s="130"/>
      <c r="TR357" s="130"/>
      <c r="TS357" s="130"/>
      <c r="TT357" s="130"/>
      <c r="TU357" s="130"/>
      <c r="TV357" s="130"/>
      <c r="TW357" s="130"/>
      <c r="TX357" s="130"/>
      <c r="TY357" s="130"/>
      <c r="TZ357" s="130"/>
      <c r="UA357" s="130"/>
      <c r="UB357" s="130"/>
      <c r="UC357" s="130"/>
      <c r="UD357" s="130"/>
      <c r="UE357" s="130"/>
      <c r="UF357" s="130"/>
      <c r="UG357" s="130"/>
      <c r="UH357" s="130"/>
      <c r="UI357" s="130"/>
      <c r="UJ357" s="130"/>
      <c r="UK357" s="130"/>
      <c r="UL357" s="130"/>
      <c r="UM357" s="130"/>
      <c r="UN357" s="130"/>
      <c r="UO357" s="130"/>
      <c r="UP357" s="130"/>
      <c r="UQ357" s="130"/>
      <c r="UR357" s="130"/>
      <c r="US357" s="130"/>
      <c r="UT357" s="130"/>
      <c r="UU357" s="130"/>
    </row>
    <row r="358" spans="460:567" ht="48" customHeight="1">
      <c r="QR358" s="130"/>
      <c r="QS358" s="130"/>
      <c r="QT358" s="130"/>
      <c r="QU358" s="130"/>
      <c r="QV358" s="130"/>
      <c r="QW358" s="130"/>
      <c r="QX358" s="130"/>
      <c r="QY358" s="130"/>
      <c r="QZ358" s="130"/>
      <c r="RA358" s="130"/>
      <c r="RB358" s="130"/>
      <c r="RC358" s="130"/>
      <c r="RD358" s="130"/>
      <c r="RE358" s="130"/>
      <c r="RF358" s="130"/>
      <c r="RG358" s="130"/>
      <c r="RH358" s="130"/>
      <c r="RI358" s="130"/>
      <c r="RJ358" s="130"/>
      <c r="RK358" s="130"/>
      <c r="RL358" s="130"/>
      <c r="RM358" s="130"/>
      <c r="RN358" s="130"/>
      <c r="RO358" s="130"/>
      <c r="RP358" s="130"/>
      <c r="RQ358" s="130"/>
      <c r="RR358" s="130"/>
      <c r="RS358" s="130"/>
      <c r="RT358" s="130"/>
      <c r="RU358" s="130"/>
      <c r="RV358" s="130"/>
      <c r="RW358" s="130"/>
      <c r="RX358" s="130"/>
      <c r="RY358" s="130"/>
      <c r="RZ358" s="130"/>
      <c r="SA358" s="130"/>
      <c r="SB358" s="130"/>
      <c r="SC358" s="130"/>
      <c r="SD358" s="130"/>
      <c r="SE358" s="130"/>
      <c r="SF358" s="130"/>
      <c r="SG358" s="130"/>
      <c r="SH358" s="130"/>
      <c r="SI358" s="130"/>
      <c r="SJ358" s="130"/>
      <c r="SK358" s="130"/>
      <c r="SL358" s="130"/>
      <c r="SM358" s="130"/>
      <c r="SN358" s="130"/>
      <c r="SO358" s="130"/>
      <c r="SP358" s="130"/>
      <c r="SQ358" s="130"/>
      <c r="SR358" s="130"/>
      <c r="SS358" s="130"/>
      <c r="ST358" s="130"/>
      <c r="SU358" s="130"/>
      <c r="SV358" s="130"/>
      <c r="SW358" s="130"/>
      <c r="SX358" s="130"/>
      <c r="SY358" s="130"/>
      <c r="SZ358" s="130"/>
      <c r="TA358" s="130"/>
      <c r="TB358" s="130"/>
      <c r="TC358" s="130"/>
      <c r="TD358" s="130"/>
      <c r="TE358" s="130"/>
      <c r="TF358" s="130"/>
      <c r="TG358" s="130"/>
      <c r="TH358" s="130"/>
      <c r="TI358" s="130"/>
      <c r="TJ358" s="130"/>
      <c r="TK358" s="130"/>
      <c r="TL358" s="130"/>
      <c r="TM358" s="130"/>
      <c r="TN358" s="130"/>
      <c r="TO358" s="130"/>
      <c r="TP358" s="130"/>
      <c r="TQ358" s="130"/>
      <c r="TR358" s="130"/>
      <c r="TS358" s="130"/>
      <c r="TT358" s="130"/>
      <c r="TU358" s="130"/>
      <c r="TV358" s="130"/>
      <c r="TW358" s="130"/>
      <c r="TX358" s="130"/>
      <c r="TY358" s="130"/>
      <c r="TZ358" s="130"/>
      <c r="UA358" s="130"/>
      <c r="UB358" s="130"/>
      <c r="UC358" s="130"/>
      <c r="UD358" s="130"/>
      <c r="UE358" s="130"/>
      <c r="UF358" s="130"/>
      <c r="UG358" s="130"/>
      <c r="UH358" s="130"/>
      <c r="UI358" s="130"/>
      <c r="UJ358" s="130"/>
      <c r="UK358" s="130"/>
      <c r="UL358" s="130"/>
      <c r="UM358" s="130"/>
      <c r="UN358" s="130"/>
      <c r="UO358" s="130"/>
      <c r="UP358" s="130"/>
      <c r="UQ358" s="130"/>
      <c r="UR358" s="130"/>
      <c r="US358" s="130"/>
      <c r="UT358" s="130"/>
      <c r="UU358" s="130"/>
    </row>
    <row r="359" spans="460:567" ht="48" customHeight="1">
      <c r="QR359" s="130"/>
      <c r="QS359" s="130"/>
      <c r="QT359" s="130"/>
      <c r="QU359" s="130"/>
      <c r="QV359" s="130"/>
      <c r="QW359" s="130"/>
      <c r="QX359" s="130"/>
      <c r="QY359" s="130"/>
      <c r="QZ359" s="130"/>
      <c r="RA359" s="130"/>
      <c r="RB359" s="130"/>
      <c r="RC359" s="130"/>
      <c r="RD359" s="130"/>
      <c r="RE359" s="130"/>
      <c r="RF359" s="130"/>
      <c r="RG359" s="130"/>
      <c r="RH359" s="130"/>
      <c r="RI359" s="130"/>
      <c r="RJ359" s="130"/>
      <c r="RK359" s="130"/>
      <c r="RL359" s="130"/>
      <c r="RM359" s="130"/>
      <c r="RN359" s="130"/>
      <c r="RO359" s="130"/>
      <c r="RP359" s="130"/>
      <c r="RQ359" s="130"/>
      <c r="RR359" s="130"/>
      <c r="RS359" s="130"/>
      <c r="RT359" s="130"/>
      <c r="RU359" s="130"/>
      <c r="RV359" s="130"/>
      <c r="RW359" s="130"/>
      <c r="RX359" s="130"/>
      <c r="RY359" s="130"/>
      <c r="RZ359" s="130"/>
      <c r="SA359" s="130"/>
      <c r="SB359" s="130"/>
      <c r="SC359" s="130"/>
      <c r="SD359" s="130"/>
      <c r="SE359" s="130"/>
      <c r="SF359" s="130"/>
      <c r="SG359" s="130"/>
      <c r="SH359" s="130"/>
      <c r="SI359" s="130"/>
      <c r="SJ359" s="130"/>
      <c r="SK359" s="130"/>
      <c r="SL359" s="130"/>
      <c r="SM359" s="130"/>
      <c r="SN359" s="130"/>
      <c r="SO359" s="130"/>
      <c r="SP359" s="130"/>
      <c r="SQ359" s="130"/>
      <c r="SR359" s="130"/>
      <c r="SS359" s="130"/>
      <c r="ST359" s="130"/>
      <c r="SU359" s="130"/>
      <c r="SV359" s="130"/>
      <c r="SW359" s="130"/>
      <c r="SX359" s="130"/>
      <c r="SY359" s="130"/>
      <c r="SZ359" s="130"/>
      <c r="TA359" s="130"/>
      <c r="TB359" s="130"/>
      <c r="TC359" s="130"/>
      <c r="TD359" s="130"/>
      <c r="TE359" s="130"/>
      <c r="TF359" s="130"/>
      <c r="TG359" s="130"/>
      <c r="TH359" s="130"/>
      <c r="TI359" s="130"/>
      <c r="TJ359" s="130"/>
      <c r="TK359" s="130"/>
      <c r="TL359" s="130"/>
      <c r="TM359" s="130"/>
      <c r="TN359" s="130"/>
      <c r="TO359" s="130"/>
      <c r="TP359" s="130"/>
      <c r="TQ359" s="130"/>
      <c r="TR359" s="130"/>
      <c r="TS359" s="130"/>
      <c r="TT359" s="130"/>
      <c r="TU359" s="130"/>
      <c r="TV359" s="130"/>
      <c r="TW359" s="130"/>
      <c r="TX359" s="130"/>
      <c r="TY359" s="130"/>
      <c r="TZ359" s="130"/>
      <c r="UA359" s="130"/>
      <c r="UB359" s="130"/>
      <c r="UC359" s="130"/>
      <c r="UD359" s="130"/>
      <c r="UE359" s="130"/>
      <c r="UF359" s="130"/>
      <c r="UG359" s="130"/>
      <c r="UH359" s="130"/>
      <c r="UI359" s="130"/>
      <c r="UJ359" s="130"/>
      <c r="UK359" s="130"/>
      <c r="UL359" s="130"/>
      <c r="UM359" s="130"/>
      <c r="UN359" s="130"/>
      <c r="UO359" s="130"/>
      <c r="UP359" s="130"/>
      <c r="UQ359" s="130"/>
      <c r="UR359" s="130"/>
      <c r="US359" s="130"/>
      <c r="UT359" s="130"/>
      <c r="UU359" s="130"/>
    </row>
    <row r="360" spans="460:567" ht="48" customHeight="1">
      <c r="QR360" s="130"/>
      <c r="QS360" s="130"/>
      <c r="QT360" s="130"/>
      <c r="QU360" s="130"/>
      <c r="QV360" s="130"/>
      <c r="QW360" s="130"/>
      <c r="QX360" s="130"/>
      <c r="QY360" s="130"/>
      <c r="QZ360" s="130"/>
      <c r="RA360" s="130"/>
      <c r="RB360" s="130"/>
      <c r="RC360" s="130"/>
      <c r="RD360" s="130"/>
      <c r="RE360" s="130"/>
      <c r="RF360" s="130"/>
      <c r="RG360" s="130"/>
      <c r="RH360" s="130"/>
      <c r="RI360" s="130"/>
      <c r="RJ360" s="130"/>
      <c r="RK360" s="130"/>
      <c r="RL360" s="130"/>
      <c r="RM360" s="130"/>
      <c r="RN360" s="130"/>
      <c r="RO360" s="130"/>
      <c r="RP360" s="130"/>
      <c r="RQ360" s="130"/>
      <c r="RR360" s="130"/>
      <c r="RS360" s="130"/>
      <c r="RT360" s="130"/>
      <c r="RU360" s="130"/>
      <c r="RV360" s="130"/>
      <c r="RW360" s="130"/>
      <c r="RX360" s="130"/>
      <c r="RY360" s="130"/>
      <c r="RZ360" s="130"/>
      <c r="SA360" s="130"/>
      <c r="SB360" s="130"/>
      <c r="SC360" s="130"/>
      <c r="SD360" s="130"/>
      <c r="SE360" s="130"/>
      <c r="SF360" s="130"/>
      <c r="SG360" s="130"/>
      <c r="SH360" s="130"/>
      <c r="SI360" s="130"/>
      <c r="SJ360" s="130"/>
      <c r="SK360" s="130"/>
      <c r="SL360" s="130"/>
      <c r="SM360" s="130"/>
      <c r="SN360" s="130"/>
      <c r="SO360" s="130"/>
      <c r="SP360" s="130"/>
      <c r="SQ360" s="130"/>
      <c r="SR360" s="130"/>
      <c r="SS360" s="130"/>
      <c r="ST360" s="130"/>
      <c r="SU360" s="130"/>
      <c r="SV360" s="130"/>
      <c r="SW360" s="130"/>
      <c r="SX360" s="130"/>
      <c r="SY360" s="130"/>
      <c r="SZ360" s="130"/>
      <c r="TA360" s="130"/>
      <c r="TB360" s="130"/>
      <c r="TC360" s="130"/>
      <c r="TD360" s="130"/>
      <c r="TE360" s="130"/>
      <c r="TF360" s="130"/>
      <c r="TG360" s="130"/>
      <c r="TH360" s="130"/>
      <c r="TI360" s="130"/>
      <c r="TJ360" s="130"/>
      <c r="TK360" s="130"/>
      <c r="TL360" s="130"/>
      <c r="TM360" s="130"/>
      <c r="TN360" s="130"/>
      <c r="TO360" s="130"/>
      <c r="TP360" s="130"/>
      <c r="TQ360" s="130"/>
      <c r="TR360" s="130"/>
      <c r="TS360" s="130"/>
      <c r="TT360" s="130"/>
      <c r="TU360" s="130"/>
      <c r="TV360" s="130"/>
      <c r="TW360" s="130"/>
      <c r="TX360" s="130"/>
      <c r="TY360" s="130"/>
      <c r="TZ360" s="130"/>
      <c r="UA360" s="130"/>
      <c r="UB360" s="130"/>
      <c r="UC360" s="130"/>
      <c r="UD360" s="130"/>
      <c r="UE360" s="130"/>
      <c r="UF360" s="130"/>
      <c r="UG360" s="130"/>
      <c r="UH360" s="130"/>
      <c r="UI360" s="130"/>
      <c r="UJ360" s="130"/>
      <c r="UK360" s="130"/>
      <c r="UL360" s="130"/>
      <c r="UM360" s="130"/>
      <c r="UN360" s="130"/>
      <c r="UO360" s="130"/>
      <c r="UP360" s="130"/>
      <c r="UQ360" s="130"/>
      <c r="UR360" s="130"/>
      <c r="US360" s="130"/>
      <c r="UT360" s="130"/>
      <c r="UU360" s="130"/>
    </row>
    <row r="361" spans="460:567" ht="48" customHeight="1">
      <c r="QR361" s="130"/>
      <c r="QS361" s="130"/>
      <c r="QT361" s="130"/>
      <c r="QU361" s="130"/>
      <c r="QV361" s="130"/>
      <c r="QW361" s="130"/>
      <c r="QX361" s="130"/>
      <c r="QY361" s="130"/>
      <c r="QZ361" s="130"/>
      <c r="RA361" s="130"/>
      <c r="RB361" s="130"/>
      <c r="RC361" s="130"/>
      <c r="RD361" s="130"/>
      <c r="RE361" s="130"/>
      <c r="RF361" s="130"/>
      <c r="RG361" s="130"/>
      <c r="RH361" s="130"/>
      <c r="RI361" s="130"/>
      <c r="RJ361" s="130"/>
      <c r="RK361" s="130"/>
      <c r="RL361" s="130"/>
      <c r="RM361" s="130"/>
      <c r="RN361" s="130"/>
      <c r="RO361" s="130"/>
      <c r="RP361" s="130"/>
      <c r="RQ361" s="130"/>
      <c r="RR361" s="130"/>
      <c r="RS361" s="130"/>
      <c r="RT361" s="130"/>
      <c r="RU361" s="130"/>
      <c r="RV361" s="130"/>
      <c r="RW361" s="130"/>
      <c r="RX361" s="130"/>
      <c r="RY361" s="130"/>
      <c r="RZ361" s="130"/>
      <c r="SA361" s="130"/>
      <c r="SB361" s="130"/>
      <c r="SC361" s="130"/>
      <c r="SD361" s="130"/>
      <c r="SE361" s="130"/>
      <c r="SF361" s="130"/>
      <c r="SG361" s="130"/>
      <c r="SH361" s="130"/>
      <c r="SI361" s="130"/>
      <c r="SJ361" s="130"/>
      <c r="SK361" s="130"/>
      <c r="SL361" s="130"/>
      <c r="SM361" s="130"/>
      <c r="SN361" s="130"/>
      <c r="SO361" s="130"/>
      <c r="SP361" s="130"/>
      <c r="SQ361" s="130"/>
      <c r="SR361" s="130"/>
      <c r="SS361" s="130"/>
      <c r="ST361" s="130"/>
      <c r="SU361" s="130"/>
      <c r="SV361" s="130"/>
      <c r="SW361" s="130"/>
      <c r="SX361" s="130"/>
      <c r="SY361" s="130"/>
      <c r="SZ361" s="130"/>
      <c r="TA361" s="130"/>
      <c r="TB361" s="130"/>
      <c r="TC361" s="130"/>
      <c r="TD361" s="130"/>
      <c r="TE361" s="130"/>
      <c r="TF361" s="130"/>
      <c r="TG361" s="130"/>
      <c r="TH361" s="130"/>
      <c r="TI361" s="130"/>
      <c r="TJ361" s="130"/>
      <c r="TK361" s="130"/>
      <c r="TL361" s="130"/>
      <c r="TM361" s="130"/>
      <c r="TN361" s="130"/>
      <c r="TO361" s="130"/>
      <c r="TP361" s="130"/>
      <c r="TQ361" s="130"/>
      <c r="TR361" s="130"/>
      <c r="TS361" s="130"/>
      <c r="TT361" s="130"/>
      <c r="TU361" s="130"/>
      <c r="TV361" s="130"/>
      <c r="TW361" s="130"/>
      <c r="TX361" s="130"/>
      <c r="TY361" s="130"/>
      <c r="TZ361" s="130"/>
      <c r="UA361" s="130"/>
      <c r="UB361" s="130"/>
      <c r="UC361" s="130"/>
      <c r="UD361" s="130"/>
      <c r="UE361" s="130"/>
      <c r="UF361" s="130"/>
      <c r="UG361" s="130"/>
      <c r="UH361" s="130"/>
      <c r="UI361" s="130"/>
      <c r="UJ361" s="130"/>
      <c r="UK361" s="130"/>
      <c r="UL361" s="130"/>
      <c r="UM361" s="130"/>
      <c r="UN361" s="130"/>
      <c r="UO361" s="130"/>
      <c r="UP361" s="130"/>
      <c r="UQ361" s="130"/>
      <c r="UR361" s="130"/>
      <c r="US361" s="130"/>
      <c r="UT361" s="130"/>
      <c r="UU361" s="130"/>
    </row>
    <row r="362" spans="460:567" ht="48" customHeight="1">
      <c r="QR362" s="130"/>
      <c r="QS362" s="130"/>
      <c r="QT362" s="130"/>
      <c r="QU362" s="130"/>
      <c r="QV362" s="130"/>
      <c r="QW362" s="130"/>
      <c r="QX362" s="130"/>
      <c r="QY362" s="130"/>
      <c r="QZ362" s="130"/>
      <c r="RA362" s="130"/>
      <c r="RB362" s="130"/>
      <c r="RC362" s="130"/>
      <c r="RD362" s="130"/>
      <c r="RE362" s="130"/>
      <c r="RF362" s="130"/>
      <c r="RG362" s="130"/>
      <c r="RH362" s="130"/>
      <c r="RI362" s="130"/>
      <c r="RJ362" s="130"/>
      <c r="RK362" s="130"/>
      <c r="RL362" s="130"/>
      <c r="RM362" s="130"/>
      <c r="RN362" s="130"/>
      <c r="RO362" s="130"/>
      <c r="RP362" s="130"/>
      <c r="RQ362" s="130"/>
      <c r="RR362" s="130"/>
      <c r="RS362" s="130"/>
      <c r="RT362" s="130"/>
      <c r="RU362" s="130"/>
      <c r="RV362" s="130"/>
      <c r="RW362" s="130"/>
      <c r="RX362" s="130"/>
      <c r="RY362" s="130"/>
      <c r="RZ362" s="130"/>
      <c r="SA362" s="130"/>
      <c r="SB362" s="130"/>
      <c r="SC362" s="130"/>
      <c r="SD362" s="130"/>
      <c r="SE362" s="130"/>
      <c r="SF362" s="130"/>
      <c r="SG362" s="130"/>
      <c r="SH362" s="130"/>
      <c r="SI362" s="130"/>
      <c r="SJ362" s="130"/>
      <c r="SK362" s="130"/>
      <c r="SL362" s="130"/>
      <c r="SM362" s="130"/>
      <c r="SN362" s="130"/>
      <c r="SO362" s="130"/>
      <c r="SP362" s="130"/>
      <c r="SQ362" s="130"/>
      <c r="SR362" s="130"/>
      <c r="SS362" s="130"/>
      <c r="ST362" s="130"/>
      <c r="SU362" s="130"/>
      <c r="SV362" s="130"/>
      <c r="SW362" s="130"/>
      <c r="SX362" s="130"/>
      <c r="SY362" s="130"/>
      <c r="SZ362" s="130"/>
      <c r="TA362" s="130"/>
      <c r="TB362" s="130"/>
      <c r="TC362" s="130"/>
      <c r="TD362" s="130"/>
      <c r="TE362" s="130"/>
      <c r="TF362" s="130"/>
      <c r="TG362" s="130"/>
      <c r="TH362" s="130"/>
      <c r="TI362" s="130"/>
      <c r="TJ362" s="130"/>
      <c r="TK362" s="130"/>
      <c r="TL362" s="130"/>
      <c r="TM362" s="130"/>
      <c r="TN362" s="130"/>
      <c r="TO362" s="130"/>
      <c r="TP362" s="130"/>
      <c r="TQ362" s="130"/>
      <c r="TR362" s="130"/>
      <c r="TS362" s="130"/>
      <c r="TT362" s="130"/>
      <c r="TU362" s="130"/>
      <c r="TV362" s="130"/>
      <c r="TW362" s="130"/>
      <c r="TX362" s="130"/>
      <c r="TY362" s="130"/>
      <c r="TZ362" s="130"/>
      <c r="UA362" s="130"/>
      <c r="UB362" s="130"/>
      <c r="UC362" s="130"/>
      <c r="UD362" s="130"/>
      <c r="UE362" s="130"/>
      <c r="UF362" s="130"/>
      <c r="UG362" s="130"/>
      <c r="UH362" s="130"/>
      <c r="UI362" s="130"/>
      <c r="UJ362" s="130"/>
      <c r="UK362" s="130"/>
      <c r="UL362" s="130"/>
      <c r="UM362" s="130"/>
      <c r="UN362" s="130"/>
      <c r="UO362" s="130"/>
      <c r="UP362" s="130"/>
      <c r="UQ362" s="130"/>
      <c r="UR362" s="130"/>
      <c r="US362" s="130"/>
      <c r="UT362" s="130"/>
      <c r="UU362" s="130"/>
    </row>
    <row r="363" spans="460:567" ht="48" customHeight="1">
      <c r="QR363" s="130"/>
      <c r="QS363" s="130"/>
      <c r="QT363" s="130"/>
      <c r="QU363" s="130"/>
      <c r="QV363" s="130"/>
      <c r="QW363" s="130"/>
      <c r="QX363" s="130"/>
      <c r="QY363" s="130"/>
      <c r="QZ363" s="130"/>
      <c r="RA363" s="130"/>
      <c r="RB363" s="130"/>
      <c r="RC363" s="130"/>
      <c r="RD363" s="130"/>
      <c r="RE363" s="130"/>
      <c r="RF363" s="130"/>
      <c r="RG363" s="130"/>
      <c r="RH363" s="130"/>
      <c r="RI363" s="130"/>
      <c r="RJ363" s="130"/>
      <c r="RK363" s="130"/>
      <c r="RL363" s="130"/>
      <c r="RM363" s="130"/>
      <c r="RN363" s="130"/>
      <c r="RO363" s="130"/>
      <c r="RP363" s="130"/>
      <c r="RQ363" s="130"/>
      <c r="RR363" s="130"/>
      <c r="RS363" s="130"/>
      <c r="RT363" s="130"/>
      <c r="RU363" s="130"/>
      <c r="RV363" s="130"/>
      <c r="RW363" s="130"/>
      <c r="RX363" s="130"/>
      <c r="RY363" s="130"/>
      <c r="RZ363" s="130"/>
      <c r="SA363" s="130"/>
      <c r="SB363" s="130"/>
      <c r="SC363" s="130"/>
      <c r="SD363" s="130"/>
      <c r="SE363" s="130"/>
      <c r="SF363" s="130"/>
      <c r="SG363" s="130"/>
      <c r="SH363" s="130"/>
      <c r="SI363" s="130"/>
      <c r="SJ363" s="130"/>
      <c r="SK363" s="130"/>
      <c r="SL363" s="130"/>
      <c r="SM363" s="130"/>
      <c r="SN363" s="130"/>
      <c r="SO363" s="130"/>
      <c r="SP363" s="130"/>
      <c r="SQ363" s="130"/>
      <c r="SR363" s="130"/>
      <c r="SS363" s="130"/>
      <c r="ST363" s="130"/>
      <c r="SU363" s="130"/>
      <c r="SV363" s="130"/>
      <c r="SW363" s="130"/>
      <c r="SX363" s="130"/>
      <c r="SY363" s="130"/>
      <c r="SZ363" s="130"/>
      <c r="TA363" s="130"/>
      <c r="TB363" s="130"/>
      <c r="TC363" s="130"/>
      <c r="TD363" s="130"/>
      <c r="TE363" s="130"/>
      <c r="TF363" s="130"/>
      <c r="TG363" s="130"/>
      <c r="TH363" s="130"/>
      <c r="TI363" s="130"/>
      <c r="TJ363" s="130"/>
      <c r="TK363" s="130"/>
      <c r="TL363" s="130"/>
      <c r="TM363" s="130"/>
      <c r="TN363" s="130"/>
      <c r="TO363" s="130"/>
      <c r="TP363" s="130"/>
      <c r="TQ363" s="130"/>
      <c r="TR363" s="130"/>
      <c r="TS363" s="130"/>
      <c r="TT363" s="130"/>
      <c r="TU363" s="130"/>
      <c r="TV363" s="130"/>
      <c r="TW363" s="130"/>
      <c r="TX363" s="130"/>
      <c r="TY363" s="130"/>
      <c r="TZ363" s="130"/>
      <c r="UA363" s="130"/>
      <c r="UB363" s="130"/>
      <c r="UC363" s="130"/>
      <c r="UD363" s="130"/>
      <c r="UE363" s="130"/>
      <c r="UF363" s="130"/>
      <c r="UG363" s="130"/>
      <c r="UH363" s="130"/>
      <c r="UI363" s="130"/>
      <c r="UJ363" s="130"/>
      <c r="UK363" s="130"/>
      <c r="UL363" s="130"/>
      <c r="UM363" s="130"/>
      <c r="UN363" s="130"/>
      <c r="UO363" s="130"/>
      <c r="UP363" s="130"/>
      <c r="UQ363" s="130"/>
      <c r="UR363" s="130"/>
      <c r="US363" s="130"/>
      <c r="UT363" s="130"/>
      <c r="UU363" s="130"/>
    </row>
    <row r="364" spans="460:567" ht="48" customHeight="1">
      <c r="QR364" s="130"/>
      <c r="QS364" s="130"/>
      <c r="QT364" s="130"/>
      <c r="QU364" s="130"/>
      <c r="QV364" s="130"/>
      <c r="QW364" s="130"/>
      <c r="QX364" s="130"/>
      <c r="QY364" s="130"/>
      <c r="QZ364" s="130"/>
      <c r="RA364" s="130"/>
      <c r="RB364" s="130"/>
      <c r="RC364" s="130"/>
      <c r="RD364" s="130"/>
      <c r="RE364" s="130"/>
      <c r="RF364" s="130"/>
      <c r="RG364" s="130"/>
      <c r="RH364" s="130"/>
      <c r="RI364" s="130"/>
      <c r="RJ364" s="130"/>
      <c r="RK364" s="130"/>
      <c r="RL364" s="130"/>
      <c r="RM364" s="130"/>
      <c r="RN364" s="130"/>
      <c r="RO364" s="130"/>
      <c r="RP364" s="130"/>
      <c r="RQ364" s="130"/>
      <c r="RR364" s="130"/>
      <c r="RS364" s="130"/>
      <c r="RT364" s="130"/>
      <c r="RU364" s="130"/>
      <c r="RV364" s="130"/>
      <c r="RW364" s="130"/>
      <c r="RX364" s="130"/>
      <c r="RY364" s="130"/>
      <c r="RZ364" s="130"/>
      <c r="SA364" s="130"/>
      <c r="SB364" s="130"/>
      <c r="SC364" s="130"/>
      <c r="SD364" s="130"/>
      <c r="SE364" s="130"/>
      <c r="SF364" s="130"/>
      <c r="SG364" s="130"/>
      <c r="SH364" s="130"/>
      <c r="SI364" s="130"/>
      <c r="SJ364" s="130"/>
      <c r="SK364" s="130"/>
      <c r="SL364" s="130"/>
      <c r="SM364" s="130"/>
      <c r="SN364" s="130"/>
      <c r="SO364" s="130"/>
      <c r="SP364" s="130"/>
      <c r="SQ364" s="130"/>
      <c r="SR364" s="130"/>
      <c r="SS364" s="130"/>
      <c r="ST364" s="130"/>
      <c r="SU364" s="130"/>
      <c r="SV364" s="130"/>
      <c r="SW364" s="130"/>
      <c r="SX364" s="130"/>
      <c r="SY364" s="130"/>
      <c r="SZ364" s="130"/>
      <c r="TA364" s="130"/>
      <c r="TB364" s="130"/>
      <c r="TC364" s="130"/>
      <c r="TD364" s="130"/>
      <c r="TE364" s="130"/>
      <c r="TF364" s="130"/>
      <c r="TG364" s="130"/>
      <c r="TH364" s="130"/>
      <c r="TI364" s="130"/>
      <c r="TJ364" s="130"/>
      <c r="TK364" s="130"/>
      <c r="TL364" s="130"/>
      <c r="TM364" s="130"/>
      <c r="TN364" s="130"/>
      <c r="TO364" s="130"/>
      <c r="TP364" s="130"/>
      <c r="TQ364" s="130"/>
      <c r="TR364" s="130"/>
      <c r="TS364" s="130"/>
      <c r="TT364" s="130"/>
      <c r="TU364" s="130"/>
      <c r="TV364" s="130"/>
      <c r="TW364" s="130"/>
      <c r="TX364" s="130"/>
      <c r="TY364" s="130"/>
      <c r="TZ364" s="130"/>
      <c r="UA364" s="130"/>
      <c r="UB364" s="130"/>
      <c r="UC364" s="130"/>
      <c r="UD364" s="130"/>
      <c r="UE364" s="130"/>
      <c r="UF364" s="130"/>
      <c r="UG364" s="130"/>
      <c r="UH364" s="130"/>
      <c r="UI364" s="130"/>
      <c r="UJ364" s="130"/>
      <c r="UK364" s="130"/>
      <c r="UL364" s="130"/>
      <c r="UM364" s="130"/>
      <c r="UN364" s="130"/>
      <c r="UO364" s="130"/>
      <c r="UP364" s="130"/>
      <c r="UQ364" s="130"/>
      <c r="UR364" s="130"/>
      <c r="US364" s="130"/>
      <c r="UT364" s="130"/>
      <c r="UU364" s="130"/>
    </row>
    <row r="365" spans="460:567" ht="48" customHeight="1">
      <c r="QR365" s="130"/>
      <c r="QS365" s="130"/>
      <c r="QT365" s="130"/>
      <c r="QU365" s="130"/>
      <c r="QV365" s="130"/>
      <c r="QW365" s="130"/>
      <c r="QX365" s="130"/>
      <c r="QY365" s="130"/>
      <c r="QZ365" s="130"/>
      <c r="RA365" s="130"/>
      <c r="RB365" s="130"/>
      <c r="RC365" s="130"/>
      <c r="RD365" s="130"/>
      <c r="RE365" s="130"/>
      <c r="RF365" s="130"/>
      <c r="RG365" s="130"/>
      <c r="RH365" s="130"/>
      <c r="RI365" s="130"/>
      <c r="RJ365" s="130"/>
      <c r="RK365" s="130"/>
      <c r="RL365" s="130"/>
      <c r="RM365" s="130"/>
      <c r="RN365" s="130"/>
      <c r="RO365" s="130"/>
      <c r="RP365" s="130"/>
      <c r="RQ365" s="130"/>
      <c r="RR365" s="130"/>
      <c r="RS365" s="130"/>
      <c r="RT365" s="130"/>
      <c r="RU365" s="130"/>
      <c r="RV365" s="130"/>
      <c r="RW365" s="130"/>
      <c r="RX365" s="130"/>
      <c r="RY365" s="130"/>
      <c r="RZ365" s="130"/>
      <c r="SA365" s="130"/>
      <c r="SB365" s="130"/>
      <c r="SC365" s="130"/>
      <c r="SD365" s="130"/>
      <c r="SE365" s="130"/>
      <c r="SF365" s="130"/>
      <c r="SG365" s="130"/>
      <c r="SH365" s="130"/>
      <c r="SI365" s="130"/>
      <c r="SJ365" s="130"/>
      <c r="SK365" s="130"/>
      <c r="SL365" s="130"/>
      <c r="SM365" s="130"/>
      <c r="SN365" s="130"/>
      <c r="SO365" s="130"/>
      <c r="SP365" s="130"/>
      <c r="SQ365" s="130"/>
      <c r="SR365" s="130"/>
      <c r="SS365" s="130"/>
      <c r="ST365" s="130"/>
      <c r="SU365" s="130"/>
      <c r="SV365" s="130"/>
      <c r="SW365" s="130"/>
      <c r="SX365" s="130"/>
      <c r="SY365" s="130"/>
      <c r="SZ365" s="130"/>
      <c r="TA365" s="130"/>
      <c r="TB365" s="130"/>
      <c r="TC365" s="130"/>
      <c r="TD365" s="130"/>
      <c r="TE365" s="130"/>
      <c r="TF365" s="130"/>
      <c r="TG365" s="130"/>
      <c r="TH365" s="130"/>
      <c r="TI365" s="130"/>
      <c r="TJ365" s="130"/>
      <c r="TK365" s="130"/>
      <c r="TL365" s="130"/>
      <c r="TM365" s="130"/>
      <c r="TN365" s="130"/>
      <c r="TO365" s="130"/>
      <c r="TP365" s="130"/>
      <c r="TQ365" s="130"/>
      <c r="TR365" s="130"/>
      <c r="TS365" s="130"/>
      <c r="TT365" s="130"/>
      <c r="TU365" s="130"/>
      <c r="TV365" s="130"/>
      <c r="TW365" s="130"/>
      <c r="TX365" s="130"/>
      <c r="TY365" s="130"/>
      <c r="TZ365" s="130"/>
      <c r="UA365" s="130"/>
      <c r="UB365" s="130"/>
      <c r="UC365" s="130"/>
      <c r="UD365" s="130"/>
      <c r="UE365" s="130"/>
      <c r="UF365" s="130"/>
      <c r="UG365" s="130"/>
      <c r="UH365" s="130"/>
      <c r="UI365" s="130"/>
      <c r="UJ365" s="130"/>
      <c r="UK365" s="130"/>
      <c r="UL365" s="130"/>
      <c r="UM365" s="130"/>
      <c r="UN365" s="130"/>
      <c r="UO365" s="130"/>
      <c r="UP365" s="130"/>
      <c r="UQ365" s="130"/>
      <c r="UR365" s="130"/>
      <c r="US365" s="130"/>
      <c r="UT365" s="130"/>
      <c r="UU365" s="130"/>
    </row>
    <row r="366" spans="460:567" ht="48" customHeight="1">
      <c r="QR366" s="130"/>
      <c r="QS366" s="130"/>
      <c r="QT366" s="130"/>
      <c r="QU366" s="130"/>
      <c r="QV366" s="130"/>
      <c r="QW366" s="130"/>
      <c r="QX366" s="130"/>
      <c r="QY366" s="130"/>
      <c r="QZ366" s="130"/>
      <c r="RA366" s="130"/>
      <c r="RB366" s="130"/>
      <c r="RC366" s="130"/>
      <c r="RD366" s="130"/>
      <c r="RE366" s="130"/>
      <c r="RF366" s="130"/>
      <c r="RG366" s="130"/>
      <c r="RH366" s="130"/>
      <c r="RI366" s="130"/>
      <c r="RJ366" s="130"/>
      <c r="RK366" s="130"/>
      <c r="RL366" s="130"/>
      <c r="RM366" s="130"/>
      <c r="RN366" s="130"/>
      <c r="RO366" s="130"/>
      <c r="RP366" s="130"/>
      <c r="RQ366" s="130"/>
      <c r="RR366" s="130"/>
      <c r="RS366" s="130"/>
      <c r="RT366" s="130"/>
      <c r="RU366" s="130"/>
      <c r="RV366" s="130"/>
      <c r="RW366" s="130"/>
      <c r="RX366" s="130"/>
      <c r="RY366" s="130"/>
      <c r="RZ366" s="130"/>
      <c r="SA366" s="130"/>
      <c r="SB366" s="130"/>
      <c r="SC366" s="130"/>
      <c r="SD366" s="130"/>
      <c r="SE366" s="130"/>
      <c r="SF366" s="130"/>
      <c r="SG366" s="130"/>
      <c r="SH366" s="130"/>
      <c r="SI366" s="130"/>
      <c r="SJ366" s="130"/>
      <c r="SK366" s="130"/>
      <c r="SL366" s="130"/>
      <c r="SM366" s="130"/>
      <c r="SN366" s="130"/>
      <c r="SO366" s="130"/>
      <c r="SP366" s="130"/>
      <c r="SQ366" s="130"/>
      <c r="SR366" s="130"/>
      <c r="SS366" s="130"/>
      <c r="ST366" s="130"/>
      <c r="SU366" s="130"/>
      <c r="SV366" s="130"/>
      <c r="SW366" s="130"/>
      <c r="SX366" s="130"/>
      <c r="SY366" s="130"/>
      <c r="SZ366" s="130"/>
      <c r="TA366" s="130"/>
      <c r="TB366" s="130"/>
      <c r="TC366" s="130"/>
      <c r="TD366" s="130"/>
      <c r="TE366" s="130"/>
      <c r="TF366" s="130"/>
      <c r="TG366" s="130"/>
      <c r="TH366" s="130"/>
      <c r="TI366" s="130"/>
      <c r="TJ366" s="130"/>
      <c r="TK366" s="130"/>
      <c r="TL366" s="130"/>
      <c r="TM366" s="130"/>
      <c r="TN366" s="130"/>
      <c r="TO366" s="130"/>
      <c r="TP366" s="130"/>
      <c r="TQ366" s="130"/>
      <c r="TR366" s="130"/>
      <c r="TS366" s="130"/>
      <c r="TT366" s="130"/>
      <c r="TU366" s="130"/>
      <c r="TV366" s="130"/>
      <c r="TW366" s="130"/>
      <c r="TX366" s="130"/>
      <c r="TY366" s="130"/>
      <c r="TZ366" s="130"/>
      <c r="UA366" s="130"/>
      <c r="UB366" s="130"/>
      <c r="UC366" s="130"/>
      <c r="UD366" s="130"/>
      <c r="UE366" s="130"/>
      <c r="UF366" s="130"/>
      <c r="UG366" s="130"/>
      <c r="UH366" s="130"/>
      <c r="UI366" s="130"/>
      <c r="UJ366" s="130"/>
      <c r="UK366" s="130"/>
      <c r="UL366" s="130"/>
      <c r="UM366" s="130"/>
      <c r="UN366" s="130"/>
      <c r="UO366" s="130"/>
      <c r="UP366" s="130"/>
      <c r="UQ366" s="130"/>
      <c r="UR366" s="130"/>
      <c r="US366" s="130"/>
      <c r="UT366" s="130"/>
      <c r="UU366" s="130"/>
    </row>
    <row r="367" spans="460:567" ht="48" customHeight="1">
      <c r="QR367" s="130"/>
      <c r="QS367" s="130"/>
      <c r="QT367" s="130"/>
      <c r="QU367" s="130"/>
      <c r="QV367" s="130"/>
      <c r="QW367" s="130"/>
      <c r="QX367" s="130"/>
      <c r="QY367" s="130"/>
      <c r="QZ367" s="130"/>
      <c r="RA367" s="130"/>
      <c r="RB367" s="130"/>
      <c r="RC367" s="130"/>
      <c r="RD367" s="130"/>
      <c r="RE367" s="130"/>
      <c r="RF367" s="130"/>
      <c r="RG367" s="130"/>
      <c r="RH367" s="130"/>
      <c r="RI367" s="130"/>
      <c r="RJ367" s="130"/>
      <c r="RK367" s="130"/>
      <c r="RL367" s="130"/>
      <c r="RM367" s="130"/>
      <c r="RN367" s="130"/>
      <c r="RO367" s="130"/>
      <c r="RP367" s="130"/>
      <c r="RQ367" s="130"/>
      <c r="RR367" s="130"/>
      <c r="RS367" s="130"/>
      <c r="RT367" s="130"/>
      <c r="RU367" s="130"/>
      <c r="RV367" s="130"/>
      <c r="RW367" s="130"/>
      <c r="RX367" s="130"/>
      <c r="RY367" s="130"/>
      <c r="RZ367" s="130"/>
      <c r="SA367" s="130"/>
      <c r="SB367" s="130"/>
      <c r="SC367" s="130"/>
      <c r="SD367" s="130"/>
      <c r="SE367" s="130"/>
      <c r="SF367" s="130"/>
      <c r="SG367" s="130"/>
      <c r="SH367" s="130"/>
      <c r="SI367" s="130"/>
      <c r="SJ367" s="130"/>
      <c r="SK367" s="130"/>
      <c r="SL367" s="130"/>
      <c r="SM367" s="130"/>
      <c r="SN367" s="130"/>
      <c r="SO367" s="130"/>
      <c r="SP367" s="130"/>
      <c r="SQ367" s="130"/>
      <c r="SR367" s="130"/>
      <c r="SS367" s="130"/>
      <c r="ST367" s="130"/>
      <c r="SU367" s="130"/>
      <c r="SV367" s="130"/>
      <c r="SW367" s="130"/>
      <c r="SX367" s="130"/>
      <c r="SY367" s="130"/>
      <c r="SZ367" s="130"/>
      <c r="TA367" s="130"/>
      <c r="TB367" s="130"/>
      <c r="TC367" s="130"/>
      <c r="TD367" s="130"/>
      <c r="TE367" s="130"/>
      <c r="TF367" s="130"/>
      <c r="TG367" s="130"/>
      <c r="TH367" s="130"/>
      <c r="TI367" s="130"/>
      <c r="TJ367" s="130"/>
      <c r="TK367" s="130"/>
      <c r="TL367" s="130"/>
      <c r="TM367" s="130"/>
      <c r="TN367" s="130"/>
      <c r="TO367" s="130"/>
      <c r="TP367" s="130"/>
      <c r="TQ367" s="130"/>
      <c r="TR367" s="130"/>
      <c r="TS367" s="130"/>
      <c r="TT367" s="130"/>
      <c r="TU367" s="130"/>
      <c r="TV367" s="130"/>
      <c r="TW367" s="130"/>
      <c r="TX367" s="130"/>
      <c r="TY367" s="130"/>
      <c r="TZ367" s="130"/>
      <c r="UA367" s="130"/>
      <c r="UB367" s="130"/>
      <c r="UC367" s="130"/>
      <c r="UD367" s="130"/>
      <c r="UE367" s="130"/>
      <c r="UF367" s="130"/>
      <c r="UG367" s="130"/>
      <c r="UH367" s="130"/>
      <c r="UI367" s="130"/>
      <c r="UJ367" s="130"/>
      <c r="UK367" s="130"/>
      <c r="UL367" s="130"/>
      <c r="UM367" s="130"/>
      <c r="UN367" s="130"/>
      <c r="UO367" s="130"/>
      <c r="UP367" s="130"/>
      <c r="UQ367" s="130"/>
      <c r="UR367" s="130"/>
      <c r="US367" s="130"/>
      <c r="UT367" s="130"/>
      <c r="UU367" s="130"/>
    </row>
    <row r="368" spans="460:567" ht="48" customHeight="1">
      <c r="QR368" s="130"/>
      <c r="QS368" s="130"/>
      <c r="QT368" s="130"/>
      <c r="QU368" s="130"/>
      <c r="QV368" s="130"/>
      <c r="QW368" s="130"/>
      <c r="QX368" s="130"/>
      <c r="QY368" s="130"/>
      <c r="QZ368" s="130"/>
      <c r="RA368" s="130"/>
      <c r="RB368" s="130"/>
      <c r="RC368" s="130"/>
      <c r="RD368" s="130"/>
      <c r="RE368" s="130"/>
      <c r="RF368" s="130"/>
      <c r="RG368" s="130"/>
      <c r="RH368" s="130"/>
      <c r="RI368" s="130"/>
      <c r="RJ368" s="130"/>
      <c r="RK368" s="130"/>
      <c r="RL368" s="130"/>
      <c r="RM368" s="130"/>
      <c r="RN368" s="130"/>
      <c r="RO368" s="130"/>
      <c r="RP368" s="130"/>
      <c r="RQ368" s="130"/>
      <c r="RR368" s="130"/>
      <c r="RS368" s="130"/>
      <c r="RT368" s="130"/>
      <c r="RU368" s="130"/>
      <c r="RV368" s="130"/>
      <c r="RW368" s="130"/>
      <c r="RX368" s="130"/>
      <c r="RY368" s="130"/>
      <c r="RZ368" s="130"/>
      <c r="SA368" s="130"/>
      <c r="SB368" s="130"/>
      <c r="SC368" s="130"/>
      <c r="SD368" s="130"/>
      <c r="SE368" s="130"/>
      <c r="SF368" s="130"/>
      <c r="SG368" s="130"/>
      <c r="SH368" s="130"/>
      <c r="SI368" s="130"/>
      <c r="SJ368" s="130"/>
      <c r="SK368" s="130"/>
      <c r="SL368" s="130"/>
      <c r="SM368" s="130"/>
      <c r="SN368" s="130"/>
      <c r="SO368" s="130"/>
      <c r="SP368" s="130"/>
      <c r="SQ368" s="130"/>
      <c r="SR368" s="130"/>
      <c r="SS368" s="130"/>
      <c r="ST368" s="130"/>
      <c r="SU368" s="130"/>
      <c r="SV368" s="130"/>
      <c r="SW368" s="130"/>
      <c r="SX368" s="130"/>
      <c r="SY368" s="130"/>
      <c r="SZ368" s="130"/>
      <c r="TA368" s="130"/>
      <c r="TB368" s="130"/>
      <c r="TC368" s="130"/>
      <c r="TD368" s="130"/>
      <c r="TE368" s="130"/>
      <c r="TF368" s="130"/>
      <c r="TG368" s="130"/>
      <c r="TH368" s="130"/>
      <c r="TI368" s="130"/>
      <c r="TJ368" s="130"/>
      <c r="TK368" s="130"/>
      <c r="TL368" s="130"/>
      <c r="TM368" s="130"/>
      <c r="TN368" s="130"/>
      <c r="TO368" s="130"/>
      <c r="TP368" s="130"/>
      <c r="TQ368" s="130"/>
      <c r="TR368" s="130"/>
      <c r="TS368" s="130"/>
      <c r="TT368" s="130"/>
      <c r="TU368" s="130"/>
      <c r="TV368" s="130"/>
      <c r="TW368" s="130"/>
      <c r="TX368" s="130"/>
      <c r="TY368" s="130"/>
      <c r="TZ368" s="130"/>
      <c r="UA368" s="130"/>
      <c r="UB368" s="130"/>
      <c r="UC368" s="130"/>
      <c r="UD368" s="130"/>
      <c r="UE368" s="130"/>
      <c r="UF368" s="130"/>
      <c r="UG368" s="130"/>
      <c r="UH368" s="130"/>
      <c r="UI368" s="130"/>
      <c r="UJ368" s="130"/>
      <c r="UK368" s="130"/>
      <c r="UL368" s="130"/>
      <c r="UM368" s="130"/>
      <c r="UN368" s="130"/>
      <c r="UO368" s="130"/>
      <c r="UP368" s="130"/>
      <c r="UQ368" s="130"/>
      <c r="UR368" s="130"/>
      <c r="US368" s="130"/>
      <c r="UT368" s="130"/>
      <c r="UU368" s="130"/>
    </row>
    <row r="369" spans="253:567" ht="48" customHeight="1">
      <c r="QR369" s="130"/>
      <c r="QS369" s="130"/>
      <c r="QT369" s="130"/>
      <c r="QU369" s="130"/>
      <c r="QV369" s="130"/>
      <c r="QW369" s="130"/>
      <c r="QX369" s="130"/>
      <c r="QY369" s="130"/>
      <c r="QZ369" s="130"/>
      <c r="RA369" s="130"/>
      <c r="RB369" s="130"/>
      <c r="RC369" s="130"/>
      <c r="RD369" s="130"/>
      <c r="RE369" s="130"/>
      <c r="RF369" s="130"/>
      <c r="RG369" s="130"/>
      <c r="RH369" s="130"/>
      <c r="RI369" s="130"/>
      <c r="RJ369" s="130"/>
      <c r="RK369" s="130"/>
      <c r="RL369" s="130"/>
      <c r="RM369" s="130"/>
      <c r="RN369" s="130"/>
      <c r="RO369" s="130"/>
      <c r="RP369" s="130"/>
      <c r="RQ369" s="130"/>
      <c r="RR369" s="130"/>
      <c r="RS369" s="130"/>
      <c r="RT369" s="130"/>
      <c r="RU369" s="130"/>
      <c r="RV369" s="130"/>
      <c r="RW369" s="130"/>
      <c r="RX369" s="130"/>
      <c r="RY369" s="130"/>
      <c r="RZ369" s="130"/>
      <c r="SA369" s="130"/>
      <c r="SB369" s="130"/>
      <c r="SC369" s="130"/>
      <c r="SD369" s="130"/>
      <c r="SE369" s="130"/>
      <c r="SF369" s="130"/>
      <c r="SG369" s="130"/>
      <c r="SH369" s="130"/>
      <c r="SI369" s="130"/>
      <c r="SJ369" s="130"/>
      <c r="SK369" s="130"/>
      <c r="SL369" s="130"/>
      <c r="SM369" s="130"/>
      <c r="SN369" s="130"/>
      <c r="SO369" s="130"/>
      <c r="SP369" s="130"/>
      <c r="SQ369" s="130"/>
      <c r="SR369" s="130"/>
      <c r="SS369" s="130"/>
      <c r="ST369" s="130"/>
      <c r="SU369" s="130"/>
      <c r="SV369" s="130"/>
      <c r="SW369" s="130"/>
      <c r="SX369" s="130"/>
      <c r="SY369" s="130"/>
      <c r="SZ369" s="130"/>
      <c r="TA369" s="130"/>
      <c r="TB369" s="130"/>
      <c r="TC369" s="130"/>
      <c r="TD369" s="130"/>
      <c r="TE369" s="130"/>
      <c r="TF369" s="130"/>
      <c r="TG369" s="130"/>
      <c r="TH369" s="130"/>
      <c r="TI369" s="130"/>
      <c r="TJ369" s="130"/>
      <c r="TK369" s="130"/>
      <c r="TL369" s="130"/>
      <c r="TM369" s="130"/>
      <c r="TN369" s="130"/>
      <c r="TO369" s="130"/>
      <c r="TP369" s="130"/>
      <c r="TQ369" s="130"/>
      <c r="TR369" s="130"/>
      <c r="TS369" s="130"/>
      <c r="TT369" s="130"/>
      <c r="TU369" s="130"/>
      <c r="TV369" s="130"/>
      <c r="TW369" s="130"/>
      <c r="TX369" s="130"/>
      <c r="TY369" s="130"/>
      <c r="TZ369" s="130"/>
      <c r="UA369" s="130"/>
      <c r="UB369" s="130"/>
      <c r="UC369" s="130"/>
      <c r="UD369" s="130"/>
      <c r="UE369" s="130"/>
      <c r="UF369" s="130"/>
      <c r="UG369" s="130"/>
      <c r="UH369" s="130"/>
      <c r="UI369" s="130"/>
      <c r="UJ369" s="130"/>
      <c r="UK369" s="130"/>
      <c r="UL369" s="130"/>
      <c r="UM369" s="130"/>
      <c r="UN369" s="130"/>
      <c r="UO369" s="130"/>
      <c r="UP369" s="130"/>
      <c r="UQ369" s="130"/>
      <c r="UR369" s="130"/>
      <c r="US369" s="130"/>
      <c r="UT369" s="130"/>
      <c r="UU369" s="130"/>
    </row>
    <row r="370" spans="253:567" ht="48" customHeight="1">
      <c r="QR370" s="130"/>
      <c r="QS370" s="130"/>
      <c r="QT370" s="130"/>
      <c r="QU370" s="130"/>
      <c r="QV370" s="130"/>
      <c r="QW370" s="130"/>
      <c r="QX370" s="130"/>
      <c r="QY370" s="130"/>
      <c r="QZ370" s="130"/>
      <c r="RA370" s="130"/>
      <c r="RB370" s="130"/>
      <c r="RC370" s="130"/>
      <c r="RD370" s="130"/>
      <c r="RE370" s="130"/>
      <c r="RF370" s="130"/>
      <c r="RG370" s="130"/>
      <c r="RH370" s="130"/>
      <c r="RI370" s="130"/>
      <c r="RJ370" s="130"/>
      <c r="RK370" s="130"/>
      <c r="RL370" s="130"/>
      <c r="RM370" s="130"/>
      <c r="RN370" s="130"/>
      <c r="RO370" s="130"/>
      <c r="RP370" s="130"/>
      <c r="RQ370" s="130"/>
      <c r="RR370" s="130"/>
      <c r="RS370" s="130"/>
      <c r="RT370" s="130"/>
      <c r="RU370" s="130"/>
      <c r="RV370" s="130"/>
      <c r="RW370" s="130"/>
      <c r="RX370" s="130"/>
      <c r="RY370" s="130"/>
      <c r="RZ370" s="130"/>
      <c r="SA370" s="130"/>
      <c r="SB370" s="130"/>
      <c r="SC370" s="130"/>
      <c r="SD370" s="130"/>
      <c r="SE370" s="130"/>
      <c r="SF370" s="130"/>
      <c r="SG370" s="130"/>
      <c r="SH370" s="130"/>
      <c r="SI370" s="130"/>
      <c r="SJ370" s="130"/>
      <c r="SK370" s="130"/>
      <c r="SL370" s="130"/>
      <c r="SM370" s="130"/>
      <c r="SN370" s="130"/>
      <c r="SO370" s="130"/>
      <c r="SP370" s="130"/>
      <c r="SQ370" s="130"/>
      <c r="SR370" s="130"/>
      <c r="SS370" s="130"/>
      <c r="ST370" s="130"/>
      <c r="SU370" s="130"/>
      <c r="SV370" s="130"/>
      <c r="SW370" s="130"/>
      <c r="SX370" s="130"/>
      <c r="SY370" s="130"/>
      <c r="SZ370" s="130"/>
      <c r="TA370" s="130"/>
      <c r="TB370" s="130"/>
      <c r="TC370" s="130"/>
      <c r="TD370" s="130"/>
      <c r="TE370" s="130"/>
      <c r="TF370" s="130"/>
      <c r="TG370" s="130"/>
      <c r="TH370" s="130"/>
      <c r="TI370" s="130"/>
      <c r="TJ370" s="130"/>
      <c r="TK370" s="130"/>
      <c r="TL370" s="130"/>
      <c r="TM370" s="130"/>
      <c r="TN370" s="130"/>
      <c r="TO370" s="130"/>
      <c r="TP370" s="130"/>
      <c r="TQ370" s="130"/>
      <c r="TR370" s="130"/>
      <c r="TS370" s="130"/>
      <c r="TT370" s="130"/>
      <c r="TU370" s="130"/>
      <c r="TV370" s="130"/>
      <c r="TW370" s="130"/>
      <c r="TX370" s="130"/>
      <c r="TY370" s="130"/>
      <c r="TZ370" s="130"/>
      <c r="UA370" s="130"/>
      <c r="UB370" s="130"/>
      <c r="UC370" s="130"/>
      <c r="UD370" s="130"/>
      <c r="UE370" s="130"/>
      <c r="UF370" s="130"/>
      <c r="UG370" s="130"/>
      <c r="UH370" s="130"/>
      <c r="UI370" s="130"/>
      <c r="UJ370" s="130"/>
      <c r="UK370" s="130"/>
      <c r="UL370" s="130"/>
      <c r="UM370" s="130"/>
      <c r="UN370" s="130"/>
      <c r="UO370" s="130"/>
      <c r="UP370" s="130"/>
      <c r="UQ370" s="130"/>
      <c r="UR370" s="130"/>
      <c r="US370" s="130"/>
      <c r="UT370" s="130"/>
      <c r="UU370" s="130"/>
    </row>
    <row r="371" spans="253:567" ht="48" customHeight="1">
      <c r="QR371" s="130"/>
      <c r="QS371" s="130"/>
      <c r="QT371" s="130"/>
      <c r="QU371" s="130"/>
      <c r="QV371" s="130"/>
      <c r="QW371" s="130"/>
      <c r="QX371" s="130"/>
      <c r="QY371" s="130"/>
      <c r="QZ371" s="130"/>
      <c r="RA371" s="130"/>
      <c r="RB371" s="130"/>
      <c r="RC371" s="130"/>
      <c r="RD371" s="130"/>
      <c r="RE371" s="130"/>
      <c r="RF371" s="130"/>
      <c r="RG371" s="130"/>
      <c r="RH371" s="130"/>
      <c r="RI371" s="130"/>
      <c r="RJ371" s="130"/>
      <c r="RK371" s="130"/>
      <c r="RL371" s="130"/>
      <c r="RM371" s="130"/>
      <c r="RN371" s="130"/>
      <c r="RO371" s="130"/>
      <c r="RP371" s="130"/>
      <c r="RQ371" s="130"/>
      <c r="RR371" s="130"/>
      <c r="RS371" s="130"/>
      <c r="RT371" s="130"/>
      <c r="RU371" s="130"/>
      <c r="RV371" s="130"/>
      <c r="RW371" s="130"/>
      <c r="RX371" s="130"/>
      <c r="RY371" s="130"/>
      <c r="RZ371" s="130"/>
      <c r="SA371" s="130"/>
      <c r="SB371" s="130"/>
      <c r="SC371" s="130"/>
      <c r="SD371" s="130"/>
      <c r="SE371" s="130"/>
      <c r="SF371" s="130"/>
      <c r="SG371" s="130"/>
      <c r="SH371" s="130"/>
      <c r="SI371" s="130"/>
      <c r="SJ371" s="130"/>
      <c r="SK371" s="130"/>
      <c r="SL371" s="130"/>
      <c r="SM371" s="130"/>
      <c r="SN371" s="130"/>
      <c r="SO371" s="130"/>
      <c r="SP371" s="130"/>
      <c r="SQ371" s="130"/>
      <c r="SR371" s="130"/>
      <c r="SS371" s="130"/>
      <c r="ST371" s="130"/>
      <c r="SU371" s="130"/>
      <c r="SV371" s="130"/>
      <c r="SW371" s="130"/>
      <c r="SX371" s="130"/>
      <c r="SY371" s="130"/>
      <c r="SZ371" s="130"/>
      <c r="TA371" s="130"/>
      <c r="TB371" s="130"/>
      <c r="TC371" s="130"/>
      <c r="TD371" s="130"/>
      <c r="TE371" s="130"/>
      <c r="TF371" s="130"/>
      <c r="TG371" s="130"/>
      <c r="TH371" s="130"/>
      <c r="TI371" s="130"/>
      <c r="TJ371" s="130"/>
      <c r="TK371" s="130"/>
      <c r="TL371" s="130"/>
      <c r="TM371" s="130"/>
      <c r="TN371" s="130"/>
      <c r="TO371" s="130"/>
      <c r="TP371" s="130"/>
      <c r="TQ371" s="130"/>
      <c r="TR371" s="130"/>
      <c r="TS371" s="130"/>
      <c r="TT371" s="130"/>
      <c r="TU371" s="130"/>
      <c r="TV371" s="130"/>
      <c r="TW371" s="130"/>
      <c r="TX371" s="130"/>
      <c r="TY371" s="130"/>
      <c r="TZ371" s="130"/>
      <c r="UA371" s="130"/>
      <c r="UB371" s="130"/>
      <c r="UC371" s="130"/>
      <c r="UD371" s="130"/>
      <c r="UE371" s="130"/>
      <c r="UF371" s="130"/>
      <c r="UG371" s="130"/>
      <c r="UH371" s="130"/>
      <c r="UI371" s="130"/>
      <c r="UJ371" s="130"/>
      <c r="UK371" s="130"/>
      <c r="UL371" s="130"/>
      <c r="UM371" s="130"/>
      <c r="UN371" s="130"/>
      <c r="UO371" s="130"/>
      <c r="UP371" s="130"/>
      <c r="UQ371" s="130"/>
      <c r="UR371" s="130"/>
      <c r="US371" s="130"/>
      <c r="UT371" s="130"/>
      <c r="UU371" s="130"/>
    </row>
    <row r="372" spans="253:567" ht="48" customHeight="1">
      <c r="QR372" s="130"/>
      <c r="QS372" s="130"/>
      <c r="QT372" s="130"/>
      <c r="QU372" s="130"/>
      <c r="QV372" s="130"/>
      <c r="QW372" s="130"/>
      <c r="QX372" s="130"/>
      <c r="QY372" s="130"/>
      <c r="QZ372" s="130"/>
      <c r="RA372" s="130"/>
      <c r="RB372" s="130"/>
      <c r="RC372" s="130"/>
      <c r="RD372" s="130"/>
      <c r="RE372" s="130"/>
      <c r="RF372" s="130"/>
      <c r="RG372" s="130"/>
      <c r="RH372" s="130"/>
      <c r="RI372" s="130"/>
      <c r="RJ372" s="130"/>
      <c r="RK372" s="130"/>
      <c r="RL372" s="130"/>
      <c r="RM372" s="130"/>
      <c r="RN372" s="130"/>
      <c r="RO372" s="130"/>
      <c r="RP372" s="130"/>
      <c r="RQ372" s="130"/>
      <c r="RR372" s="130"/>
      <c r="RS372" s="130"/>
      <c r="RT372" s="130"/>
      <c r="RU372" s="130"/>
      <c r="RV372" s="130"/>
      <c r="RW372" s="130"/>
      <c r="RX372" s="130"/>
      <c r="RY372" s="130"/>
      <c r="RZ372" s="130"/>
      <c r="SA372" s="130"/>
      <c r="SB372" s="130"/>
      <c r="SC372" s="130"/>
      <c r="SD372" s="130"/>
      <c r="SE372" s="130"/>
      <c r="SF372" s="130"/>
      <c r="SG372" s="130"/>
      <c r="SH372" s="130"/>
      <c r="SI372" s="130"/>
      <c r="SJ372" s="130"/>
      <c r="SK372" s="130"/>
      <c r="SL372" s="130"/>
      <c r="SM372" s="130"/>
      <c r="SN372" s="130"/>
      <c r="SO372" s="130"/>
      <c r="SP372" s="130"/>
      <c r="SQ372" s="130"/>
      <c r="SR372" s="130"/>
      <c r="SS372" s="130"/>
      <c r="ST372" s="130"/>
      <c r="SU372" s="130"/>
      <c r="SV372" s="130"/>
      <c r="SW372" s="130"/>
      <c r="SX372" s="130"/>
      <c r="SY372" s="130"/>
      <c r="SZ372" s="130"/>
      <c r="TA372" s="130"/>
      <c r="TB372" s="130"/>
      <c r="TC372" s="130"/>
      <c r="TD372" s="130"/>
      <c r="TE372" s="130"/>
      <c r="TF372" s="130"/>
      <c r="TG372" s="130"/>
      <c r="TH372" s="130"/>
      <c r="TI372" s="130"/>
      <c r="TJ372" s="130"/>
      <c r="TK372" s="130"/>
      <c r="TL372" s="130"/>
      <c r="TM372" s="130"/>
      <c r="TN372" s="130"/>
      <c r="TO372" s="130"/>
      <c r="TP372" s="130"/>
      <c r="TQ372" s="130"/>
      <c r="TR372" s="130"/>
      <c r="TS372" s="130"/>
      <c r="TT372" s="130"/>
      <c r="TU372" s="130"/>
      <c r="TV372" s="130"/>
      <c r="TW372" s="130"/>
      <c r="TX372" s="130"/>
      <c r="TY372" s="130"/>
      <c r="TZ372" s="130"/>
      <c r="UA372" s="130"/>
      <c r="UB372" s="130"/>
      <c r="UC372" s="130"/>
      <c r="UD372" s="130"/>
      <c r="UE372" s="130"/>
      <c r="UF372" s="130"/>
      <c r="UG372" s="130"/>
      <c r="UH372" s="130"/>
      <c r="UI372" s="130"/>
      <c r="UJ372" s="130"/>
      <c r="UK372" s="130"/>
      <c r="UL372" s="130"/>
      <c r="UM372" s="130"/>
      <c r="UN372" s="130"/>
      <c r="UO372" s="130"/>
      <c r="UP372" s="130"/>
      <c r="UQ372" s="130"/>
      <c r="UR372" s="130"/>
      <c r="US372" s="130"/>
      <c r="UT372" s="130"/>
      <c r="UU372" s="130"/>
    </row>
    <row r="373" spans="253:567" ht="48" customHeight="1">
      <c r="QR373" s="130"/>
      <c r="QS373" s="130"/>
      <c r="QT373" s="130"/>
      <c r="QU373" s="130"/>
      <c r="QV373" s="130"/>
      <c r="QW373" s="130"/>
      <c r="QX373" s="130"/>
      <c r="QY373" s="130"/>
      <c r="QZ373" s="130"/>
      <c r="RA373" s="130"/>
      <c r="RB373" s="130"/>
      <c r="RC373" s="130"/>
      <c r="RD373" s="130"/>
      <c r="RE373" s="130"/>
      <c r="RF373" s="130"/>
      <c r="RG373" s="130"/>
      <c r="RH373" s="130"/>
      <c r="RI373" s="130"/>
      <c r="RJ373" s="130"/>
      <c r="RK373" s="130"/>
      <c r="RL373" s="130"/>
      <c r="RM373" s="130"/>
      <c r="RN373" s="130"/>
      <c r="RO373" s="130"/>
      <c r="RP373" s="130"/>
      <c r="RQ373" s="130"/>
      <c r="RR373" s="130"/>
      <c r="RS373" s="130"/>
      <c r="RT373" s="130"/>
      <c r="RU373" s="130"/>
      <c r="RV373" s="130"/>
      <c r="RW373" s="130"/>
      <c r="RX373" s="130"/>
      <c r="RY373" s="130"/>
      <c r="RZ373" s="130"/>
      <c r="SA373" s="130"/>
      <c r="SB373" s="130"/>
      <c r="SC373" s="130"/>
      <c r="SD373" s="130"/>
      <c r="SE373" s="130"/>
      <c r="SF373" s="130"/>
      <c r="SG373" s="130"/>
      <c r="SH373" s="130"/>
      <c r="SI373" s="130"/>
      <c r="SJ373" s="130"/>
      <c r="SK373" s="130"/>
      <c r="SL373" s="130"/>
      <c r="SM373" s="130"/>
      <c r="SN373" s="130"/>
      <c r="SO373" s="130"/>
      <c r="SP373" s="130"/>
      <c r="SQ373" s="130"/>
      <c r="SR373" s="130"/>
      <c r="SS373" s="130"/>
      <c r="ST373" s="130"/>
      <c r="SU373" s="130"/>
      <c r="SV373" s="130"/>
      <c r="SW373" s="130"/>
      <c r="SX373" s="130"/>
      <c r="SY373" s="130"/>
      <c r="SZ373" s="130"/>
      <c r="TA373" s="130"/>
      <c r="TB373" s="130"/>
      <c r="TC373" s="130"/>
      <c r="TD373" s="130"/>
      <c r="TE373" s="130"/>
      <c r="TF373" s="130"/>
      <c r="TG373" s="130"/>
      <c r="TH373" s="130"/>
      <c r="TI373" s="130"/>
      <c r="TJ373" s="130"/>
      <c r="TK373" s="130"/>
      <c r="TL373" s="130"/>
      <c r="TM373" s="130"/>
      <c r="TN373" s="130"/>
      <c r="TO373" s="130"/>
      <c r="TP373" s="130"/>
      <c r="TQ373" s="130"/>
      <c r="TR373" s="130"/>
      <c r="TS373" s="130"/>
      <c r="TT373" s="130"/>
      <c r="TU373" s="130"/>
      <c r="TV373" s="130"/>
      <c r="TW373" s="130"/>
      <c r="TX373" s="130"/>
      <c r="TY373" s="130"/>
      <c r="TZ373" s="130"/>
      <c r="UA373" s="130"/>
      <c r="UB373" s="130"/>
      <c r="UC373" s="130"/>
      <c r="UD373" s="130"/>
      <c r="UE373" s="130"/>
      <c r="UF373" s="130"/>
      <c r="UG373" s="130"/>
      <c r="UH373" s="130"/>
      <c r="UI373" s="130"/>
      <c r="UJ373" s="130"/>
      <c r="UK373" s="130"/>
      <c r="UL373" s="130"/>
      <c r="UM373" s="130"/>
      <c r="UN373" s="130"/>
      <c r="UO373" s="130"/>
      <c r="UP373" s="130"/>
      <c r="UQ373" s="130"/>
      <c r="UR373" s="130"/>
      <c r="US373" s="130"/>
      <c r="UT373" s="130"/>
      <c r="UU373" s="130"/>
    </row>
    <row r="374" spans="253:567" ht="48" customHeight="1">
      <c r="IS374" s="211"/>
      <c r="IT374" s="211"/>
      <c r="IU374" s="211"/>
      <c r="IV374" s="211"/>
      <c r="IW374" s="211"/>
      <c r="IX374" s="211"/>
      <c r="IY374" s="211"/>
      <c r="IZ374" s="211"/>
      <c r="JA374" s="211"/>
      <c r="JB374" s="211"/>
      <c r="JC374" s="211"/>
      <c r="JD374" s="211"/>
      <c r="JE374" s="211"/>
      <c r="JF374" s="211"/>
      <c r="JG374" s="211"/>
      <c r="JH374" s="211"/>
      <c r="JI374" s="211"/>
      <c r="QR374" s="130"/>
      <c r="QS374" s="130"/>
      <c r="QT374" s="130"/>
      <c r="QU374" s="130"/>
      <c r="QV374" s="130"/>
      <c r="QW374" s="130"/>
      <c r="QX374" s="130"/>
      <c r="QY374" s="130"/>
      <c r="QZ374" s="130"/>
      <c r="RA374" s="130"/>
      <c r="RB374" s="130"/>
      <c r="RC374" s="130"/>
      <c r="RD374" s="130"/>
      <c r="RE374" s="130"/>
      <c r="RF374" s="130"/>
      <c r="RG374" s="130"/>
      <c r="RH374" s="130"/>
      <c r="RI374" s="130"/>
      <c r="RJ374" s="130"/>
      <c r="RK374" s="130"/>
      <c r="RL374" s="130"/>
      <c r="RM374" s="130"/>
      <c r="RN374" s="130"/>
      <c r="RO374" s="130"/>
      <c r="RP374" s="130"/>
      <c r="RQ374" s="130"/>
      <c r="RR374" s="130"/>
      <c r="RS374" s="130"/>
      <c r="RT374" s="130"/>
      <c r="RU374" s="130"/>
      <c r="RV374" s="130"/>
      <c r="RW374" s="130"/>
      <c r="RX374" s="130"/>
      <c r="RY374" s="130"/>
      <c r="RZ374" s="130"/>
      <c r="SA374" s="130"/>
      <c r="SB374" s="130"/>
      <c r="SC374" s="130"/>
      <c r="SD374" s="130"/>
      <c r="SE374" s="130"/>
      <c r="SF374" s="130"/>
      <c r="SG374" s="130"/>
      <c r="SH374" s="130"/>
      <c r="SI374" s="130"/>
      <c r="SJ374" s="130"/>
      <c r="SK374" s="130"/>
      <c r="SL374" s="130"/>
      <c r="SM374" s="130"/>
      <c r="SN374" s="130"/>
      <c r="SO374" s="130"/>
      <c r="SP374" s="130"/>
      <c r="SQ374" s="130"/>
      <c r="SR374" s="130"/>
      <c r="SS374" s="130"/>
      <c r="ST374" s="130"/>
      <c r="SU374" s="130"/>
      <c r="SV374" s="130"/>
      <c r="SW374" s="130"/>
      <c r="SX374" s="130"/>
      <c r="SY374" s="130"/>
      <c r="SZ374" s="130"/>
      <c r="TA374" s="130"/>
      <c r="TB374" s="130"/>
      <c r="TC374" s="130"/>
      <c r="TD374" s="130"/>
      <c r="TE374" s="130"/>
      <c r="TF374" s="130"/>
      <c r="TG374" s="130"/>
      <c r="TH374" s="130"/>
      <c r="TI374" s="130"/>
      <c r="TJ374" s="130"/>
      <c r="TK374" s="130"/>
      <c r="TL374" s="130"/>
      <c r="TM374" s="130"/>
      <c r="TN374" s="130"/>
      <c r="TO374" s="130"/>
      <c r="TP374" s="130"/>
      <c r="TQ374" s="130"/>
      <c r="TR374" s="130"/>
      <c r="TS374" s="130"/>
      <c r="TT374" s="130"/>
      <c r="TU374" s="130"/>
      <c r="TV374" s="130"/>
      <c r="TW374" s="130"/>
      <c r="TX374" s="130"/>
      <c r="TY374" s="130"/>
      <c r="TZ374" s="130"/>
      <c r="UA374" s="130"/>
      <c r="UB374" s="130"/>
      <c r="UC374" s="130"/>
      <c r="UD374" s="130"/>
      <c r="UE374" s="130"/>
      <c r="UF374" s="130"/>
      <c r="UG374" s="130"/>
      <c r="UH374" s="130"/>
      <c r="UI374" s="130"/>
      <c r="UJ374" s="130"/>
      <c r="UK374" s="130"/>
      <c r="UL374" s="130"/>
      <c r="UM374" s="130"/>
      <c r="UN374" s="130"/>
      <c r="UO374" s="130"/>
      <c r="UP374" s="130"/>
      <c r="UQ374" s="130"/>
      <c r="UR374" s="130"/>
      <c r="US374" s="130"/>
      <c r="UT374" s="130"/>
      <c r="UU374" s="130"/>
    </row>
    <row r="375" spans="253:567" ht="48" customHeight="1">
      <c r="QR375" s="130"/>
      <c r="QS375" s="130"/>
      <c r="QT375" s="130"/>
      <c r="QU375" s="130"/>
      <c r="QV375" s="130"/>
      <c r="QW375" s="130"/>
      <c r="QX375" s="130"/>
      <c r="QY375" s="130"/>
      <c r="QZ375" s="130"/>
      <c r="RA375" s="130"/>
      <c r="RB375" s="130"/>
      <c r="RC375" s="130"/>
      <c r="RD375" s="130"/>
      <c r="RE375" s="130"/>
      <c r="RF375" s="130"/>
      <c r="RG375" s="130"/>
      <c r="RH375" s="130"/>
      <c r="RI375" s="130"/>
      <c r="RJ375" s="130"/>
      <c r="RK375" s="130"/>
      <c r="RL375" s="130"/>
      <c r="RM375" s="130"/>
      <c r="RN375" s="130"/>
      <c r="RO375" s="130"/>
      <c r="RP375" s="130"/>
      <c r="RQ375" s="130"/>
      <c r="RR375" s="130"/>
      <c r="RS375" s="130"/>
      <c r="RT375" s="130"/>
      <c r="RU375" s="130"/>
      <c r="RV375" s="130"/>
      <c r="RW375" s="130"/>
      <c r="RX375" s="130"/>
      <c r="RY375" s="130"/>
      <c r="RZ375" s="130"/>
      <c r="SA375" s="130"/>
      <c r="SB375" s="130"/>
      <c r="SC375" s="130"/>
      <c r="SD375" s="130"/>
      <c r="SE375" s="130"/>
      <c r="SF375" s="130"/>
      <c r="SG375" s="130"/>
      <c r="SH375" s="130"/>
      <c r="SI375" s="130"/>
      <c r="SJ375" s="130"/>
      <c r="SK375" s="130"/>
      <c r="SL375" s="130"/>
      <c r="SM375" s="130"/>
      <c r="SN375" s="130"/>
      <c r="SO375" s="130"/>
      <c r="SP375" s="130"/>
      <c r="SQ375" s="130"/>
      <c r="SR375" s="130"/>
      <c r="SS375" s="130"/>
      <c r="ST375" s="130"/>
      <c r="SU375" s="130"/>
      <c r="SV375" s="130"/>
      <c r="SW375" s="130"/>
      <c r="SX375" s="130"/>
      <c r="SY375" s="130"/>
      <c r="SZ375" s="130"/>
      <c r="TA375" s="130"/>
      <c r="TB375" s="130"/>
      <c r="TC375" s="130"/>
      <c r="TD375" s="130"/>
      <c r="TE375" s="130"/>
      <c r="TF375" s="130"/>
      <c r="TG375" s="130"/>
      <c r="TH375" s="130"/>
      <c r="TI375" s="130"/>
      <c r="TJ375" s="130"/>
      <c r="TK375" s="130"/>
      <c r="TL375" s="130"/>
      <c r="TM375" s="130"/>
      <c r="TN375" s="130"/>
      <c r="TO375" s="130"/>
      <c r="TP375" s="130"/>
      <c r="TQ375" s="130"/>
      <c r="TR375" s="130"/>
      <c r="TS375" s="130"/>
      <c r="TT375" s="130"/>
      <c r="TU375" s="130"/>
      <c r="TV375" s="130"/>
      <c r="TW375" s="130"/>
      <c r="TX375" s="130"/>
      <c r="TY375" s="130"/>
      <c r="TZ375" s="130"/>
      <c r="UA375" s="130"/>
      <c r="UB375" s="130"/>
      <c r="UC375" s="130"/>
      <c r="UD375" s="130"/>
      <c r="UE375" s="130"/>
      <c r="UF375" s="130"/>
      <c r="UG375" s="130"/>
      <c r="UH375" s="130"/>
      <c r="UI375" s="130"/>
      <c r="UJ375" s="130"/>
      <c r="UK375" s="130"/>
      <c r="UL375" s="130"/>
      <c r="UM375" s="130"/>
      <c r="UN375" s="130"/>
      <c r="UO375" s="130"/>
      <c r="UP375" s="130"/>
      <c r="UQ375" s="130"/>
      <c r="UR375" s="130"/>
      <c r="US375" s="130"/>
      <c r="UT375" s="130"/>
      <c r="UU375" s="130"/>
    </row>
    <row r="376" spans="253:567" ht="48" customHeight="1">
      <c r="QR376" s="130"/>
      <c r="QS376" s="130"/>
      <c r="QT376" s="130"/>
      <c r="QU376" s="130"/>
      <c r="QV376" s="130"/>
      <c r="QW376" s="130"/>
      <c r="QX376" s="130"/>
      <c r="QY376" s="130"/>
      <c r="QZ376" s="130"/>
      <c r="RA376" s="130"/>
      <c r="RB376" s="130"/>
      <c r="RC376" s="130"/>
      <c r="RD376" s="130"/>
      <c r="RE376" s="130"/>
      <c r="RF376" s="130"/>
      <c r="RG376" s="130"/>
      <c r="RH376" s="130"/>
      <c r="RI376" s="130"/>
      <c r="RJ376" s="130"/>
      <c r="RK376" s="130"/>
      <c r="RL376" s="130"/>
      <c r="RM376" s="130"/>
      <c r="RN376" s="130"/>
      <c r="RO376" s="130"/>
      <c r="RP376" s="130"/>
      <c r="RQ376" s="130"/>
      <c r="RR376" s="130"/>
      <c r="RS376" s="130"/>
      <c r="RT376" s="130"/>
      <c r="RU376" s="130"/>
      <c r="RV376" s="130"/>
      <c r="RW376" s="130"/>
      <c r="RX376" s="130"/>
      <c r="RY376" s="130"/>
      <c r="RZ376" s="130"/>
      <c r="SA376" s="130"/>
      <c r="SB376" s="130"/>
      <c r="SC376" s="130"/>
      <c r="SD376" s="130"/>
      <c r="SE376" s="130"/>
      <c r="SF376" s="130"/>
      <c r="SG376" s="130"/>
      <c r="SH376" s="130"/>
      <c r="SI376" s="130"/>
      <c r="SJ376" s="130"/>
      <c r="SK376" s="130"/>
      <c r="SL376" s="130"/>
      <c r="SM376" s="130"/>
      <c r="SN376" s="130"/>
      <c r="SO376" s="130"/>
      <c r="SP376" s="130"/>
      <c r="SQ376" s="130"/>
      <c r="SR376" s="130"/>
      <c r="SS376" s="130"/>
      <c r="ST376" s="130"/>
      <c r="SU376" s="130"/>
      <c r="SV376" s="130"/>
      <c r="SW376" s="130"/>
      <c r="SX376" s="130"/>
      <c r="SY376" s="130"/>
      <c r="SZ376" s="130"/>
      <c r="TA376" s="130"/>
      <c r="TB376" s="130"/>
      <c r="TC376" s="130"/>
      <c r="TD376" s="130"/>
      <c r="TE376" s="130"/>
      <c r="TF376" s="130"/>
      <c r="TG376" s="130"/>
      <c r="TH376" s="130"/>
      <c r="TI376" s="130"/>
      <c r="TJ376" s="130"/>
      <c r="TK376" s="130"/>
      <c r="TL376" s="130"/>
      <c r="TM376" s="130"/>
      <c r="TN376" s="130"/>
      <c r="TO376" s="130"/>
      <c r="TP376" s="130"/>
      <c r="TQ376" s="130"/>
      <c r="TR376" s="130"/>
      <c r="TS376" s="130"/>
      <c r="TT376" s="130"/>
      <c r="TU376" s="130"/>
      <c r="TV376" s="130"/>
      <c r="TW376" s="130"/>
      <c r="TX376" s="130"/>
      <c r="TY376" s="130"/>
      <c r="TZ376" s="130"/>
      <c r="UA376" s="130"/>
      <c r="UB376" s="130"/>
      <c r="UC376" s="130"/>
      <c r="UD376" s="130"/>
      <c r="UE376" s="130"/>
      <c r="UF376" s="130"/>
      <c r="UG376" s="130"/>
      <c r="UH376" s="130"/>
      <c r="UI376" s="130"/>
      <c r="UJ376" s="130"/>
      <c r="UK376" s="130"/>
      <c r="UL376" s="130"/>
      <c r="UM376" s="130"/>
      <c r="UN376" s="130"/>
      <c r="UO376" s="130"/>
      <c r="UP376" s="130"/>
      <c r="UQ376" s="130"/>
      <c r="UR376" s="130"/>
      <c r="US376" s="130"/>
      <c r="UT376" s="130"/>
      <c r="UU376" s="130"/>
    </row>
    <row r="377" spans="253:567" ht="48" customHeight="1">
      <c r="QR377" s="130"/>
      <c r="QS377" s="130"/>
      <c r="QT377" s="130"/>
      <c r="QU377" s="130"/>
      <c r="QV377" s="130"/>
      <c r="QW377" s="130"/>
      <c r="QX377" s="130"/>
      <c r="QY377" s="130"/>
      <c r="QZ377" s="130"/>
      <c r="RA377" s="130"/>
      <c r="RB377" s="130"/>
      <c r="RC377" s="130"/>
      <c r="RD377" s="130"/>
      <c r="RE377" s="130"/>
      <c r="RF377" s="130"/>
      <c r="RG377" s="130"/>
      <c r="RH377" s="130"/>
      <c r="RI377" s="130"/>
      <c r="RJ377" s="130"/>
      <c r="RK377" s="130"/>
      <c r="RL377" s="130"/>
      <c r="RM377" s="130"/>
      <c r="RN377" s="130"/>
      <c r="RO377" s="130"/>
      <c r="RP377" s="130"/>
      <c r="RQ377" s="130"/>
      <c r="RR377" s="130"/>
      <c r="RS377" s="130"/>
      <c r="RT377" s="130"/>
      <c r="RU377" s="130"/>
      <c r="RV377" s="130"/>
      <c r="RW377" s="130"/>
      <c r="RX377" s="130"/>
      <c r="RY377" s="130"/>
      <c r="RZ377" s="130"/>
      <c r="SA377" s="130"/>
      <c r="SB377" s="130"/>
      <c r="SC377" s="130"/>
      <c r="SD377" s="130"/>
      <c r="SE377" s="130"/>
      <c r="SF377" s="130"/>
      <c r="SG377" s="130"/>
      <c r="SH377" s="130"/>
      <c r="SI377" s="130"/>
      <c r="SJ377" s="130"/>
      <c r="SK377" s="130"/>
      <c r="SL377" s="130"/>
      <c r="SM377" s="130"/>
      <c r="SN377" s="130"/>
      <c r="SO377" s="130"/>
      <c r="SP377" s="130"/>
      <c r="SQ377" s="130"/>
      <c r="SR377" s="130"/>
      <c r="SS377" s="130"/>
      <c r="ST377" s="130"/>
      <c r="SU377" s="130"/>
      <c r="SV377" s="130"/>
      <c r="SW377" s="130"/>
      <c r="SX377" s="130"/>
      <c r="SY377" s="130"/>
      <c r="SZ377" s="130"/>
      <c r="TA377" s="130"/>
      <c r="TB377" s="130"/>
      <c r="TC377" s="130"/>
      <c r="TD377" s="130"/>
      <c r="TE377" s="130"/>
      <c r="TF377" s="130"/>
      <c r="TG377" s="130"/>
      <c r="TH377" s="130"/>
      <c r="TI377" s="130"/>
      <c r="TJ377" s="130"/>
      <c r="TK377" s="130"/>
      <c r="TL377" s="130"/>
      <c r="TM377" s="130"/>
      <c r="TN377" s="130"/>
      <c r="TO377" s="130"/>
      <c r="TP377" s="130"/>
      <c r="TQ377" s="130"/>
      <c r="TR377" s="130"/>
      <c r="TS377" s="130"/>
      <c r="TT377" s="130"/>
      <c r="TU377" s="130"/>
      <c r="TV377" s="130"/>
      <c r="TW377" s="130"/>
      <c r="TX377" s="130"/>
      <c r="TY377" s="130"/>
      <c r="TZ377" s="130"/>
      <c r="UA377" s="130"/>
      <c r="UB377" s="130"/>
      <c r="UC377" s="130"/>
      <c r="UD377" s="130"/>
      <c r="UE377" s="130"/>
      <c r="UF377" s="130"/>
      <c r="UG377" s="130"/>
      <c r="UH377" s="130"/>
      <c r="UI377" s="130"/>
      <c r="UJ377" s="130"/>
      <c r="UK377" s="130"/>
      <c r="UL377" s="130"/>
      <c r="UM377" s="130"/>
      <c r="UN377" s="130"/>
      <c r="UO377" s="130"/>
      <c r="UP377" s="130"/>
      <c r="UQ377" s="130"/>
      <c r="UR377" s="130"/>
      <c r="US377" s="130"/>
      <c r="UT377" s="130"/>
      <c r="UU377" s="130"/>
    </row>
    <row r="378" spans="253:567" ht="48" customHeight="1">
      <c r="QR378" s="130"/>
      <c r="QS378" s="130"/>
      <c r="QT378" s="130"/>
      <c r="QU378" s="130"/>
      <c r="QV378" s="130"/>
      <c r="QW378" s="130"/>
      <c r="QX378" s="130"/>
      <c r="QY378" s="130"/>
      <c r="QZ378" s="130"/>
      <c r="RA378" s="130"/>
      <c r="RB378" s="130"/>
      <c r="RC378" s="130"/>
      <c r="RD378" s="130"/>
      <c r="RE378" s="130"/>
      <c r="RF378" s="130"/>
      <c r="RG378" s="130"/>
      <c r="RH378" s="130"/>
      <c r="RI378" s="130"/>
      <c r="RJ378" s="130"/>
      <c r="RK378" s="130"/>
      <c r="RL378" s="130"/>
      <c r="RM378" s="130"/>
      <c r="RN378" s="130"/>
      <c r="RO378" s="130"/>
      <c r="RP378" s="130"/>
      <c r="RQ378" s="130"/>
      <c r="RR378" s="130"/>
      <c r="RS378" s="130"/>
      <c r="RT378" s="130"/>
      <c r="RU378" s="130"/>
      <c r="RV378" s="130"/>
      <c r="RW378" s="130"/>
      <c r="RX378" s="130"/>
      <c r="RY378" s="130"/>
      <c r="RZ378" s="130"/>
      <c r="SA378" s="130"/>
      <c r="SB378" s="130"/>
      <c r="SC378" s="130"/>
      <c r="SD378" s="130"/>
      <c r="SE378" s="130"/>
      <c r="SF378" s="130"/>
      <c r="SG378" s="130"/>
      <c r="SH378" s="130"/>
      <c r="SI378" s="130"/>
      <c r="SJ378" s="130"/>
      <c r="SK378" s="130"/>
      <c r="SL378" s="130"/>
      <c r="SM378" s="130"/>
      <c r="SN378" s="130"/>
      <c r="SO378" s="130"/>
      <c r="SP378" s="130"/>
      <c r="SQ378" s="130"/>
      <c r="SR378" s="130"/>
      <c r="SS378" s="130"/>
      <c r="ST378" s="130"/>
      <c r="SU378" s="130"/>
      <c r="SV378" s="130"/>
      <c r="SW378" s="130"/>
      <c r="SX378" s="130"/>
      <c r="SY378" s="130"/>
      <c r="SZ378" s="130"/>
      <c r="TA378" s="130"/>
      <c r="TB378" s="130"/>
      <c r="TC378" s="130"/>
      <c r="TD378" s="130"/>
      <c r="TE378" s="130"/>
      <c r="TF378" s="130"/>
      <c r="TG378" s="130"/>
      <c r="TH378" s="130"/>
      <c r="TI378" s="130"/>
      <c r="TJ378" s="130"/>
      <c r="TK378" s="130"/>
      <c r="TL378" s="130"/>
      <c r="TM378" s="130"/>
      <c r="TN378" s="130"/>
      <c r="TO378" s="130"/>
      <c r="TP378" s="130"/>
      <c r="TQ378" s="130"/>
      <c r="TR378" s="130"/>
      <c r="TS378" s="130"/>
      <c r="TT378" s="130"/>
      <c r="TU378" s="130"/>
      <c r="TV378" s="130"/>
      <c r="TW378" s="130"/>
      <c r="TX378" s="130"/>
      <c r="TY378" s="130"/>
      <c r="TZ378" s="130"/>
      <c r="UA378" s="130"/>
      <c r="UB378" s="130"/>
      <c r="UC378" s="130"/>
      <c r="UD378" s="130"/>
      <c r="UE378" s="130"/>
      <c r="UF378" s="130"/>
      <c r="UG378" s="130"/>
      <c r="UH378" s="130"/>
      <c r="UI378" s="130"/>
      <c r="UJ378" s="130"/>
      <c r="UK378" s="130"/>
      <c r="UL378" s="130"/>
      <c r="UM378" s="130"/>
      <c r="UN378" s="130"/>
      <c r="UO378" s="130"/>
      <c r="UP378" s="130"/>
      <c r="UQ378" s="130"/>
      <c r="UR378" s="130"/>
      <c r="US378" s="130"/>
      <c r="UT378" s="130"/>
      <c r="UU378" s="130"/>
    </row>
    <row r="379" spans="253:567" ht="48" customHeight="1">
      <c r="QR379" s="130"/>
      <c r="QS379" s="130"/>
      <c r="QT379" s="130"/>
      <c r="QU379" s="130"/>
      <c r="QV379" s="130"/>
      <c r="QW379" s="130"/>
      <c r="QX379" s="130"/>
      <c r="QY379" s="130"/>
      <c r="QZ379" s="130"/>
      <c r="RA379" s="130"/>
      <c r="RB379" s="130"/>
      <c r="RC379" s="130"/>
      <c r="RD379" s="130"/>
      <c r="RE379" s="130"/>
      <c r="RF379" s="130"/>
      <c r="RG379" s="130"/>
      <c r="RH379" s="130"/>
      <c r="RI379" s="130"/>
      <c r="RJ379" s="130"/>
      <c r="RK379" s="130"/>
      <c r="RL379" s="130"/>
      <c r="RM379" s="130"/>
      <c r="RN379" s="130"/>
      <c r="RO379" s="130"/>
      <c r="RP379" s="130"/>
      <c r="RQ379" s="130"/>
      <c r="RR379" s="130"/>
      <c r="RS379" s="130"/>
      <c r="RT379" s="130"/>
      <c r="RU379" s="130"/>
      <c r="RV379" s="130"/>
      <c r="RW379" s="130"/>
      <c r="RX379" s="130"/>
      <c r="RY379" s="130"/>
      <c r="RZ379" s="130"/>
      <c r="SA379" s="130"/>
      <c r="SB379" s="130"/>
      <c r="SC379" s="130"/>
      <c r="SD379" s="130"/>
      <c r="SE379" s="130"/>
      <c r="SF379" s="130"/>
      <c r="SG379" s="130"/>
      <c r="SH379" s="130"/>
      <c r="SI379" s="130"/>
      <c r="SJ379" s="130"/>
      <c r="SK379" s="130"/>
      <c r="SL379" s="130"/>
      <c r="SM379" s="130"/>
      <c r="SN379" s="130"/>
      <c r="SO379" s="130"/>
      <c r="SP379" s="130"/>
      <c r="SQ379" s="130"/>
      <c r="SR379" s="130"/>
      <c r="SS379" s="130"/>
      <c r="ST379" s="130"/>
      <c r="SU379" s="130"/>
      <c r="SV379" s="130"/>
      <c r="SW379" s="130"/>
      <c r="SX379" s="130"/>
      <c r="SY379" s="130"/>
      <c r="SZ379" s="130"/>
      <c r="TA379" s="130"/>
      <c r="TB379" s="130"/>
      <c r="TC379" s="130"/>
      <c r="TD379" s="130"/>
      <c r="TE379" s="130"/>
      <c r="TF379" s="130"/>
      <c r="TG379" s="130"/>
      <c r="TH379" s="130"/>
      <c r="TI379" s="130"/>
      <c r="TJ379" s="130"/>
      <c r="TK379" s="130"/>
      <c r="TL379" s="130"/>
      <c r="TM379" s="130"/>
      <c r="TN379" s="130"/>
      <c r="TO379" s="130"/>
      <c r="TP379" s="130"/>
      <c r="TQ379" s="130"/>
      <c r="TR379" s="130"/>
      <c r="TS379" s="130"/>
      <c r="TT379" s="130"/>
      <c r="TU379" s="130"/>
      <c r="TV379" s="130"/>
      <c r="TW379" s="130"/>
      <c r="TX379" s="130"/>
      <c r="TY379" s="130"/>
      <c r="TZ379" s="130"/>
      <c r="UA379" s="130"/>
      <c r="UB379" s="130"/>
      <c r="UC379" s="130"/>
      <c r="UD379" s="130"/>
      <c r="UE379" s="130"/>
      <c r="UF379" s="130"/>
      <c r="UG379" s="130"/>
      <c r="UH379" s="130"/>
      <c r="UI379" s="130"/>
      <c r="UJ379" s="130"/>
      <c r="UK379" s="130"/>
      <c r="UL379" s="130"/>
      <c r="UM379" s="130"/>
      <c r="UN379" s="130"/>
      <c r="UO379" s="130"/>
      <c r="UP379" s="130"/>
      <c r="UQ379" s="130"/>
      <c r="UR379" s="130"/>
      <c r="US379" s="130"/>
      <c r="UT379" s="130"/>
      <c r="UU379" s="130"/>
    </row>
    <row r="380" spans="253:567" ht="48" customHeight="1">
      <c r="QR380" s="130"/>
      <c r="QS380" s="130"/>
      <c r="QT380" s="130"/>
      <c r="QU380" s="130"/>
      <c r="QV380" s="130"/>
      <c r="QW380" s="130"/>
      <c r="QX380" s="130"/>
      <c r="QY380" s="130"/>
      <c r="QZ380" s="130"/>
      <c r="RA380" s="130"/>
      <c r="RB380" s="130"/>
      <c r="RC380" s="130"/>
      <c r="RD380" s="130"/>
      <c r="RE380" s="130"/>
      <c r="RF380" s="130"/>
      <c r="RG380" s="130"/>
      <c r="RH380" s="130"/>
      <c r="RI380" s="130"/>
      <c r="RJ380" s="130"/>
      <c r="RK380" s="130"/>
      <c r="RL380" s="130"/>
      <c r="RM380" s="130"/>
      <c r="RN380" s="130"/>
      <c r="RO380" s="130"/>
      <c r="RP380" s="130"/>
      <c r="RQ380" s="130"/>
      <c r="RR380" s="130"/>
      <c r="RS380" s="130"/>
      <c r="RT380" s="130"/>
      <c r="RU380" s="130"/>
      <c r="RV380" s="130"/>
      <c r="RW380" s="130"/>
      <c r="RX380" s="130"/>
      <c r="RY380" s="130"/>
      <c r="RZ380" s="130"/>
      <c r="SA380" s="130"/>
      <c r="SB380" s="130"/>
      <c r="SC380" s="130"/>
      <c r="SD380" s="130"/>
      <c r="SE380" s="130"/>
      <c r="SF380" s="130"/>
      <c r="SG380" s="130"/>
      <c r="SH380" s="130"/>
      <c r="SI380" s="130"/>
      <c r="SJ380" s="130"/>
      <c r="SK380" s="130"/>
      <c r="SL380" s="130"/>
      <c r="SM380" s="130"/>
      <c r="SN380" s="130"/>
      <c r="SO380" s="130"/>
      <c r="SP380" s="130"/>
      <c r="SQ380" s="130"/>
      <c r="SR380" s="130"/>
      <c r="SS380" s="130"/>
      <c r="ST380" s="130"/>
      <c r="SU380" s="130"/>
      <c r="SV380" s="130"/>
      <c r="SW380" s="130"/>
      <c r="SX380" s="130"/>
      <c r="SY380" s="130"/>
      <c r="SZ380" s="130"/>
      <c r="TA380" s="130"/>
      <c r="TB380" s="130"/>
      <c r="TC380" s="130"/>
      <c r="TD380" s="130"/>
      <c r="TE380" s="130"/>
      <c r="TF380" s="130"/>
      <c r="TG380" s="130"/>
      <c r="TH380" s="130"/>
      <c r="TI380" s="130"/>
      <c r="TJ380" s="130"/>
      <c r="TK380" s="130"/>
      <c r="TL380" s="130"/>
      <c r="TM380" s="130"/>
      <c r="TN380" s="130"/>
      <c r="TO380" s="130"/>
      <c r="TP380" s="130"/>
      <c r="TQ380" s="130"/>
      <c r="TR380" s="130"/>
      <c r="TS380" s="130"/>
      <c r="TT380" s="130"/>
      <c r="TU380" s="130"/>
      <c r="TV380" s="130"/>
      <c r="TW380" s="130"/>
      <c r="TX380" s="130"/>
      <c r="TY380" s="130"/>
      <c r="TZ380" s="130"/>
      <c r="UA380" s="130"/>
      <c r="UB380" s="130"/>
      <c r="UC380" s="130"/>
      <c r="UD380" s="130"/>
      <c r="UE380" s="130"/>
      <c r="UF380" s="130"/>
      <c r="UG380" s="130"/>
      <c r="UH380" s="130"/>
      <c r="UI380" s="130"/>
      <c r="UJ380" s="130"/>
      <c r="UK380" s="130"/>
      <c r="UL380" s="130"/>
      <c r="UM380" s="130"/>
      <c r="UN380" s="130"/>
      <c r="UO380" s="130"/>
      <c r="UP380" s="130"/>
      <c r="UQ380" s="130"/>
      <c r="UR380" s="130"/>
      <c r="US380" s="130"/>
      <c r="UT380" s="130"/>
      <c r="UU380" s="130"/>
    </row>
    <row r="381" spans="253:567" ht="48" customHeight="1">
      <c r="QR381" s="130"/>
      <c r="QS381" s="130"/>
      <c r="QT381" s="130"/>
      <c r="QU381" s="130"/>
      <c r="QV381" s="130"/>
      <c r="QW381" s="130"/>
      <c r="QX381" s="130"/>
      <c r="QY381" s="130"/>
      <c r="QZ381" s="130"/>
      <c r="RA381" s="130"/>
      <c r="RB381" s="130"/>
      <c r="RC381" s="130"/>
      <c r="RD381" s="130"/>
      <c r="RE381" s="130"/>
      <c r="RF381" s="130"/>
      <c r="RG381" s="130"/>
      <c r="RH381" s="130"/>
      <c r="RI381" s="130"/>
      <c r="RJ381" s="130"/>
      <c r="RK381" s="130"/>
      <c r="RL381" s="130"/>
      <c r="RM381" s="130"/>
      <c r="RN381" s="130"/>
      <c r="RO381" s="130"/>
      <c r="RP381" s="130"/>
      <c r="RQ381" s="130"/>
      <c r="RR381" s="130"/>
      <c r="RS381" s="130"/>
      <c r="RT381" s="130"/>
      <c r="RU381" s="130"/>
      <c r="RV381" s="130"/>
      <c r="RW381" s="130"/>
      <c r="RX381" s="130"/>
      <c r="RY381" s="130"/>
      <c r="RZ381" s="130"/>
      <c r="SA381" s="130"/>
      <c r="SB381" s="130"/>
      <c r="SC381" s="130"/>
      <c r="SD381" s="130"/>
      <c r="SE381" s="130"/>
      <c r="SF381" s="130"/>
      <c r="SG381" s="130"/>
      <c r="SH381" s="130"/>
      <c r="SI381" s="130"/>
      <c r="SJ381" s="130"/>
      <c r="SK381" s="130"/>
      <c r="SL381" s="130"/>
      <c r="SM381" s="130"/>
      <c r="SN381" s="130"/>
      <c r="SO381" s="130"/>
      <c r="SP381" s="130"/>
      <c r="SQ381" s="130"/>
      <c r="SR381" s="130"/>
      <c r="SS381" s="130"/>
      <c r="ST381" s="130"/>
      <c r="SU381" s="130"/>
      <c r="SV381" s="130"/>
      <c r="SW381" s="130"/>
      <c r="SX381" s="130"/>
      <c r="SY381" s="130"/>
      <c r="SZ381" s="130"/>
      <c r="TA381" s="130"/>
      <c r="TB381" s="130"/>
      <c r="TC381" s="130"/>
      <c r="TD381" s="130"/>
      <c r="TE381" s="130"/>
      <c r="TF381" s="130"/>
      <c r="TG381" s="130"/>
      <c r="TH381" s="130"/>
      <c r="TI381" s="130"/>
      <c r="TJ381" s="130"/>
      <c r="TK381" s="130"/>
      <c r="TL381" s="130"/>
      <c r="TM381" s="130"/>
      <c r="TN381" s="130"/>
      <c r="TO381" s="130"/>
      <c r="TP381" s="130"/>
      <c r="TQ381" s="130"/>
      <c r="TR381" s="130"/>
      <c r="TS381" s="130"/>
      <c r="TT381" s="130"/>
      <c r="TU381" s="130"/>
      <c r="TV381" s="130"/>
      <c r="TW381" s="130"/>
      <c r="TX381" s="130"/>
      <c r="TY381" s="130"/>
      <c r="TZ381" s="130"/>
      <c r="UA381" s="130"/>
      <c r="UB381" s="130"/>
      <c r="UC381" s="130"/>
      <c r="UD381" s="130"/>
      <c r="UE381" s="130"/>
      <c r="UF381" s="130"/>
      <c r="UG381" s="130"/>
      <c r="UH381" s="130"/>
      <c r="UI381" s="130"/>
      <c r="UJ381" s="130"/>
      <c r="UK381" s="130"/>
      <c r="UL381" s="130"/>
      <c r="UM381" s="130"/>
      <c r="UN381" s="130"/>
      <c r="UO381" s="130"/>
      <c r="UP381" s="130"/>
      <c r="UQ381" s="130"/>
      <c r="UR381" s="130"/>
      <c r="US381" s="130"/>
      <c r="UT381" s="130"/>
      <c r="UU381" s="130"/>
    </row>
    <row r="382" spans="253:567" ht="48" customHeight="1">
      <c r="QR382" s="130"/>
      <c r="QS382" s="130"/>
      <c r="QT382" s="130"/>
      <c r="QU382" s="130"/>
      <c r="QV382" s="130"/>
      <c r="QW382" s="130"/>
      <c r="QX382" s="130"/>
      <c r="QY382" s="130"/>
      <c r="QZ382" s="130"/>
      <c r="RA382" s="130"/>
      <c r="RB382" s="130"/>
      <c r="RC382" s="130"/>
      <c r="RD382" s="130"/>
      <c r="RE382" s="130"/>
      <c r="RF382" s="130"/>
      <c r="RG382" s="130"/>
      <c r="RH382" s="130"/>
      <c r="RI382" s="130"/>
      <c r="RJ382" s="130"/>
      <c r="RK382" s="130"/>
      <c r="RL382" s="130"/>
      <c r="RM382" s="130"/>
      <c r="RN382" s="130"/>
      <c r="RO382" s="130"/>
      <c r="RP382" s="130"/>
      <c r="RQ382" s="130"/>
      <c r="RR382" s="130"/>
      <c r="RS382" s="130"/>
      <c r="RT382" s="130"/>
      <c r="RU382" s="130"/>
      <c r="RV382" s="130"/>
      <c r="RW382" s="130"/>
      <c r="RX382" s="130"/>
      <c r="RY382" s="130"/>
      <c r="RZ382" s="130"/>
      <c r="SA382" s="130"/>
      <c r="SB382" s="130"/>
      <c r="SC382" s="130"/>
      <c r="SD382" s="130"/>
      <c r="SE382" s="130"/>
      <c r="SF382" s="130"/>
      <c r="SG382" s="130"/>
      <c r="SH382" s="130"/>
      <c r="SI382" s="130"/>
      <c r="SJ382" s="130"/>
      <c r="SK382" s="130"/>
      <c r="SL382" s="130"/>
      <c r="SM382" s="130"/>
      <c r="SN382" s="130"/>
      <c r="SO382" s="130"/>
      <c r="SP382" s="130"/>
      <c r="SQ382" s="130"/>
      <c r="SR382" s="130"/>
      <c r="SS382" s="130"/>
      <c r="ST382" s="130"/>
      <c r="SU382" s="130"/>
      <c r="SV382" s="130"/>
      <c r="SW382" s="130"/>
      <c r="SX382" s="130"/>
      <c r="SY382" s="130"/>
      <c r="SZ382" s="130"/>
      <c r="TA382" s="130"/>
      <c r="TB382" s="130"/>
      <c r="TC382" s="130"/>
      <c r="TD382" s="130"/>
      <c r="TE382" s="130"/>
      <c r="TF382" s="130"/>
      <c r="TG382" s="130"/>
      <c r="TH382" s="130"/>
      <c r="TI382" s="130"/>
      <c r="TJ382" s="130"/>
      <c r="TK382" s="130"/>
      <c r="TL382" s="130"/>
      <c r="TM382" s="130"/>
      <c r="TN382" s="130"/>
      <c r="TO382" s="130"/>
      <c r="TP382" s="130"/>
      <c r="TQ382" s="130"/>
      <c r="TR382" s="130"/>
      <c r="TS382" s="130"/>
      <c r="TT382" s="130"/>
      <c r="TU382" s="130"/>
      <c r="TV382" s="130"/>
      <c r="TW382" s="130"/>
      <c r="TX382" s="130"/>
      <c r="TY382" s="130"/>
      <c r="TZ382" s="130"/>
      <c r="UA382" s="130"/>
      <c r="UB382" s="130"/>
      <c r="UC382" s="130"/>
      <c r="UD382" s="130"/>
      <c r="UE382" s="130"/>
      <c r="UF382" s="130"/>
      <c r="UG382" s="130"/>
      <c r="UH382" s="130"/>
      <c r="UI382" s="130"/>
      <c r="UJ382" s="130"/>
      <c r="UK382" s="130"/>
      <c r="UL382" s="130"/>
      <c r="UM382" s="130"/>
      <c r="UN382" s="130"/>
      <c r="UO382" s="130"/>
      <c r="UP382" s="130"/>
      <c r="UQ382" s="130"/>
      <c r="UR382" s="130"/>
      <c r="US382" s="130"/>
      <c r="UT382" s="130"/>
      <c r="UU382" s="130"/>
    </row>
    <row r="383" spans="253:567" ht="48" customHeight="1">
      <c r="QR383" s="130"/>
      <c r="QS383" s="130"/>
      <c r="QT383" s="130"/>
      <c r="QU383" s="130"/>
      <c r="QV383" s="130"/>
      <c r="QW383" s="130"/>
      <c r="QX383" s="130"/>
      <c r="QY383" s="130"/>
      <c r="QZ383" s="130"/>
      <c r="RA383" s="130"/>
      <c r="RB383" s="130"/>
      <c r="RC383" s="130"/>
      <c r="RD383" s="130"/>
      <c r="RE383" s="130"/>
      <c r="RF383" s="130"/>
      <c r="RG383" s="130"/>
      <c r="RH383" s="130"/>
      <c r="RI383" s="130"/>
      <c r="RJ383" s="130"/>
      <c r="RK383" s="130"/>
      <c r="RL383" s="130"/>
      <c r="RM383" s="130"/>
      <c r="RN383" s="130"/>
      <c r="RO383" s="130"/>
      <c r="RP383" s="130"/>
      <c r="RQ383" s="130"/>
      <c r="RR383" s="130"/>
      <c r="RS383" s="130"/>
      <c r="RT383" s="130"/>
      <c r="RU383" s="130"/>
      <c r="RV383" s="130"/>
      <c r="RW383" s="130"/>
      <c r="RX383" s="130"/>
      <c r="RY383" s="130"/>
      <c r="RZ383" s="130"/>
      <c r="SA383" s="130"/>
      <c r="SB383" s="130"/>
      <c r="SC383" s="130"/>
      <c r="SD383" s="130"/>
      <c r="SE383" s="130"/>
      <c r="SF383" s="130"/>
      <c r="SG383" s="130"/>
      <c r="SH383" s="130"/>
      <c r="SI383" s="130"/>
      <c r="SJ383" s="130"/>
      <c r="SK383" s="130"/>
      <c r="SL383" s="130"/>
      <c r="SM383" s="130"/>
      <c r="SN383" s="130"/>
      <c r="SO383" s="130"/>
      <c r="SP383" s="130"/>
      <c r="SQ383" s="130"/>
      <c r="SR383" s="130"/>
      <c r="SS383" s="130"/>
      <c r="ST383" s="130"/>
      <c r="SU383" s="130"/>
      <c r="SV383" s="130"/>
      <c r="SW383" s="130"/>
      <c r="SX383" s="130"/>
      <c r="SY383" s="130"/>
      <c r="SZ383" s="130"/>
      <c r="TA383" s="130"/>
      <c r="TB383" s="130"/>
      <c r="TC383" s="130"/>
      <c r="TD383" s="130"/>
      <c r="TE383" s="130"/>
      <c r="TF383" s="130"/>
      <c r="TG383" s="130"/>
      <c r="TH383" s="130"/>
      <c r="TI383" s="130"/>
      <c r="TJ383" s="130"/>
      <c r="TK383" s="130"/>
      <c r="TL383" s="130"/>
      <c r="TM383" s="130"/>
      <c r="TN383" s="130"/>
      <c r="TO383" s="130"/>
      <c r="TP383" s="130"/>
      <c r="TQ383" s="130"/>
      <c r="TR383" s="130"/>
      <c r="TS383" s="130"/>
      <c r="TT383" s="130"/>
      <c r="TU383" s="130"/>
      <c r="TV383" s="130"/>
      <c r="TW383" s="130"/>
      <c r="TX383" s="130"/>
      <c r="TY383" s="130"/>
      <c r="TZ383" s="130"/>
      <c r="UA383" s="130"/>
      <c r="UB383" s="130"/>
      <c r="UC383" s="130"/>
      <c r="UD383" s="130"/>
      <c r="UE383" s="130"/>
      <c r="UF383" s="130"/>
      <c r="UG383" s="130"/>
      <c r="UH383" s="130"/>
      <c r="UI383" s="130"/>
      <c r="UJ383" s="130"/>
      <c r="UK383" s="130"/>
      <c r="UL383" s="130"/>
      <c r="UM383" s="130"/>
      <c r="UN383" s="130"/>
      <c r="UO383" s="130"/>
      <c r="UP383" s="130"/>
      <c r="UQ383" s="130"/>
      <c r="UR383" s="130"/>
      <c r="US383" s="130"/>
      <c r="UT383" s="130"/>
      <c r="UU383" s="130"/>
    </row>
    <row r="384" spans="253:567" ht="48" customHeight="1">
      <c r="QR384" s="130"/>
      <c r="QS384" s="130"/>
      <c r="QT384" s="130"/>
      <c r="QU384" s="130"/>
      <c r="QV384" s="130"/>
      <c r="QW384" s="130"/>
      <c r="QX384" s="130"/>
      <c r="QY384" s="130"/>
      <c r="QZ384" s="130"/>
      <c r="RA384" s="130"/>
      <c r="RB384" s="130"/>
      <c r="RC384" s="130"/>
      <c r="RD384" s="130"/>
      <c r="RE384" s="130"/>
      <c r="RF384" s="130"/>
      <c r="RG384" s="130"/>
      <c r="RH384" s="130"/>
      <c r="RI384" s="130"/>
      <c r="RJ384" s="130"/>
      <c r="RK384" s="130"/>
      <c r="RL384" s="130"/>
      <c r="RM384" s="130"/>
      <c r="RN384" s="130"/>
      <c r="RO384" s="130"/>
      <c r="RP384" s="130"/>
      <c r="RQ384" s="130"/>
      <c r="RR384" s="130"/>
      <c r="RS384" s="130"/>
      <c r="RT384" s="130"/>
      <c r="RU384" s="130"/>
      <c r="RV384" s="130"/>
      <c r="RW384" s="130"/>
      <c r="RX384" s="130"/>
      <c r="RY384" s="130"/>
      <c r="RZ384" s="130"/>
      <c r="SA384" s="130"/>
      <c r="SB384" s="130"/>
      <c r="SC384" s="130"/>
      <c r="SD384" s="130"/>
      <c r="SE384" s="130"/>
      <c r="SF384" s="130"/>
      <c r="SG384" s="130"/>
      <c r="SH384" s="130"/>
      <c r="SI384" s="130"/>
      <c r="SJ384" s="130"/>
      <c r="SK384" s="130"/>
      <c r="SL384" s="130"/>
      <c r="SM384" s="130"/>
      <c r="SN384" s="130"/>
      <c r="SO384" s="130"/>
      <c r="SP384" s="130"/>
      <c r="SQ384" s="130"/>
      <c r="SR384" s="130"/>
      <c r="SS384" s="130"/>
      <c r="ST384" s="130"/>
      <c r="SU384" s="130"/>
      <c r="SV384" s="130"/>
      <c r="SW384" s="130"/>
      <c r="SX384" s="130"/>
      <c r="SY384" s="130"/>
      <c r="SZ384" s="130"/>
      <c r="TA384" s="130"/>
      <c r="TB384" s="130"/>
      <c r="TC384" s="130"/>
      <c r="TD384" s="130"/>
      <c r="TE384" s="130"/>
      <c r="TF384" s="130"/>
      <c r="TG384" s="130"/>
      <c r="TH384" s="130"/>
      <c r="TI384" s="130"/>
      <c r="TJ384" s="130"/>
      <c r="TK384" s="130"/>
      <c r="TL384" s="130"/>
      <c r="TM384" s="130"/>
      <c r="TN384" s="130"/>
      <c r="TO384" s="130"/>
      <c r="TP384" s="130"/>
      <c r="TQ384" s="130"/>
      <c r="TR384" s="130"/>
      <c r="TS384" s="130"/>
      <c r="TT384" s="130"/>
      <c r="TU384" s="130"/>
      <c r="TV384" s="130"/>
      <c r="TW384" s="130"/>
      <c r="TX384" s="130"/>
      <c r="TY384" s="130"/>
      <c r="TZ384" s="130"/>
      <c r="UA384" s="130"/>
      <c r="UB384" s="130"/>
      <c r="UC384" s="130"/>
      <c r="UD384" s="130"/>
      <c r="UE384" s="130"/>
      <c r="UF384" s="130"/>
      <c r="UG384" s="130"/>
      <c r="UH384" s="130"/>
      <c r="UI384" s="130"/>
      <c r="UJ384" s="130"/>
      <c r="UK384" s="130"/>
      <c r="UL384" s="130"/>
      <c r="UM384" s="130"/>
      <c r="UN384" s="130"/>
      <c r="UO384" s="130"/>
      <c r="UP384" s="130"/>
      <c r="UQ384" s="130"/>
      <c r="UR384" s="130"/>
      <c r="US384" s="130"/>
      <c r="UT384" s="130"/>
      <c r="UU384" s="130"/>
    </row>
    <row r="385" spans="460:567" ht="48" customHeight="1">
      <c r="QR385" s="130"/>
      <c r="QS385" s="130"/>
      <c r="QT385" s="130"/>
      <c r="QU385" s="130"/>
      <c r="QV385" s="130"/>
      <c r="QW385" s="130"/>
      <c r="QX385" s="130"/>
      <c r="QY385" s="130"/>
      <c r="QZ385" s="130"/>
      <c r="RA385" s="130"/>
      <c r="RB385" s="130"/>
      <c r="RC385" s="130"/>
      <c r="RD385" s="130"/>
      <c r="RE385" s="130"/>
      <c r="RF385" s="130"/>
      <c r="RG385" s="130"/>
      <c r="RH385" s="130"/>
      <c r="RI385" s="130"/>
      <c r="RJ385" s="130"/>
      <c r="RK385" s="130"/>
      <c r="RL385" s="130"/>
      <c r="RM385" s="130"/>
      <c r="RN385" s="130"/>
      <c r="RO385" s="130"/>
      <c r="RP385" s="130"/>
      <c r="RQ385" s="130"/>
      <c r="RR385" s="130"/>
      <c r="RS385" s="130"/>
      <c r="RT385" s="130"/>
      <c r="RU385" s="130"/>
      <c r="RV385" s="130"/>
      <c r="RW385" s="130"/>
      <c r="RX385" s="130"/>
      <c r="RY385" s="130"/>
      <c r="RZ385" s="130"/>
      <c r="SA385" s="130"/>
      <c r="SB385" s="130"/>
      <c r="SC385" s="130"/>
      <c r="SD385" s="130"/>
      <c r="SE385" s="130"/>
      <c r="SF385" s="130"/>
      <c r="SG385" s="130"/>
      <c r="SH385" s="130"/>
      <c r="SI385" s="130"/>
      <c r="SJ385" s="130"/>
      <c r="SK385" s="130"/>
      <c r="SL385" s="130"/>
      <c r="SM385" s="130"/>
      <c r="SN385" s="130"/>
      <c r="SO385" s="130"/>
      <c r="SP385" s="130"/>
      <c r="SQ385" s="130"/>
      <c r="SR385" s="130"/>
      <c r="SS385" s="130"/>
      <c r="ST385" s="130"/>
      <c r="SU385" s="130"/>
      <c r="SV385" s="130"/>
      <c r="SW385" s="130"/>
      <c r="SX385" s="130"/>
      <c r="SY385" s="130"/>
      <c r="SZ385" s="130"/>
      <c r="TA385" s="130"/>
      <c r="TB385" s="130"/>
      <c r="TC385" s="130"/>
      <c r="TD385" s="130"/>
      <c r="TE385" s="130"/>
      <c r="TF385" s="130"/>
      <c r="TG385" s="130"/>
      <c r="TH385" s="130"/>
      <c r="TI385" s="130"/>
      <c r="TJ385" s="130"/>
      <c r="TK385" s="130"/>
      <c r="TL385" s="130"/>
      <c r="TM385" s="130"/>
      <c r="TN385" s="130"/>
      <c r="TO385" s="130"/>
      <c r="TP385" s="130"/>
      <c r="TQ385" s="130"/>
      <c r="TR385" s="130"/>
      <c r="TS385" s="130"/>
      <c r="TT385" s="130"/>
      <c r="TU385" s="130"/>
      <c r="TV385" s="130"/>
      <c r="TW385" s="130"/>
      <c r="TX385" s="130"/>
      <c r="TY385" s="130"/>
      <c r="TZ385" s="130"/>
      <c r="UA385" s="130"/>
      <c r="UB385" s="130"/>
      <c r="UC385" s="130"/>
      <c r="UD385" s="130"/>
      <c r="UE385" s="130"/>
      <c r="UF385" s="130"/>
      <c r="UG385" s="130"/>
      <c r="UH385" s="130"/>
      <c r="UI385" s="130"/>
      <c r="UJ385" s="130"/>
      <c r="UK385" s="130"/>
      <c r="UL385" s="130"/>
      <c r="UM385" s="130"/>
      <c r="UN385" s="130"/>
      <c r="UO385" s="130"/>
      <c r="UP385" s="130"/>
      <c r="UQ385" s="130"/>
      <c r="UR385" s="130"/>
      <c r="US385" s="130"/>
      <c r="UT385" s="130"/>
      <c r="UU385" s="130"/>
    </row>
    <row r="386" spans="460:567" ht="48" customHeight="1">
      <c r="QR386" s="130"/>
      <c r="QS386" s="130"/>
      <c r="QT386" s="130"/>
      <c r="QU386" s="130"/>
      <c r="QV386" s="130"/>
      <c r="QW386" s="130"/>
      <c r="QX386" s="130"/>
      <c r="QY386" s="130"/>
      <c r="QZ386" s="130"/>
      <c r="RA386" s="130"/>
      <c r="RB386" s="130"/>
      <c r="RC386" s="130"/>
      <c r="RD386" s="130"/>
      <c r="RE386" s="130"/>
      <c r="RF386" s="130"/>
      <c r="RG386" s="130"/>
      <c r="RH386" s="130"/>
      <c r="RI386" s="130"/>
      <c r="RJ386" s="130"/>
      <c r="RK386" s="130"/>
      <c r="RL386" s="130"/>
      <c r="RM386" s="130"/>
      <c r="RN386" s="130"/>
      <c r="RO386" s="130"/>
      <c r="RP386" s="130"/>
      <c r="RQ386" s="130"/>
      <c r="RR386" s="130"/>
      <c r="RS386" s="130"/>
      <c r="RT386" s="130"/>
      <c r="RU386" s="130"/>
      <c r="RV386" s="130"/>
      <c r="RW386" s="130"/>
      <c r="RX386" s="130"/>
      <c r="RY386" s="130"/>
      <c r="RZ386" s="130"/>
      <c r="SA386" s="130"/>
      <c r="SB386" s="130"/>
      <c r="SC386" s="130"/>
      <c r="SD386" s="130"/>
      <c r="SE386" s="130"/>
      <c r="SF386" s="130"/>
      <c r="SG386" s="130"/>
      <c r="SH386" s="130"/>
      <c r="SI386" s="130"/>
      <c r="SJ386" s="130"/>
      <c r="SK386" s="130"/>
      <c r="SL386" s="130"/>
      <c r="SM386" s="130"/>
      <c r="SN386" s="130"/>
      <c r="SO386" s="130"/>
      <c r="SP386" s="130"/>
      <c r="SQ386" s="130"/>
      <c r="SR386" s="130"/>
      <c r="SS386" s="130"/>
      <c r="ST386" s="130"/>
      <c r="SU386" s="130"/>
      <c r="SV386" s="130"/>
      <c r="SW386" s="130"/>
      <c r="SX386" s="130"/>
      <c r="SY386" s="130"/>
      <c r="SZ386" s="130"/>
      <c r="TA386" s="130"/>
      <c r="TB386" s="130"/>
      <c r="TC386" s="130"/>
      <c r="TD386" s="130"/>
      <c r="TE386" s="130"/>
      <c r="TF386" s="130"/>
      <c r="TG386" s="130"/>
      <c r="TH386" s="130"/>
      <c r="TI386" s="130"/>
      <c r="TJ386" s="130"/>
      <c r="TK386" s="130"/>
      <c r="TL386" s="130"/>
      <c r="TM386" s="130"/>
      <c r="TN386" s="130"/>
      <c r="TO386" s="130"/>
      <c r="TP386" s="130"/>
      <c r="TQ386" s="130"/>
      <c r="TR386" s="130"/>
      <c r="TS386" s="130"/>
      <c r="TT386" s="130"/>
      <c r="TU386" s="130"/>
      <c r="TV386" s="130"/>
      <c r="TW386" s="130"/>
      <c r="TX386" s="130"/>
      <c r="TY386" s="130"/>
      <c r="TZ386" s="130"/>
      <c r="UA386" s="130"/>
      <c r="UB386" s="130"/>
      <c r="UC386" s="130"/>
      <c r="UD386" s="130"/>
      <c r="UE386" s="130"/>
      <c r="UF386" s="130"/>
      <c r="UG386" s="130"/>
      <c r="UH386" s="130"/>
      <c r="UI386" s="130"/>
      <c r="UJ386" s="130"/>
      <c r="UK386" s="130"/>
      <c r="UL386" s="130"/>
      <c r="UM386" s="130"/>
      <c r="UN386" s="130"/>
      <c r="UO386" s="130"/>
      <c r="UP386" s="130"/>
      <c r="UQ386" s="130"/>
      <c r="UR386" s="130"/>
      <c r="US386" s="130"/>
      <c r="UT386" s="130"/>
      <c r="UU386" s="130"/>
    </row>
    <row r="387" spans="460:567" ht="48" customHeight="1">
      <c r="QR387" s="130"/>
      <c r="QS387" s="130"/>
      <c r="QT387" s="130"/>
      <c r="QU387" s="130"/>
      <c r="QV387" s="130"/>
      <c r="QW387" s="130"/>
      <c r="QX387" s="130"/>
      <c r="QY387" s="130"/>
      <c r="QZ387" s="130"/>
      <c r="RA387" s="130"/>
      <c r="RB387" s="130"/>
      <c r="RC387" s="130"/>
      <c r="RD387" s="130"/>
      <c r="RE387" s="130"/>
      <c r="RF387" s="130"/>
      <c r="RG387" s="130"/>
      <c r="RH387" s="130"/>
      <c r="RI387" s="130"/>
      <c r="RJ387" s="130"/>
      <c r="RK387" s="130"/>
      <c r="RL387" s="130"/>
      <c r="RM387" s="130"/>
      <c r="RN387" s="130"/>
      <c r="RO387" s="130"/>
      <c r="RP387" s="130"/>
      <c r="RQ387" s="130"/>
      <c r="RR387" s="130"/>
      <c r="RS387" s="130"/>
      <c r="RT387" s="130"/>
      <c r="RU387" s="130"/>
      <c r="RV387" s="130"/>
      <c r="RW387" s="130"/>
      <c r="RX387" s="130"/>
      <c r="RY387" s="130"/>
      <c r="RZ387" s="130"/>
      <c r="SA387" s="130"/>
      <c r="SB387" s="130"/>
      <c r="SC387" s="130"/>
      <c r="SD387" s="130"/>
      <c r="SE387" s="130"/>
      <c r="SF387" s="130"/>
      <c r="SG387" s="130"/>
      <c r="SH387" s="130"/>
      <c r="SI387" s="130"/>
      <c r="SJ387" s="130"/>
      <c r="SK387" s="130"/>
      <c r="SL387" s="130"/>
      <c r="SM387" s="130"/>
      <c r="SN387" s="130"/>
      <c r="SO387" s="130"/>
      <c r="SP387" s="130"/>
      <c r="SQ387" s="130"/>
      <c r="SR387" s="130"/>
      <c r="SS387" s="130"/>
      <c r="ST387" s="130"/>
      <c r="SU387" s="130"/>
      <c r="SV387" s="130"/>
      <c r="SW387" s="130"/>
      <c r="SX387" s="130"/>
      <c r="SY387" s="130"/>
      <c r="SZ387" s="130"/>
      <c r="TA387" s="130"/>
      <c r="TB387" s="130"/>
      <c r="TC387" s="130"/>
      <c r="TD387" s="130"/>
      <c r="TE387" s="130"/>
      <c r="TF387" s="130"/>
      <c r="TG387" s="130"/>
      <c r="TH387" s="130"/>
      <c r="TI387" s="130"/>
      <c r="TJ387" s="130"/>
      <c r="TK387" s="130"/>
      <c r="TL387" s="130"/>
      <c r="TM387" s="130"/>
      <c r="TN387" s="130"/>
      <c r="TO387" s="130"/>
      <c r="TP387" s="130"/>
      <c r="TQ387" s="130"/>
      <c r="TR387" s="130"/>
      <c r="TS387" s="130"/>
      <c r="TT387" s="130"/>
      <c r="TU387" s="130"/>
      <c r="TV387" s="130"/>
      <c r="TW387" s="130"/>
      <c r="TX387" s="130"/>
      <c r="TY387" s="130"/>
      <c r="TZ387" s="130"/>
      <c r="UA387" s="130"/>
      <c r="UB387" s="130"/>
      <c r="UC387" s="130"/>
      <c r="UD387" s="130"/>
      <c r="UE387" s="130"/>
      <c r="UF387" s="130"/>
      <c r="UG387" s="130"/>
      <c r="UH387" s="130"/>
      <c r="UI387" s="130"/>
      <c r="UJ387" s="130"/>
      <c r="UK387" s="130"/>
      <c r="UL387" s="130"/>
      <c r="UM387" s="130"/>
      <c r="UN387" s="130"/>
      <c r="UO387" s="130"/>
      <c r="UP387" s="130"/>
      <c r="UQ387" s="130"/>
      <c r="UR387" s="130"/>
      <c r="US387" s="130"/>
      <c r="UT387" s="130"/>
      <c r="UU387" s="130"/>
    </row>
    <row r="388" spans="460:567" ht="48" customHeight="1">
      <c r="QR388" s="130"/>
      <c r="QS388" s="130"/>
      <c r="QT388" s="130"/>
      <c r="QU388" s="130"/>
      <c r="QV388" s="130"/>
      <c r="QW388" s="130"/>
      <c r="QX388" s="130"/>
      <c r="QY388" s="130"/>
      <c r="QZ388" s="130"/>
      <c r="RA388" s="130"/>
      <c r="RB388" s="130"/>
      <c r="RC388" s="130"/>
      <c r="RD388" s="130"/>
      <c r="RE388" s="130"/>
      <c r="RF388" s="130"/>
      <c r="RG388" s="130"/>
      <c r="RH388" s="130"/>
      <c r="RI388" s="130"/>
      <c r="RJ388" s="130"/>
      <c r="RK388" s="130"/>
      <c r="RL388" s="130"/>
      <c r="RM388" s="130"/>
      <c r="RN388" s="130"/>
      <c r="RO388" s="130"/>
      <c r="RP388" s="130"/>
      <c r="RQ388" s="130"/>
      <c r="RR388" s="130"/>
      <c r="RS388" s="130"/>
      <c r="RT388" s="130"/>
      <c r="RU388" s="130"/>
      <c r="RV388" s="130"/>
      <c r="RW388" s="130"/>
      <c r="RX388" s="130"/>
      <c r="RY388" s="130"/>
      <c r="RZ388" s="130"/>
      <c r="SA388" s="130"/>
      <c r="SB388" s="130"/>
      <c r="SC388" s="130"/>
      <c r="SD388" s="130"/>
      <c r="SE388" s="130"/>
      <c r="SF388" s="130"/>
      <c r="SG388" s="130"/>
      <c r="SH388" s="130"/>
      <c r="SI388" s="130"/>
      <c r="SJ388" s="130"/>
      <c r="SK388" s="130"/>
      <c r="SL388" s="130"/>
      <c r="SM388" s="130"/>
      <c r="SN388" s="130"/>
      <c r="SO388" s="130"/>
      <c r="SP388" s="130"/>
      <c r="SQ388" s="130"/>
      <c r="SR388" s="130"/>
      <c r="SS388" s="130"/>
      <c r="ST388" s="130"/>
      <c r="SU388" s="130"/>
      <c r="SV388" s="130"/>
      <c r="SW388" s="130"/>
      <c r="SX388" s="130"/>
      <c r="SY388" s="130"/>
      <c r="SZ388" s="130"/>
      <c r="TA388" s="130"/>
      <c r="TB388" s="130"/>
      <c r="TC388" s="130"/>
      <c r="TD388" s="130"/>
      <c r="TE388" s="130"/>
      <c r="TF388" s="130"/>
      <c r="TG388" s="130"/>
      <c r="TH388" s="130"/>
      <c r="TI388" s="130"/>
      <c r="TJ388" s="130"/>
      <c r="TK388" s="130"/>
      <c r="TL388" s="130"/>
      <c r="TM388" s="130"/>
      <c r="TN388" s="130"/>
      <c r="TO388" s="130"/>
      <c r="TP388" s="130"/>
      <c r="TQ388" s="130"/>
      <c r="TR388" s="130"/>
      <c r="TS388" s="130"/>
      <c r="TT388" s="130"/>
      <c r="TU388" s="130"/>
      <c r="TV388" s="130"/>
      <c r="TW388" s="130"/>
      <c r="TX388" s="130"/>
      <c r="TY388" s="130"/>
      <c r="TZ388" s="130"/>
      <c r="UA388" s="130"/>
      <c r="UB388" s="130"/>
      <c r="UC388" s="130"/>
      <c r="UD388" s="130"/>
      <c r="UE388" s="130"/>
      <c r="UF388" s="130"/>
      <c r="UG388" s="130"/>
      <c r="UH388" s="130"/>
      <c r="UI388" s="130"/>
      <c r="UJ388" s="130"/>
      <c r="UK388" s="130"/>
      <c r="UL388" s="130"/>
      <c r="UM388" s="130"/>
      <c r="UN388" s="130"/>
      <c r="UO388" s="130"/>
      <c r="UP388" s="130"/>
      <c r="UQ388" s="130"/>
      <c r="UR388" s="130"/>
      <c r="US388" s="130"/>
      <c r="UT388" s="130"/>
      <c r="UU388" s="130"/>
    </row>
    <row r="389" spans="460:567" ht="48" customHeight="1">
      <c r="QR389" s="130"/>
      <c r="QS389" s="130"/>
      <c r="QT389" s="130"/>
      <c r="QU389" s="130"/>
      <c r="QV389" s="130"/>
      <c r="QW389" s="130"/>
      <c r="QX389" s="130"/>
      <c r="QY389" s="130"/>
      <c r="QZ389" s="130"/>
      <c r="RA389" s="130"/>
      <c r="RB389" s="130"/>
      <c r="RC389" s="130"/>
      <c r="RD389" s="130"/>
      <c r="RE389" s="130"/>
      <c r="RF389" s="130"/>
      <c r="RG389" s="130"/>
      <c r="RH389" s="130"/>
      <c r="RI389" s="130"/>
      <c r="RJ389" s="130"/>
      <c r="RK389" s="130"/>
      <c r="RL389" s="130"/>
      <c r="RM389" s="130"/>
      <c r="RN389" s="130"/>
      <c r="RO389" s="130"/>
      <c r="RP389" s="130"/>
      <c r="RQ389" s="130"/>
      <c r="RR389" s="130"/>
      <c r="RS389" s="130"/>
      <c r="RT389" s="130"/>
      <c r="RU389" s="130"/>
      <c r="RV389" s="130"/>
      <c r="RW389" s="130"/>
      <c r="RX389" s="130"/>
      <c r="RY389" s="130"/>
      <c r="RZ389" s="130"/>
      <c r="SA389" s="130"/>
      <c r="SB389" s="130"/>
      <c r="SC389" s="130"/>
      <c r="SD389" s="130"/>
      <c r="SE389" s="130"/>
      <c r="SF389" s="130"/>
      <c r="SG389" s="130"/>
      <c r="SH389" s="130"/>
      <c r="SI389" s="130"/>
      <c r="SJ389" s="130"/>
      <c r="SK389" s="130"/>
      <c r="SL389" s="130"/>
      <c r="SM389" s="130"/>
      <c r="SN389" s="130"/>
      <c r="SO389" s="130"/>
      <c r="SP389" s="130"/>
      <c r="SQ389" s="130"/>
      <c r="SR389" s="130"/>
      <c r="SS389" s="130"/>
      <c r="ST389" s="130"/>
      <c r="SU389" s="130"/>
      <c r="SV389" s="130"/>
      <c r="SW389" s="130"/>
      <c r="SX389" s="130"/>
      <c r="SY389" s="130"/>
      <c r="SZ389" s="130"/>
      <c r="TA389" s="130"/>
      <c r="TB389" s="130"/>
      <c r="TC389" s="130"/>
      <c r="TD389" s="130"/>
      <c r="TE389" s="130"/>
      <c r="TF389" s="130"/>
      <c r="TG389" s="130"/>
      <c r="TH389" s="130"/>
      <c r="TI389" s="130"/>
      <c r="TJ389" s="130"/>
      <c r="TK389" s="130"/>
      <c r="TL389" s="130"/>
      <c r="TM389" s="130"/>
      <c r="TN389" s="130"/>
      <c r="TO389" s="130"/>
      <c r="TP389" s="130"/>
      <c r="TQ389" s="130"/>
      <c r="TR389" s="130"/>
      <c r="TS389" s="130"/>
      <c r="TT389" s="130"/>
      <c r="TU389" s="130"/>
      <c r="TV389" s="130"/>
      <c r="TW389" s="130"/>
      <c r="TX389" s="130"/>
      <c r="TY389" s="130"/>
      <c r="TZ389" s="130"/>
      <c r="UA389" s="130"/>
      <c r="UB389" s="130"/>
      <c r="UC389" s="130"/>
      <c r="UD389" s="130"/>
      <c r="UE389" s="130"/>
      <c r="UF389" s="130"/>
      <c r="UG389" s="130"/>
      <c r="UH389" s="130"/>
      <c r="UI389" s="130"/>
      <c r="UJ389" s="130"/>
      <c r="UK389" s="130"/>
      <c r="UL389" s="130"/>
      <c r="UM389" s="130"/>
      <c r="UN389" s="130"/>
      <c r="UO389" s="130"/>
      <c r="UP389" s="130"/>
      <c r="UQ389" s="130"/>
      <c r="UR389" s="130"/>
      <c r="US389" s="130"/>
      <c r="UT389" s="130"/>
      <c r="UU389" s="130"/>
    </row>
    <row r="390" spans="460:567" ht="48" customHeight="1">
      <c r="QR390" s="130"/>
      <c r="QS390" s="130"/>
      <c r="QT390" s="130"/>
      <c r="QU390" s="130"/>
      <c r="QV390" s="130"/>
      <c r="QW390" s="130"/>
      <c r="QX390" s="130"/>
      <c r="QY390" s="130"/>
      <c r="QZ390" s="130"/>
      <c r="RA390" s="130"/>
      <c r="RB390" s="130"/>
      <c r="RC390" s="130"/>
      <c r="RD390" s="130"/>
      <c r="RE390" s="130"/>
      <c r="RF390" s="130"/>
      <c r="RG390" s="130"/>
      <c r="RH390" s="130"/>
      <c r="RI390" s="130"/>
      <c r="RJ390" s="130"/>
      <c r="RK390" s="130"/>
      <c r="RL390" s="130"/>
      <c r="RM390" s="130"/>
      <c r="RN390" s="130"/>
      <c r="RO390" s="130"/>
      <c r="RP390" s="130"/>
      <c r="RQ390" s="130"/>
      <c r="RR390" s="130"/>
      <c r="RS390" s="130"/>
      <c r="RT390" s="130"/>
      <c r="RU390" s="130"/>
      <c r="RV390" s="130"/>
      <c r="RW390" s="130"/>
      <c r="RX390" s="130"/>
      <c r="RY390" s="130"/>
      <c r="RZ390" s="130"/>
      <c r="SA390" s="130"/>
      <c r="SB390" s="130"/>
      <c r="SC390" s="130"/>
      <c r="SD390" s="130"/>
      <c r="SE390" s="130"/>
      <c r="SF390" s="130"/>
      <c r="SG390" s="130"/>
      <c r="SH390" s="130"/>
      <c r="SI390" s="130"/>
      <c r="SJ390" s="130"/>
      <c r="SK390" s="130"/>
      <c r="SL390" s="130"/>
      <c r="SM390" s="130"/>
      <c r="SN390" s="130"/>
      <c r="SO390" s="130"/>
      <c r="SP390" s="130"/>
      <c r="SQ390" s="130"/>
      <c r="SR390" s="130"/>
      <c r="SS390" s="130"/>
      <c r="ST390" s="130"/>
      <c r="SU390" s="130"/>
      <c r="SV390" s="130"/>
      <c r="SW390" s="130"/>
      <c r="SX390" s="130"/>
      <c r="SY390" s="130"/>
      <c r="SZ390" s="130"/>
      <c r="TA390" s="130"/>
      <c r="TB390" s="130"/>
      <c r="TC390" s="130"/>
      <c r="TD390" s="130"/>
      <c r="TE390" s="130"/>
      <c r="TF390" s="130"/>
      <c r="TG390" s="130"/>
      <c r="TH390" s="130"/>
      <c r="TI390" s="130"/>
      <c r="TJ390" s="130"/>
      <c r="TK390" s="130"/>
      <c r="TL390" s="130"/>
      <c r="TM390" s="130"/>
      <c r="TN390" s="130"/>
      <c r="TO390" s="130"/>
      <c r="TP390" s="130"/>
      <c r="TQ390" s="130"/>
      <c r="TR390" s="130"/>
      <c r="TS390" s="130"/>
      <c r="TT390" s="130"/>
      <c r="TU390" s="130"/>
      <c r="TV390" s="130"/>
      <c r="TW390" s="130"/>
      <c r="TX390" s="130"/>
      <c r="TY390" s="130"/>
      <c r="TZ390" s="130"/>
      <c r="UA390" s="130"/>
      <c r="UB390" s="130"/>
      <c r="UC390" s="130"/>
      <c r="UD390" s="130"/>
      <c r="UE390" s="130"/>
      <c r="UF390" s="130"/>
      <c r="UG390" s="130"/>
      <c r="UH390" s="130"/>
      <c r="UI390" s="130"/>
      <c r="UJ390" s="130"/>
      <c r="UK390" s="130"/>
      <c r="UL390" s="130"/>
      <c r="UM390" s="130"/>
      <c r="UN390" s="130"/>
      <c r="UO390" s="130"/>
      <c r="UP390" s="130"/>
      <c r="UQ390" s="130"/>
      <c r="UR390" s="130"/>
      <c r="US390" s="130"/>
      <c r="UT390" s="130"/>
      <c r="UU390" s="130"/>
    </row>
    <row r="391" spans="460:567" ht="48" customHeight="1">
      <c r="QR391" s="130"/>
      <c r="QS391" s="130"/>
      <c r="QT391" s="130"/>
      <c r="QU391" s="130"/>
      <c r="QV391" s="130"/>
      <c r="QW391" s="130"/>
      <c r="QX391" s="130"/>
      <c r="QY391" s="130"/>
      <c r="QZ391" s="130"/>
      <c r="RA391" s="130"/>
      <c r="RB391" s="130"/>
      <c r="RC391" s="130"/>
      <c r="RD391" s="130"/>
      <c r="RE391" s="130"/>
      <c r="RF391" s="130"/>
      <c r="RG391" s="130"/>
      <c r="RH391" s="130"/>
      <c r="RI391" s="130"/>
      <c r="RJ391" s="130"/>
      <c r="RK391" s="130"/>
      <c r="RL391" s="130"/>
      <c r="RM391" s="130"/>
      <c r="RN391" s="130"/>
      <c r="RO391" s="130"/>
      <c r="RP391" s="130"/>
      <c r="RQ391" s="130"/>
      <c r="RR391" s="130"/>
      <c r="RS391" s="130"/>
      <c r="RT391" s="130"/>
      <c r="RU391" s="130"/>
      <c r="RV391" s="130"/>
      <c r="RW391" s="130"/>
      <c r="RX391" s="130"/>
      <c r="RY391" s="130"/>
      <c r="RZ391" s="130"/>
      <c r="SA391" s="130"/>
      <c r="SB391" s="130"/>
      <c r="SC391" s="130"/>
      <c r="SD391" s="130"/>
      <c r="SE391" s="130"/>
      <c r="SF391" s="130"/>
      <c r="SG391" s="130"/>
      <c r="SH391" s="130"/>
      <c r="SI391" s="130"/>
      <c r="SJ391" s="130"/>
      <c r="SK391" s="130"/>
      <c r="SL391" s="130"/>
      <c r="SM391" s="130"/>
      <c r="SN391" s="130"/>
      <c r="SO391" s="130"/>
      <c r="SP391" s="130"/>
      <c r="SQ391" s="130"/>
      <c r="SR391" s="130"/>
      <c r="SS391" s="130"/>
      <c r="ST391" s="130"/>
      <c r="SU391" s="130"/>
      <c r="SV391" s="130"/>
      <c r="SW391" s="130"/>
      <c r="SX391" s="130"/>
      <c r="SY391" s="130"/>
      <c r="SZ391" s="130"/>
      <c r="TA391" s="130"/>
      <c r="TB391" s="130"/>
      <c r="TC391" s="130"/>
      <c r="TD391" s="130"/>
      <c r="TE391" s="130"/>
      <c r="TF391" s="130"/>
      <c r="TG391" s="130"/>
      <c r="TH391" s="130"/>
      <c r="TI391" s="130"/>
      <c r="TJ391" s="130"/>
      <c r="TK391" s="130"/>
      <c r="TL391" s="130"/>
      <c r="TM391" s="130"/>
      <c r="TN391" s="130"/>
      <c r="TO391" s="130"/>
      <c r="TP391" s="130"/>
      <c r="TQ391" s="130"/>
      <c r="TR391" s="130"/>
      <c r="TS391" s="130"/>
      <c r="TT391" s="130"/>
      <c r="TU391" s="130"/>
      <c r="TV391" s="130"/>
      <c r="TW391" s="130"/>
      <c r="TX391" s="130"/>
      <c r="TY391" s="130"/>
      <c r="TZ391" s="130"/>
      <c r="UA391" s="130"/>
      <c r="UB391" s="130"/>
      <c r="UC391" s="130"/>
      <c r="UD391" s="130"/>
      <c r="UE391" s="130"/>
      <c r="UF391" s="130"/>
      <c r="UG391" s="130"/>
      <c r="UH391" s="130"/>
      <c r="UI391" s="130"/>
      <c r="UJ391" s="130"/>
      <c r="UK391" s="130"/>
      <c r="UL391" s="130"/>
      <c r="UM391" s="130"/>
      <c r="UN391" s="130"/>
      <c r="UO391" s="130"/>
      <c r="UP391" s="130"/>
      <c r="UQ391" s="130"/>
      <c r="UR391" s="130"/>
      <c r="US391" s="130"/>
      <c r="UT391" s="130"/>
      <c r="UU391" s="130"/>
    </row>
    <row r="392" spans="460:567" ht="48" customHeight="1">
      <c r="QR392" s="130"/>
      <c r="QS392" s="130"/>
      <c r="QT392" s="130"/>
      <c r="QU392" s="130"/>
      <c r="QV392" s="130"/>
      <c r="QW392" s="130"/>
      <c r="QX392" s="130"/>
      <c r="QY392" s="130"/>
      <c r="QZ392" s="130"/>
      <c r="RA392" s="130"/>
      <c r="RB392" s="130"/>
      <c r="RC392" s="130"/>
      <c r="RD392" s="130"/>
      <c r="RE392" s="130"/>
      <c r="RF392" s="130"/>
      <c r="RG392" s="130"/>
      <c r="RH392" s="130"/>
      <c r="RI392" s="130"/>
      <c r="RJ392" s="130"/>
      <c r="RK392" s="130"/>
      <c r="RL392" s="130"/>
      <c r="RM392" s="130"/>
      <c r="RN392" s="130"/>
      <c r="RO392" s="130"/>
      <c r="RP392" s="130"/>
      <c r="RQ392" s="130"/>
      <c r="RR392" s="130"/>
      <c r="RS392" s="130"/>
      <c r="RT392" s="130"/>
      <c r="RU392" s="130"/>
      <c r="RV392" s="130"/>
      <c r="RW392" s="130"/>
      <c r="RX392" s="130"/>
      <c r="RY392" s="130"/>
      <c r="RZ392" s="130"/>
      <c r="SA392" s="130"/>
      <c r="SB392" s="130"/>
      <c r="SC392" s="130"/>
      <c r="SD392" s="130"/>
      <c r="SE392" s="130"/>
      <c r="SF392" s="130"/>
      <c r="SG392" s="130"/>
      <c r="SH392" s="130"/>
      <c r="SI392" s="130"/>
      <c r="SJ392" s="130"/>
      <c r="SK392" s="130"/>
      <c r="SL392" s="130"/>
      <c r="SM392" s="130"/>
      <c r="SN392" s="130"/>
      <c r="SO392" s="130"/>
      <c r="SP392" s="130"/>
      <c r="SQ392" s="130"/>
      <c r="SR392" s="130"/>
      <c r="SS392" s="130"/>
      <c r="ST392" s="130"/>
      <c r="SU392" s="130"/>
      <c r="SV392" s="130"/>
      <c r="SW392" s="130"/>
      <c r="SX392" s="130"/>
      <c r="SY392" s="130"/>
      <c r="SZ392" s="130"/>
      <c r="TA392" s="130"/>
      <c r="TB392" s="130"/>
      <c r="TC392" s="130"/>
      <c r="TD392" s="130"/>
      <c r="TE392" s="130"/>
      <c r="TF392" s="130"/>
      <c r="TG392" s="130"/>
      <c r="TH392" s="130"/>
      <c r="TI392" s="130"/>
      <c r="TJ392" s="130"/>
      <c r="TK392" s="130"/>
      <c r="TL392" s="130"/>
      <c r="TM392" s="130"/>
      <c r="TN392" s="130"/>
      <c r="TO392" s="130"/>
      <c r="TP392" s="130"/>
      <c r="TQ392" s="130"/>
      <c r="TR392" s="130"/>
      <c r="TS392" s="130"/>
      <c r="TT392" s="130"/>
      <c r="TU392" s="130"/>
      <c r="TV392" s="130"/>
      <c r="TW392" s="130"/>
      <c r="TX392" s="130"/>
      <c r="TY392" s="130"/>
      <c r="TZ392" s="130"/>
      <c r="UA392" s="130"/>
      <c r="UB392" s="130"/>
      <c r="UC392" s="130"/>
      <c r="UD392" s="130"/>
      <c r="UE392" s="130"/>
      <c r="UF392" s="130"/>
      <c r="UG392" s="130"/>
      <c r="UH392" s="130"/>
      <c r="UI392" s="130"/>
      <c r="UJ392" s="130"/>
      <c r="UK392" s="130"/>
      <c r="UL392" s="130"/>
      <c r="UM392" s="130"/>
      <c r="UN392" s="130"/>
      <c r="UO392" s="130"/>
      <c r="UP392" s="130"/>
      <c r="UQ392" s="130"/>
      <c r="UR392" s="130"/>
      <c r="US392" s="130"/>
      <c r="UT392" s="130"/>
      <c r="UU392" s="130"/>
    </row>
    <row r="393" spans="460:567" ht="48" customHeight="1">
      <c r="QR393" s="130"/>
      <c r="QS393" s="130"/>
      <c r="QT393" s="130"/>
      <c r="QU393" s="130"/>
      <c r="QV393" s="130"/>
      <c r="QW393" s="130"/>
      <c r="QX393" s="130"/>
      <c r="QY393" s="130"/>
      <c r="QZ393" s="130"/>
      <c r="RA393" s="130"/>
      <c r="RB393" s="130"/>
      <c r="RC393" s="130"/>
      <c r="RD393" s="130"/>
      <c r="RE393" s="130"/>
      <c r="RF393" s="130"/>
      <c r="RG393" s="130"/>
      <c r="RH393" s="130"/>
      <c r="RI393" s="130"/>
      <c r="RJ393" s="130"/>
      <c r="RK393" s="130"/>
      <c r="RL393" s="130"/>
      <c r="RM393" s="130"/>
      <c r="RN393" s="130"/>
      <c r="RO393" s="130"/>
      <c r="RP393" s="130"/>
      <c r="RQ393" s="130"/>
      <c r="RR393" s="130"/>
      <c r="RS393" s="130"/>
      <c r="RT393" s="130"/>
      <c r="RU393" s="130"/>
      <c r="RV393" s="130"/>
      <c r="RW393" s="130"/>
      <c r="RX393" s="130"/>
      <c r="RY393" s="130"/>
      <c r="RZ393" s="130"/>
      <c r="SA393" s="130"/>
      <c r="SB393" s="130"/>
      <c r="SC393" s="130"/>
      <c r="SD393" s="130"/>
      <c r="SE393" s="130"/>
      <c r="SF393" s="130"/>
      <c r="SG393" s="130"/>
      <c r="SH393" s="130"/>
      <c r="SI393" s="130"/>
      <c r="SJ393" s="130"/>
      <c r="SK393" s="130"/>
      <c r="SL393" s="130"/>
      <c r="SM393" s="130"/>
      <c r="SN393" s="130"/>
      <c r="SO393" s="130"/>
      <c r="SP393" s="130"/>
      <c r="SQ393" s="130"/>
      <c r="SR393" s="130"/>
      <c r="SS393" s="130"/>
      <c r="ST393" s="130"/>
      <c r="SU393" s="130"/>
      <c r="SV393" s="130"/>
      <c r="SW393" s="130"/>
      <c r="SX393" s="130"/>
      <c r="SY393" s="130"/>
      <c r="SZ393" s="130"/>
      <c r="TA393" s="130"/>
      <c r="TB393" s="130"/>
      <c r="TC393" s="130"/>
      <c r="TD393" s="130"/>
      <c r="TE393" s="130"/>
      <c r="TF393" s="130"/>
      <c r="TG393" s="130"/>
      <c r="TH393" s="130"/>
      <c r="TI393" s="130"/>
      <c r="TJ393" s="130"/>
      <c r="TK393" s="130"/>
      <c r="TL393" s="130"/>
      <c r="TM393" s="130"/>
      <c r="TN393" s="130"/>
      <c r="TO393" s="130"/>
      <c r="TP393" s="130"/>
      <c r="TQ393" s="130"/>
      <c r="TR393" s="130"/>
      <c r="TS393" s="130"/>
      <c r="TT393" s="130"/>
      <c r="TU393" s="130"/>
      <c r="TV393" s="130"/>
      <c r="TW393" s="130"/>
      <c r="TX393" s="130"/>
      <c r="TY393" s="130"/>
      <c r="TZ393" s="130"/>
      <c r="UA393" s="130"/>
      <c r="UB393" s="130"/>
      <c r="UC393" s="130"/>
      <c r="UD393" s="130"/>
      <c r="UE393" s="130"/>
      <c r="UF393" s="130"/>
      <c r="UG393" s="130"/>
      <c r="UH393" s="130"/>
      <c r="UI393" s="130"/>
      <c r="UJ393" s="130"/>
      <c r="UK393" s="130"/>
      <c r="UL393" s="130"/>
      <c r="UM393" s="130"/>
      <c r="UN393" s="130"/>
      <c r="UO393" s="130"/>
      <c r="UP393" s="130"/>
      <c r="UQ393" s="130"/>
      <c r="UR393" s="130"/>
      <c r="US393" s="130"/>
      <c r="UT393" s="130"/>
      <c r="UU393" s="130"/>
    </row>
    <row r="394" spans="460:567" ht="48" customHeight="1">
      <c r="QR394" s="130"/>
      <c r="QS394" s="130"/>
      <c r="QT394" s="130"/>
      <c r="QU394" s="130"/>
      <c r="QV394" s="130"/>
      <c r="QW394" s="130"/>
      <c r="QX394" s="130"/>
      <c r="QY394" s="130"/>
      <c r="QZ394" s="130"/>
      <c r="RA394" s="130"/>
      <c r="RB394" s="130"/>
      <c r="RC394" s="130"/>
      <c r="RD394" s="130"/>
      <c r="RE394" s="130"/>
      <c r="RF394" s="130"/>
      <c r="RG394" s="130"/>
      <c r="RH394" s="130"/>
      <c r="RI394" s="130"/>
      <c r="RJ394" s="130"/>
      <c r="RK394" s="130"/>
      <c r="RL394" s="130"/>
      <c r="RM394" s="130"/>
      <c r="RN394" s="130"/>
      <c r="RO394" s="130"/>
      <c r="RP394" s="130"/>
      <c r="RQ394" s="130"/>
      <c r="RR394" s="130"/>
      <c r="RS394" s="130"/>
      <c r="RT394" s="130"/>
      <c r="RU394" s="130"/>
      <c r="RV394" s="130"/>
      <c r="RW394" s="130"/>
      <c r="RX394" s="130"/>
      <c r="RY394" s="130"/>
      <c r="RZ394" s="130"/>
      <c r="SA394" s="130"/>
      <c r="SB394" s="130"/>
      <c r="SC394" s="130"/>
      <c r="SD394" s="130"/>
      <c r="SE394" s="130"/>
      <c r="SF394" s="130"/>
      <c r="SG394" s="130"/>
      <c r="SH394" s="130"/>
      <c r="SI394" s="130"/>
      <c r="SJ394" s="130"/>
      <c r="SK394" s="130"/>
      <c r="SL394" s="130"/>
      <c r="SM394" s="130"/>
      <c r="SN394" s="130"/>
      <c r="SO394" s="130"/>
      <c r="SP394" s="130"/>
      <c r="SQ394" s="130"/>
      <c r="SR394" s="130"/>
      <c r="SS394" s="130"/>
      <c r="ST394" s="130"/>
      <c r="SU394" s="130"/>
      <c r="SV394" s="130"/>
      <c r="SW394" s="130"/>
      <c r="SX394" s="130"/>
      <c r="SY394" s="130"/>
      <c r="SZ394" s="130"/>
      <c r="TA394" s="130"/>
      <c r="TB394" s="130"/>
      <c r="TC394" s="130"/>
      <c r="TD394" s="130"/>
      <c r="TE394" s="130"/>
      <c r="TF394" s="130"/>
      <c r="TG394" s="130"/>
      <c r="TH394" s="130"/>
      <c r="TI394" s="130"/>
      <c r="TJ394" s="130"/>
      <c r="TK394" s="130"/>
      <c r="TL394" s="130"/>
      <c r="TM394" s="130"/>
      <c r="TN394" s="130"/>
      <c r="TO394" s="130"/>
      <c r="TP394" s="130"/>
      <c r="TQ394" s="130"/>
      <c r="TR394" s="130"/>
      <c r="TS394" s="130"/>
      <c r="TT394" s="130"/>
      <c r="TU394" s="130"/>
      <c r="TV394" s="130"/>
      <c r="TW394" s="130"/>
      <c r="TX394" s="130"/>
      <c r="TY394" s="130"/>
      <c r="TZ394" s="130"/>
      <c r="UA394" s="130"/>
      <c r="UB394" s="130"/>
      <c r="UC394" s="130"/>
      <c r="UD394" s="130"/>
      <c r="UE394" s="130"/>
      <c r="UF394" s="130"/>
      <c r="UG394" s="130"/>
      <c r="UH394" s="130"/>
      <c r="UI394" s="130"/>
      <c r="UJ394" s="130"/>
      <c r="UK394" s="130"/>
      <c r="UL394" s="130"/>
      <c r="UM394" s="130"/>
      <c r="UN394" s="130"/>
      <c r="UO394" s="130"/>
      <c r="UP394" s="130"/>
      <c r="UQ394" s="130"/>
      <c r="UR394" s="130"/>
      <c r="US394" s="130"/>
      <c r="UT394" s="130"/>
      <c r="UU394" s="130"/>
    </row>
    <row r="395" spans="460:567" ht="48" customHeight="1">
      <c r="QR395" s="130"/>
      <c r="QS395" s="130"/>
      <c r="QT395" s="130"/>
      <c r="QU395" s="130"/>
      <c r="QV395" s="130"/>
      <c r="QW395" s="130"/>
      <c r="QX395" s="130"/>
      <c r="QY395" s="130"/>
      <c r="QZ395" s="130"/>
      <c r="RA395" s="130"/>
      <c r="RB395" s="130"/>
      <c r="RC395" s="130"/>
      <c r="RD395" s="130"/>
      <c r="RE395" s="130"/>
      <c r="RF395" s="130"/>
      <c r="RG395" s="130"/>
      <c r="RH395" s="130"/>
      <c r="RI395" s="130"/>
      <c r="RJ395" s="130"/>
      <c r="RK395" s="130"/>
      <c r="RL395" s="130"/>
      <c r="RM395" s="130"/>
      <c r="RN395" s="130"/>
      <c r="RO395" s="130"/>
      <c r="RP395" s="130"/>
      <c r="RQ395" s="130"/>
      <c r="RR395" s="130"/>
      <c r="RS395" s="130"/>
      <c r="RT395" s="130"/>
      <c r="RU395" s="130"/>
      <c r="RV395" s="130"/>
      <c r="RW395" s="130"/>
      <c r="RX395" s="130"/>
      <c r="RY395" s="130"/>
      <c r="RZ395" s="130"/>
      <c r="SA395" s="130"/>
      <c r="SB395" s="130"/>
      <c r="SC395" s="130"/>
      <c r="SD395" s="130"/>
      <c r="SE395" s="130"/>
      <c r="SF395" s="130"/>
      <c r="SG395" s="130"/>
      <c r="SH395" s="130"/>
      <c r="SI395" s="130"/>
      <c r="SJ395" s="130"/>
      <c r="SK395" s="130"/>
      <c r="SL395" s="130"/>
      <c r="SM395" s="130"/>
      <c r="SN395" s="130"/>
      <c r="SO395" s="130"/>
      <c r="SP395" s="130"/>
      <c r="SQ395" s="130"/>
      <c r="SR395" s="130"/>
      <c r="SS395" s="130"/>
      <c r="ST395" s="130"/>
      <c r="SU395" s="130"/>
      <c r="SV395" s="130"/>
      <c r="SW395" s="130"/>
      <c r="SX395" s="130"/>
      <c r="SY395" s="130"/>
      <c r="SZ395" s="130"/>
      <c r="TA395" s="130"/>
      <c r="TB395" s="130"/>
      <c r="TC395" s="130"/>
      <c r="TD395" s="130"/>
      <c r="TE395" s="130"/>
      <c r="TF395" s="130"/>
      <c r="TG395" s="130"/>
      <c r="TH395" s="130"/>
      <c r="TI395" s="130"/>
      <c r="TJ395" s="130"/>
      <c r="TK395" s="130"/>
      <c r="TL395" s="130"/>
      <c r="TM395" s="130"/>
      <c r="TN395" s="130"/>
      <c r="TO395" s="130"/>
      <c r="TP395" s="130"/>
      <c r="TQ395" s="130"/>
      <c r="TR395" s="130"/>
      <c r="TS395" s="130"/>
      <c r="TT395" s="130"/>
      <c r="TU395" s="130"/>
      <c r="TV395" s="130"/>
      <c r="TW395" s="130"/>
      <c r="TX395" s="130"/>
      <c r="TY395" s="130"/>
      <c r="TZ395" s="130"/>
      <c r="UA395" s="130"/>
      <c r="UB395" s="130"/>
      <c r="UC395" s="130"/>
      <c r="UD395" s="130"/>
      <c r="UE395" s="130"/>
      <c r="UF395" s="130"/>
      <c r="UG395" s="130"/>
      <c r="UH395" s="130"/>
      <c r="UI395" s="130"/>
      <c r="UJ395" s="130"/>
      <c r="UK395" s="130"/>
      <c r="UL395" s="130"/>
      <c r="UM395" s="130"/>
      <c r="UN395" s="130"/>
      <c r="UO395" s="130"/>
      <c r="UP395" s="130"/>
      <c r="UQ395" s="130"/>
      <c r="UR395" s="130"/>
      <c r="US395" s="130"/>
      <c r="UT395" s="130"/>
      <c r="UU395" s="130"/>
    </row>
    <row r="396" spans="460:567" ht="48" customHeight="1">
      <c r="QR396" s="130"/>
      <c r="QS396" s="130"/>
      <c r="QT396" s="130"/>
      <c r="QU396" s="130"/>
      <c r="QV396" s="130"/>
      <c r="QW396" s="130"/>
      <c r="QX396" s="130"/>
      <c r="QY396" s="130"/>
      <c r="QZ396" s="130"/>
      <c r="RA396" s="130"/>
      <c r="RB396" s="130"/>
      <c r="RC396" s="130"/>
      <c r="RD396" s="130"/>
      <c r="RE396" s="130"/>
      <c r="RF396" s="130"/>
      <c r="RG396" s="130"/>
      <c r="RH396" s="130"/>
      <c r="RI396" s="130"/>
      <c r="RJ396" s="130"/>
      <c r="RK396" s="130"/>
      <c r="RL396" s="130"/>
      <c r="RM396" s="130"/>
      <c r="RN396" s="130"/>
      <c r="RO396" s="130"/>
      <c r="RP396" s="130"/>
      <c r="RQ396" s="130"/>
      <c r="RR396" s="130"/>
      <c r="RS396" s="130"/>
      <c r="RT396" s="130"/>
      <c r="RU396" s="130"/>
      <c r="RV396" s="130"/>
      <c r="RW396" s="130"/>
      <c r="RX396" s="130"/>
      <c r="RY396" s="130"/>
      <c r="RZ396" s="130"/>
      <c r="SA396" s="130"/>
      <c r="SB396" s="130"/>
      <c r="SC396" s="130"/>
      <c r="SD396" s="130"/>
      <c r="SE396" s="130"/>
      <c r="SF396" s="130"/>
      <c r="SG396" s="130"/>
      <c r="SH396" s="130"/>
      <c r="SI396" s="130"/>
      <c r="SJ396" s="130"/>
      <c r="SK396" s="130"/>
      <c r="SL396" s="130"/>
      <c r="SM396" s="130"/>
      <c r="SN396" s="130"/>
      <c r="SO396" s="130"/>
      <c r="SP396" s="130"/>
      <c r="SQ396" s="130"/>
      <c r="SR396" s="130"/>
      <c r="SS396" s="130"/>
      <c r="ST396" s="130"/>
      <c r="SU396" s="130"/>
      <c r="SV396" s="130"/>
      <c r="SW396" s="130"/>
      <c r="SX396" s="130"/>
      <c r="SY396" s="130"/>
      <c r="SZ396" s="130"/>
      <c r="TA396" s="130"/>
      <c r="TB396" s="130"/>
      <c r="TC396" s="130"/>
      <c r="TD396" s="130"/>
      <c r="TE396" s="130"/>
      <c r="TF396" s="130"/>
      <c r="TG396" s="130"/>
      <c r="TH396" s="130"/>
      <c r="TI396" s="130"/>
      <c r="TJ396" s="130"/>
      <c r="TK396" s="130"/>
      <c r="TL396" s="130"/>
      <c r="TM396" s="130"/>
      <c r="TN396" s="130"/>
      <c r="TO396" s="130"/>
      <c r="TP396" s="130"/>
      <c r="TQ396" s="130"/>
      <c r="TR396" s="130"/>
      <c r="TS396" s="130"/>
      <c r="TT396" s="130"/>
      <c r="TU396" s="130"/>
      <c r="TV396" s="130"/>
      <c r="TW396" s="130"/>
      <c r="TX396" s="130"/>
      <c r="TY396" s="130"/>
      <c r="TZ396" s="130"/>
      <c r="UA396" s="130"/>
      <c r="UB396" s="130"/>
      <c r="UC396" s="130"/>
      <c r="UD396" s="130"/>
      <c r="UE396" s="130"/>
      <c r="UF396" s="130"/>
      <c r="UG396" s="130"/>
      <c r="UH396" s="130"/>
      <c r="UI396" s="130"/>
      <c r="UJ396" s="130"/>
      <c r="UK396" s="130"/>
      <c r="UL396" s="130"/>
      <c r="UM396" s="130"/>
      <c r="UN396" s="130"/>
      <c r="UO396" s="130"/>
      <c r="UP396" s="130"/>
      <c r="UQ396" s="130"/>
      <c r="UR396" s="130"/>
      <c r="US396" s="130"/>
      <c r="UT396" s="130"/>
      <c r="UU396" s="130"/>
    </row>
  </sheetData>
  <mergeCells count="18916">
    <mergeCell ref="GJ20:GL21"/>
    <mergeCell ref="ED49:EJ51"/>
    <mergeCell ref="EE76:EJ77"/>
    <mergeCell ref="EE71:EK73"/>
    <mergeCell ref="ED58:EI59"/>
    <mergeCell ref="EG33:EJ34"/>
    <mergeCell ref="IW32:JB33"/>
    <mergeCell ref="IV38:JB39"/>
    <mergeCell ref="GJ24:GL25"/>
    <mergeCell ref="WH7:WW7"/>
    <mergeCell ref="J46:K46"/>
    <mergeCell ref="F52:G52"/>
    <mergeCell ref="H52:I52"/>
    <mergeCell ref="J52:K52"/>
    <mergeCell ref="N49:N51"/>
    <mergeCell ref="O49:S51"/>
    <mergeCell ref="AM109:AN109"/>
    <mergeCell ref="AJ91:AS92"/>
    <mergeCell ref="E54:G56"/>
    <mergeCell ref="I54:K56"/>
    <mergeCell ref="N34:N35"/>
    <mergeCell ref="H33:H35"/>
    <mergeCell ref="I33:L35"/>
    <mergeCell ref="CC24:CD25"/>
    <mergeCell ref="BQ17:BR17"/>
    <mergeCell ref="EJ36:EK36"/>
    <mergeCell ref="EQ37:EQ38"/>
    <mergeCell ref="EN37:EN38"/>
    <mergeCell ref="EK49:EL50"/>
    <mergeCell ref="ES40:ET40"/>
    <mergeCell ref="EU41:EU42"/>
    <mergeCell ref="DZ36:EB38"/>
    <mergeCell ref="IZ23:JC25"/>
    <mergeCell ref="GK78:GP81"/>
    <mergeCell ref="CC40:CK42"/>
    <mergeCell ref="MU46:MX46"/>
    <mergeCell ref="KT49:KZ50"/>
    <mergeCell ref="MY65:MY66"/>
    <mergeCell ref="KL52:KM52"/>
    <mergeCell ref="JX49:JX50"/>
    <mergeCell ref="GJ60:GK60"/>
    <mergeCell ref="BF41:BG41"/>
    <mergeCell ref="BH41:BI41"/>
    <mergeCell ref="AL33:AM33"/>
    <mergeCell ref="AN33:AO33"/>
    <mergeCell ref="AP33:AQ33"/>
    <mergeCell ref="AR33:AS33"/>
    <mergeCell ref="AT33:AU33"/>
    <mergeCell ref="AV33:AW33"/>
    <mergeCell ref="AX33:AY33"/>
    <mergeCell ref="AZ33:BA33"/>
    <mergeCell ref="BB33:BC33"/>
    <mergeCell ref="BD33:BE33"/>
    <mergeCell ref="BF33:BG33"/>
    <mergeCell ref="AY38:AZ39"/>
    <mergeCell ref="AQ37:AS37"/>
    <mergeCell ref="AN38:AX39"/>
    <mergeCell ref="FI92:FI93"/>
    <mergeCell ref="FJ92:FM93"/>
    <mergeCell ref="PP134:PQ134"/>
    <mergeCell ref="PP135:PV137"/>
    <mergeCell ref="EA109:EF110"/>
    <mergeCell ref="DZ105:DZ106"/>
    <mergeCell ref="DV98:DW98"/>
    <mergeCell ref="DX98:DY98"/>
    <mergeCell ref="DZ98:EA98"/>
    <mergeCell ref="EB98:EC98"/>
    <mergeCell ref="ED98:EE98"/>
    <mergeCell ref="EF98:EG98"/>
    <mergeCell ref="EH98:EI98"/>
    <mergeCell ref="EJ98:EK98"/>
    <mergeCell ref="EL98:EM98"/>
    <mergeCell ref="EN98:EO98"/>
    <mergeCell ref="EP98:EQ98"/>
    <mergeCell ref="ER98:ES98"/>
    <mergeCell ref="ET98:EU98"/>
    <mergeCell ref="EV98:EW98"/>
    <mergeCell ref="EX98:EY98"/>
    <mergeCell ref="EZ98:FA98"/>
    <mergeCell ref="FB98:FC98"/>
    <mergeCell ref="FD98:FE98"/>
    <mergeCell ref="DV112:DW112"/>
    <mergeCell ref="DX112:DY112"/>
    <mergeCell ref="DZ112:EA112"/>
    <mergeCell ref="EB112:EC112"/>
    <mergeCell ref="ED112:EE112"/>
    <mergeCell ref="EF112:EG112"/>
    <mergeCell ref="EH112:EI112"/>
    <mergeCell ref="EJ112:EK112"/>
    <mergeCell ref="EL112:EM112"/>
    <mergeCell ref="EN112:EO112"/>
    <mergeCell ref="EP112:EQ112"/>
    <mergeCell ref="ER112:ES112"/>
    <mergeCell ref="IW99:JB101"/>
    <mergeCell ref="PM119:PN119"/>
    <mergeCell ref="ME98:MF98"/>
    <mergeCell ref="ME99:MF99"/>
    <mergeCell ref="OE123:OE124"/>
    <mergeCell ref="OA119:OB120"/>
    <mergeCell ref="NT128:NV128"/>
    <mergeCell ref="OJ123:OJ124"/>
    <mergeCell ref="OG106:OH106"/>
    <mergeCell ref="OK106:OL106"/>
    <mergeCell ref="MQ111:MR112"/>
    <mergeCell ref="MS111:MS112"/>
    <mergeCell ref="NG106:NH106"/>
    <mergeCell ref="MT98:MT99"/>
    <mergeCell ref="EA106:EB106"/>
    <mergeCell ref="EE105:EK106"/>
    <mergeCell ref="MM108:MN108"/>
    <mergeCell ref="MF111:MK112"/>
    <mergeCell ref="GT127:GT128"/>
    <mergeCell ref="GM122:GN122"/>
    <mergeCell ref="GR131:GS132"/>
    <mergeCell ref="GU127:GX128"/>
    <mergeCell ref="GQ122:GT122"/>
    <mergeCell ref="EX119:EX120"/>
    <mergeCell ref="GM127:GN128"/>
    <mergeCell ref="GX103:GY104"/>
    <mergeCell ref="GY98:HA99"/>
    <mergeCell ref="GX107:GX108"/>
    <mergeCell ref="NK106:NL106"/>
    <mergeCell ref="MO132:MP132"/>
    <mergeCell ref="GJ48:GL50"/>
    <mergeCell ref="CN36:CP37"/>
    <mergeCell ref="EL36:EM36"/>
    <mergeCell ref="CP39:CS39"/>
    <mergeCell ref="EJ54:EK55"/>
    <mergeCell ref="AV65:AW65"/>
    <mergeCell ref="AL95:AM95"/>
    <mergeCell ref="EU71:FG73"/>
    <mergeCell ref="CK62:CL62"/>
    <mergeCell ref="CM62:CP62"/>
    <mergeCell ref="CQ62:CT62"/>
    <mergeCell ref="EJ57:EK57"/>
    <mergeCell ref="EQ54:EQ55"/>
    <mergeCell ref="EE67:EM68"/>
    <mergeCell ref="DZ67:DZ68"/>
    <mergeCell ref="EE88:EM89"/>
    <mergeCell ref="EA89:EB89"/>
    <mergeCell ref="EC89:ED89"/>
    <mergeCell ref="ED92:EE92"/>
    <mergeCell ref="EF92:EG92"/>
    <mergeCell ref="ET92:FE92"/>
    <mergeCell ref="ET93:FE94"/>
    <mergeCell ref="EE87:EF87"/>
    <mergeCell ref="GM50:GU50"/>
    <mergeCell ref="CL71:CM72"/>
    <mergeCell ref="CI63:CJ64"/>
    <mergeCell ref="CL98:CM98"/>
    <mergeCell ref="CS98:CV98"/>
    <mergeCell ref="DZ71:DZ73"/>
    <mergeCell ref="CM78:CP78"/>
    <mergeCell ref="CL87:CM88"/>
    <mergeCell ref="CN79:CO80"/>
    <mergeCell ref="CT71:CV72"/>
    <mergeCell ref="ED37:EI38"/>
    <mergeCell ref="ED54:EI55"/>
    <mergeCell ref="EE93:EK94"/>
    <mergeCell ref="PH168:PI168"/>
    <mergeCell ref="PJ168:PK168"/>
    <mergeCell ref="NU165:NV165"/>
    <mergeCell ref="PL164:PL166"/>
    <mergeCell ref="NU153:NV153"/>
    <mergeCell ref="PL159:PL161"/>
    <mergeCell ref="PL151:PL152"/>
    <mergeCell ref="OG132:OH132"/>
    <mergeCell ref="QD131:QE131"/>
    <mergeCell ref="QF131:QG131"/>
    <mergeCell ref="GF52:GH54"/>
    <mergeCell ref="IS75:IT75"/>
    <mergeCell ref="IS71:IT71"/>
    <mergeCell ref="HO63:HO65"/>
    <mergeCell ref="QB64:QC64"/>
    <mergeCell ref="PV84:PW84"/>
    <mergeCell ref="QA99:QA100"/>
    <mergeCell ref="PL56:PN58"/>
    <mergeCell ref="PX71:PY71"/>
    <mergeCell ref="PP60:PQ60"/>
    <mergeCell ref="PM80:PN80"/>
    <mergeCell ref="QF119:QL119"/>
    <mergeCell ref="PM164:PN164"/>
    <mergeCell ref="PM150:PN150"/>
    <mergeCell ref="PM140:PN140"/>
    <mergeCell ref="PM145:PN145"/>
    <mergeCell ref="QE120:QE121"/>
    <mergeCell ref="MD60:ME60"/>
    <mergeCell ref="GJ57:GO58"/>
    <mergeCell ref="WZ114:XA114"/>
    <mergeCell ref="WZ115:XA115"/>
    <mergeCell ref="WZ116:XA116"/>
    <mergeCell ref="GR56:GS56"/>
    <mergeCell ref="MV69:MW70"/>
    <mergeCell ref="MS68:MT68"/>
    <mergeCell ref="PU119:PV119"/>
    <mergeCell ref="ON122:OS122"/>
    <mergeCell ref="ON123:OS124"/>
    <mergeCell ref="OI119:OI120"/>
    <mergeCell ref="OE118:OI118"/>
    <mergeCell ref="OF119:OH120"/>
    <mergeCell ref="NT129:NV130"/>
    <mergeCell ref="NM128:NS128"/>
    <mergeCell ref="NM129:NS130"/>
    <mergeCell ref="NI129:NK130"/>
    <mergeCell ref="PR80:PS80"/>
    <mergeCell ref="PP81:PY82"/>
    <mergeCell ref="GG119:GL120"/>
    <mergeCell ref="NG111:NH111"/>
    <mergeCell ref="OM123:OM124"/>
    <mergeCell ref="MF110:MG110"/>
    <mergeCell ref="KA61:KB61"/>
    <mergeCell ref="KD61:KN61"/>
    <mergeCell ref="KC86:KD86"/>
    <mergeCell ref="GJ56:GK56"/>
    <mergeCell ref="GV53:GW54"/>
    <mergeCell ref="JA75:JB75"/>
    <mergeCell ref="KC76:KK78"/>
    <mergeCell ref="JD57:JE58"/>
    <mergeCell ref="HB61:HD62"/>
    <mergeCell ref="GV72:GW72"/>
    <mergeCell ref="GM123:GN124"/>
    <mergeCell ref="GO123:GP124"/>
    <mergeCell ref="GU122:GY122"/>
    <mergeCell ref="WG197:WJ197"/>
    <mergeCell ref="XY168:XY169"/>
    <mergeCell ref="XZ168:XZ169"/>
    <mergeCell ref="YA168:YA169"/>
    <mergeCell ref="AAT172:AAT174"/>
    <mergeCell ref="AAT175:AAT177"/>
    <mergeCell ref="WK139:WL139"/>
    <mergeCell ref="WK175:WL175"/>
    <mergeCell ref="WX166:WY167"/>
    <mergeCell ref="XG168:XG169"/>
    <mergeCell ref="XH168:XH169"/>
    <mergeCell ref="XI168:XI169"/>
    <mergeCell ref="XG129:XG130"/>
    <mergeCell ref="XG126:XG128"/>
    <mergeCell ref="XH126:XH128"/>
    <mergeCell ref="XI126:XI128"/>
    <mergeCell ref="XI119:XI120"/>
    <mergeCell ref="XH134:XH136"/>
    <mergeCell ref="XI134:XI136"/>
    <mergeCell ref="MR119:MS120"/>
    <mergeCell ref="MU106:MV106"/>
    <mergeCell ref="MW106:MX106"/>
    <mergeCell ref="VY24:VZ24"/>
    <mergeCell ref="WA24:WB24"/>
    <mergeCell ref="VY25:VZ25"/>
    <mergeCell ref="WA25:WB25"/>
    <mergeCell ref="ABT131:ACH149"/>
    <mergeCell ref="AAU79:ABP79"/>
    <mergeCell ref="AAT126:AAT128"/>
    <mergeCell ref="AAT129:AAT130"/>
    <mergeCell ref="AAT131:AAT133"/>
    <mergeCell ref="WE168:WF169"/>
    <mergeCell ref="WE170:WF171"/>
    <mergeCell ref="WM142:WP142"/>
    <mergeCell ref="WQ142:WR142"/>
    <mergeCell ref="WM137:WP137"/>
    <mergeCell ref="WQ137:WR137"/>
    <mergeCell ref="ABS165:ACG165"/>
    <mergeCell ref="AAT134:AAT136"/>
    <mergeCell ref="AAT139:AAT141"/>
    <mergeCell ref="SN42:SO42"/>
    <mergeCell ref="SN38:SO38"/>
    <mergeCell ref="SR26:SR27"/>
    <mergeCell ref="PM101:PO101"/>
    <mergeCell ref="PM159:PN159"/>
    <mergeCell ref="QH89:QH90"/>
    <mergeCell ref="QH145:QM145"/>
    <mergeCell ref="QE134:QM134"/>
    <mergeCell ref="QE135:QM137"/>
    <mergeCell ref="PO144:PR144"/>
    <mergeCell ref="QB159:QC159"/>
    <mergeCell ref="PP145:PR145"/>
    <mergeCell ref="PS145:PT145"/>
    <mergeCell ref="PZ140:QA140"/>
    <mergeCell ref="PZ126:QA127"/>
    <mergeCell ref="PP100:PQ100"/>
    <mergeCell ref="QE45:QG46"/>
    <mergeCell ref="XA145:XA147"/>
    <mergeCell ref="NS106:NT106"/>
    <mergeCell ref="WZ175:XA177"/>
    <mergeCell ref="XH170:XH171"/>
    <mergeCell ref="XI170:XI171"/>
    <mergeCell ref="XJ170:XJ171"/>
    <mergeCell ref="WO80:WP80"/>
    <mergeCell ref="ACT101:ACU101"/>
    <mergeCell ref="ACY101:ACZ101"/>
    <mergeCell ref="ACT102:ACU102"/>
    <mergeCell ref="ACT103:ACU103"/>
    <mergeCell ref="ADS94:ADT94"/>
    <mergeCell ref="ACT97:ACU97"/>
    <mergeCell ref="ACL99:ACM99"/>
    <mergeCell ref="ADU92:ADV92"/>
    <mergeCell ref="WE178:WF179"/>
    <mergeCell ref="WE180:WF181"/>
    <mergeCell ref="WE182:WF183"/>
    <mergeCell ref="WE184:WF185"/>
    <mergeCell ref="WE172:WF174"/>
    <mergeCell ref="WE175:WF177"/>
    <mergeCell ref="WE186:WF188"/>
    <mergeCell ref="WE189:WF191"/>
    <mergeCell ref="WE192:WF194"/>
    <mergeCell ref="WE197:WF199"/>
    <mergeCell ref="WE200:WF202"/>
    <mergeCell ref="WE203:WF205"/>
    <mergeCell ref="WE206:WF208"/>
    <mergeCell ref="WE209:WF211"/>
    <mergeCell ref="WE195:WF196"/>
    <mergeCell ref="WH173:WI173"/>
    <mergeCell ref="WN168:WO168"/>
    <mergeCell ref="WN170:WO170"/>
    <mergeCell ref="AAT178:AAT179"/>
    <mergeCell ref="AAT180:AAT181"/>
    <mergeCell ref="AAT182:AAT183"/>
    <mergeCell ref="AAT184:AAT185"/>
    <mergeCell ref="AAT186:AAT188"/>
    <mergeCell ref="AAT189:AAT191"/>
    <mergeCell ref="AAT192:AAT194"/>
    <mergeCell ref="AAT195:AAT196"/>
    <mergeCell ref="AAT197:AAT199"/>
    <mergeCell ref="AAT200:AAT202"/>
    <mergeCell ref="AAT203:AAT205"/>
    <mergeCell ref="AAT206:AAT208"/>
    <mergeCell ref="AAT209:AAT211"/>
    <mergeCell ref="YD168:YD169"/>
    <mergeCell ref="YE168:YE169"/>
    <mergeCell ref="YF168:YF169"/>
    <mergeCell ref="YG168:YG169"/>
    <mergeCell ref="YH168:YH169"/>
    <mergeCell ref="YI168:YI169"/>
    <mergeCell ref="YJ168:YJ169"/>
    <mergeCell ref="YK168:YK169"/>
    <mergeCell ref="YL168:YL169"/>
    <mergeCell ref="YM168:YM169"/>
    <mergeCell ref="WZ182:XA183"/>
    <mergeCell ref="WZ184:XA185"/>
    <mergeCell ref="WQ175:WR175"/>
    <mergeCell ref="YN168:YN169"/>
    <mergeCell ref="YO168:YO169"/>
    <mergeCell ref="YP168:YP169"/>
    <mergeCell ref="WZ180:XA181"/>
    <mergeCell ref="XP170:XP171"/>
    <mergeCell ref="XQ170:XQ171"/>
    <mergeCell ref="XR170:XR171"/>
    <mergeCell ref="AAN172:AAN174"/>
    <mergeCell ref="AAO172:AAO174"/>
    <mergeCell ref="AAP172:AAP174"/>
    <mergeCell ref="AAQ172:AAQ174"/>
    <mergeCell ref="AAR172:AAR174"/>
    <mergeCell ref="AEY275:AEZ275"/>
    <mergeCell ref="AER276:AES276"/>
    <mergeCell ref="AET276:AEU276"/>
    <mergeCell ref="AEW276:AEX276"/>
    <mergeCell ref="AEY276:AEZ276"/>
    <mergeCell ref="AER277:AES277"/>
    <mergeCell ref="AET277:AEU277"/>
    <mergeCell ref="AEW277:AEX277"/>
    <mergeCell ref="AEY277:AEZ277"/>
    <mergeCell ref="AAT142:AAT144"/>
    <mergeCell ref="AAT148:AAT150"/>
    <mergeCell ref="AAT151:AAT154"/>
    <mergeCell ref="AAT155:AAT157"/>
    <mergeCell ref="AAT158:AAT167"/>
    <mergeCell ref="AAT168:AAT169"/>
    <mergeCell ref="AAT170:AAT171"/>
    <mergeCell ref="AFB265:AFC265"/>
    <mergeCell ref="AFD265:AFE265"/>
    <mergeCell ref="AFG265:AFH265"/>
    <mergeCell ref="AFB275:AFC275"/>
    <mergeCell ref="AFD275:AFE275"/>
    <mergeCell ref="AFI254:AFJ254"/>
    <mergeCell ref="AFB255:AFC255"/>
    <mergeCell ref="AFD255:AFE255"/>
    <mergeCell ref="AFB269:AFC269"/>
    <mergeCell ref="AFB274:AFC274"/>
    <mergeCell ref="AFI265:AFJ265"/>
    <mergeCell ref="AFB266:AFC266"/>
    <mergeCell ref="AFD266:AFE266"/>
    <mergeCell ref="AFG266:AFH266"/>
    <mergeCell ref="AFI266:AFJ266"/>
    <mergeCell ref="AFB267:AFC267"/>
    <mergeCell ref="AFD267:AFE267"/>
    <mergeCell ref="AFG267:AFH267"/>
    <mergeCell ref="AFI267:AFJ267"/>
    <mergeCell ref="AFB268:AFC268"/>
    <mergeCell ref="AFD268:AFE268"/>
    <mergeCell ref="AFG268:AFH268"/>
    <mergeCell ref="AFG259:AFH259"/>
    <mergeCell ref="AFI259:AFJ259"/>
    <mergeCell ref="AFB260:AFC260"/>
    <mergeCell ref="AFD260:AFE260"/>
    <mergeCell ref="AFG260:AFH260"/>
    <mergeCell ref="AFB264:AFC264"/>
    <mergeCell ref="AFD264:AFE264"/>
    <mergeCell ref="AFG264:AFH264"/>
    <mergeCell ref="AFI264:AFJ264"/>
    <mergeCell ref="AFI268:AFJ268"/>
    <mergeCell ref="AFD274:AFE274"/>
    <mergeCell ref="AFG274:AFH274"/>
    <mergeCell ref="AFI274:AFJ274"/>
    <mergeCell ref="AFB227:AFC227"/>
    <mergeCell ref="AFD227:AFE227"/>
    <mergeCell ref="AFG227:AFH227"/>
    <mergeCell ref="AFI227:AFJ227"/>
    <mergeCell ref="AFB228:AFC228"/>
    <mergeCell ref="AFD228:AFE228"/>
    <mergeCell ref="AFG228:AFH228"/>
    <mergeCell ref="AFI228:AFJ228"/>
    <mergeCell ref="AFB229:AFC229"/>
    <mergeCell ref="AFD229:AFE229"/>
    <mergeCell ref="AFG229:AFH229"/>
    <mergeCell ref="AFI229:AFJ229"/>
    <mergeCell ref="AFB230:AFC230"/>
    <mergeCell ref="AIN208:AIN211"/>
    <mergeCell ref="AIR208:AIW208"/>
    <mergeCell ref="AIO208:AIP208"/>
    <mergeCell ref="ARB55:ARC55"/>
    <mergeCell ref="ARB60:ARC61"/>
    <mergeCell ref="AGZ302:AHH302"/>
    <mergeCell ref="AHD305:AHD306"/>
    <mergeCell ref="AHE305:AHF306"/>
    <mergeCell ref="AHD274:AHD275"/>
    <mergeCell ref="AGM302:AGN302"/>
    <mergeCell ref="AFG244:AFH244"/>
    <mergeCell ref="AFI244:AFJ244"/>
    <mergeCell ref="AFB245:AFC245"/>
    <mergeCell ref="AFD245:AFE245"/>
    <mergeCell ref="AFG245:AFH245"/>
    <mergeCell ref="AFI245:AFJ245"/>
    <mergeCell ref="AFB246:AFC246"/>
    <mergeCell ref="AFD246:AFE246"/>
    <mergeCell ref="AFG246:AFH246"/>
    <mergeCell ref="AFI246:AFJ246"/>
    <mergeCell ref="AFI260:AFJ260"/>
    <mergeCell ref="AFB261:AFC261"/>
    <mergeCell ref="AFD261:AFE261"/>
    <mergeCell ref="AFG261:AFH261"/>
    <mergeCell ref="AFI261:AFJ261"/>
    <mergeCell ref="AFG277:AFH277"/>
    <mergeCell ref="AFI277:AFJ277"/>
    <mergeCell ref="AFD251:AFE251"/>
    <mergeCell ref="AFG251:AFH251"/>
    <mergeCell ref="AFI251:AFJ251"/>
    <mergeCell ref="AFB252:AFC252"/>
    <mergeCell ref="AFD252:AFE252"/>
    <mergeCell ref="AFG252:AFH252"/>
    <mergeCell ref="AFI252:AFJ252"/>
    <mergeCell ref="AFB253:AFC253"/>
    <mergeCell ref="AFD253:AFE253"/>
    <mergeCell ref="AFG253:AFH253"/>
    <mergeCell ref="AFI253:AFJ253"/>
    <mergeCell ref="AFB254:AFC254"/>
    <mergeCell ref="AFD254:AFE254"/>
    <mergeCell ref="AFG254:AFH254"/>
    <mergeCell ref="AFB256:AFC256"/>
    <mergeCell ref="AFD256:AFE256"/>
    <mergeCell ref="AFG256:AFH256"/>
    <mergeCell ref="AFI256:AFJ256"/>
    <mergeCell ref="AFB257:AFC257"/>
    <mergeCell ref="AFD257:AFE257"/>
    <mergeCell ref="AFG257:AFH257"/>
    <mergeCell ref="AGL261:AGL265"/>
    <mergeCell ref="AGM262:AGO262"/>
    <mergeCell ref="AGY167:AGZ167"/>
    <mergeCell ref="AHH212:AHH213"/>
    <mergeCell ref="AFD230:AFE230"/>
    <mergeCell ref="AFG230:AFH230"/>
    <mergeCell ref="AFI230:AFJ230"/>
    <mergeCell ref="AFB231:AFC231"/>
    <mergeCell ref="AFD231:AFE231"/>
    <mergeCell ref="AFG231:AFH231"/>
    <mergeCell ref="AFI231:AFJ231"/>
    <mergeCell ref="AFB232:AFC232"/>
    <mergeCell ref="AFD232:AFE232"/>
    <mergeCell ref="AFG232:AFH232"/>
    <mergeCell ref="AFI232:AFJ232"/>
    <mergeCell ref="AFB233:AFC233"/>
    <mergeCell ref="ASK165:ASL165"/>
    <mergeCell ref="ARU166:ARU167"/>
    <mergeCell ref="AGR167:AGS167"/>
    <mergeCell ref="AHJ162:AHJ163"/>
    <mergeCell ref="AGO300:AGP300"/>
    <mergeCell ref="AGO297:AGP297"/>
    <mergeCell ref="ARX206:ARY206"/>
    <mergeCell ref="ARZ206:ASA206"/>
    <mergeCell ref="ASB206:ASC206"/>
    <mergeCell ref="AHU36:AHV36"/>
    <mergeCell ref="ASZ59:ATA59"/>
    <mergeCell ref="ATB59:ATC59"/>
    <mergeCell ref="ATD59:ATE59"/>
    <mergeCell ref="ARV59:ARW59"/>
    <mergeCell ref="ASD59:ASE59"/>
    <mergeCell ref="ASF59:ASG59"/>
    <mergeCell ref="ASH59:ASI59"/>
    <mergeCell ref="ASJ59:ASK59"/>
    <mergeCell ref="ASL59:ASM59"/>
    <mergeCell ref="ASN59:ASO59"/>
    <mergeCell ref="ASP59:ASQ59"/>
    <mergeCell ref="ASR59:ASS59"/>
    <mergeCell ref="AST59:ASU59"/>
    <mergeCell ref="ASV59:ASW59"/>
    <mergeCell ref="ASX59:ASY59"/>
    <mergeCell ref="AGO54:AGP54"/>
    <mergeCell ref="AHU75:AHV75"/>
    <mergeCell ref="AHW75:AHX75"/>
    <mergeCell ref="AGM54:AGN54"/>
    <mergeCell ref="AGQ54:AGR54"/>
    <mergeCell ref="AGS54:AGT54"/>
    <mergeCell ref="AGU54:AGV54"/>
    <mergeCell ref="AGW54:AGX54"/>
    <mergeCell ref="AGY54:AGZ54"/>
    <mergeCell ref="AHA54:AHB54"/>
    <mergeCell ref="AHC54:AHD54"/>
    <mergeCell ref="AHE54:AHF54"/>
    <mergeCell ref="AHG54:AHH54"/>
    <mergeCell ref="AHI54:AHJ54"/>
    <mergeCell ref="AHK54:AHL54"/>
    <mergeCell ref="AHM54:AHN54"/>
    <mergeCell ref="AHO54:AHP54"/>
    <mergeCell ref="AHQ54:AHR54"/>
    <mergeCell ref="AHS54:AHT54"/>
    <mergeCell ref="AHU54:AHV54"/>
    <mergeCell ref="AGX273:AGY273"/>
    <mergeCell ref="AGR274:AGY275"/>
    <mergeCell ref="ARU208:ARU210"/>
    <mergeCell ref="ARV192:ARW192"/>
    <mergeCell ref="ARX192:ARY192"/>
    <mergeCell ref="ARZ192:ASA192"/>
    <mergeCell ref="ASB192:ASC192"/>
    <mergeCell ref="ASD192:ASE192"/>
    <mergeCell ref="ASF192:ASG192"/>
    <mergeCell ref="ASH192:ASI192"/>
    <mergeCell ref="ASJ192:ASK192"/>
    <mergeCell ref="ASL192:ASM192"/>
    <mergeCell ref="AGR157:AGS159"/>
    <mergeCell ref="AGT157:AGU159"/>
    <mergeCell ref="AGQ157:AGQ159"/>
    <mergeCell ref="AGR172:AHB172"/>
    <mergeCell ref="AGP162:AHB163"/>
    <mergeCell ref="AHE75:AHF75"/>
    <mergeCell ref="AGM52:AGN52"/>
    <mergeCell ref="AGM321:AGO321"/>
    <mergeCell ref="AGP321:AGQ321"/>
    <mergeCell ref="AGM322:AGO322"/>
    <mergeCell ref="AGP322:AGQ322"/>
    <mergeCell ref="AGM323:AGO323"/>
    <mergeCell ref="AGP323:AGQ323"/>
    <mergeCell ref="ARY28:ASD28"/>
    <mergeCell ref="ARV29:ARX31"/>
    <mergeCell ref="ARY29:ASJ31"/>
    <mergeCell ref="AFG275:AFH275"/>
    <mergeCell ref="AFI275:AFJ275"/>
    <mergeCell ref="AFB276:AFC276"/>
    <mergeCell ref="AFD276:AFE276"/>
    <mergeCell ref="AFG276:AFH276"/>
    <mergeCell ref="AFI276:AFJ276"/>
    <mergeCell ref="AFD269:AFE269"/>
    <mergeCell ref="AFG269:AFH269"/>
    <mergeCell ref="AFI269:AFJ269"/>
    <mergeCell ref="AFB270:AFC270"/>
    <mergeCell ref="AFD270:AFE270"/>
    <mergeCell ref="AFG270:AFH270"/>
    <mergeCell ref="AFI270:AFJ270"/>
    <mergeCell ref="AFB271:AFC271"/>
    <mergeCell ref="AFD271:AFE271"/>
    <mergeCell ref="AFG271:AFH271"/>
    <mergeCell ref="AFI271:AFJ271"/>
    <mergeCell ref="AFB272:AFC272"/>
    <mergeCell ref="AFD272:AFE272"/>
    <mergeCell ref="AFG272:AFH272"/>
    <mergeCell ref="AFI272:AFJ272"/>
    <mergeCell ref="AFB273:AFC273"/>
    <mergeCell ref="AFD273:AFE273"/>
    <mergeCell ref="AFG273:AFH273"/>
    <mergeCell ref="AFI273:AFJ273"/>
    <mergeCell ref="AFG255:AFH255"/>
    <mergeCell ref="AFI255:AFJ255"/>
    <mergeCell ref="AFB277:AFC277"/>
    <mergeCell ref="AFD277:AFE277"/>
    <mergeCell ref="AGM256:AGN256"/>
    <mergeCell ref="AGM278:AGO278"/>
    <mergeCell ref="AGM232:AGN232"/>
    <mergeCell ref="AGM236:AGN236"/>
    <mergeCell ref="AGO237:AGP237"/>
    <mergeCell ref="AGM237:AGN237"/>
    <mergeCell ref="AGN317:AGN318"/>
    <mergeCell ref="AGM170:AGN170"/>
    <mergeCell ref="AGM169:AGN169"/>
    <mergeCell ref="AGY75:AGZ75"/>
    <mergeCell ref="AHA75:AHB75"/>
    <mergeCell ref="AFI250:AFJ250"/>
    <mergeCell ref="AFB251:AFC251"/>
    <mergeCell ref="AFI239:AFJ239"/>
    <mergeCell ref="AFB240:AFC240"/>
    <mergeCell ref="AFD240:AFE240"/>
    <mergeCell ref="AFG240:AFH240"/>
    <mergeCell ref="AFI240:AFJ240"/>
    <mergeCell ref="AFB241:AFC241"/>
    <mergeCell ref="AFD241:AFE241"/>
    <mergeCell ref="AFG241:AFH241"/>
    <mergeCell ref="AFI241:AFJ241"/>
    <mergeCell ref="AFB242:AFC242"/>
    <mergeCell ref="AFD242:AFE242"/>
    <mergeCell ref="AFG242:AFH242"/>
    <mergeCell ref="AFI242:AFJ242"/>
    <mergeCell ref="ATD137:ATE137"/>
    <mergeCell ref="ASE28:ASF28"/>
    <mergeCell ref="ARU106:ARU108"/>
    <mergeCell ref="ATC95:ATD95"/>
    <mergeCell ref="ASK28:ASL28"/>
    <mergeCell ref="ASM28:ASN28"/>
    <mergeCell ref="ASK29:ASL30"/>
    <mergeCell ref="ASM29:ASN30"/>
    <mergeCell ref="ASK31:ASR31"/>
    <mergeCell ref="ARV55:ARW55"/>
    <mergeCell ref="ASP103:ASP104"/>
    <mergeCell ref="ARU98:ARU100"/>
    <mergeCell ref="ASI114:ASJ114"/>
    <mergeCell ref="ASP110:ASS110"/>
    <mergeCell ref="ASS130:AST131"/>
    <mergeCell ref="ASR123:ASS123"/>
    <mergeCell ref="AST123:ASU123"/>
    <mergeCell ref="ASI107:ASJ108"/>
    <mergeCell ref="ASR129:ASU129"/>
    <mergeCell ref="ASI102:ASJ102"/>
    <mergeCell ref="ARV82:ARW82"/>
    <mergeCell ref="ASS28:ASU28"/>
    <mergeCell ref="ASS29:ASU31"/>
    <mergeCell ref="ARU110:ARW112"/>
    <mergeCell ref="ARU118:ARW120"/>
    <mergeCell ref="ASP111:ASP112"/>
    <mergeCell ref="ASP134:ASQ135"/>
    <mergeCell ref="ASN111:ASO112"/>
    <mergeCell ref="ASX123:ASY123"/>
    <mergeCell ref="ASZ123:ATA123"/>
    <mergeCell ref="ATB123:ATC123"/>
    <mergeCell ref="ASN103:ASO104"/>
    <mergeCell ref="ASK103:ASL104"/>
    <mergeCell ref="ASI55:ASJ55"/>
    <mergeCell ref="ASK82:ASL82"/>
    <mergeCell ref="ASG118:ASH118"/>
    <mergeCell ref="ASI118:ASJ118"/>
    <mergeCell ref="ASM98:ASP98"/>
    <mergeCell ref="ASM99:ASM100"/>
    <mergeCell ref="ASN99:ASO100"/>
    <mergeCell ref="ASP99:ASP100"/>
    <mergeCell ref="ASM103:ASM104"/>
    <mergeCell ref="ARU102:ARU104"/>
    <mergeCell ref="ASM114:ASP114"/>
    <mergeCell ref="ASM115:ASM116"/>
    <mergeCell ref="ASN115:ASO116"/>
    <mergeCell ref="ASG106:ASH106"/>
    <mergeCell ref="ASI106:ASJ106"/>
    <mergeCell ref="ARX91:ARY91"/>
    <mergeCell ref="ASA91:ASK91"/>
    <mergeCell ref="ARV103:ASH104"/>
    <mergeCell ref="ASI103:ASJ104"/>
    <mergeCell ref="ARV99:ASH100"/>
    <mergeCell ref="ASN110:ASO110"/>
    <mergeCell ref="ASK107:ASL108"/>
    <mergeCell ref="ASG98:ASH98"/>
    <mergeCell ref="ASI98:ASJ98"/>
    <mergeCell ref="ASK106:ASL106"/>
    <mergeCell ref="ASM106:ASP106"/>
    <mergeCell ref="ASM107:ASM108"/>
    <mergeCell ref="ASN107:ASO108"/>
    <mergeCell ref="ASP107:ASP108"/>
    <mergeCell ref="ASQ83:ATB85"/>
    <mergeCell ref="ARY110:ARZ110"/>
    <mergeCell ref="AEW266:AEX266"/>
    <mergeCell ref="AEY266:AEZ266"/>
    <mergeCell ref="AER267:AES267"/>
    <mergeCell ref="AFB244:AFC244"/>
    <mergeCell ref="AFD244:AFE244"/>
    <mergeCell ref="AEY237:AEZ237"/>
    <mergeCell ref="AER238:AES238"/>
    <mergeCell ref="AET238:AEU238"/>
    <mergeCell ref="AEW238:AEX238"/>
    <mergeCell ref="AEY238:AEZ238"/>
    <mergeCell ref="AET267:AEU267"/>
    <mergeCell ref="AEW267:AEX267"/>
    <mergeCell ref="AEY267:AEZ267"/>
    <mergeCell ref="AFI236:AFJ236"/>
    <mergeCell ref="AFB237:AFC237"/>
    <mergeCell ref="AFB238:AFC238"/>
    <mergeCell ref="AFD238:AFE238"/>
    <mergeCell ref="AFG238:AFH238"/>
    <mergeCell ref="AFI238:AFJ238"/>
    <mergeCell ref="AFB239:AFC239"/>
    <mergeCell ref="AFD239:AFE239"/>
    <mergeCell ref="AFG239:AFH239"/>
    <mergeCell ref="AFB262:AFC262"/>
    <mergeCell ref="AFD262:AFE262"/>
    <mergeCell ref="AFG262:AFH262"/>
    <mergeCell ref="AFI262:AFJ262"/>
    <mergeCell ref="AFB263:AFC263"/>
    <mergeCell ref="AFD263:AFE263"/>
    <mergeCell ref="AFG263:AFH263"/>
    <mergeCell ref="AFI263:AFJ263"/>
    <mergeCell ref="AFB247:AFC247"/>
    <mergeCell ref="AFD247:AFE247"/>
    <mergeCell ref="AFG247:AFH247"/>
    <mergeCell ref="AFI247:AFJ247"/>
    <mergeCell ref="AFB248:AFC248"/>
    <mergeCell ref="AFD248:AFE248"/>
    <mergeCell ref="AFG248:AFH248"/>
    <mergeCell ref="AFI248:AFJ248"/>
    <mergeCell ref="AFB249:AFC249"/>
    <mergeCell ref="AFD249:AFE249"/>
    <mergeCell ref="AFG249:AFH249"/>
    <mergeCell ref="AFI249:AFJ249"/>
    <mergeCell ref="AFB250:AFC250"/>
    <mergeCell ref="AFD250:AFE250"/>
    <mergeCell ref="AFG250:AFH250"/>
    <mergeCell ref="AFB243:AFC243"/>
    <mergeCell ref="AFD243:AFE243"/>
    <mergeCell ref="AFG243:AFH243"/>
    <mergeCell ref="AFI243:AFJ243"/>
    <mergeCell ref="AFI257:AFJ257"/>
    <mergeCell ref="AFB258:AFC258"/>
    <mergeCell ref="AFD258:AFE258"/>
    <mergeCell ref="AFG258:AFH258"/>
    <mergeCell ref="AFI258:AFJ258"/>
    <mergeCell ref="AFB259:AFC259"/>
    <mergeCell ref="AER268:AES268"/>
    <mergeCell ref="AET268:AEU268"/>
    <mergeCell ref="AEW268:AEX268"/>
    <mergeCell ref="AEY268:AEZ268"/>
    <mergeCell ref="AER269:AES269"/>
    <mergeCell ref="AET269:AEU269"/>
    <mergeCell ref="AEW269:AEX269"/>
    <mergeCell ref="AEY269:AEZ269"/>
    <mergeCell ref="AER270:AES270"/>
    <mergeCell ref="AET270:AEU270"/>
    <mergeCell ref="AEW270:AEX270"/>
    <mergeCell ref="AEY270:AEZ270"/>
    <mergeCell ref="AEY247:AEZ247"/>
    <mergeCell ref="AER248:AES248"/>
    <mergeCell ref="AET248:AEU248"/>
    <mergeCell ref="AEW248:AEX248"/>
    <mergeCell ref="AEY248:AEZ248"/>
    <mergeCell ref="AER249:AES249"/>
    <mergeCell ref="AET249:AEU249"/>
    <mergeCell ref="AEW249:AEX249"/>
    <mergeCell ref="AEY249:AEZ249"/>
    <mergeCell ref="AER250:AES250"/>
    <mergeCell ref="AET250:AEU250"/>
    <mergeCell ref="AEW250:AEX250"/>
    <mergeCell ref="AEY250:AEZ250"/>
    <mergeCell ref="AER251:AES251"/>
    <mergeCell ref="AET251:AEU251"/>
    <mergeCell ref="AEW251:AEX251"/>
    <mergeCell ref="AEY251:AEZ251"/>
    <mergeCell ref="AER252:AES252"/>
    <mergeCell ref="AET252:AEU252"/>
    <mergeCell ref="AEW252:AEX252"/>
    <mergeCell ref="AEY252:AEZ252"/>
    <mergeCell ref="AER253:AES253"/>
    <mergeCell ref="AET253:AEU253"/>
    <mergeCell ref="AEW253:AEX253"/>
    <mergeCell ref="AEY253:AEZ253"/>
    <mergeCell ref="AET254:AEU254"/>
    <mergeCell ref="AEW254:AEX254"/>
    <mergeCell ref="AEY254:AEZ254"/>
    <mergeCell ref="AER255:AES255"/>
    <mergeCell ref="AET255:AEU255"/>
    <mergeCell ref="AEW255:AEX255"/>
    <mergeCell ref="AER257:AES257"/>
    <mergeCell ref="AET257:AEU257"/>
    <mergeCell ref="AEW257:AEX257"/>
    <mergeCell ref="AEY257:AEZ257"/>
    <mergeCell ref="AER258:AES258"/>
    <mergeCell ref="AET258:AEU258"/>
    <mergeCell ref="AEW258:AEX258"/>
    <mergeCell ref="AEY258:AEZ258"/>
    <mergeCell ref="AER259:AES259"/>
    <mergeCell ref="AET259:AEU259"/>
    <mergeCell ref="AEW259:AEX259"/>
    <mergeCell ref="AEY259:AEZ259"/>
    <mergeCell ref="AER260:AES260"/>
    <mergeCell ref="AER261:AES261"/>
    <mergeCell ref="AET261:AEU261"/>
    <mergeCell ref="AER265:AES265"/>
    <mergeCell ref="AET265:AEU265"/>
    <mergeCell ref="AEW265:AEX265"/>
    <mergeCell ref="AEY265:AEZ265"/>
    <mergeCell ref="AER266:AES266"/>
    <mergeCell ref="AET266:AEU266"/>
    <mergeCell ref="AFD259:AFE259"/>
    <mergeCell ref="AEM252:AEN252"/>
    <mergeCell ref="AEH270:AEI270"/>
    <mergeCell ref="AEJ270:AEK270"/>
    <mergeCell ref="AEM270:AEN270"/>
    <mergeCell ref="AEO270:AEP270"/>
    <mergeCell ref="AEH271:AEI271"/>
    <mergeCell ref="AEJ271:AEK271"/>
    <mergeCell ref="AEM271:AEN271"/>
    <mergeCell ref="AEO271:AEP271"/>
    <mergeCell ref="AEH272:AEI272"/>
    <mergeCell ref="AEJ272:AEK272"/>
    <mergeCell ref="AEM272:AEN272"/>
    <mergeCell ref="AEO272:AEP272"/>
    <mergeCell ref="AEH273:AEI273"/>
    <mergeCell ref="AEJ273:AEK273"/>
    <mergeCell ref="AEM273:AEN273"/>
    <mergeCell ref="AEO273:AEP273"/>
    <mergeCell ref="AEH274:AEI274"/>
    <mergeCell ref="AEJ274:AEK274"/>
    <mergeCell ref="AEM274:AEN274"/>
    <mergeCell ref="AEO274:AEP274"/>
    <mergeCell ref="AEM260:AEN260"/>
    <mergeCell ref="AEH247:AEI247"/>
    <mergeCell ref="AEJ247:AEK247"/>
    <mergeCell ref="AEM247:AEN247"/>
    <mergeCell ref="AEO247:AEP247"/>
    <mergeCell ref="AEH248:AEI248"/>
    <mergeCell ref="AEJ248:AEK248"/>
    <mergeCell ref="AEM248:AEN248"/>
    <mergeCell ref="AEO248:AEP248"/>
    <mergeCell ref="AEH249:AEI249"/>
    <mergeCell ref="AEJ249:AEK249"/>
    <mergeCell ref="AEM249:AEN249"/>
    <mergeCell ref="AEO249:AEP249"/>
    <mergeCell ref="AEH250:AEI250"/>
    <mergeCell ref="AEJ250:AEK250"/>
    <mergeCell ref="AEM250:AEN250"/>
    <mergeCell ref="AEO250:AEP250"/>
    <mergeCell ref="AEH251:AEI251"/>
    <mergeCell ref="AEJ251:AEK251"/>
    <mergeCell ref="AEM251:AEN251"/>
    <mergeCell ref="AEO251:AEP251"/>
    <mergeCell ref="AEH252:AEI252"/>
    <mergeCell ref="AEJ252:AEK252"/>
    <mergeCell ref="AEO252:AEP252"/>
    <mergeCell ref="AEH253:AEI253"/>
    <mergeCell ref="AEJ253:AEK253"/>
    <mergeCell ref="AEM253:AEN253"/>
    <mergeCell ref="AEO253:AEP253"/>
    <mergeCell ref="AEO254:AEP254"/>
    <mergeCell ref="AEH255:AEI255"/>
    <mergeCell ref="AEJ255:AEK255"/>
    <mergeCell ref="AEM255:AEN255"/>
    <mergeCell ref="AEO255:AEP255"/>
    <mergeCell ref="AEH256:AEI256"/>
    <mergeCell ref="AEJ256:AEK256"/>
    <mergeCell ref="AEM256:AEN256"/>
    <mergeCell ref="AEO256:AEP256"/>
    <mergeCell ref="AEH257:AEI257"/>
    <mergeCell ref="AEJ257:AEK257"/>
    <mergeCell ref="AEM257:AEN257"/>
    <mergeCell ref="AEO257:AEP257"/>
    <mergeCell ref="AEH258:AEI258"/>
    <mergeCell ref="AEH275:AEI275"/>
    <mergeCell ref="AEJ275:AEK275"/>
    <mergeCell ref="AEM275:AEN275"/>
    <mergeCell ref="AEO275:AEP275"/>
    <mergeCell ref="AEH276:AEI276"/>
    <mergeCell ref="AEJ276:AEK276"/>
    <mergeCell ref="AEM276:AEN276"/>
    <mergeCell ref="AEO276:AEP276"/>
    <mergeCell ref="AEH277:AEI277"/>
    <mergeCell ref="AEJ277:AEK277"/>
    <mergeCell ref="AEM277:AEN277"/>
    <mergeCell ref="AEO277:AEP277"/>
    <mergeCell ref="AEH261:AEI261"/>
    <mergeCell ref="AEJ261:AEK261"/>
    <mergeCell ref="AEM261:AEN261"/>
    <mergeCell ref="AEO261:AEP261"/>
    <mergeCell ref="AEH262:AEI262"/>
    <mergeCell ref="AEJ262:AEK262"/>
    <mergeCell ref="AEM262:AEN262"/>
    <mergeCell ref="AEO262:AEP262"/>
    <mergeCell ref="AEH263:AEI263"/>
    <mergeCell ref="AEJ263:AEK263"/>
    <mergeCell ref="AEM263:AEN263"/>
    <mergeCell ref="AEO263:AEP263"/>
    <mergeCell ref="AEH264:AEI264"/>
    <mergeCell ref="AEJ264:AEK264"/>
    <mergeCell ref="AEM264:AEN264"/>
    <mergeCell ref="AEO264:AEP264"/>
    <mergeCell ref="AEH265:AEI265"/>
    <mergeCell ref="AEJ265:AEK265"/>
    <mergeCell ref="AEM265:AEN265"/>
    <mergeCell ref="AEO265:AEP265"/>
    <mergeCell ref="AEH266:AEI266"/>
    <mergeCell ref="AEJ266:AEK266"/>
    <mergeCell ref="AEM266:AEN266"/>
    <mergeCell ref="AEO266:AEP266"/>
    <mergeCell ref="AEH267:AEI267"/>
    <mergeCell ref="AEJ267:AEK267"/>
    <mergeCell ref="AEM267:AEN267"/>
    <mergeCell ref="AEO267:AEP267"/>
    <mergeCell ref="AEH268:AEI268"/>
    <mergeCell ref="AEJ268:AEK268"/>
    <mergeCell ref="AEM268:AEN268"/>
    <mergeCell ref="AEO268:AEP268"/>
    <mergeCell ref="AEH269:AEI269"/>
    <mergeCell ref="AEJ269:AEK269"/>
    <mergeCell ref="AEM269:AEN269"/>
    <mergeCell ref="AEO269:AEP269"/>
    <mergeCell ref="AEJ258:AEK258"/>
    <mergeCell ref="AEM258:AEN258"/>
    <mergeCell ref="AEO258:AEP258"/>
    <mergeCell ref="AEH259:AEI259"/>
    <mergeCell ref="AEJ259:AEK259"/>
    <mergeCell ref="AEM259:AEN259"/>
    <mergeCell ref="AEO259:AEP259"/>
    <mergeCell ref="AEH260:AEI260"/>
    <mergeCell ref="AEJ260:AEK260"/>
    <mergeCell ref="AEO260:AEP260"/>
    <mergeCell ref="AEO242:AEP242"/>
    <mergeCell ref="AEH243:AEI243"/>
    <mergeCell ref="AEJ243:AEK243"/>
    <mergeCell ref="AEM243:AEN243"/>
    <mergeCell ref="AEO243:AEP243"/>
    <mergeCell ref="AEH244:AEI244"/>
    <mergeCell ref="AEJ244:AEK244"/>
    <mergeCell ref="AEM244:AEN244"/>
    <mergeCell ref="AEO244:AEP244"/>
    <mergeCell ref="AEH245:AEI245"/>
    <mergeCell ref="AEJ245:AEK245"/>
    <mergeCell ref="AEM245:AEN245"/>
    <mergeCell ref="AEO245:AEP245"/>
    <mergeCell ref="AEH246:AEI246"/>
    <mergeCell ref="AEJ246:AEK246"/>
    <mergeCell ref="AEM246:AEN246"/>
    <mergeCell ref="AEO246:AEP246"/>
    <mergeCell ref="ACV134:ACW134"/>
    <mergeCell ref="ACT109:ACU109"/>
    <mergeCell ref="ACQ116:ACR116"/>
    <mergeCell ref="ACT118:ACU118"/>
    <mergeCell ref="ACJ117:ACK117"/>
    <mergeCell ref="ACJ118:ACK118"/>
    <mergeCell ref="ACV109:ACW109"/>
    <mergeCell ref="ADA109:ADB109"/>
    <mergeCell ref="ADD109:ADE109"/>
    <mergeCell ref="ADF109:ADG109"/>
    <mergeCell ref="ADI109:ADJ109"/>
    <mergeCell ref="ADA115:ADB115"/>
    <mergeCell ref="ADD115:ADE115"/>
    <mergeCell ref="ADF115:ADG115"/>
    <mergeCell ref="ADD133:ADE133"/>
    <mergeCell ref="ADF133:ADG133"/>
    <mergeCell ref="ADI133:ADJ133"/>
    <mergeCell ref="ADK133:ADL133"/>
    <mergeCell ref="ADN124:ADO124"/>
    <mergeCell ref="ADP124:ADQ124"/>
    <mergeCell ref="ADA132:ADB132"/>
    <mergeCell ref="ADD132:ADE132"/>
    <mergeCell ref="ADF132:ADG132"/>
    <mergeCell ref="ADI132:ADJ132"/>
    <mergeCell ref="ADK132:ADL132"/>
    <mergeCell ref="ACV133:ACW133"/>
    <mergeCell ref="ADA133:ADB133"/>
    <mergeCell ref="ADI120:ADJ120"/>
    <mergeCell ref="ADK120:ADL120"/>
    <mergeCell ref="ADF111:ADG111"/>
    <mergeCell ref="ADI111:ADJ111"/>
    <mergeCell ref="ADK111:ADL111"/>
    <mergeCell ref="ADF123:ADG123"/>
    <mergeCell ref="ADI259:ADJ259"/>
    <mergeCell ref="ADK259:ADL259"/>
    <mergeCell ref="ADN259:ADO259"/>
    <mergeCell ref="ADP259:ADQ259"/>
    <mergeCell ref="AER245:AES245"/>
    <mergeCell ref="AER241:AES241"/>
    <mergeCell ref="AET241:AEU241"/>
    <mergeCell ref="AEW241:AEX241"/>
    <mergeCell ref="AEY241:AEZ241"/>
    <mergeCell ref="AER242:AES242"/>
    <mergeCell ref="AET242:AEU242"/>
    <mergeCell ref="AEW242:AEX242"/>
    <mergeCell ref="AEY242:AEZ242"/>
    <mergeCell ref="AER243:AES243"/>
    <mergeCell ref="AET243:AEU243"/>
    <mergeCell ref="AEW243:AEX243"/>
    <mergeCell ref="AEY243:AEZ243"/>
    <mergeCell ref="AER244:AES244"/>
    <mergeCell ref="AET244:AEU244"/>
    <mergeCell ref="AEW244:AEX244"/>
    <mergeCell ref="AEY244:AEZ244"/>
    <mergeCell ref="AET245:AEU245"/>
    <mergeCell ref="AEW245:AEX245"/>
    <mergeCell ref="AEY245:AEZ245"/>
    <mergeCell ref="AER232:AES232"/>
    <mergeCell ref="AET232:AEU232"/>
    <mergeCell ref="AEW232:AEX232"/>
    <mergeCell ref="AEY232:AEZ232"/>
    <mergeCell ref="AER233:AES233"/>
    <mergeCell ref="AET233:AEU233"/>
    <mergeCell ref="AEW233:AEX233"/>
    <mergeCell ref="AEY233:AEZ233"/>
    <mergeCell ref="AER234:AES234"/>
    <mergeCell ref="AET234:AEU234"/>
    <mergeCell ref="AEW234:AEX234"/>
    <mergeCell ref="AEY234:AEZ234"/>
    <mergeCell ref="AER235:AES235"/>
    <mergeCell ref="AET235:AEU235"/>
    <mergeCell ref="AEW235:AEX235"/>
    <mergeCell ref="AEY235:AEZ235"/>
    <mergeCell ref="AET236:AEU236"/>
    <mergeCell ref="AEW236:AEX236"/>
    <mergeCell ref="AEY236:AEZ236"/>
    <mergeCell ref="AER237:AES237"/>
    <mergeCell ref="AET237:AEU237"/>
    <mergeCell ref="AEW237:AEX237"/>
    <mergeCell ref="ZT104:ZT106"/>
    <mergeCell ref="ZU104:ZU106"/>
    <mergeCell ref="ZV104:ZV106"/>
    <mergeCell ref="ZW104:ZW106"/>
    <mergeCell ref="YV104:YV106"/>
    <mergeCell ref="YW104:YW106"/>
    <mergeCell ref="YX104:YX106"/>
    <mergeCell ref="YY104:YY106"/>
    <mergeCell ref="ZK104:ZK106"/>
    <mergeCell ref="ZL104:ZL106"/>
    <mergeCell ref="ZM104:ZM106"/>
    <mergeCell ref="AAN104:AAN106"/>
    <mergeCell ref="AAJ107:AAJ108"/>
    <mergeCell ref="AAK107:AAK108"/>
    <mergeCell ref="AAL107:AAL108"/>
    <mergeCell ref="AAM107:AAM108"/>
    <mergeCell ref="AAN107:AAN108"/>
    <mergeCell ref="ZY104:ZY106"/>
    <mergeCell ref="ZZ104:ZZ106"/>
    <mergeCell ref="AAA104:AAA106"/>
    <mergeCell ref="ACY130:ACZ130"/>
    <mergeCell ref="ACY131:ACZ131"/>
    <mergeCell ref="ACH129:ACH130"/>
    <mergeCell ref="ACV112:ACW112"/>
    <mergeCell ref="ACV128:ACW128"/>
    <mergeCell ref="ADA111:ADB111"/>
    <mergeCell ref="ADD111:ADE111"/>
    <mergeCell ref="ACJ127:ACK127"/>
    <mergeCell ref="ACL128:ACM128"/>
    <mergeCell ref="ABT129:ACG130"/>
    <mergeCell ref="ACT110:ACU110"/>
    <mergeCell ref="ADA112:ADB112"/>
    <mergeCell ref="ADD112:ADE112"/>
    <mergeCell ref="ACV123:ACW123"/>
    <mergeCell ref="ADA123:ADB123"/>
    <mergeCell ref="ADD123:ADE123"/>
    <mergeCell ref="ADA130:ADB130"/>
    <mergeCell ref="ADD130:ADE130"/>
    <mergeCell ref="AAN129:AAN130"/>
    <mergeCell ref="ZF107:ZF108"/>
    <mergeCell ref="ZG107:ZG108"/>
    <mergeCell ref="ZH107:ZH108"/>
    <mergeCell ref="ZI107:ZI108"/>
    <mergeCell ref="AAB104:AAB106"/>
    <mergeCell ref="ZS129:ZS130"/>
    <mergeCell ref="ZG121:ZG125"/>
    <mergeCell ref="ZH121:ZH125"/>
    <mergeCell ref="ACO123:ACP123"/>
    <mergeCell ref="ACO115:ACP115"/>
    <mergeCell ref="ACT107:ACU107"/>
    <mergeCell ref="AAJ104:AAJ106"/>
    <mergeCell ref="AAK104:AAK106"/>
    <mergeCell ref="AAL104:AAL106"/>
    <mergeCell ref="AAM104:AAM106"/>
    <mergeCell ref="AAL119:AAL120"/>
    <mergeCell ref="AAM119:AAM120"/>
    <mergeCell ref="ADD121:ADE121"/>
    <mergeCell ref="ACV114:ACW114"/>
    <mergeCell ref="ADA114:ADB114"/>
    <mergeCell ref="ADD114:ADE114"/>
    <mergeCell ref="ADF114:ADG114"/>
    <mergeCell ref="AEE11:AEF11"/>
    <mergeCell ref="ADX12:ADY12"/>
    <mergeCell ref="ADZ12:AEA12"/>
    <mergeCell ref="AEC12:AED12"/>
    <mergeCell ref="AEE12:AEF12"/>
    <mergeCell ref="AEH11:AEJ11"/>
    <mergeCell ref="AEK11:AEL11"/>
    <mergeCell ref="AEM11:AEN11"/>
    <mergeCell ref="AEO11:AEP11"/>
    <mergeCell ref="AEH12:AEI12"/>
    <mergeCell ref="AEJ12:AEK12"/>
    <mergeCell ref="AEM12:AEN12"/>
    <mergeCell ref="AEO12:AEP12"/>
    <mergeCell ref="ADN11:ADP11"/>
    <mergeCell ref="ADQ11:ADR11"/>
    <mergeCell ref="ADS11:ADT11"/>
    <mergeCell ref="ADU11:ADV11"/>
    <mergeCell ref="ADN12:ADO12"/>
    <mergeCell ref="ADP12:ADQ12"/>
    <mergeCell ref="ADS12:ADT12"/>
    <mergeCell ref="ADU12:ADV12"/>
    <mergeCell ref="ADX11:ADZ11"/>
    <mergeCell ref="AEA11:AEB11"/>
    <mergeCell ref="AEC11:AED11"/>
    <mergeCell ref="ADN117:ADO117"/>
    <mergeCell ref="ADN113:ADO113"/>
    <mergeCell ref="ADP113:ADQ113"/>
    <mergeCell ref="ADS113:ADT113"/>
    <mergeCell ref="ADU113:ADV113"/>
    <mergeCell ref="ADN99:ADO99"/>
    <mergeCell ref="ADN106:ADO106"/>
    <mergeCell ref="ADP106:ADQ106"/>
    <mergeCell ref="ADS106:ADT106"/>
    <mergeCell ref="ADN15:ADO15"/>
    <mergeCell ref="ADP15:ADQ15"/>
    <mergeCell ref="ADS36:ADT36"/>
    <mergeCell ref="ADP32:ADQ32"/>
    <mergeCell ref="ADS32:ADT32"/>
    <mergeCell ref="ADU32:ADV32"/>
    <mergeCell ref="ADN29:ADO29"/>
    <mergeCell ref="ADZ37:AEA37"/>
    <mergeCell ref="ADZ38:AEA38"/>
    <mergeCell ref="ADZ39:AEA39"/>
    <mergeCell ref="ADZ40:AEA40"/>
    <mergeCell ref="ADZ41:AEA41"/>
    <mergeCell ref="ADZ42:AEA42"/>
    <mergeCell ref="ADN32:ADO32"/>
    <mergeCell ref="AEC38:AED38"/>
    <mergeCell ref="AEC93:AED93"/>
    <mergeCell ref="AEE93:AEF93"/>
    <mergeCell ref="ADZ94:AEA94"/>
    <mergeCell ref="ACV88:ACW88"/>
    <mergeCell ref="ATB73:ATC73"/>
    <mergeCell ref="ATD73:ATE73"/>
    <mergeCell ref="ATF73:ATG73"/>
    <mergeCell ref="AHW54:AHX54"/>
    <mergeCell ref="ATF59:ATG59"/>
    <mergeCell ref="ASF23:ASG23"/>
    <mergeCell ref="ARY23:ASE23"/>
    <mergeCell ref="ASN23:ASP23"/>
    <mergeCell ref="ARV24:ARX26"/>
    <mergeCell ref="ADP118:ADQ118"/>
    <mergeCell ref="AHE36:AHF36"/>
    <mergeCell ref="AHG36:AHH36"/>
    <mergeCell ref="AHI36:AHJ36"/>
    <mergeCell ref="AHK36:AHL36"/>
    <mergeCell ref="AHM36:AHN36"/>
    <mergeCell ref="AHO36:AHP36"/>
    <mergeCell ref="AHQ36:AHR36"/>
    <mergeCell ref="AHS36:AHT36"/>
    <mergeCell ref="AGQ22:AGR22"/>
    <mergeCell ref="AHB59:AHI59"/>
    <mergeCell ref="AHB56:AHC56"/>
    <mergeCell ref="AGZ77:AHA77"/>
    <mergeCell ref="AHF24:AHK24"/>
    <mergeCell ref="ASX73:ASY73"/>
    <mergeCell ref="AEO50:AEP50"/>
    <mergeCell ref="AEM51:AEN51"/>
    <mergeCell ref="AEO51:AEP51"/>
    <mergeCell ref="AEM52:AEN52"/>
    <mergeCell ref="AEO52:AEP52"/>
    <mergeCell ref="ADX84:ADY84"/>
    <mergeCell ref="ADX85:ADY85"/>
    <mergeCell ref="ADN39:ADO39"/>
    <mergeCell ref="ADP39:ADQ39"/>
    <mergeCell ref="ADS50:ADT50"/>
    <mergeCell ref="ASI56:ASJ57"/>
    <mergeCell ref="AQP101:ARB102"/>
    <mergeCell ref="ARF85:ARF86"/>
    <mergeCell ref="ARZ70:ASL71"/>
    <mergeCell ref="ASM70:ASN71"/>
    <mergeCell ref="ASO70:ASP71"/>
    <mergeCell ref="ASQ70:ASQ71"/>
    <mergeCell ref="ASR70:ASS71"/>
    <mergeCell ref="AST70:AST71"/>
    <mergeCell ref="ASM52:ASM53"/>
    <mergeCell ref="ASN52:ASO53"/>
    <mergeCell ref="ASP52:ASP53"/>
    <mergeCell ref="ARU29:ARU31"/>
    <mergeCell ref="AGO30:AGP30"/>
    <mergeCell ref="AGQ30:AGR30"/>
    <mergeCell ref="ASQ65:AST65"/>
    <mergeCell ref="AGO67:AGP67"/>
    <mergeCell ref="ADK26:ADL26"/>
    <mergeCell ref="ASV123:ASW123"/>
    <mergeCell ref="AHM75:AHN75"/>
    <mergeCell ref="AHK29:AHK30"/>
    <mergeCell ref="AGO40:AGO42"/>
    <mergeCell ref="AIM33:AIN33"/>
    <mergeCell ref="AIK34:AIL34"/>
    <mergeCell ref="AIK37:AIL37"/>
    <mergeCell ref="AHS75:AHT75"/>
    <mergeCell ref="ADK116:ADL116"/>
    <mergeCell ref="ADN116:ADO116"/>
    <mergeCell ref="ADP116:ADQ116"/>
    <mergeCell ref="ADS116:ADT116"/>
    <mergeCell ref="ADU116:ADV116"/>
    <mergeCell ref="ASL24:ASM26"/>
    <mergeCell ref="ASN24:ASP26"/>
    <mergeCell ref="ARX59:ARY59"/>
    <mergeCell ref="ARZ59:ASA59"/>
    <mergeCell ref="ASB59:ASC59"/>
    <mergeCell ref="ARV73:ARW73"/>
    <mergeCell ref="ARX73:ARY73"/>
    <mergeCell ref="ARZ73:ASA73"/>
    <mergeCell ref="ASB73:ASC73"/>
    <mergeCell ref="ASD73:ASE73"/>
    <mergeCell ref="ASF73:ASG73"/>
    <mergeCell ref="ASH73:ASI73"/>
    <mergeCell ref="ASJ73:ASK73"/>
    <mergeCell ref="ASL73:ASM73"/>
    <mergeCell ref="ASN73:ASO73"/>
    <mergeCell ref="ASP73:ASQ73"/>
    <mergeCell ref="ARE120:ARF120"/>
    <mergeCell ref="ARG120:ARJ120"/>
    <mergeCell ref="AQP121:ARB122"/>
    <mergeCell ref="ARC121:ARD122"/>
    <mergeCell ref="ARE121:ARF122"/>
    <mergeCell ref="ARG121:ARG122"/>
    <mergeCell ref="ARH121:ARI122"/>
    <mergeCell ref="ARJ121:ARJ122"/>
    <mergeCell ref="AEE104:AEF104"/>
    <mergeCell ref="ASB123:ASC123"/>
    <mergeCell ref="ADN111:ADO111"/>
    <mergeCell ref="ASD123:ASE123"/>
    <mergeCell ref="ASF123:ASG123"/>
    <mergeCell ref="ASH123:ASI123"/>
    <mergeCell ref="ASJ123:ASK123"/>
    <mergeCell ref="ASL123:ASM123"/>
    <mergeCell ref="ASN123:ASO123"/>
    <mergeCell ref="ASP123:ASQ123"/>
    <mergeCell ref="AIQ35:AIR35"/>
    <mergeCell ref="AHG75:AHH75"/>
    <mergeCell ref="ARZ69:ASA69"/>
    <mergeCell ref="AGO32:AGP32"/>
    <mergeCell ref="AGS29:AHA30"/>
    <mergeCell ref="AHL25:AHT26"/>
    <mergeCell ref="AHB24:AHC24"/>
    <mergeCell ref="AGZ24:AHA24"/>
    <mergeCell ref="AEC60:AED60"/>
    <mergeCell ref="AEJ47:AEK47"/>
    <mergeCell ref="AEH48:AEI48"/>
    <mergeCell ref="AEJ48:AEK48"/>
    <mergeCell ref="ADU26:ADV26"/>
    <mergeCell ref="ADU25:ADV25"/>
    <mergeCell ref="AEO49:AEP49"/>
    <mergeCell ref="AEM50:AEN50"/>
    <mergeCell ref="ASZ73:ATA73"/>
    <mergeCell ref="ADP111:ADQ111"/>
    <mergeCell ref="ADS111:ADT111"/>
    <mergeCell ref="ADU111:ADV111"/>
    <mergeCell ref="ADI114:ADJ114"/>
    <mergeCell ref="ADK114:ADL114"/>
    <mergeCell ref="ADN114:ADO114"/>
    <mergeCell ref="ADP114:ADQ114"/>
    <mergeCell ref="ADS114:ADT114"/>
    <mergeCell ref="ADU114:ADV114"/>
    <mergeCell ref="ADD122:ADE122"/>
    <mergeCell ref="ADF122:ADG122"/>
    <mergeCell ref="ADI122:ADJ122"/>
    <mergeCell ref="ADK122:ADL122"/>
    <mergeCell ref="ADN122:ADO122"/>
    <mergeCell ref="ADP85:ADQ85"/>
    <mergeCell ref="ADS85:ADT85"/>
    <mergeCell ref="ADU85:ADV85"/>
    <mergeCell ref="ADF85:ADG85"/>
    <mergeCell ref="ADI85:ADJ85"/>
    <mergeCell ref="ACY86:ACZ86"/>
    <mergeCell ref="ACY87:ACZ87"/>
    <mergeCell ref="ADU106:ADV106"/>
    <mergeCell ref="ADD86:ADE86"/>
    <mergeCell ref="ADF86:ADG86"/>
    <mergeCell ref="ADD87:ADE87"/>
    <mergeCell ref="ADF87:ADG87"/>
    <mergeCell ref="ACV115:ACW115"/>
    <mergeCell ref="ASV73:ASW73"/>
    <mergeCell ref="ACV118:ACW118"/>
    <mergeCell ref="ACV116:ACW116"/>
    <mergeCell ref="ADA116:ADB116"/>
    <mergeCell ref="ADD116:ADE116"/>
    <mergeCell ref="ADF116:ADG116"/>
    <mergeCell ref="ADI116:ADJ116"/>
    <mergeCell ref="AGL85:AGL88"/>
    <mergeCell ref="ACV98:ACW98"/>
    <mergeCell ref="ADA98:ADB98"/>
    <mergeCell ref="ADD98:ADE98"/>
    <mergeCell ref="ADF98:ADG98"/>
    <mergeCell ref="AGM85:AGN85"/>
    <mergeCell ref="AEC94:AED94"/>
    <mergeCell ref="AEE94:AEF94"/>
    <mergeCell ref="ADN112:ADO112"/>
    <mergeCell ref="ADP112:ADQ112"/>
    <mergeCell ref="ADS112:ADT112"/>
    <mergeCell ref="ADP99:ADQ99"/>
    <mergeCell ref="AEC103:AED103"/>
    <mergeCell ref="ADN85:ADO85"/>
    <mergeCell ref="AEE100:AEF100"/>
    <mergeCell ref="AEE101:AEF101"/>
    <mergeCell ref="AEJ90:AEK90"/>
    <mergeCell ref="AEM90:AEN90"/>
    <mergeCell ref="ADF104:ADG104"/>
    <mergeCell ref="ADA88:ADB88"/>
    <mergeCell ref="ADD88:ADE88"/>
    <mergeCell ref="ASU23:ASW23"/>
    <mergeCell ref="ASU24:ASW26"/>
    <mergeCell ref="ARV28:ARW28"/>
    <mergeCell ref="ARV123:ARW123"/>
    <mergeCell ref="ARX123:ARY123"/>
    <mergeCell ref="ADD127:ADE127"/>
    <mergeCell ref="ADF127:ADG127"/>
    <mergeCell ref="ADI127:ADJ127"/>
    <mergeCell ref="ADK127:ADL127"/>
    <mergeCell ref="ACV124:ACW124"/>
    <mergeCell ref="ADK124:ADL124"/>
    <mergeCell ref="ADK85:ADL85"/>
    <mergeCell ref="ADD108:ADE108"/>
    <mergeCell ref="ADK22:ADL22"/>
    <mergeCell ref="ASR19:AST19"/>
    <mergeCell ref="ASR20:AST21"/>
    <mergeCell ref="ARV51:ARW51"/>
    <mergeCell ref="ARV23:ARW23"/>
    <mergeCell ref="ADI123:ADJ123"/>
    <mergeCell ref="ADK123:ADL123"/>
    <mergeCell ref="ADN123:ADO123"/>
    <mergeCell ref="ADP123:ADQ123"/>
    <mergeCell ref="ADS123:ADT123"/>
    <mergeCell ref="ADU123:ADV123"/>
    <mergeCell ref="ASR73:ASS73"/>
    <mergeCell ref="AST73:ASU73"/>
    <mergeCell ref="AEM19:AEN19"/>
    <mergeCell ref="AGU20:AGV20"/>
    <mergeCell ref="AEM34:AEN34"/>
    <mergeCell ref="ADA93:ADB93"/>
    <mergeCell ref="ADD93:ADE93"/>
    <mergeCell ref="ACY21:ACZ21"/>
    <mergeCell ref="ADU31:ADV31"/>
    <mergeCell ref="ADP23:ADQ23"/>
    <mergeCell ref="ADP31:ADQ31"/>
    <mergeCell ref="AEE36:AEF36"/>
    <mergeCell ref="AEC37:AED37"/>
    <mergeCell ref="AEE37:AEF37"/>
    <mergeCell ref="ACY53:ACZ53"/>
    <mergeCell ref="AEM48:AEN48"/>
    <mergeCell ref="AEO48:AEP48"/>
    <mergeCell ref="AEH49:AEI49"/>
    <mergeCell ref="AEJ49:AEK49"/>
    <mergeCell ref="AEO55:AEP55"/>
    <mergeCell ref="AEM84:AEN84"/>
    <mergeCell ref="AEO84:AEP84"/>
    <mergeCell ref="AEM85:AEN85"/>
    <mergeCell ref="AEO85:AEP85"/>
    <mergeCell ref="ACV50:ACW50"/>
    <mergeCell ref="ADN23:ADO23"/>
    <mergeCell ref="AEE28:AEF28"/>
    <mergeCell ref="AEC29:AED29"/>
    <mergeCell ref="AEC23:AED23"/>
    <mergeCell ref="AEE23:AEF23"/>
    <mergeCell ref="ACY62:ACZ62"/>
    <mergeCell ref="ADA62:ADB62"/>
    <mergeCell ref="ACY61:ACZ61"/>
    <mergeCell ref="AHH77:AHJ77"/>
    <mergeCell ref="AHD78:AHD79"/>
    <mergeCell ref="AHE78:AHF79"/>
    <mergeCell ref="AGS67:AGX69"/>
    <mergeCell ref="ACY116:ACZ116"/>
    <mergeCell ref="ACY117:ACZ117"/>
    <mergeCell ref="ACY118:ACZ118"/>
    <mergeCell ref="ACV103:ACW103"/>
    <mergeCell ref="ADA103:ADB103"/>
    <mergeCell ref="ADD103:ADE103"/>
    <mergeCell ref="ADF103:ADG103"/>
    <mergeCell ref="ADI103:ADJ103"/>
    <mergeCell ref="ADK103:ADL103"/>
    <mergeCell ref="WE20:WJ30"/>
    <mergeCell ref="WZ37:XA38"/>
    <mergeCell ref="WZ57:XA58"/>
    <mergeCell ref="WZ25:XA26"/>
    <mergeCell ref="WM23:WN23"/>
    <mergeCell ref="ADU102:ADV102"/>
    <mergeCell ref="AGM51:AGN51"/>
    <mergeCell ref="AGO51:AGP51"/>
    <mergeCell ref="AGQ51:AGY52"/>
    <mergeCell ref="ADN98:ADO98"/>
    <mergeCell ref="ADP98:ADQ98"/>
    <mergeCell ref="ACY107:ACZ107"/>
    <mergeCell ref="ADA107:ADB107"/>
    <mergeCell ref="ADD107:ADE107"/>
    <mergeCell ref="AGY44:AGZ44"/>
    <mergeCell ref="SP22:SQ23"/>
    <mergeCell ref="RZ21:RZ23"/>
    <mergeCell ref="SL21:SM21"/>
    <mergeCell ref="QH151:QH152"/>
    <mergeCell ref="QB135:QC136"/>
    <mergeCell ref="QA135:QA136"/>
    <mergeCell ref="QH146:QM148"/>
    <mergeCell ref="AAT19:AAT20"/>
    <mergeCell ref="AAT137:AAT138"/>
    <mergeCell ref="AAU109:ABH118"/>
    <mergeCell ref="ACV129:ACW129"/>
    <mergeCell ref="ADA129:ADB129"/>
    <mergeCell ref="ADF121:ADG121"/>
    <mergeCell ref="ACV106:ACW106"/>
    <mergeCell ref="ADA106:ADB106"/>
    <mergeCell ref="ADD106:ADE106"/>
    <mergeCell ref="ACV130:ACW130"/>
    <mergeCell ref="ACY114:ACZ114"/>
    <mergeCell ref="ACY115:ACZ115"/>
    <mergeCell ref="ACO95:ACP95"/>
    <mergeCell ref="ACO85:ACP85"/>
    <mergeCell ref="ACT88:ACU88"/>
    <mergeCell ref="ACL114:ACM114"/>
    <mergeCell ref="ACQ115:ACR115"/>
    <mergeCell ref="ACY24:ACZ24"/>
    <mergeCell ref="ADA24:ADB24"/>
    <mergeCell ref="ADF117:ADG117"/>
    <mergeCell ref="ADI117:ADJ117"/>
    <mergeCell ref="ADK117:ADL117"/>
    <mergeCell ref="ADI113:ADJ113"/>
    <mergeCell ref="ADK113:ADL113"/>
    <mergeCell ref="ADF106:ADG106"/>
    <mergeCell ref="ADI106:ADJ106"/>
    <mergeCell ref="ADK99:ADL99"/>
    <mergeCell ref="ACV90:ACW90"/>
    <mergeCell ref="ACV99:ACW99"/>
    <mergeCell ref="ADA99:ADB99"/>
    <mergeCell ref="ADD99:ADE99"/>
    <mergeCell ref="ADF99:ADG99"/>
    <mergeCell ref="ADI99:ADJ99"/>
    <mergeCell ref="ADU105:ADV105"/>
    <mergeCell ref="ADQ83:ADR83"/>
    <mergeCell ref="ADS83:ADT83"/>
    <mergeCell ref="RZ13:RZ15"/>
    <mergeCell ref="QD81:QD82"/>
    <mergeCell ref="MY75:MY76"/>
    <mergeCell ref="PZ67:QH67"/>
    <mergeCell ref="PM78:PN78"/>
    <mergeCell ref="SL13:SM13"/>
    <mergeCell ref="SN17:SO17"/>
    <mergeCell ref="QE60:QF60"/>
    <mergeCell ref="QI57:QI58"/>
    <mergeCell ref="QC57:QD58"/>
    <mergeCell ref="PO66:PP66"/>
    <mergeCell ref="PP73:PQ73"/>
    <mergeCell ref="KJ86:KK86"/>
    <mergeCell ref="WK21:WL21"/>
    <mergeCell ref="WM21:WN21"/>
    <mergeCell ref="WZ21:XA22"/>
    <mergeCell ref="WZ23:XA24"/>
    <mergeCell ref="WO23:WP23"/>
    <mergeCell ref="WQ23:WR23"/>
    <mergeCell ref="WS23:WT23"/>
    <mergeCell ref="WZ107:XA108"/>
    <mergeCell ref="ACL107:ACM107"/>
    <mergeCell ref="ACL108:ACM108"/>
    <mergeCell ref="YT49:YT50"/>
    <mergeCell ref="AAT57:AAT58"/>
    <mergeCell ref="AAT80:AAT81"/>
    <mergeCell ref="SE34:SF34"/>
    <mergeCell ref="SU39:SU40"/>
    <mergeCell ref="SR38:SU38"/>
    <mergeCell ref="SL38:SM38"/>
    <mergeCell ref="SN39:SO40"/>
    <mergeCell ref="SN30:SO30"/>
    <mergeCell ref="SP21:SQ21"/>
    <mergeCell ref="SR21:SU21"/>
    <mergeCell ref="SS31:ST32"/>
    <mergeCell ref="SN31:SO32"/>
    <mergeCell ref="SP31:SQ32"/>
    <mergeCell ref="SR35:SR36"/>
    <mergeCell ref="SR31:SR32"/>
    <mergeCell ref="SP14:SQ15"/>
    <mergeCell ref="SV18:SY19"/>
    <mergeCell ref="SS14:ST15"/>
    <mergeCell ref="SN18:SO19"/>
    <mergeCell ref="SU18:SU19"/>
    <mergeCell ref="ACL95:ACM95"/>
    <mergeCell ref="NE106:NF106"/>
    <mergeCell ref="OM106:ON106"/>
    <mergeCell ref="MQ63:MS63"/>
    <mergeCell ref="MX53:NA54"/>
    <mergeCell ref="MR52:MS52"/>
    <mergeCell ref="ME106:MF106"/>
    <mergeCell ref="MG106:MH106"/>
    <mergeCell ref="PM75:PN75"/>
    <mergeCell ref="QB16:QC16"/>
    <mergeCell ref="QB31:QC32"/>
    <mergeCell ref="QD17:QD18"/>
    <mergeCell ref="QH17:QH18"/>
    <mergeCell ref="PZ25:QA25"/>
    <mergeCell ref="QW13:QX13"/>
    <mergeCell ref="QA41:QA42"/>
    <mergeCell ref="QC61:QD62"/>
    <mergeCell ref="QE57:QE58"/>
    <mergeCell ref="PL98:PL101"/>
    <mergeCell ref="SB28:SC28"/>
    <mergeCell ref="PM18:PN18"/>
    <mergeCell ref="PZ64:QA64"/>
    <mergeCell ref="QE65:QG66"/>
    <mergeCell ref="QA37:QA38"/>
    <mergeCell ref="PY56:PZ56"/>
    <mergeCell ref="NI111:NK111"/>
    <mergeCell ref="PL183:PL186"/>
    <mergeCell ref="QI159:QK159"/>
    <mergeCell ref="PO78:PP78"/>
    <mergeCell ref="ES16:ES17"/>
    <mergeCell ref="EM23:EN23"/>
    <mergeCell ref="EO23:EP23"/>
    <mergeCell ref="EP28:EQ29"/>
    <mergeCell ref="GG27:GH27"/>
    <mergeCell ref="ES28:ET29"/>
    <mergeCell ref="EU28:EU29"/>
    <mergeCell ref="QI16:QZ16"/>
    <mergeCell ref="GJ53:GO54"/>
    <mergeCell ref="ER62:ER63"/>
    <mergeCell ref="IR57:IR58"/>
    <mergeCell ref="JF61:JF62"/>
    <mergeCell ref="IY61:IZ62"/>
    <mergeCell ref="PL179:PL181"/>
    <mergeCell ref="QD140:QH140"/>
    <mergeCell ref="EO109:EQ110"/>
    <mergeCell ref="ET104:FB104"/>
    <mergeCell ref="ET105:FB106"/>
    <mergeCell ref="MK100:MW100"/>
    <mergeCell ref="PY184:PZ185"/>
    <mergeCell ref="PW186:QD186"/>
    <mergeCell ref="QB184:QC185"/>
    <mergeCell ref="MT118:MX118"/>
    <mergeCell ref="NA132:NB132"/>
    <mergeCell ref="NO106:NP106"/>
    <mergeCell ref="NQ106:NR106"/>
    <mergeCell ref="NH129:NH130"/>
    <mergeCell ref="NM132:NN132"/>
    <mergeCell ref="NO132:NP132"/>
    <mergeCell ref="NQ132:NR132"/>
    <mergeCell ref="OE122:OI122"/>
    <mergeCell ref="NI109:NK109"/>
    <mergeCell ref="NM123:NM124"/>
    <mergeCell ref="PM173:PN173"/>
    <mergeCell ref="MP119:MQ120"/>
    <mergeCell ref="PM108:PN108"/>
    <mergeCell ref="NU152:NV152"/>
    <mergeCell ref="OS132:OT132"/>
    <mergeCell ref="PZ131:QA131"/>
    <mergeCell ref="PR131:PS131"/>
    <mergeCell ref="MD114:ME116"/>
    <mergeCell ref="MF114:MJ116"/>
    <mergeCell ref="NO114:NP116"/>
    <mergeCell ref="NQ114:NU116"/>
    <mergeCell ref="NI132:NJ132"/>
    <mergeCell ref="OC119:OD120"/>
    <mergeCell ref="OC122:OD122"/>
    <mergeCell ref="MB52:MB54"/>
    <mergeCell ref="MD59:ME59"/>
    <mergeCell ref="KQ87:KR88"/>
    <mergeCell ref="PW154:PX154"/>
    <mergeCell ref="PP99:PQ99"/>
    <mergeCell ref="PM99:PO99"/>
    <mergeCell ref="PM100:PO100"/>
    <mergeCell ref="QE99:QE100"/>
    <mergeCell ref="JP19:JQ19"/>
    <mergeCell ref="JR19:JS19"/>
    <mergeCell ref="PS17:PT17"/>
    <mergeCell ref="PP25:PQ25"/>
    <mergeCell ref="PR25:PS25"/>
    <mergeCell ref="PM67:PP67"/>
    <mergeCell ref="QD44:QH44"/>
    <mergeCell ref="SP17:SQ17"/>
    <mergeCell ref="RZ17:RZ19"/>
    <mergeCell ref="SL17:SM17"/>
    <mergeCell ref="QU34:QV34"/>
    <mergeCell ref="QW34:QX34"/>
    <mergeCell ref="QY34:QZ34"/>
    <mergeCell ref="RA34:RB34"/>
    <mergeCell ref="PM73:PO73"/>
    <mergeCell ref="PP80:PQ80"/>
    <mergeCell ref="PN81:PO81"/>
    <mergeCell ref="PN82:PO82"/>
    <mergeCell ref="PP88:PQ88"/>
    <mergeCell ref="QC85:QC86"/>
    <mergeCell ref="PY88:PZ88"/>
    <mergeCell ref="QE56:QI56"/>
    <mergeCell ref="QJ75:QW75"/>
    <mergeCell ref="QJ76:QW78"/>
    <mergeCell ref="PM71:PN71"/>
    <mergeCell ref="PL44:PL46"/>
    <mergeCell ref="QD49:QD50"/>
    <mergeCell ref="PQ49:PR49"/>
    <mergeCell ref="PZ48:QA48"/>
    <mergeCell ref="QD48:QH48"/>
    <mergeCell ref="QE49:QG50"/>
    <mergeCell ref="QH49:QH50"/>
    <mergeCell ref="PL84:PN86"/>
    <mergeCell ref="QB26:QC27"/>
    <mergeCell ref="PZ29:QD29"/>
    <mergeCell ref="QF29:QH29"/>
    <mergeCell ref="QJ26:QJ27"/>
    <mergeCell ref="MF59:MO60"/>
    <mergeCell ref="KP75:KS75"/>
    <mergeCell ref="SB19:SC19"/>
    <mergeCell ref="QK26:QY28"/>
    <mergeCell ref="QF26:QF27"/>
    <mergeCell ref="PO56:PO58"/>
    <mergeCell ref="MT52:MW52"/>
    <mergeCell ref="MU78:MX78"/>
    <mergeCell ref="MK73:MM73"/>
    <mergeCell ref="MH83:MR83"/>
    <mergeCell ref="ND64:ND66"/>
    <mergeCell ref="MW59:MW60"/>
    <mergeCell ref="MN63:MP63"/>
    <mergeCell ref="OH85:OJ87"/>
    <mergeCell ref="MP68:MR68"/>
    <mergeCell ref="MS69:MT70"/>
    <mergeCell ref="MU69:MU70"/>
    <mergeCell ref="KC45:KD45"/>
    <mergeCell ref="JY50:JZ50"/>
    <mergeCell ref="MD38:ME38"/>
    <mergeCell ref="KQ34:KU36"/>
    <mergeCell ref="MB16:MD17"/>
    <mergeCell ref="MC52:MD52"/>
    <mergeCell ref="QI29:QJ29"/>
    <mergeCell ref="PO28:PP28"/>
    <mergeCell ref="PO27:PP27"/>
    <mergeCell ref="PR28:PS28"/>
    <mergeCell ref="WO21:WP21"/>
    <mergeCell ref="WQ21:WR21"/>
    <mergeCell ref="YO49:YO50"/>
    <mergeCell ref="YP49:YP50"/>
    <mergeCell ref="YQ49:YQ50"/>
    <mergeCell ref="YR49:YR50"/>
    <mergeCell ref="YS49:YS50"/>
    <mergeCell ref="PL194:PL197"/>
    <mergeCell ref="PO184:PP184"/>
    <mergeCell ref="PW197:QD197"/>
    <mergeCell ref="QE151:QG152"/>
    <mergeCell ref="PZ81:QA82"/>
    <mergeCell ref="PL168:PM168"/>
    <mergeCell ref="PN168:PO168"/>
    <mergeCell ref="PP168:PQ168"/>
    <mergeCell ref="PR168:PS168"/>
    <mergeCell ref="QA195:QA196"/>
    <mergeCell ref="QB195:QC196"/>
    <mergeCell ref="PX64:PY64"/>
    <mergeCell ref="QB71:QC71"/>
    <mergeCell ref="PP189:PY190"/>
    <mergeCell ref="NX115:NY115"/>
    <mergeCell ref="PM172:PN172"/>
    <mergeCell ref="QE194:QI194"/>
    <mergeCell ref="QE195:QI197"/>
    <mergeCell ref="PW194:PX194"/>
    <mergeCell ref="QB189:QC190"/>
    <mergeCell ref="PQ126:PY127"/>
    <mergeCell ref="PM126:PN126"/>
    <mergeCell ref="PM180:PN180"/>
    <mergeCell ref="PR173:PY174"/>
    <mergeCell ref="PO174:PQ174"/>
    <mergeCell ref="PL172:PL174"/>
    <mergeCell ref="PL140:PL142"/>
    <mergeCell ref="PU134:PV134"/>
    <mergeCell ref="PM137:PO137"/>
    <mergeCell ref="WK50:WM50"/>
    <mergeCell ref="PL103:PL106"/>
    <mergeCell ref="PM141:PY142"/>
    <mergeCell ref="QA98:QE98"/>
    <mergeCell ref="PU194:PV194"/>
    <mergeCell ref="PZ172:QA172"/>
    <mergeCell ref="QI172:QM172"/>
    <mergeCell ref="PM160:PY161"/>
    <mergeCell ref="QD159:QH159"/>
    <mergeCell ref="PO170:PP170"/>
    <mergeCell ref="PR170:QB170"/>
    <mergeCell ref="QB168:QC168"/>
    <mergeCell ref="QI160:QK161"/>
    <mergeCell ref="PO180:PP180"/>
    <mergeCell ref="QE141:QG142"/>
    <mergeCell ref="QA154:QE154"/>
    <mergeCell ref="QB155:QD156"/>
    <mergeCell ref="QE155:QE156"/>
    <mergeCell ref="QB146:QC147"/>
    <mergeCell ref="QB141:QC142"/>
    <mergeCell ref="QF154:QL154"/>
    <mergeCell ref="QF155:QL156"/>
    <mergeCell ref="PW135:PX136"/>
    <mergeCell ref="QD168:QE168"/>
    <mergeCell ref="QF168:QG168"/>
    <mergeCell ref="QH168:QI168"/>
    <mergeCell ref="QF25:QJ25"/>
    <mergeCell ref="QK25:QY25"/>
    <mergeCell ref="AAT21:AAT22"/>
    <mergeCell ref="PM183:PN183"/>
    <mergeCell ref="YH49:YH50"/>
    <mergeCell ref="YI49:YI50"/>
    <mergeCell ref="ADI25:ADJ25"/>
    <mergeCell ref="AGO28:AGP28"/>
    <mergeCell ref="ADD83:ADF83"/>
    <mergeCell ref="ACY95:ACZ95"/>
    <mergeCell ref="ACY96:ACZ96"/>
    <mergeCell ref="ADI83:ADJ83"/>
    <mergeCell ref="ADK83:ADL83"/>
    <mergeCell ref="ADN83:ADP83"/>
    <mergeCell ref="AGK36:AGL36"/>
    <mergeCell ref="AGM36:AGN36"/>
    <mergeCell ref="AGO36:AGP36"/>
    <mergeCell ref="AGQ36:AGR36"/>
    <mergeCell ref="AGS36:AGT36"/>
    <mergeCell ref="AGU36:AGV36"/>
    <mergeCell ref="AGW36:AGX36"/>
    <mergeCell ref="AGY36:AGZ36"/>
    <mergeCell ref="AHA36:AHB36"/>
    <mergeCell ref="AHC36:AHD36"/>
    <mergeCell ref="WU23:WV23"/>
    <mergeCell ref="ADN103:ADO103"/>
    <mergeCell ref="ADP103:ADQ103"/>
    <mergeCell ref="ADS103:ADT103"/>
    <mergeCell ref="ADU103:ADV103"/>
    <mergeCell ref="ABT85:ACH104"/>
    <mergeCell ref="ACL100:ACM100"/>
    <mergeCell ref="ACQ91:ACR91"/>
    <mergeCell ref="WZ43:XA44"/>
    <mergeCell ref="WZ27:XA28"/>
    <mergeCell ref="AEM24:AEN24"/>
    <mergeCell ref="XY96:XY97"/>
    <mergeCell ref="XZ96:XZ97"/>
    <mergeCell ref="YA96:YA97"/>
    <mergeCell ref="YB96:YB97"/>
    <mergeCell ref="YC96:YC97"/>
    <mergeCell ref="AAN88:AAN89"/>
    <mergeCell ref="YJ49:YJ50"/>
    <mergeCell ref="YK49:YK50"/>
    <mergeCell ref="YL49:YL50"/>
    <mergeCell ref="YM49:YM50"/>
    <mergeCell ref="YN49:YN50"/>
    <mergeCell ref="ACY30:ACZ30"/>
    <mergeCell ref="ADA49:ADB49"/>
    <mergeCell ref="ACL85:ACM85"/>
    <mergeCell ref="ACV37:ACW37"/>
    <mergeCell ref="ACY84:ACZ84"/>
    <mergeCell ref="ADA84:ADB84"/>
    <mergeCell ref="ADA26:ADB26"/>
    <mergeCell ref="ACV36:ACW36"/>
    <mergeCell ref="ACY42:ACZ42"/>
    <mergeCell ref="ACY40:ACZ40"/>
    <mergeCell ref="ACT43:ACU43"/>
    <mergeCell ref="AEC43:AED43"/>
    <mergeCell ref="ADU44:ADV44"/>
    <mergeCell ref="ADU49:ADV49"/>
    <mergeCell ref="ADU57:ADV57"/>
    <mergeCell ref="ADS59:ADT59"/>
    <mergeCell ref="ADA25:ADB25"/>
    <mergeCell ref="ACY26:ACZ26"/>
    <mergeCell ref="ADA61:ADB61"/>
    <mergeCell ref="ACY47:ACZ47"/>
    <mergeCell ref="AEC46:AED46"/>
    <mergeCell ref="AEE46:AEF46"/>
    <mergeCell ref="AEC47:AED47"/>
    <mergeCell ref="ADP38:ADQ38"/>
    <mergeCell ref="ADS42:ADT42"/>
    <mergeCell ref="ACV24:ACW24"/>
    <mergeCell ref="ADP24:ADQ24"/>
    <mergeCell ref="PQ188:PR188"/>
    <mergeCell ref="PM184:PN184"/>
    <mergeCell ref="SA46:SB46"/>
    <mergeCell ref="PW155:PX156"/>
    <mergeCell ref="QA120:QA121"/>
    <mergeCell ref="PY179:PZ179"/>
    <mergeCell ref="PO177:PP177"/>
    <mergeCell ref="PR177:QB177"/>
    <mergeCell ref="PM179:PN179"/>
    <mergeCell ref="QE146:QF147"/>
    <mergeCell ref="QD109:QD110"/>
    <mergeCell ref="PW165:PW166"/>
    <mergeCell ref="PX165:PY166"/>
    <mergeCell ref="PN158:PR158"/>
    <mergeCell ref="PX139:PY139"/>
    <mergeCell ref="PT158:PU158"/>
    <mergeCell ref="PN163:PQ163"/>
    <mergeCell ref="PR163:PS163"/>
    <mergeCell ref="QF89:QG90"/>
    <mergeCell ref="PM30:PN30"/>
    <mergeCell ref="PM40:PM42"/>
    <mergeCell ref="PR40:PS40"/>
    <mergeCell ref="PT40:PU40"/>
    <mergeCell ref="QH31:QH32"/>
    <mergeCell ref="QK34:QL34"/>
    <mergeCell ref="QD37:QD38"/>
    <mergeCell ref="PV41:PW42"/>
    <mergeCell ref="SL34:SM34"/>
    <mergeCell ref="SP35:SQ36"/>
    <mergeCell ref="PN104:PO104"/>
    <mergeCell ref="PM48:PN48"/>
    <mergeCell ref="PX48:PY48"/>
    <mergeCell ref="PR45:PS45"/>
    <mergeCell ref="PT45:PY46"/>
    <mergeCell ref="QC56:QD56"/>
    <mergeCell ref="QG61:QG62"/>
    <mergeCell ref="QH61:QI62"/>
    <mergeCell ref="QD45:QD46"/>
    <mergeCell ref="QA56:QB56"/>
    <mergeCell ref="QB65:QC66"/>
    <mergeCell ref="SW35:SY36"/>
    <mergeCell ref="RZ25:RZ28"/>
    <mergeCell ref="SA25:SB25"/>
    <mergeCell ref="SD26:SM28"/>
    <mergeCell ref="SN28:SU28"/>
    <mergeCell ref="QL131:QM131"/>
    <mergeCell ref="PY135:PZ136"/>
    <mergeCell ref="QB180:QC181"/>
    <mergeCell ref="QE179:QI179"/>
    <mergeCell ref="QE180:QI181"/>
    <mergeCell ref="QI140:QK140"/>
    <mergeCell ref="PU103:PV103"/>
    <mergeCell ref="PN106:PO106"/>
    <mergeCell ref="PM121:PO121"/>
    <mergeCell ref="PP121:PQ121"/>
    <mergeCell ref="PQ103:PR103"/>
    <mergeCell ref="PT168:PU168"/>
    <mergeCell ref="QG13:QH13"/>
    <mergeCell ref="QI13:QJ13"/>
    <mergeCell ref="WX88:WY89"/>
    <mergeCell ref="QD146:QD147"/>
    <mergeCell ref="WK168:WL168"/>
    <mergeCell ref="XH49:XH50"/>
    <mergeCell ref="QA183:QD183"/>
    <mergeCell ref="PR134:PS134"/>
    <mergeCell ref="PX150:PY150"/>
    <mergeCell ref="PZ150:QA150"/>
    <mergeCell ref="QB150:QC150"/>
    <mergeCell ref="PZ151:QA152"/>
    <mergeCell ref="PZ30:QA30"/>
    <mergeCell ref="PP56:PQ56"/>
    <mergeCell ref="RZ42:RZ44"/>
    <mergeCell ref="PW120:PX121"/>
    <mergeCell ref="PO46:PP46"/>
    <mergeCell ref="PZ45:QA46"/>
    <mergeCell ref="QB48:QC48"/>
    <mergeCell ref="PZ49:QA50"/>
    <mergeCell ref="PS49:PY50"/>
    <mergeCell ref="QG26:QI27"/>
    <mergeCell ref="QU36:QX36"/>
    <mergeCell ref="QJ36:QJ38"/>
    <mergeCell ref="QX37:QX38"/>
    <mergeCell ref="QV37:QW38"/>
    <mergeCell ref="PW37:PX38"/>
    <mergeCell ref="PO34:PP34"/>
    <mergeCell ref="PQ34:PR34"/>
    <mergeCell ref="PZ76:QA77"/>
    <mergeCell ref="QB72:QC73"/>
    <mergeCell ref="QB151:QC152"/>
    <mergeCell ref="QD151:QD152"/>
    <mergeCell ref="QA134:QD134"/>
    <mergeCell ref="QD135:QD136"/>
    <mergeCell ref="QG146:QG147"/>
    <mergeCell ref="QI72:QT73"/>
    <mergeCell ref="PQ98:PR98"/>
    <mergeCell ref="PP101:PQ101"/>
    <mergeCell ref="PO92:PP92"/>
    <mergeCell ref="PO117:PP117"/>
    <mergeCell ref="PN136:PO136"/>
    <mergeCell ref="PN135:PO135"/>
    <mergeCell ref="QI141:QK142"/>
    <mergeCell ref="PM165:PR166"/>
    <mergeCell ref="PU163:QB163"/>
    <mergeCell ref="SB22:SC22"/>
    <mergeCell ref="PW22:PX22"/>
    <mergeCell ref="QB44:QC44"/>
    <mergeCell ref="PN146:PO146"/>
    <mergeCell ref="QG81:QG82"/>
    <mergeCell ref="PY154:PZ154"/>
    <mergeCell ref="PM125:PN125"/>
    <mergeCell ref="PM134:PN134"/>
    <mergeCell ref="QD150:QH150"/>
    <mergeCell ref="PW137:QD137"/>
    <mergeCell ref="PM17:PN17"/>
    <mergeCell ref="QY13:QZ13"/>
    <mergeCell ref="PS13:PT13"/>
    <mergeCell ref="PU13:PV13"/>
    <mergeCell ref="PW13:PX13"/>
    <mergeCell ref="PY13:PZ13"/>
    <mergeCell ref="QA13:QB13"/>
    <mergeCell ref="QE17:QG18"/>
    <mergeCell ref="WZ17:XA18"/>
    <mergeCell ref="QI48:QS48"/>
    <mergeCell ref="QI49:QS50"/>
    <mergeCell ref="QI34:QJ34"/>
    <mergeCell ref="WS126:WV126"/>
    <mergeCell ref="WK135:WL135"/>
    <mergeCell ref="WF78:WH78"/>
    <mergeCell ref="WZ95:XA95"/>
    <mergeCell ref="WE121:WF125"/>
    <mergeCell ref="QI108:QS108"/>
    <mergeCell ref="PO127:PP127"/>
    <mergeCell ref="QN131:QO131"/>
    <mergeCell ref="QH131:QI131"/>
    <mergeCell ref="QJ131:QK131"/>
    <mergeCell ref="PU179:PV179"/>
    <mergeCell ref="QB172:QC172"/>
    <mergeCell ref="QA155:QA156"/>
    <mergeCell ref="RZ34:RZ36"/>
    <mergeCell ref="QA180:QA181"/>
    <mergeCell ref="QN168:QO168"/>
    <mergeCell ref="QD173:QD174"/>
    <mergeCell ref="QD172:QH172"/>
    <mergeCell ref="QE173:QG174"/>
    <mergeCell ref="QH173:QH174"/>
    <mergeCell ref="QA164:QC164"/>
    <mergeCell ref="PO173:PQ173"/>
    <mergeCell ref="PX172:PY172"/>
    <mergeCell ref="PY180:PZ181"/>
    <mergeCell ref="PM174:PN174"/>
    <mergeCell ref="WR81:WS81"/>
    <mergeCell ref="QF98:QQ98"/>
    <mergeCell ref="QF103:QL103"/>
    <mergeCell ref="QF104:QL106"/>
    <mergeCell ref="QF120:QL121"/>
    <mergeCell ref="SN34:SO34"/>
    <mergeCell ref="SL42:SM42"/>
    <mergeCell ref="WO35:WP35"/>
    <mergeCell ref="SN22:SO23"/>
    <mergeCell ref="SP43:SQ44"/>
    <mergeCell ref="SP38:SQ38"/>
    <mergeCell ref="SP42:SQ42"/>
    <mergeCell ref="SL25:SM25"/>
    <mergeCell ref="SP39:SQ40"/>
    <mergeCell ref="SR39:SR40"/>
    <mergeCell ref="SS39:ST40"/>
    <mergeCell ref="PM64:PN64"/>
    <mergeCell ref="PM65:PN65"/>
    <mergeCell ref="WI180:WJ180"/>
    <mergeCell ref="WG178:WH178"/>
    <mergeCell ref="PT44:PU44"/>
    <mergeCell ref="PM46:PN46"/>
    <mergeCell ref="PN49:PO49"/>
    <mergeCell ref="PN50:PO50"/>
    <mergeCell ref="PM154:PN154"/>
    <mergeCell ref="PV144:QD144"/>
    <mergeCell ref="QB131:QC131"/>
    <mergeCell ref="PQ154:PR154"/>
    <mergeCell ref="QI109:QS110"/>
    <mergeCell ref="QF99:QQ101"/>
    <mergeCell ref="PY99:PZ100"/>
    <mergeCell ref="PZ148:QG148"/>
    <mergeCell ref="QB173:QC174"/>
    <mergeCell ref="QA179:QD179"/>
    <mergeCell ref="PV168:PW168"/>
    <mergeCell ref="WZ35:XA36"/>
    <mergeCell ref="QP131:QQ131"/>
    <mergeCell ref="QH160:QH161"/>
    <mergeCell ref="QP168:QQ168"/>
    <mergeCell ref="PW106:QE106"/>
    <mergeCell ref="QH126:QN127"/>
    <mergeCell ref="SV35:SV36"/>
    <mergeCell ref="SV31:SY32"/>
    <mergeCell ref="SN21:SO21"/>
    <mergeCell ref="SV22:SY23"/>
    <mergeCell ref="QH80:QM80"/>
    <mergeCell ref="QA88:QB88"/>
    <mergeCell ref="QC88:QD88"/>
    <mergeCell ref="PZ85:PZ86"/>
    <mergeCell ref="QH81:QM82"/>
    <mergeCell ref="QB125:QC125"/>
    <mergeCell ref="PV85:PW86"/>
    <mergeCell ref="QI45:QT46"/>
    <mergeCell ref="WZ41:XA42"/>
    <mergeCell ref="WZ51:XA52"/>
    <mergeCell ref="WZ98:XA100"/>
    <mergeCell ref="WZ80:XA81"/>
    <mergeCell ref="WN49:WO49"/>
    <mergeCell ref="SS43:SU44"/>
    <mergeCell ref="SW42:TB42"/>
    <mergeCell ref="SW43:TB44"/>
    <mergeCell ref="SR34:SV34"/>
    <mergeCell ref="PY36:PZ36"/>
    <mergeCell ref="PU36:PV36"/>
    <mergeCell ref="QB45:QC46"/>
    <mergeCell ref="QK37:QP38"/>
    <mergeCell ref="PX168:PY168"/>
    <mergeCell ref="PP146:PY148"/>
    <mergeCell ref="QE160:QG161"/>
    <mergeCell ref="QE104:QE105"/>
    <mergeCell ref="QI71:QT71"/>
    <mergeCell ref="PQ65:PY67"/>
    <mergeCell ref="PO65:PP65"/>
    <mergeCell ref="PX145:PY145"/>
    <mergeCell ref="QA52:QB52"/>
    <mergeCell ref="QC60:QD60"/>
    <mergeCell ref="PY119:PZ119"/>
    <mergeCell ref="PO123:PP123"/>
    <mergeCell ref="PP84:PQ84"/>
    <mergeCell ref="PO88:PO90"/>
    <mergeCell ref="QA104:QA105"/>
    <mergeCell ref="PW101:QE101"/>
    <mergeCell ref="PR73:PT73"/>
    <mergeCell ref="QD71:QH71"/>
    <mergeCell ref="QE72:QG73"/>
    <mergeCell ref="PY104:PZ105"/>
    <mergeCell ref="PZ84:QC84"/>
    <mergeCell ref="QB49:QC50"/>
    <mergeCell ref="QB75:QC75"/>
    <mergeCell ref="PX131:PY131"/>
    <mergeCell ref="QB99:QD100"/>
    <mergeCell ref="SV43:SV44"/>
    <mergeCell ref="SL30:SM30"/>
    <mergeCell ref="SR43:SR44"/>
    <mergeCell ref="SS35:SU36"/>
    <mergeCell ref="SR42:SV42"/>
    <mergeCell ref="SA39:SM40"/>
    <mergeCell ref="SA21:SB21"/>
    <mergeCell ref="WZ29:XA30"/>
    <mergeCell ref="AAR184:AAR185"/>
    <mergeCell ref="AAS184:AAS185"/>
    <mergeCell ref="AAO129:AAO130"/>
    <mergeCell ref="AAU107:ABB108"/>
    <mergeCell ref="ACR213:ACS213"/>
    <mergeCell ref="ADK228:ADL228"/>
    <mergeCell ref="ACO107:ACP107"/>
    <mergeCell ref="AAU195:ABF196"/>
    <mergeCell ref="SN13:SO13"/>
    <mergeCell ref="SN25:SO25"/>
    <mergeCell ref="SP25:SQ25"/>
    <mergeCell ref="SS26:ST27"/>
    <mergeCell ref="SU26:SU27"/>
    <mergeCell ref="SN35:SO36"/>
    <mergeCell ref="SP34:SQ34"/>
    <mergeCell ref="SV30:SY30"/>
    <mergeCell ref="SB31:SC31"/>
    <mergeCell ref="SA13:SB13"/>
    <mergeCell ref="SA17:SB17"/>
    <mergeCell ref="SV39:SW40"/>
    <mergeCell ref="SW34:SY34"/>
    <mergeCell ref="SV38:SW38"/>
    <mergeCell ref="ADK23:ADL23"/>
    <mergeCell ref="WV16:WW16"/>
    <mergeCell ref="WV14:WW14"/>
    <mergeCell ref="WZ19:XA20"/>
    <mergeCell ref="WE17:WJ19"/>
    <mergeCell ref="WZ31:XA32"/>
    <mergeCell ref="WK45:WL45"/>
    <mergeCell ref="WM45:WN45"/>
    <mergeCell ref="WK39:WL39"/>
    <mergeCell ref="WM39:WN39"/>
    <mergeCell ref="WX16:WY16"/>
    <mergeCell ref="WN16:WO16"/>
    <mergeCell ref="WS49:WT49"/>
    <mergeCell ref="WN50:WO50"/>
    <mergeCell ref="WK49:WM49"/>
    <mergeCell ref="WP49:WR49"/>
    <mergeCell ref="WK33:WL33"/>
    <mergeCell ref="WM33:WN33"/>
    <mergeCell ref="SD14:SM15"/>
    <mergeCell ref="WK47:WL47"/>
    <mergeCell ref="WM47:WN47"/>
    <mergeCell ref="WO47:WP47"/>
    <mergeCell ref="WQ47:WR47"/>
    <mergeCell ref="ACY19:ACZ19"/>
    <mergeCell ref="ACY46:ACZ46"/>
    <mergeCell ref="ADK88:ADL88"/>
    <mergeCell ref="WE139:WF141"/>
    <mergeCell ref="WE142:WF144"/>
    <mergeCell ref="WE148:WF150"/>
    <mergeCell ref="WE151:WF154"/>
    <mergeCell ref="WE155:WF157"/>
    <mergeCell ref="WE158:WF167"/>
    <mergeCell ref="WL153:WM153"/>
    <mergeCell ref="SP26:SQ27"/>
    <mergeCell ref="SR25:SU25"/>
    <mergeCell ref="SR22:SR23"/>
    <mergeCell ref="SS22:ST23"/>
    <mergeCell ref="SP13:SQ13"/>
    <mergeCell ref="WK23:WL23"/>
    <mergeCell ref="WZ55:XA56"/>
    <mergeCell ref="XG166:XG167"/>
    <mergeCell ref="XH166:XH167"/>
    <mergeCell ref="QH189:QM190"/>
    <mergeCell ref="QJ168:QK168"/>
    <mergeCell ref="QL168:QM168"/>
    <mergeCell ref="QA194:QD194"/>
    <mergeCell ref="PY194:PZ194"/>
    <mergeCell ref="PO195:PP195"/>
    <mergeCell ref="PO196:PP196"/>
    <mergeCell ref="QD195:QD196"/>
    <mergeCell ref="PW195:PX196"/>
    <mergeCell ref="PZ159:QA159"/>
    <mergeCell ref="PZ160:QA161"/>
    <mergeCell ref="QD108:QH108"/>
    <mergeCell ref="QE109:QG110"/>
    <mergeCell ref="PM194:PN194"/>
    <mergeCell ref="PY195:PZ196"/>
    <mergeCell ref="AEB226:AED226"/>
    <mergeCell ref="AEE226:AEF226"/>
    <mergeCell ref="ADK229:ADL229"/>
    <mergeCell ref="WG175:WJ175"/>
    <mergeCell ref="WM175:WP175"/>
    <mergeCell ref="VD123:VX123"/>
    <mergeCell ref="VD124:VZ151"/>
    <mergeCell ref="AAU129:ABB130"/>
    <mergeCell ref="WZ134:XA136"/>
    <mergeCell ref="WZ137:XA138"/>
    <mergeCell ref="WZ178:XA179"/>
    <mergeCell ref="WZ165:XA165"/>
    <mergeCell ref="AAU148:ABE150"/>
    <mergeCell ref="AAU166:ABC167"/>
    <mergeCell ref="WK145:WL147"/>
    <mergeCell ref="WM145:WZ147"/>
    <mergeCell ref="XM139:XM141"/>
    <mergeCell ref="WZ172:XA174"/>
    <mergeCell ref="XR139:XR141"/>
    <mergeCell ref="WZ129:XA130"/>
    <mergeCell ref="WK129:WL129"/>
    <mergeCell ref="WZ126:XA128"/>
    <mergeCell ref="YD107:YD108"/>
    <mergeCell ref="YE107:YE108"/>
    <mergeCell ref="YF107:YF108"/>
    <mergeCell ref="YG107:YG108"/>
    <mergeCell ref="WM126:WP126"/>
    <mergeCell ref="YT168:YT169"/>
    <mergeCell ref="YU168:YU169"/>
    <mergeCell ref="YV168:YV169"/>
    <mergeCell ref="YW168:YW169"/>
    <mergeCell ref="YX168:YX169"/>
    <mergeCell ref="YY168:YY169"/>
    <mergeCell ref="ACL116:ACM116"/>
    <mergeCell ref="ABS151:ACF151"/>
    <mergeCell ref="ACG151:ACH151"/>
    <mergeCell ref="ACQ122:ACR122"/>
    <mergeCell ref="ACV119:ACW119"/>
    <mergeCell ref="ADA119:ADB119"/>
    <mergeCell ref="ADD119:ADE119"/>
    <mergeCell ref="ADF119:ADG119"/>
    <mergeCell ref="ACV117:ACW117"/>
    <mergeCell ref="ADA117:ADB117"/>
    <mergeCell ref="ADD117:ADE117"/>
    <mergeCell ref="ADP115:ADQ115"/>
    <mergeCell ref="ACV122:ACW122"/>
    <mergeCell ref="ADS117:ADT117"/>
    <mergeCell ref="ADU117:ADV117"/>
    <mergeCell ref="ADI121:ADJ121"/>
    <mergeCell ref="PL135:PL137"/>
    <mergeCell ref="NS132:NT132"/>
    <mergeCell ref="GO83:GP83"/>
    <mergeCell ref="NA108:NB109"/>
    <mergeCell ref="PR192:QB192"/>
    <mergeCell ref="PW179:PX179"/>
    <mergeCell ref="PZ173:QA174"/>
    <mergeCell ref="PZ188:QA188"/>
    <mergeCell ref="QD189:QD190"/>
    <mergeCell ref="QE189:QF190"/>
    <mergeCell ref="QG189:QG190"/>
    <mergeCell ref="QE183:QM183"/>
    <mergeCell ref="QE184:QM186"/>
    <mergeCell ref="QD184:QD185"/>
    <mergeCell ref="QI173:QM174"/>
    <mergeCell ref="QH188:QM188"/>
    <mergeCell ref="PM151:PY152"/>
    <mergeCell ref="PZ189:QA190"/>
    <mergeCell ref="QB188:QC188"/>
    <mergeCell ref="PZ168:QA168"/>
    <mergeCell ref="PM188:PN188"/>
    <mergeCell ref="QA184:QA185"/>
    <mergeCell ref="PX188:PY188"/>
    <mergeCell ref="PO192:PP192"/>
    <mergeCell ref="PN139:PS139"/>
    <mergeCell ref="PU139:PV139"/>
    <mergeCell ref="PZ145:QA145"/>
    <mergeCell ref="PQ108:PR108"/>
    <mergeCell ref="PM109:PN109"/>
    <mergeCell ref="QD180:QD181"/>
    <mergeCell ref="QA165:QC166"/>
    <mergeCell ref="PM148:PO148"/>
    <mergeCell ref="QD188:QG188"/>
    <mergeCell ref="PN133:PQ133"/>
    <mergeCell ref="PR133:PS133"/>
    <mergeCell ref="PZ146:QA147"/>
    <mergeCell ref="PX140:PY140"/>
    <mergeCell ref="PZ141:QA142"/>
    <mergeCell ref="PW134:PX134"/>
    <mergeCell ref="PY134:PZ134"/>
    <mergeCell ref="PQ164:PR164"/>
    <mergeCell ref="PZ165:PZ166"/>
    <mergeCell ref="QD160:QD161"/>
    <mergeCell ref="QB160:QC161"/>
    <mergeCell ref="PL131:PM131"/>
    <mergeCell ref="PW180:PX181"/>
    <mergeCell ref="PX159:PY159"/>
    <mergeCell ref="PW183:PX183"/>
    <mergeCell ref="PY183:PZ183"/>
    <mergeCell ref="PW164:PZ164"/>
    <mergeCell ref="PN147:PO147"/>
    <mergeCell ref="PM155:PV156"/>
    <mergeCell ref="PL188:PL190"/>
    <mergeCell ref="QB126:QC127"/>
    <mergeCell ref="QD125:QG125"/>
    <mergeCell ref="QG126:QG127"/>
    <mergeCell ref="PO181:PP181"/>
    <mergeCell ref="PL108:PL110"/>
    <mergeCell ref="PO126:PP126"/>
    <mergeCell ref="PY120:PZ121"/>
    <mergeCell ref="PL146:PL148"/>
    <mergeCell ref="PL155:PL156"/>
    <mergeCell ref="PV133:QD133"/>
    <mergeCell ref="PM120:PO120"/>
    <mergeCell ref="OI132:OJ132"/>
    <mergeCell ref="OJ122:OM122"/>
    <mergeCell ref="NN119:NZ120"/>
    <mergeCell ref="PM127:PN127"/>
    <mergeCell ref="PX125:PY125"/>
    <mergeCell ref="PZ125:QA125"/>
    <mergeCell ref="NN118:NO118"/>
    <mergeCell ref="OK123:OL124"/>
    <mergeCell ref="JY105:KK107"/>
    <mergeCell ref="MI99:MJ99"/>
    <mergeCell ref="GF106:GF108"/>
    <mergeCell ref="GG114:GH114"/>
    <mergeCell ref="GG118:GH118"/>
    <mergeCell ref="GG122:GH122"/>
    <mergeCell ref="EG108:EH108"/>
    <mergeCell ref="ED119:EP121"/>
    <mergeCell ref="GK114:GL114"/>
    <mergeCell ref="GM115:GN116"/>
    <mergeCell ref="GM119:GN120"/>
    <mergeCell ref="GG123:GH123"/>
    <mergeCell ref="EO83:ES83"/>
    <mergeCell ref="EP84:ER85"/>
    <mergeCell ref="ES84:ES85"/>
    <mergeCell ref="EK75:EL75"/>
    <mergeCell ref="EM75:EN75"/>
    <mergeCell ref="KL98:KM98"/>
    <mergeCell ref="MJ110:MK110"/>
    <mergeCell ref="ML110:MM110"/>
    <mergeCell ref="PX84:PY84"/>
    <mergeCell ref="GV119:GY120"/>
    <mergeCell ref="GO118:GQ118"/>
    <mergeCell ref="EC77:ED77"/>
    <mergeCell ref="QB104:QD105"/>
    <mergeCell ref="PT131:PU131"/>
    <mergeCell ref="PV131:PW131"/>
    <mergeCell ref="QD75:QI75"/>
    <mergeCell ref="PX85:PY86"/>
    <mergeCell ref="QA89:QB90"/>
    <mergeCell ref="MP110:MS110"/>
    <mergeCell ref="MP111:MP112"/>
    <mergeCell ref="PW103:PX103"/>
    <mergeCell ref="QA103:QE103"/>
    <mergeCell ref="QE81:QF82"/>
    <mergeCell ref="EC81:ED81"/>
    <mergeCell ref="EC84:ED84"/>
    <mergeCell ref="PQ75:PR75"/>
    <mergeCell ref="MR118:MS118"/>
    <mergeCell ref="PT108:PU108"/>
    <mergeCell ref="PP120:PQ120"/>
    <mergeCell ref="ET108:EZ110"/>
    <mergeCell ref="ET112:EU112"/>
    <mergeCell ref="EV112:EW112"/>
    <mergeCell ref="EZ112:FA112"/>
    <mergeCell ref="FB112:FC112"/>
    <mergeCell ref="FD112:FE112"/>
    <mergeCell ref="GU123:GY124"/>
    <mergeCell ref="JG98:JJ98"/>
    <mergeCell ref="JG89:JH89"/>
    <mergeCell ref="KD90:KN90"/>
    <mergeCell ref="IV89:IW89"/>
    <mergeCell ref="ER88:ER89"/>
    <mergeCell ref="ES88:ET89"/>
    <mergeCell ref="EU88:EU89"/>
    <mergeCell ref="EM83:EN83"/>
    <mergeCell ref="NY106:NZ106"/>
    <mergeCell ref="NM106:NN106"/>
    <mergeCell ref="NB151:NL153"/>
    <mergeCell ref="MU128:MV128"/>
    <mergeCell ref="MU119:MW120"/>
    <mergeCell ref="PQ183:PR183"/>
    <mergeCell ref="PO129:PP129"/>
    <mergeCell ref="JF57:JG58"/>
    <mergeCell ref="KN44:KO44"/>
    <mergeCell ref="DZ53:EB55"/>
    <mergeCell ref="CU49:CU50"/>
    <mergeCell ref="EN54:EN55"/>
    <mergeCell ref="GM48:GN49"/>
    <mergeCell ref="EL54:EM55"/>
    <mergeCell ref="IS56:IT56"/>
    <mergeCell ref="GP57:GQ58"/>
    <mergeCell ref="GP56:GQ56"/>
    <mergeCell ref="GF39:GF41"/>
    <mergeCell ref="GH40:GI40"/>
    <mergeCell ref="GW31:GX31"/>
    <mergeCell ref="GZ44:HA45"/>
    <mergeCell ref="KA50:KB50"/>
    <mergeCell ref="KP30:KP31"/>
    <mergeCell ref="BN134:BO135"/>
    <mergeCell ref="BP134:BP135"/>
    <mergeCell ref="CW106:DA106"/>
    <mergeCell ref="CR107:CR108"/>
    <mergeCell ref="EI83:EJ83"/>
    <mergeCell ref="CP107:CQ108"/>
    <mergeCell ref="PM45:PN45"/>
    <mergeCell ref="PO45:PP45"/>
    <mergeCell ref="PR46:PS46"/>
    <mergeCell ref="PL88:PN90"/>
    <mergeCell ref="MQ47:MR48"/>
    <mergeCell ref="OS106:OT106"/>
    <mergeCell ref="OO106:OP106"/>
    <mergeCell ref="OQ106:OR106"/>
    <mergeCell ref="KP99:KP100"/>
    <mergeCell ref="KN48:KO48"/>
    <mergeCell ref="KL45:KM46"/>
    <mergeCell ref="KN45:KO46"/>
    <mergeCell ref="ME46:ME48"/>
    <mergeCell ref="DZ87:DZ89"/>
    <mergeCell ref="EI75:EJ75"/>
    <mergeCell ref="ES76:ES77"/>
    <mergeCell ref="GY60:GZ60"/>
    <mergeCell ref="EA70:EB70"/>
    <mergeCell ref="GG90:GI90"/>
    <mergeCell ref="GG102:GH102"/>
    <mergeCell ref="GG104:GH104"/>
    <mergeCell ref="MG81:MH81"/>
    <mergeCell ref="MG80:MH80"/>
    <mergeCell ref="DC80:DD80"/>
    <mergeCell ref="EA66:EB66"/>
    <mergeCell ref="EC72:ED72"/>
    <mergeCell ref="HE89:HQ91"/>
    <mergeCell ref="KI64:KJ65"/>
    <mergeCell ref="KN105:KO106"/>
    <mergeCell ref="KT105:KT106"/>
    <mergeCell ref="KP105:KP106"/>
    <mergeCell ref="MX79:MX80"/>
    <mergeCell ref="CS127:CS128"/>
    <mergeCell ref="CT127:CU128"/>
    <mergeCell ref="MV47:MW48"/>
    <mergeCell ref="JY33:JZ33"/>
    <mergeCell ref="MC42:MD42"/>
    <mergeCell ref="KP53:KP54"/>
    <mergeCell ref="KJ52:KK52"/>
    <mergeCell ref="KC52:KD52"/>
    <mergeCell ref="KL53:KM54"/>
    <mergeCell ref="JX52:JX55"/>
    <mergeCell ref="JY52:JZ52"/>
    <mergeCell ref="KC54:KD54"/>
    <mergeCell ref="JZ55:KA55"/>
    <mergeCell ref="EL104:EM104"/>
    <mergeCell ref="EN104:EO104"/>
    <mergeCell ref="EP104:ES104"/>
    <mergeCell ref="EL105:EM106"/>
    <mergeCell ref="EN105:EO106"/>
    <mergeCell ref="EP105:EP106"/>
    <mergeCell ref="EQ105:ER106"/>
    <mergeCell ref="ES105:ES106"/>
    <mergeCell ref="EL100:EM100"/>
    <mergeCell ref="EN100:EO100"/>
    <mergeCell ref="EP100:ES100"/>
    <mergeCell ref="EL101:EM102"/>
    <mergeCell ref="EN101:EO102"/>
    <mergeCell ref="EC71:ED71"/>
    <mergeCell ref="HH63:HH65"/>
    <mergeCell ref="HI63:HM65"/>
    <mergeCell ref="HP63:HV65"/>
    <mergeCell ref="EC106:ED106"/>
    <mergeCell ref="EE101:EK102"/>
    <mergeCell ref="JX98:JX100"/>
    <mergeCell ref="KL78:KS78"/>
    <mergeCell ref="JE89:JF89"/>
    <mergeCell ref="JZ67:KA67"/>
    <mergeCell ref="GY84:GY85"/>
    <mergeCell ref="GP102:GQ102"/>
    <mergeCell ref="GK98:GS100"/>
    <mergeCell ref="KL93:KM94"/>
    <mergeCell ref="JJ99:JJ100"/>
    <mergeCell ref="GX39:HA39"/>
    <mergeCell ref="JA71:JB71"/>
    <mergeCell ref="GQ83:GR83"/>
    <mergeCell ref="GJ88:GK88"/>
    <mergeCell ref="GU83:GY83"/>
    <mergeCell ref="GQ86:GY86"/>
    <mergeCell ref="KB46:KD46"/>
    <mergeCell ref="JB56:JC56"/>
    <mergeCell ref="KL48:KM48"/>
    <mergeCell ref="JE41:JF41"/>
    <mergeCell ref="EE66:EF66"/>
    <mergeCell ref="KE53:KK55"/>
    <mergeCell ref="HK49:HK51"/>
    <mergeCell ref="GV36:GW37"/>
    <mergeCell ref="GX40:GX41"/>
    <mergeCell ref="EV45:EX46"/>
    <mergeCell ref="EQ58:EQ59"/>
    <mergeCell ref="EJ58:EK59"/>
    <mergeCell ref="EC105:ED105"/>
    <mergeCell ref="EP80:EQ81"/>
    <mergeCell ref="EK76:EL77"/>
    <mergeCell ref="EO75:ES75"/>
    <mergeCell ref="GF84:GF86"/>
    <mergeCell ref="EV80:EV81"/>
    <mergeCell ref="ED70:EE70"/>
    <mergeCell ref="GV68:GW68"/>
    <mergeCell ref="ME248:MF248"/>
    <mergeCell ref="KL105:KM106"/>
    <mergeCell ref="MU137:MU138"/>
    <mergeCell ref="MT234:MT235"/>
    <mergeCell ref="MU234:MV235"/>
    <mergeCell ref="MQ220:MT220"/>
    <mergeCell ref="MD231:ME231"/>
    <mergeCell ref="MR221:MS222"/>
    <mergeCell ref="MU216:MU217"/>
    <mergeCell ref="MU171:MV172"/>
    <mergeCell ref="MG240:MH240"/>
    <mergeCell ref="MF233:MG233"/>
    <mergeCell ref="MH233:MI233"/>
    <mergeCell ref="MD230:ME230"/>
    <mergeCell ref="MY211:NA211"/>
    <mergeCell ref="MD235:ME235"/>
    <mergeCell ref="MB233:MB236"/>
    <mergeCell ref="MR234:MS235"/>
    <mergeCell ref="MQ180:MR180"/>
    <mergeCell ref="MQ181:MR182"/>
    <mergeCell ref="MQ137:MR138"/>
    <mergeCell ref="MS137:MT138"/>
    <mergeCell ref="MR141:MS141"/>
    <mergeCell ref="MT174:MV174"/>
    <mergeCell ref="MM151:MR153"/>
    <mergeCell ref="MR157:MS158"/>
    <mergeCell ref="MW142:MW143"/>
    <mergeCell ref="MY123:MY124"/>
    <mergeCell ref="MY132:MZ132"/>
    <mergeCell ref="LY132:LZ132"/>
    <mergeCell ref="MA132:MB132"/>
    <mergeCell ref="MC132:MD132"/>
    <mergeCell ref="MX137:MX138"/>
    <mergeCell ref="MD137:ME137"/>
    <mergeCell ref="MM115:MN115"/>
    <mergeCell ref="MQ115:MR115"/>
    <mergeCell ref="MT157:MU158"/>
    <mergeCell ref="MI157:MQ159"/>
    <mergeCell ref="MU170:MV170"/>
    <mergeCell ref="MW157:MY158"/>
    <mergeCell ref="MT177:MU178"/>
    <mergeCell ref="MX181:MX182"/>
    <mergeCell ref="KU105:KX107"/>
    <mergeCell ref="MR156:MS156"/>
    <mergeCell ref="MP156:MQ156"/>
    <mergeCell ref="MG151:MH151"/>
    <mergeCell ref="MP123:MQ124"/>
    <mergeCell ref="MR123:MS124"/>
    <mergeCell ref="ML111:MM112"/>
    <mergeCell ref="MN111:MO112"/>
    <mergeCell ref="NA106:NB106"/>
    <mergeCell ref="MO106:MP106"/>
    <mergeCell ref="ME110:ME112"/>
    <mergeCell ref="MB110:MD112"/>
    <mergeCell ref="MC106:MD106"/>
    <mergeCell ref="MM241:MN242"/>
    <mergeCell ref="MH238:MR238"/>
    <mergeCell ref="MM240:MN240"/>
    <mergeCell ref="MN233:MO233"/>
    <mergeCell ref="MK169:MP169"/>
    <mergeCell ref="MF193:MG193"/>
    <mergeCell ref="MC199:MD199"/>
    <mergeCell ref="MC240:MD240"/>
    <mergeCell ref="CI110:CJ110"/>
    <mergeCell ref="CD126:CE126"/>
    <mergeCell ref="CQ126:CR126"/>
    <mergeCell ref="CS126:CV126"/>
    <mergeCell ref="EV87:FE87"/>
    <mergeCell ref="EV88:FE89"/>
    <mergeCell ref="GI103:GJ103"/>
    <mergeCell ref="GI104:GJ104"/>
    <mergeCell ref="CQ95:CR96"/>
    <mergeCell ref="CO118:CP118"/>
    <mergeCell ref="EP93:EP94"/>
    <mergeCell ref="CS99:CS100"/>
    <mergeCell ref="CT110:CX110"/>
    <mergeCell ref="JX75:JX78"/>
    <mergeCell ref="BZ110:BZ112"/>
    <mergeCell ref="CK110:CL110"/>
    <mergeCell ref="CM110:CN110"/>
    <mergeCell ref="CO111:CO112"/>
    <mergeCell ref="CS111:CS112"/>
    <mergeCell ref="CA110:CB110"/>
    <mergeCell ref="CD130:CE130"/>
    <mergeCell ref="MP86:MQ87"/>
    <mergeCell ref="MH89:MR89"/>
    <mergeCell ref="MP78:MR78"/>
    <mergeCell ref="MB78:MB81"/>
    <mergeCell ref="MN78:MO78"/>
    <mergeCell ref="KN75:KO75"/>
    <mergeCell ref="MC141:MD141"/>
    <mergeCell ref="ME150:MF150"/>
    <mergeCell ref="CQ119:CR120"/>
    <mergeCell ref="CS119:CS120"/>
    <mergeCell ref="CV119:CV120"/>
    <mergeCell ref="CJ86:CK86"/>
    <mergeCell ref="CL86:CM86"/>
    <mergeCell ref="CT123:CU124"/>
    <mergeCell ref="GQ107:GR108"/>
    <mergeCell ref="BY94:BZ94"/>
    <mergeCell ref="CW99:CZ100"/>
    <mergeCell ref="CP95:CP96"/>
    <mergeCell ref="CK79:CL80"/>
    <mergeCell ref="CA82:CA84"/>
    <mergeCell ref="CN107:CO108"/>
    <mergeCell ref="CQ118:CR118"/>
    <mergeCell ref="CS118:CV118"/>
    <mergeCell ref="CC118:CC120"/>
    <mergeCell ref="EL109:EM110"/>
    <mergeCell ref="CM111:CN112"/>
    <mergeCell ref="CH130:CI130"/>
    <mergeCell ref="CS123:CS124"/>
    <mergeCell ref="CV127:CV128"/>
    <mergeCell ref="ES108:ES110"/>
    <mergeCell ref="GT123:GT124"/>
    <mergeCell ref="KC104:KD104"/>
    <mergeCell ref="KJ98:KK98"/>
    <mergeCell ref="EX112:EY112"/>
    <mergeCell ref="GF110:GF112"/>
    <mergeCell ref="EQ118:ER118"/>
    <mergeCell ref="GV84:GX85"/>
    <mergeCell ref="MQ128:MR128"/>
    <mergeCell ref="MG108:MH108"/>
    <mergeCell ref="JK95:JK96"/>
    <mergeCell ref="IS100:IT100"/>
    <mergeCell ref="EO108:EQ108"/>
    <mergeCell ref="MQ240:MT240"/>
    <mergeCell ref="MQ241:MQ242"/>
    <mergeCell ref="MR241:MS242"/>
    <mergeCell ref="MT241:MT242"/>
    <mergeCell ref="MU193:MX193"/>
    <mergeCell ref="MU194:MU195"/>
    <mergeCell ref="MC123:MC124"/>
    <mergeCell ref="MD168:MJ169"/>
    <mergeCell ref="MD157:MD159"/>
    <mergeCell ref="ME157:MF157"/>
    <mergeCell ref="MK165:ML165"/>
    <mergeCell ref="MM165:MN165"/>
    <mergeCell ref="MO165:MP165"/>
    <mergeCell ref="MQ165:MR165"/>
    <mergeCell ref="MD123:ME124"/>
    <mergeCell ref="MI165:MJ165"/>
    <mergeCell ref="MC205:MD205"/>
    <mergeCell ref="MF211:MG211"/>
    <mergeCell ref="MB170:MD172"/>
    <mergeCell ref="MT161:MV161"/>
    <mergeCell ref="MT162:MV163"/>
    <mergeCell ref="MV137:MW138"/>
    <mergeCell ref="MO221:MP222"/>
    <mergeCell ref="MD217:ME217"/>
    <mergeCell ref="MH215:MI215"/>
    <mergeCell ref="MU180:MX180"/>
    <mergeCell ref="MU181:MU182"/>
    <mergeCell ref="MV181:MW182"/>
    <mergeCell ref="MB215:MB218"/>
    <mergeCell ref="MB180:MD182"/>
    <mergeCell ref="ME174:MG174"/>
    <mergeCell ref="MH182:MI182"/>
    <mergeCell ref="MG194:MH194"/>
    <mergeCell ref="MG195:MH195"/>
    <mergeCell ref="MQ193:MR193"/>
    <mergeCell ref="MO199:MP199"/>
    <mergeCell ref="MF176:MG176"/>
    <mergeCell ref="MF180:MG180"/>
    <mergeCell ref="MB174:MD175"/>
    <mergeCell ref="MM221:MN222"/>
    <mergeCell ref="MG165:MH165"/>
    <mergeCell ref="MS225:MS226"/>
    <mergeCell ref="MX234:NF236"/>
    <mergeCell ref="MP234:MQ235"/>
    <mergeCell ref="ML215:MM215"/>
    <mergeCell ref="MU240:NC240"/>
    <mergeCell ref="MS194:MT195"/>
    <mergeCell ref="MM200:MN201"/>
    <mergeCell ref="MB141:MB144"/>
    <mergeCell ref="MP144:MW144"/>
    <mergeCell ref="MF142:MO144"/>
    <mergeCell ref="MM161:MN161"/>
    <mergeCell ref="MQ221:MQ222"/>
    <mergeCell ref="MS193:MT193"/>
    <mergeCell ref="MT176:MU176"/>
    <mergeCell ref="NA156:NL156"/>
    <mergeCell ref="MP142:MQ143"/>
    <mergeCell ref="MR142:MS143"/>
    <mergeCell ref="MN141:MO141"/>
    <mergeCell ref="MP141:MQ141"/>
    <mergeCell ref="MI156:MJ156"/>
    <mergeCell ref="MK156:ML156"/>
    <mergeCell ref="MI151:MJ151"/>
    <mergeCell ref="MS150:MT150"/>
    <mergeCell ref="BZ126:CB128"/>
    <mergeCell ref="CO127:CP128"/>
    <mergeCell ref="CQ127:CR128"/>
    <mergeCell ref="CK111:CL112"/>
    <mergeCell ref="CT111:CT112"/>
    <mergeCell ref="CX111:CX112"/>
    <mergeCell ref="CI62:CJ62"/>
    <mergeCell ref="EA62:EB62"/>
    <mergeCell ref="CS87:CS88"/>
    <mergeCell ref="CO82:CP82"/>
    <mergeCell ref="CJ67:CK68"/>
    <mergeCell ref="CL66:CO66"/>
    <mergeCell ref="CG78:CH78"/>
    <mergeCell ref="CI78:CJ78"/>
    <mergeCell ref="EC67:ED67"/>
    <mergeCell ref="EA67:EB67"/>
    <mergeCell ref="DZ57:EB59"/>
    <mergeCell ref="EF70:EG70"/>
    <mergeCell ref="EN57:EQ57"/>
    <mergeCell ref="EO58:EP59"/>
    <mergeCell ref="EW61:FJ61"/>
    <mergeCell ref="EA64:EB64"/>
    <mergeCell ref="DC81:DD81"/>
    <mergeCell ref="CP71:CP72"/>
    <mergeCell ref="EH66:EI66"/>
    <mergeCell ref="EN66:EO66"/>
    <mergeCell ref="EP71:EP72"/>
    <mergeCell ref="EJ70:EK70"/>
    <mergeCell ref="EP70:ET70"/>
    <mergeCell ref="CP86:CS86"/>
    <mergeCell ref="CC130:CC132"/>
    <mergeCell ref="EK109:EK110"/>
    <mergeCell ref="CB82:CC82"/>
    <mergeCell ref="BZ95:CA95"/>
    <mergeCell ref="EO76:EO77"/>
    <mergeCell ref="CM63:CM64"/>
    <mergeCell ref="CN63:CO64"/>
    <mergeCell ref="CQ63:CT64"/>
    <mergeCell ref="CC74:CD74"/>
    <mergeCell ref="EC73:ED73"/>
    <mergeCell ref="DC76:DD76"/>
    <mergeCell ref="DC77:DD77"/>
    <mergeCell ref="DC78:DD78"/>
    <mergeCell ref="EA93:EB93"/>
    <mergeCell ref="EQ71:ES72"/>
    <mergeCell ref="EC62:ED62"/>
    <mergeCell ref="EE62:EM64"/>
    <mergeCell ref="EC64:ED64"/>
    <mergeCell ref="EH57:EI57"/>
    <mergeCell ref="EA84:EB84"/>
    <mergeCell ref="CN95:CO96"/>
    <mergeCell ref="BY90:BZ90"/>
    <mergeCell ref="DZ101:DZ102"/>
    <mergeCell ref="EA100:EB100"/>
    <mergeCell ref="EA101:EB101"/>
    <mergeCell ref="EA104:EB104"/>
    <mergeCell ref="EA105:EB105"/>
    <mergeCell ref="EC63:ED63"/>
    <mergeCell ref="EC101:ED101"/>
    <mergeCell ref="EA102:EB102"/>
    <mergeCell ref="EC102:ED102"/>
    <mergeCell ref="EA85:EB85"/>
    <mergeCell ref="BX58:BZ60"/>
    <mergeCell ref="CR83:CS84"/>
    <mergeCell ref="AU134:BG135"/>
    <mergeCell ref="BM134:BM135"/>
    <mergeCell ref="BY48:BZ48"/>
    <mergeCell ref="CD122:CE122"/>
    <mergeCell ref="CM122:CN122"/>
    <mergeCell ref="CO122:CP122"/>
    <mergeCell ref="CQ122:CR122"/>
    <mergeCell ref="CT119:CU120"/>
    <mergeCell ref="CV49:CY50"/>
    <mergeCell ref="CH66:CI66"/>
    <mergeCell ref="CJ66:CK66"/>
    <mergeCell ref="ET48:FA48"/>
    <mergeCell ref="CE74:CF74"/>
    <mergeCell ref="CM79:CM80"/>
    <mergeCell ref="EN70:EO70"/>
    <mergeCell ref="ES67:EU68"/>
    <mergeCell ref="CG75:CH76"/>
    <mergeCell ref="EN71:EO72"/>
    <mergeCell ref="EL73:ET73"/>
    <mergeCell ref="CM75:CP76"/>
    <mergeCell ref="CJ75:CK76"/>
    <mergeCell ref="EP66:EQ66"/>
    <mergeCell ref="GF47:GF50"/>
    <mergeCell ref="EC68:ED68"/>
    <mergeCell ref="EP67:EQ68"/>
    <mergeCell ref="CA106:CB106"/>
    <mergeCell ref="CR106:CV106"/>
    <mergeCell ref="AT133:AT135"/>
    <mergeCell ref="BF133:BG133"/>
    <mergeCell ref="BK133:BL133"/>
    <mergeCell ref="BX82:BZ84"/>
    <mergeCell ref="BY86:BZ86"/>
    <mergeCell ref="BX94:BX96"/>
    <mergeCell ref="CL94:CM94"/>
    <mergeCell ref="BX62:BX64"/>
    <mergeCell ref="BX78:BX80"/>
    <mergeCell ref="CL70:CM70"/>
    <mergeCell ref="GF56:GH58"/>
    <mergeCell ref="CK82:CL82"/>
    <mergeCell ref="CT95:CV96"/>
    <mergeCell ref="CA98:CB98"/>
    <mergeCell ref="CL95:CM96"/>
    <mergeCell ref="CS95:CS96"/>
    <mergeCell ref="CT94:CV94"/>
    <mergeCell ref="CT90:CX90"/>
    <mergeCell ref="CQ87:CR88"/>
    <mergeCell ref="CA67:CA68"/>
    <mergeCell ref="BK134:BL135"/>
    <mergeCell ref="CD98:CF98"/>
    <mergeCell ref="CG98:CI98"/>
    <mergeCell ref="EI108:EJ108"/>
    <mergeCell ref="EK108:EN108"/>
    <mergeCell ref="ES118:ET118"/>
    <mergeCell ref="CB58:CC58"/>
    <mergeCell ref="EP88:EQ89"/>
    <mergeCell ref="GF131:GF132"/>
    <mergeCell ref="CQ131:CQ132"/>
    <mergeCell ref="CL130:CM130"/>
    <mergeCell ref="CN131:CN132"/>
    <mergeCell ref="CO131:CP132"/>
    <mergeCell ref="CS122:CV122"/>
    <mergeCell ref="CX107:CZ108"/>
    <mergeCell ref="CW118:CY118"/>
    <mergeCell ref="CW119:CY120"/>
    <mergeCell ref="EW66:FC66"/>
    <mergeCell ref="CP70:CS70"/>
    <mergeCell ref="CN70:CO70"/>
    <mergeCell ref="CB71:CK72"/>
    <mergeCell ref="EK84:EL85"/>
    <mergeCell ref="GT97:GU97"/>
    <mergeCell ref="GT69:GU70"/>
    <mergeCell ref="GT98:GU99"/>
    <mergeCell ref="GG77:GH77"/>
    <mergeCell ref="GS78:GT79"/>
    <mergeCell ref="GI99:GJ99"/>
    <mergeCell ref="BZ96:CA96"/>
    <mergeCell ref="EL70:EM70"/>
    <mergeCell ref="CM74:CP74"/>
    <mergeCell ref="CF66:CG66"/>
    <mergeCell ref="CK63:CL64"/>
    <mergeCell ref="CP63:CP64"/>
    <mergeCell ref="EA73:EB73"/>
    <mergeCell ref="CU54:CU55"/>
    <mergeCell ref="EO54:EP55"/>
    <mergeCell ref="EP49:ER50"/>
    <mergeCell ref="GR57:GS58"/>
    <mergeCell ref="EW62:FJ64"/>
    <mergeCell ref="ET71:ET72"/>
    <mergeCell ref="EN67:EO68"/>
    <mergeCell ref="AJ95:AK95"/>
    <mergeCell ref="AM65:AN65"/>
    <mergeCell ref="BB62:BB63"/>
    <mergeCell ref="CK58:CL58"/>
    <mergeCell ref="GG79:GH79"/>
    <mergeCell ref="GF69:GF70"/>
    <mergeCell ref="GI98:GJ98"/>
    <mergeCell ref="GG97:GH97"/>
    <mergeCell ref="CM82:CN82"/>
    <mergeCell ref="CP94:CS94"/>
    <mergeCell ref="CL91:CM92"/>
    <mergeCell ref="CE75:CF76"/>
    <mergeCell ref="CL75:CL76"/>
    <mergeCell ref="DC79:DD79"/>
    <mergeCell ref="EA81:EB81"/>
    <mergeCell ref="EA71:EB71"/>
    <mergeCell ref="GI57:GI58"/>
    <mergeCell ref="GP53:GQ54"/>
    <mergeCell ref="BI94:BP94"/>
    <mergeCell ref="BI95:BP97"/>
    <mergeCell ref="BA97:BH97"/>
    <mergeCell ref="BX74:BX76"/>
    <mergeCell ref="CB53:CC53"/>
    <mergeCell ref="GO48:GP49"/>
    <mergeCell ref="BF74:BF75"/>
    <mergeCell ref="AV61:AW61"/>
    <mergeCell ref="BE78:BE79"/>
    <mergeCell ref="AZ82:BA84"/>
    <mergeCell ref="CN87:CO88"/>
    <mergeCell ref="CQ82:CT82"/>
    <mergeCell ref="CQ83:CQ84"/>
    <mergeCell ref="CT83:CT84"/>
    <mergeCell ref="CO83:CP84"/>
    <mergeCell ref="AZ78:BA79"/>
    <mergeCell ref="BY62:BZ62"/>
    <mergeCell ref="BE66:BE67"/>
    <mergeCell ref="BY64:CA64"/>
    <mergeCell ref="CP49:CP50"/>
    <mergeCell ref="CO58:CP58"/>
    <mergeCell ref="CS40:CS41"/>
    <mergeCell ref="ED44:EE44"/>
    <mergeCell ref="EE29:EF29"/>
    <mergeCell ref="EM48:EN48"/>
    <mergeCell ref="ED36:EE36"/>
    <mergeCell ref="CC39:CD39"/>
    <mergeCell ref="AZ62:BA63"/>
    <mergeCell ref="ES45:ET46"/>
    <mergeCell ref="EQ44:ER44"/>
    <mergeCell ref="CS54:CT55"/>
    <mergeCell ref="CD53:CF53"/>
    <mergeCell ref="ES44:ET44"/>
    <mergeCell ref="EK51:ES51"/>
    <mergeCell ref="EU45:EU46"/>
    <mergeCell ref="CS71:CS72"/>
    <mergeCell ref="CL67:CL68"/>
    <mergeCell ref="CH67:CI68"/>
    <mergeCell ref="CM67:CN68"/>
    <mergeCell ref="CO67:CO68"/>
    <mergeCell ref="CV54:DA55"/>
    <mergeCell ref="CQ58:CT58"/>
    <mergeCell ref="ER67:ER68"/>
    <mergeCell ref="EL66:EM66"/>
    <mergeCell ref="BB69:BE69"/>
    <mergeCell ref="BX27:BZ29"/>
    <mergeCell ref="CQ49:CT50"/>
    <mergeCell ref="CV53:DA53"/>
    <mergeCell ref="CR59:CS60"/>
    <mergeCell ref="CT59:CT60"/>
    <mergeCell ref="EE61:EF61"/>
    <mergeCell ref="EH61:EI61"/>
    <mergeCell ref="CT70:CV70"/>
    <mergeCell ref="BZ72:CA72"/>
    <mergeCell ref="CR53:CU53"/>
    <mergeCell ref="CL53:CM53"/>
    <mergeCell ref="CN53:CO53"/>
    <mergeCell ref="CP53:CQ53"/>
    <mergeCell ref="CV45:CV46"/>
    <mergeCell ref="BX44:BZ46"/>
    <mergeCell ref="CO45:CP46"/>
    <mergeCell ref="CB44:CC44"/>
    <mergeCell ref="BY53:BZ53"/>
    <mergeCell ref="CB63:CC63"/>
    <mergeCell ref="EM49:EN50"/>
    <mergeCell ref="EL58:EM59"/>
    <mergeCell ref="EN58:EN59"/>
    <mergeCell ref="CS44:CV44"/>
    <mergeCell ref="ED40:EE40"/>
    <mergeCell ref="CT39:CW39"/>
    <mergeCell ref="DZ49:DZ51"/>
    <mergeCell ref="EQ41:ER42"/>
    <mergeCell ref="EM33:EN34"/>
    <mergeCell ref="EL61:EM61"/>
    <mergeCell ref="CM36:CM37"/>
    <mergeCell ref="CR54:CR55"/>
    <mergeCell ref="BX70:BX72"/>
    <mergeCell ref="CB66:CC66"/>
    <mergeCell ref="CN71:CO72"/>
    <mergeCell ref="EQ45:ER46"/>
    <mergeCell ref="CR35:CU35"/>
    <mergeCell ref="CQ40:CR41"/>
    <mergeCell ref="BH33:BI33"/>
    <mergeCell ref="DO6:DU6"/>
    <mergeCell ref="BX3:BX4"/>
    <mergeCell ref="BM3:BS3"/>
    <mergeCell ref="BM4:BS4"/>
    <mergeCell ref="BM5:BS5"/>
    <mergeCell ref="EQ15:ER15"/>
    <mergeCell ref="CJ24:CK25"/>
    <mergeCell ref="EQ24:ER25"/>
    <mergeCell ref="DZ23:EB25"/>
    <mergeCell ref="CI24:CI25"/>
    <mergeCell ref="CK11:CL11"/>
    <mergeCell ref="CE23:CF23"/>
    <mergeCell ref="EO19:EP19"/>
    <mergeCell ref="EO12:EP13"/>
    <mergeCell ref="CM12:CN13"/>
    <mergeCell ref="CO12:CP13"/>
    <mergeCell ref="CQ15:CT15"/>
    <mergeCell ref="CI20:CI21"/>
    <mergeCell ref="BY23:BZ23"/>
    <mergeCell ref="EC15:EC17"/>
    <mergeCell ref="EO15:EP15"/>
    <mergeCell ref="EO20:EP21"/>
    <mergeCell ref="EO24:EP25"/>
    <mergeCell ref="EC19:EC21"/>
    <mergeCell ref="EM19:EN19"/>
    <mergeCell ref="CQ11:CT11"/>
    <mergeCell ref="CQ12:CQ13"/>
    <mergeCell ref="CT12:CT13"/>
    <mergeCell ref="CQ16:CQ17"/>
    <mergeCell ref="CG23:CH23"/>
    <mergeCell ref="CM11:CN11"/>
    <mergeCell ref="CE19:CF19"/>
    <mergeCell ref="CM15:CN15"/>
    <mergeCell ref="ED11:EE11"/>
    <mergeCell ref="CG20:CH21"/>
    <mergeCell ref="CG24:CH25"/>
    <mergeCell ref="DO4:DU4"/>
    <mergeCell ref="EB9:EC9"/>
    <mergeCell ref="EE9:EO9"/>
    <mergeCell ref="EM11:EN11"/>
    <mergeCell ref="EQ11:ER11"/>
    <mergeCell ref="EQ12:ER13"/>
    <mergeCell ref="DO3:DU3"/>
    <mergeCell ref="CC23:CD23"/>
    <mergeCell ref="EC23:EC25"/>
    <mergeCell ref="CR12:CS13"/>
    <mergeCell ref="DO7:DU7"/>
    <mergeCell ref="CC12:CD12"/>
    <mergeCell ref="BY19:BZ19"/>
    <mergeCell ref="CK15:CL15"/>
    <mergeCell ref="CC19:CD19"/>
    <mergeCell ref="ED15:EE15"/>
    <mergeCell ref="ED19:EE19"/>
    <mergeCell ref="BX19:BX21"/>
    <mergeCell ref="ED23:EE23"/>
    <mergeCell ref="BX23:BX25"/>
    <mergeCell ref="BY20:BZ20"/>
    <mergeCell ref="BY21:BZ21"/>
    <mergeCell ref="CA21:CB21"/>
    <mergeCell ref="CB11:CC11"/>
    <mergeCell ref="CA15:CA17"/>
    <mergeCell ref="CI19:CL19"/>
    <mergeCell ref="CB15:CC15"/>
    <mergeCell ref="BM2:BS2"/>
    <mergeCell ref="U7:W7"/>
    <mergeCell ref="CG19:CH19"/>
    <mergeCell ref="CM20:CP21"/>
    <mergeCell ref="CL24:CL25"/>
    <mergeCell ref="CE24:CF25"/>
    <mergeCell ref="CE20:CF21"/>
    <mergeCell ref="CQ28:CR29"/>
    <mergeCell ref="CJ20:CK21"/>
    <mergeCell ref="CL20:CL21"/>
    <mergeCell ref="CO27:CP27"/>
    <mergeCell ref="CO15:CP15"/>
    <mergeCell ref="CO11:CP11"/>
    <mergeCell ref="CA27:CA29"/>
    <mergeCell ref="CR16:CS17"/>
    <mergeCell ref="CT16:CT17"/>
    <mergeCell ref="CO16:CP17"/>
    <mergeCell ref="CT28:CU29"/>
    <mergeCell ref="CM16:CN17"/>
    <mergeCell ref="AP29:AQ29"/>
    <mergeCell ref="CA11:CA13"/>
    <mergeCell ref="AM24:AN24"/>
    <mergeCell ref="AV24:AW24"/>
    <mergeCell ref="CM19:CP19"/>
    <mergeCell ref="CI23:CL23"/>
    <mergeCell ref="CM23:CP23"/>
    <mergeCell ref="X4:AB4"/>
    <mergeCell ref="CQ27:CR27"/>
    <mergeCell ref="AT4:AW4"/>
    <mergeCell ref="AU5:AV5"/>
    <mergeCell ref="AU6:AV6"/>
    <mergeCell ref="CV28:CV29"/>
    <mergeCell ref="CO28:CP29"/>
    <mergeCell ref="CB27:CC27"/>
    <mergeCell ref="BX11:BZ13"/>
    <mergeCell ref="BX15:BZ17"/>
    <mergeCell ref="BM6:BS6"/>
    <mergeCell ref="CA20:CB20"/>
    <mergeCell ref="CS27:CV27"/>
    <mergeCell ref="AJ19:AK19"/>
    <mergeCell ref="AO13:AY13"/>
    <mergeCell ref="AR7:AS7"/>
    <mergeCell ref="AR8:AS8"/>
    <mergeCell ref="AP5:AQ5"/>
    <mergeCell ref="AP6:AQ6"/>
    <mergeCell ref="AP7:AQ7"/>
    <mergeCell ref="AK16:AL16"/>
    <mergeCell ref="CB16:CL17"/>
    <mergeCell ref="CE15:CG15"/>
    <mergeCell ref="CE11:CG11"/>
    <mergeCell ref="CB13:CD13"/>
    <mergeCell ref="CM27:CN27"/>
    <mergeCell ref="I23:U23"/>
    <mergeCell ref="I11:L11"/>
    <mergeCell ref="X18:Y18"/>
    <mergeCell ref="X19:Y19"/>
    <mergeCell ref="X20:Y20"/>
    <mergeCell ref="CC20:CD21"/>
    <mergeCell ref="DO5:DU5"/>
    <mergeCell ref="AN19:AO19"/>
    <mergeCell ref="AL2:AP2"/>
    <mergeCell ref="CC9:CD9"/>
    <mergeCell ref="Z20:AA20"/>
    <mergeCell ref="Z18:AA18"/>
    <mergeCell ref="Z19:AA19"/>
    <mergeCell ref="AJ15:AK15"/>
    <mergeCell ref="AZ25:BA26"/>
    <mergeCell ref="CF9:CP9"/>
    <mergeCell ref="AP15:AQ15"/>
    <mergeCell ref="AL13:AM13"/>
    <mergeCell ref="AN15:AO15"/>
    <mergeCell ref="BX35:BX37"/>
    <mergeCell ref="BY35:BZ35"/>
    <mergeCell ref="CG35:CH35"/>
    <mergeCell ref="CI35:CJ35"/>
    <mergeCell ref="CN40:CO41"/>
    <mergeCell ref="CP48:CU48"/>
    <mergeCell ref="CL39:CM39"/>
    <mergeCell ref="CN39:CO39"/>
    <mergeCell ref="CA37:CB37"/>
    <mergeCell ref="BY36:BZ36"/>
    <mergeCell ref="BX39:BX42"/>
    <mergeCell ref="BH95:BH96"/>
    <mergeCell ref="BE94:BH94"/>
    <mergeCell ref="AY90:BB90"/>
    <mergeCell ref="AX81:AY81"/>
    <mergeCell ref="AZ81:BA81"/>
    <mergeCell ref="AV69:AW69"/>
    <mergeCell ref="AX69:AY69"/>
    <mergeCell ref="CQ44:CR44"/>
    <mergeCell ref="AT49:AT50"/>
    <mergeCell ref="AJ56:AK56"/>
    <mergeCell ref="AX62:AY63"/>
    <mergeCell ref="BC66:BD67"/>
    <mergeCell ref="BZ71:CA71"/>
    <mergeCell ref="AX78:AY79"/>
    <mergeCell ref="BB78:BB79"/>
    <mergeCell ref="BC73:BF73"/>
    <mergeCell ref="AZ69:BA69"/>
    <mergeCell ref="AZ70:BA71"/>
    <mergeCell ref="BY70:BZ70"/>
    <mergeCell ref="BY74:BZ74"/>
    <mergeCell ref="AR52:AS52"/>
    <mergeCell ref="CM35:CQ35"/>
    <mergeCell ref="AQ86:AR86"/>
    <mergeCell ref="BB81:BC81"/>
    <mergeCell ref="BD95:BD96"/>
    <mergeCell ref="BB65:BE65"/>
    <mergeCell ref="BA74:BB75"/>
    <mergeCell ref="BA73:BB73"/>
    <mergeCell ref="AL61:AL63"/>
    <mergeCell ref="CO59:CP60"/>
    <mergeCell ref="CC48:CD48"/>
    <mergeCell ref="CA51:CB51"/>
    <mergeCell ref="CA40:CB40"/>
    <mergeCell ref="BY41:BZ41"/>
    <mergeCell ref="BE29:BH29"/>
    <mergeCell ref="BH30:BH31"/>
    <mergeCell ref="AI52:AI54"/>
    <mergeCell ref="AL23:AW23"/>
    <mergeCell ref="AL28:AW28"/>
    <mergeCell ref="CA41:CB41"/>
    <mergeCell ref="E80:S80"/>
    <mergeCell ref="E81:S81"/>
    <mergeCell ref="E82:S82"/>
    <mergeCell ref="E83:S83"/>
    <mergeCell ref="E84:S84"/>
    <mergeCell ref="E85:S85"/>
    <mergeCell ref="M66:N66"/>
    <mergeCell ref="AY35:AZ35"/>
    <mergeCell ref="BC35:BD35"/>
    <mergeCell ref="BG35:BH35"/>
    <mergeCell ref="AM35:AV35"/>
    <mergeCell ref="AJ59:AK59"/>
    <mergeCell ref="AI56:AI59"/>
    <mergeCell ref="E66:F66"/>
    <mergeCell ref="BC57:BC58"/>
    <mergeCell ref="AK49:AL49"/>
    <mergeCell ref="AK50:AL50"/>
    <mergeCell ref="BF30:BG31"/>
    <mergeCell ref="AZ24:BA24"/>
    <mergeCell ref="K66:L66"/>
    <mergeCell ref="AO56:AQ56"/>
    <mergeCell ref="AJ48:AK48"/>
    <mergeCell ref="AT48:AW48"/>
    <mergeCell ref="AR48:AS48"/>
    <mergeCell ref="AP52:AQ52"/>
    <mergeCell ref="AP53:AQ54"/>
    <mergeCell ref="AX49:BA50"/>
    <mergeCell ref="AX48:BA48"/>
    <mergeCell ref="AL24:AL26"/>
    <mergeCell ref="AI29:AK31"/>
    <mergeCell ref="AO29:AO31"/>
    <mergeCell ref="AL29:AN31"/>
    <mergeCell ref="AY29:AZ29"/>
    <mergeCell ref="BB25:BB26"/>
    <mergeCell ref="BA29:BB29"/>
    <mergeCell ref="AZ59:BH59"/>
    <mergeCell ref="AI24:AK26"/>
    <mergeCell ref="BC29:BD29"/>
    <mergeCell ref="AX56:AY56"/>
    <mergeCell ref="AX52:BA52"/>
    <mergeCell ref="AX53:BA54"/>
    <mergeCell ref="AU53:AV54"/>
    <mergeCell ref="AT52:AW52"/>
    <mergeCell ref="AW53:AW54"/>
    <mergeCell ref="BC38:BC39"/>
    <mergeCell ref="BF38:BF39"/>
    <mergeCell ref="BD38:BE39"/>
    <mergeCell ref="AJ33:AK33"/>
    <mergeCell ref="AJ41:AK41"/>
    <mergeCell ref="AL41:AM41"/>
    <mergeCell ref="AN41:AO41"/>
    <mergeCell ref="AP41:AQ41"/>
    <mergeCell ref="AR41:AS41"/>
    <mergeCell ref="AT41:AU41"/>
    <mergeCell ref="AV41:AW41"/>
    <mergeCell ref="AX41:AY41"/>
    <mergeCell ref="AZ41:BA41"/>
    <mergeCell ref="BB41:BC41"/>
    <mergeCell ref="BD41:BE41"/>
    <mergeCell ref="J65:K65"/>
    <mergeCell ref="AL57:AM57"/>
    <mergeCell ref="AJ57:AK57"/>
    <mergeCell ref="G71:H71"/>
    <mergeCell ref="BA30:BB31"/>
    <mergeCell ref="P68:S68"/>
    <mergeCell ref="T68:U68"/>
    <mergeCell ref="V66:W66"/>
    <mergeCell ref="AT56:AU56"/>
    <mergeCell ref="H64:K64"/>
    <mergeCell ref="H65:I65"/>
    <mergeCell ref="I71:J71"/>
    <mergeCell ref="AT53:AT54"/>
    <mergeCell ref="D4:J4"/>
    <mergeCell ref="AW20:AW21"/>
    <mergeCell ref="AJ37:AL39"/>
    <mergeCell ref="BB24:BE24"/>
    <mergeCell ref="D5:J5"/>
    <mergeCell ref="D6:J6"/>
    <mergeCell ref="AX24:AY24"/>
    <mergeCell ref="AP19:AQ19"/>
    <mergeCell ref="AT19:AW19"/>
    <mergeCell ref="AU20:AV21"/>
    <mergeCell ref="AT20:AT21"/>
    <mergeCell ref="AI15:AI17"/>
    <mergeCell ref="AI19:AI21"/>
    <mergeCell ref="AT15:AW15"/>
    <mergeCell ref="AU16:AV17"/>
    <mergeCell ref="AW16:AW17"/>
    <mergeCell ref="AT16:AT17"/>
    <mergeCell ref="BC30:BD31"/>
    <mergeCell ref="D7:J7"/>
    <mergeCell ref="BC37:BF37"/>
    <mergeCell ref="BE30:BE31"/>
    <mergeCell ref="BA38:BB39"/>
    <mergeCell ref="AX23:AY23"/>
    <mergeCell ref="AJ5:AO5"/>
    <mergeCell ref="AJ6:AO6"/>
    <mergeCell ref="AJ7:AO7"/>
    <mergeCell ref="AJ8:AO8"/>
    <mergeCell ref="AR5:AS5"/>
    <mergeCell ref="AP8:AQ8"/>
    <mergeCell ref="AP16:AQ17"/>
    <mergeCell ref="AN37:AO37"/>
    <mergeCell ref="AW37:AX37"/>
    <mergeCell ref="AY37:AZ37"/>
    <mergeCell ref="AR20:AS21"/>
    <mergeCell ref="AR15:AS15"/>
    <mergeCell ref="AR16:AS17"/>
    <mergeCell ref="AR19:AS19"/>
    <mergeCell ref="P66:U66"/>
    <mergeCell ref="AW49:AW50"/>
    <mergeCell ref="AP20:AQ21"/>
    <mergeCell ref="AX16:AZ17"/>
    <mergeCell ref="AX25:AY26"/>
    <mergeCell ref="BE25:BE26"/>
    <mergeCell ref="BD56:BH56"/>
    <mergeCell ref="BD57:BH58"/>
    <mergeCell ref="L17:M17"/>
    <mergeCell ref="AU7:AV7"/>
    <mergeCell ref="AU8:AV8"/>
    <mergeCell ref="AR6:AS6"/>
    <mergeCell ref="F41:G42"/>
    <mergeCell ref="E37:G37"/>
    <mergeCell ref="E38:G39"/>
    <mergeCell ref="J44:S44"/>
    <mergeCell ref="J41:S41"/>
    <mergeCell ref="F46:G46"/>
    <mergeCell ref="H46:I46"/>
    <mergeCell ref="E79:R79"/>
    <mergeCell ref="AX15:AZ15"/>
    <mergeCell ref="BC25:BD26"/>
    <mergeCell ref="E72:F72"/>
    <mergeCell ref="AP4:AQ4"/>
    <mergeCell ref="AR4:AS4"/>
    <mergeCell ref="AJ9:AO9"/>
    <mergeCell ref="AP9:AQ9"/>
    <mergeCell ref="AX28:AY28"/>
    <mergeCell ref="CM24:CP25"/>
    <mergeCell ref="EL37:EM38"/>
    <mergeCell ref="ES41:ET42"/>
    <mergeCell ref="EE27:EF27"/>
    <mergeCell ref="ER27:EU27"/>
    <mergeCell ref="CB28:CN29"/>
    <mergeCell ref="CN48:CO48"/>
    <mergeCell ref="CO44:CP44"/>
    <mergeCell ref="AX65:AY65"/>
    <mergeCell ref="CS45:CS46"/>
    <mergeCell ref="CQ59:CQ60"/>
    <mergeCell ref="CQ36:CQ37"/>
    <mergeCell ref="BC62:BD63"/>
    <mergeCell ref="CS28:CS29"/>
    <mergeCell ref="EH53:EI53"/>
    <mergeCell ref="ER28:ER29"/>
    <mergeCell ref="CV48:CY48"/>
    <mergeCell ref="EK32:EL32"/>
    <mergeCell ref="EE33:EF33"/>
    <mergeCell ref="EK33:EL34"/>
    <mergeCell ref="EI32:EJ32"/>
    <mergeCell ref="ED34:EF34"/>
    <mergeCell ref="EG28:EM30"/>
    <mergeCell ref="EB30:EC30"/>
    <mergeCell ref="EN30:EU30"/>
    <mergeCell ref="DZ27:DZ30"/>
    <mergeCell ref="EA27:EB27"/>
    <mergeCell ref="EI48:EJ48"/>
    <mergeCell ref="EK48:EL48"/>
    <mergeCell ref="AL59:AM59"/>
    <mergeCell ref="AV57:AW59"/>
    <mergeCell ref="AX57:AY59"/>
    <mergeCell ref="AM56:AN56"/>
    <mergeCell ref="AZ65:BA65"/>
    <mergeCell ref="AX61:AY61"/>
    <mergeCell ref="EN53:EQ53"/>
    <mergeCell ref="CA36:CB36"/>
    <mergeCell ref="BA37:BB37"/>
    <mergeCell ref="AM37:AM39"/>
    <mergeCell ref="AR49:AS50"/>
    <mergeCell ref="BY24:BZ24"/>
    <mergeCell ref="CA24:CB24"/>
    <mergeCell ref="BY25:BZ25"/>
    <mergeCell ref="CA25:CB25"/>
    <mergeCell ref="BY50:BZ50"/>
    <mergeCell ref="BY42:BZ42"/>
    <mergeCell ref="CA42:CB42"/>
    <mergeCell ref="DZ11:EB13"/>
    <mergeCell ref="DZ19:EB21"/>
    <mergeCell ref="EC11:EC13"/>
    <mergeCell ref="ED53:EE53"/>
    <mergeCell ref="ED57:EE57"/>
    <mergeCell ref="CG62:CH62"/>
    <mergeCell ref="EN27:EO27"/>
    <mergeCell ref="BX53:BX56"/>
    <mergeCell ref="EA32:EB32"/>
    <mergeCell ref="EB33:EC33"/>
    <mergeCell ref="AN90:AO90"/>
    <mergeCell ref="CA92:CB92"/>
    <mergeCell ref="BD84:BG84"/>
    <mergeCell ref="CD106:CE106"/>
    <mergeCell ref="BY92:BZ92"/>
    <mergeCell ref="BY91:BZ91"/>
    <mergeCell ref="AU99:AV99"/>
    <mergeCell ref="AO86:AP86"/>
    <mergeCell ref="AR53:AS54"/>
    <mergeCell ref="AN52:AO52"/>
    <mergeCell ref="AJ52:AK52"/>
    <mergeCell ref="AY74:AZ75"/>
    <mergeCell ref="AL65:AL67"/>
    <mergeCell ref="AL73:AL75"/>
    <mergeCell ref="AI73:AK75"/>
    <mergeCell ref="AI77:AK79"/>
    <mergeCell ref="AM82:AY84"/>
    <mergeCell ref="AI95:AI97"/>
    <mergeCell ref="CC35:CD35"/>
    <mergeCell ref="BY39:BZ39"/>
    <mergeCell ref="BC90:BE90"/>
    <mergeCell ref="AS86:AT86"/>
    <mergeCell ref="AL81:AL84"/>
    <mergeCell ref="AJ90:AK90"/>
    <mergeCell ref="CJ39:CK39"/>
    <mergeCell ref="BY51:BZ51"/>
    <mergeCell ref="BY78:BZ78"/>
    <mergeCell ref="CJ48:CK48"/>
    <mergeCell ref="CL48:CM48"/>
    <mergeCell ref="BX66:BZ68"/>
    <mergeCell ref="CB45:CN46"/>
    <mergeCell ref="EB50:EC50"/>
    <mergeCell ref="AZ57:AZ58"/>
    <mergeCell ref="CH53:CI53"/>
    <mergeCell ref="BY55:BZ55"/>
    <mergeCell ref="CA55:CB55"/>
    <mergeCell ref="CA56:CB56"/>
    <mergeCell ref="BY56:BZ56"/>
    <mergeCell ref="BY54:BZ54"/>
    <mergeCell ref="CA54:CB54"/>
    <mergeCell ref="CC54:CM56"/>
    <mergeCell ref="CN54:CO56"/>
    <mergeCell ref="CP54:CQ56"/>
    <mergeCell ref="CR56:DA56"/>
    <mergeCell ref="CB64:CC64"/>
    <mergeCell ref="CM59:CN60"/>
    <mergeCell ref="AV56:AW56"/>
    <mergeCell ref="EC85:ED85"/>
    <mergeCell ref="EC41:EC42"/>
    <mergeCell ref="EA83:EB83"/>
    <mergeCell ref="CP40:CP41"/>
    <mergeCell ref="CT45:CU46"/>
    <mergeCell ref="CM58:CN58"/>
    <mergeCell ref="CJ70:CK70"/>
    <mergeCell ref="CI79:CJ80"/>
    <mergeCell ref="AK101:AL101"/>
    <mergeCell ref="CK36:CL37"/>
    <mergeCell ref="CI36:CJ37"/>
    <mergeCell ref="CK35:CL35"/>
    <mergeCell ref="CM44:CN44"/>
    <mergeCell ref="BE70:BE71"/>
    <mergeCell ref="CR36:CU37"/>
    <mergeCell ref="EL71:EM72"/>
    <mergeCell ref="EA68:EB68"/>
    <mergeCell ref="AK54:AL54"/>
    <mergeCell ref="AK53:AL53"/>
    <mergeCell ref="BY49:BZ49"/>
    <mergeCell ref="CA49:CB49"/>
    <mergeCell ref="AO96:AP96"/>
    <mergeCell ref="AO97:AP97"/>
    <mergeCell ref="BB66:BB67"/>
    <mergeCell ref="BA95:BA96"/>
    <mergeCell ref="AT90:AU90"/>
    <mergeCell ref="BB70:BB71"/>
    <mergeCell ref="AJ94:AK94"/>
    <mergeCell ref="AU94:AV94"/>
    <mergeCell ref="AW94:AX94"/>
    <mergeCell ref="BA94:BD94"/>
    <mergeCell ref="BC74:BC75"/>
    <mergeCell ref="BC78:BD79"/>
    <mergeCell ref="BB61:BE61"/>
    <mergeCell ref="AX87:AX88"/>
    <mergeCell ref="AY94:AZ94"/>
    <mergeCell ref="AV91:AX92"/>
    <mergeCell ref="AV90:AX90"/>
    <mergeCell ref="AK86:AL86"/>
    <mergeCell ref="BB82:BC84"/>
    <mergeCell ref="BE82:BF83"/>
    <mergeCell ref="BG82:BG83"/>
    <mergeCell ref="CA50:CB50"/>
    <mergeCell ref="BX48:BX51"/>
    <mergeCell ref="CC49:CK51"/>
    <mergeCell ref="CL49:CM51"/>
    <mergeCell ref="CN49:CO51"/>
    <mergeCell ref="CP51:CY51"/>
    <mergeCell ref="EB51:EC51"/>
    <mergeCell ref="BF95:BG96"/>
    <mergeCell ref="BX86:BX88"/>
    <mergeCell ref="AV87:AW88"/>
    <mergeCell ref="AI69:AK71"/>
    <mergeCell ref="AI65:AK67"/>
    <mergeCell ref="AJ58:AK58"/>
    <mergeCell ref="AL58:AM58"/>
    <mergeCell ref="AI61:AK63"/>
    <mergeCell ref="CG74:CH74"/>
    <mergeCell ref="CI74:CL74"/>
    <mergeCell ref="CI75:CI76"/>
    <mergeCell ref="CK78:CL78"/>
    <mergeCell ref="EC93:ED93"/>
    <mergeCell ref="EA94:EB94"/>
    <mergeCell ref="EC94:ED94"/>
    <mergeCell ref="EE80:EM81"/>
    <mergeCell ref="EA80:EB80"/>
    <mergeCell ref="EC80:ED80"/>
    <mergeCell ref="CP79:CP80"/>
    <mergeCell ref="CN86:CO86"/>
    <mergeCell ref="AM49:AO50"/>
    <mergeCell ref="AM53:AO54"/>
    <mergeCell ref="CC127:CC128"/>
    <mergeCell ref="CC123:CC124"/>
    <mergeCell ref="EJ92:EK92"/>
    <mergeCell ref="CM126:CN126"/>
    <mergeCell ref="CO126:CP126"/>
    <mergeCell ref="BZ118:CB120"/>
    <mergeCell ref="DZ84:DZ85"/>
    <mergeCell ref="CB107:CC107"/>
    <mergeCell ref="EG109:EH110"/>
    <mergeCell ref="GT111:GT112"/>
    <mergeCell ref="GU107:GU108"/>
    <mergeCell ref="GV78:GX79"/>
    <mergeCell ref="BA57:BB58"/>
    <mergeCell ref="BY63:CA63"/>
    <mergeCell ref="AJ86:AJ88"/>
    <mergeCell ref="EQ93:ER94"/>
    <mergeCell ref="GU60:GV60"/>
    <mergeCell ref="GU64:GV64"/>
    <mergeCell ref="EM84:EN85"/>
    <mergeCell ref="AJ99:AK99"/>
    <mergeCell ref="AS99:AT99"/>
    <mergeCell ref="CN98:CP98"/>
    <mergeCell ref="BY87:CK88"/>
    <mergeCell ref="CP87:CP88"/>
    <mergeCell ref="CT91:CX92"/>
    <mergeCell ref="AU49:AV50"/>
    <mergeCell ref="AM61:AN61"/>
    <mergeCell ref="AP49:AQ50"/>
    <mergeCell ref="AN48:AO48"/>
    <mergeCell ref="AP48:AQ48"/>
    <mergeCell ref="CL40:CM41"/>
    <mergeCell ref="GL102:GM102"/>
    <mergeCell ref="GF126:GF128"/>
    <mergeCell ref="GF122:GF124"/>
    <mergeCell ref="GF118:GF120"/>
    <mergeCell ref="GK118:GL118"/>
    <mergeCell ref="GM118:GN118"/>
    <mergeCell ref="GR118:GU118"/>
    <mergeCell ref="GR119:GR120"/>
    <mergeCell ref="GS119:GT120"/>
    <mergeCell ref="GG75:GI75"/>
    <mergeCell ref="GI79:GJ79"/>
    <mergeCell ref="GF114:GF116"/>
    <mergeCell ref="ES119:ET121"/>
    <mergeCell ref="GX57:GX58"/>
    <mergeCell ref="GU57:GW58"/>
    <mergeCell ref="AM69:AN69"/>
    <mergeCell ref="CB108:CC108"/>
    <mergeCell ref="CF106:CG106"/>
    <mergeCell ref="CD107:CM108"/>
    <mergeCell ref="EL79:EM79"/>
    <mergeCell ref="DZ80:DZ81"/>
    <mergeCell ref="DZ76:DZ77"/>
    <mergeCell ref="EO118:EP118"/>
    <mergeCell ref="AZ56:BC56"/>
    <mergeCell ref="AZ77:BA77"/>
    <mergeCell ref="AX70:AY71"/>
    <mergeCell ref="BD74:BE75"/>
    <mergeCell ref="AY73:AZ73"/>
    <mergeCell ref="AR90:AS90"/>
    <mergeCell ref="ER66:EV66"/>
    <mergeCell ref="AW73:AX73"/>
    <mergeCell ref="CM83:CN84"/>
    <mergeCell ref="CF48:CG48"/>
    <mergeCell ref="CS107:CU108"/>
    <mergeCell ref="EP92:ES92"/>
    <mergeCell ref="EK83:EL83"/>
    <mergeCell ref="EA108:EB108"/>
    <mergeCell ref="EA92:EB92"/>
    <mergeCell ref="EA87:EB87"/>
    <mergeCell ref="GU111:GW112"/>
    <mergeCell ref="CD118:CE118"/>
    <mergeCell ref="GK122:GL122"/>
    <mergeCell ref="GQ110:GT110"/>
    <mergeCell ref="CL131:CM132"/>
    <mergeCell ref="EI109:EJ110"/>
    <mergeCell ref="EN93:EO94"/>
    <mergeCell ref="DZ92:DZ94"/>
    <mergeCell ref="CV107:CV108"/>
    <mergeCell ref="CO119:CP120"/>
    <mergeCell ref="CM118:CN118"/>
    <mergeCell ref="CN130:CQ130"/>
    <mergeCell ref="CO123:CP124"/>
    <mergeCell ref="GQ131:GQ132"/>
    <mergeCell ref="GQ123:GQ124"/>
    <mergeCell ref="GR127:GS128"/>
    <mergeCell ref="GT115:GT116"/>
    <mergeCell ref="GQ114:GT114"/>
    <mergeCell ref="GO111:GP112"/>
    <mergeCell ref="GO119:GQ120"/>
    <mergeCell ref="GW103:GW104"/>
    <mergeCell ref="GT100:HB100"/>
    <mergeCell ref="GS106:GT106"/>
    <mergeCell ref="GY106:HA106"/>
    <mergeCell ref="GQ106:GR106"/>
    <mergeCell ref="GU106:GX106"/>
    <mergeCell ref="GO130:GP130"/>
    <mergeCell ref="GM110:GN110"/>
    <mergeCell ref="GO110:GP110"/>
    <mergeCell ref="GO122:GP122"/>
    <mergeCell ref="GV107:GW108"/>
    <mergeCell ref="GU119:GU120"/>
    <mergeCell ref="GR103:GS104"/>
    <mergeCell ref="DB107:DE108"/>
    <mergeCell ref="GQ127:GQ128"/>
    <mergeCell ref="HB98:HB99"/>
    <mergeCell ref="GY107:HA108"/>
    <mergeCell ref="GU110:GW110"/>
    <mergeCell ref="CD131:CI132"/>
    <mergeCell ref="AI99:AI101"/>
    <mergeCell ref="AU100:AV101"/>
    <mergeCell ref="AY100:AY101"/>
    <mergeCell ref="AZ100:BA101"/>
    <mergeCell ref="BB100:BB101"/>
    <mergeCell ref="AW100:AX101"/>
    <mergeCell ref="AW99:AX99"/>
    <mergeCell ref="AY99:BB99"/>
    <mergeCell ref="AS87:AT88"/>
    <mergeCell ref="AT91:AU92"/>
    <mergeCell ref="AY91:AY92"/>
    <mergeCell ref="AZ91:BA92"/>
    <mergeCell ref="BB91:BB92"/>
    <mergeCell ref="AL96:AM96"/>
    <mergeCell ref="AJ96:AK96"/>
    <mergeCell ref="AN94:AO94"/>
    <mergeCell ref="BE62:BE63"/>
    <mergeCell ref="AM73:AN73"/>
    <mergeCell ref="AZ66:BA67"/>
    <mergeCell ref="BC70:BD71"/>
    <mergeCell ref="AL77:AL79"/>
    <mergeCell ref="AM77:AN77"/>
    <mergeCell ref="BE95:BE96"/>
    <mergeCell ref="ER79:EV79"/>
    <mergeCell ref="EP76:ER77"/>
    <mergeCell ref="DZ40:EB42"/>
    <mergeCell ref="AL69:AL71"/>
    <mergeCell ref="BZ130:CB132"/>
    <mergeCell ref="CJ130:CK130"/>
    <mergeCell ref="AI48:AI50"/>
    <mergeCell ref="BY40:BZ40"/>
    <mergeCell ref="BY37:BZ37"/>
    <mergeCell ref="CL42:CW42"/>
    <mergeCell ref="EC45:EC46"/>
    <mergeCell ref="CQ45:CR46"/>
    <mergeCell ref="EV62:EV63"/>
    <mergeCell ref="EA63:EB63"/>
    <mergeCell ref="EA61:EB61"/>
    <mergeCell ref="EJ53:EK53"/>
    <mergeCell ref="EL57:EM57"/>
    <mergeCell ref="ES62:EU63"/>
    <mergeCell ref="EN62:EO64"/>
    <mergeCell ref="EN61:EO61"/>
    <mergeCell ref="EP61:EQ61"/>
    <mergeCell ref="ER64:EV64"/>
    <mergeCell ref="ER61:EV61"/>
    <mergeCell ref="AQ87:AR88"/>
    <mergeCell ref="BZ106:BZ108"/>
    <mergeCell ref="CL106:CM106"/>
    <mergeCell ref="CN106:CO106"/>
    <mergeCell ref="CP106:CQ106"/>
    <mergeCell ref="AU87:AU88"/>
    <mergeCell ref="AM81:AN81"/>
    <mergeCell ref="BB77:BE77"/>
    <mergeCell ref="BB95:BC96"/>
    <mergeCell ref="AQ95:AV97"/>
    <mergeCell ref="AW95:AX97"/>
    <mergeCell ref="AY95:AZ97"/>
    <mergeCell ref="AJ97:AK97"/>
    <mergeCell ref="AL97:AM97"/>
    <mergeCell ref="AO95:AP95"/>
    <mergeCell ref="BZ102:BZ104"/>
    <mergeCell ref="CL102:CM102"/>
    <mergeCell ref="CN102:CO102"/>
    <mergeCell ref="GR123:GS124"/>
    <mergeCell ref="GQ111:GQ112"/>
    <mergeCell ref="GY73:HA74"/>
    <mergeCell ref="GT56:GX56"/>
    <mergeCell ref="GG74:GI74"/>
    <mergeCell ref="GT75:HB75"/>
    <mergeCell ref="GL73:GS75"/>
    <mergeCell ref="GQ84:GR85"/>
    <mergeCell ref="CN91:CO92"/>
    <mergeCell ref="EJ100:EK100"/>
    <mergeCell ref="EJ104:EK104"/>
    <mergeCell ref="EA72:EB72"/>
    <mergeCell ref="GK110:GL110"/>
    <mergeCell ref="GM114:GN114"/>
    <mergeCell ref="HA103:HC104"/>
    <mergeCell ref="CP103:CR104"/>
    <mergeCell ref="EE118:EF118"/>
    <mergeCell ref="EY119:FD121"/>
    <mergeCell ref="GR48:GT49"/>
    <mergeCell ref="GI80:GJ80"/>
    <mergeCell ref="GI61:GI62"/>
    <mergeCell ref="GJ61:GV62"/>
    <mergeCell ref="GF73:GF75"/>
    <mergeCell ref="EU70:FG70"/>
    <mergeCell ref="GR111:GS112"/>
    <mergeCell ref="CJ131:CK132"/>
    <mergeCell ref="DZ44:EB46"/>
    <mergeCell ref="GI43:GI45"/>
    <mergeCell ref="GH37:GI37"/>
    <mergeCell ref="GH41:GI41"/>
    <mergeCell ref="EV67:EV68"/>
    <mergeCell ref="EO44:EP44"/>
    <mergeCell ref="GJ75:GK75"/>
    <mergeCell ref="GU115:GX116"/>
    <mergeCell ref="GK126:GL126"/>
    <mergeCell ref="GM126:GN126"/>
    <mergeCell ref="GQ80:GY81"/>
    <mergeCell ref="GG73:GI73"/>
    <mergeCell ref="CB83:CL84"/>
    <mergeCell ref="GQ115:GQ116"/>
    <mergeCell ref="GO114:GP114"/>
    <mergeCell ref="GQ126:GT126"/>
    <mergeCell ref="GO115:GP116"/>
    <mergeCell ref="CQ123:CR124"/>
    <mergeCell ref="GH116:GI116"/>
    <mergeCell ref="GJ115:GL116"/>
    <mergeCell ref="GH115:GI115"/>
    <mergeCell ref="CW107:CW108"/>
    <mergeCell ref="DB106:DE106"/>
    <mergeCell ref="CD127:CN128"/>
    <mergeCell ref="EC36:EC38"/>
    <mergeCell ref="EB49:EC49"/>
    <mergeCell ref="EP62:EQ64"/>
    <mergeCell ref="CS102:CV102"/>
    <mergeCell ref="CS103:CS104"/>
    <mergeCell ref="CT103:CU104"/>
    <mergeCell ref="CV103:CV104"/>
    <mergeCell ref="CN103:CO104"/>
    <mergeCell ref="CW102:CZ102"/>
    <mergeCell ref="CA102:CB102"/>
    <mergeCell ref="CT99:CU100"/>
    <mergeCell ref="GT102:GV102"/>
    <mergeCell ref="EE108:EF108"/>
    <mergeCell ref="BZ122:CB124"/>
    <mergeCell ref="DZ15:EB17"/>
    <mergeCell ref="EO40:EP40"/>
    <mergeCell ref="EO32:ER32"/>
    <mergeCell ref="EO33:EO34"/>
    <mergeCell ref="EP33:EQ34"/>
    <mergeCell ref="EV28:FA30"/>
    <mergeCell ref="ES49:ES50"/>
    <mergeCell ref="ES33:EW34"/>
    <mergeCell ref="ES32:EW32"/>
    <mergeCell ref="EQ16:ER17"/>
    <mergeCell ref="EQ20:ER21"/>
    <mergeCell ref="EB29:EC29"/>
    <mergeCell ref="EY45:EY46"/>
    <mergeCell ref="ER33:ER34"/>
    <mergeCell ref="EU40:EY40"/>
    <mergeCell ref="EV12:EV13"/>
    <mergeCell ref="EV16:EV17"/>
    <mergeCell ref="ES11:EV11"/>
    <mergeCell ref="ES12:ES13"/>
    <mergeCell ref="ET12:EU13"/>
    <mergeCell ref="ET16:EU17"/>
    <mergeCell ref="EN28:EO29"/>
    <mergeCell ref="EL27:EM27"/>
    <mergeCell ref="EY41:EY42"/>
    <mergeCell ref="EV41:EX42"/>
    <mergeCell ref="EM15:EN15"/>
    <mergeCell ref="EB28:EC28"/>
    <mergeCell ref="EN36:EQ36"/>
    <mergeCell ref="EH36:EI36"/>
    <mergeCell ref="ED41:EP42"/>
    <mergeCell ref="ED45:EP46"/>
    <mergeCell ref="EE28:EF28"/>
    <mergeCell ref="EV24:EV25"/>
    <mergeCell ref="EV27:FA27"/>
    <mergeCell ref="EO48:ES48"/>
    <mergeCell ref="DZ33:DZ34"/>
    <mergeCell ref="EM32:EN32"/>
    <mergeCell ref="ED30:EF30"/>
    <mergeCell ref="EA48:EB48"/>
    <mergeCell ref="ET49:FA51"/>
    <mergeCell ref="EB34:EC34"/>
    <mergeCell ref="EO16:EP17"/>
    <mergeCell ref="EE32:EF32"/>
    <mergeCell ref="EO11:EP11"/>
    <mergeCell ref="EQ19:ER19"/>
    <mergeCell ref="ES19:EV19"/>
    <mergeCell ref="ES15:EV15"/>
    <mergeCell ref="ES20:ES21"/>
    <mergeCell ref="ET20:EU21"/>
    <mergeCell ref="EV20:EV21"/>
    <mergeCell ref="EQ23:ER23"/>
    <mergeCell ref="ES23:EV23"/>
    <mergeCell ref="EG23:EI23"/>
    <mergeCell ref="EG19:EI19"/>
    <mergeCell ref="EG15:EI15"/>
    <mergeCell ref="EG11:EI11"/>
    <mergeCell ref="ED12:EN13"/>
    <mergeCell ref="EQ40:ER40"/>
    <mergeCell ref="EU44:EY44"/>
    <mergeCell ref="ES24:ES25"/>
    <mergeCell ref="ET24:EU25"/>
    <mergeCell ref="EP27:EQ27"/>
    <mergeCell ref="EJ37:EK38"/>
    <mergeCell ref="EO49:EO50"/>
    <mergeCell ref="GU15:GV15"/>
    <mergeCell ref="HB40:HF41"/>
    <mergeCell ref="GH29:GI29"/>
    <mergeCell ref="GV48:GY50"/>
    <mergeCell ref="GS43:GT43"/>
    <mergeCell ref="HB44:HB45"/>
    <mergeCell ref="GM28:GN29"/>
    <mergeCell ref="GJ64:GK64"/>
    <mergeCell ref="GR52:GT52"/>
    <mergeCell ref="GR53:GT54"/>
    <mergeCell ref="GI52:GI54"/>
    <mergeCell ref="EL53:EM53"/>
    <mergeCell ref="HA64:HF64"/>
    <mergeCell ref="HA61:HA62"/>
    <mergeCell ref="GW44:GX45"/>
    <mergeCell ref="GN52:GO52"/>
    <mergeCell ref="GU27:GY27"/>
    <mergeCell ref="GR28:GS29"/>
    <mergeCell ref="GU16:GV17"/>
    <mergeCell ref="IT39:IU39"/>
    <mergeCell ref="IS37:IT37"/>
    <mergeCell ref="HU33:HV33"/>
    <mergeCell ref="IU41:IU43"/>
    <mergeCell ref="GM23:GN23"/>
    <mergeCell ref="GO23:GP23"/>
    <mergeCell ref="IR60:IR62"/>
    <mergeCell ref="GY44:GY45"/>
    <mergeCell ref="GY36:HC37"/>
    <mergeCell ref="GW32:GX33"/>
    <mergeCell ref="GY31:HB31"/>
    <mergeCell ref="GM47:GN47"/>
    <mergeCell ref="GG39:GH39"/>
    <mergeCell ref="GU31:GV31"/>
    <mergeCell ref="GU32:GV33"/>
    <mergeCell ref="GK35:GL35"/>
    <mergeCell ref="GQ35:GR35"/>
    <mergeCell ref="GK40:GL40"/>
    <mergeCell ref="GV40:GW41"/>
    <mergeCell ref="GU44:GV45"/>
    <mergeCell ref="GF35:GF37"/>
    <mergeCell ref="GM40:GS41"/>
    <mergeCell ref="GI31:GI33"/>
    <mergeCell ref="GY35:HC35"/>
    <mergeCell ref="GZ32:HA33"/>
    <mergeCell ref="HB32:HB33"/>
    <mergeCell ref="GF28:GF29"/>
    <mergeCell ref="GT57:GT58"/>
    <mergeCell ref="GW16:GX17"/>
    <mergeCell ref="GY15:HB15"/>
    <mergeCell ref="GU53:GU54"/>
    <mergeCell ref="GU36:GU37"/>
    <mergeCell ref="GU48:GU49"/>
    <mergeCell ref="GP52:GQ52"/>
    <mergeCell ref="GW43:GX43"/>
    <mergeCell ref="GR39:GS39"/>
    <mergeCell ref="GT39:GU39"/>
    <mergeCell ref="GV39:GW39"/>
    <mergeCell ref="EO37:EP38"/>
    <mergeCell ref="GU43:GV43"/>
    <mergeCell ref="GJ43:GK43"/>
    <mergeCell ref="GK39:GL39"/>
    <mergeCell ref="GO47:GP47"/>
    <mergeCell ref="GF43:GH45"/>
    <mergeCell ref="GG50:GI50"/>
    <mergeCell ref="JG38:JG39"/>
    <mergeCell ref="JZ20:KA20"/>
    <mergeCell ref="JF27:JG27"/>
    <mergeCell ref="JH27:JI27"/>
    <mergeCell ref="JH56:JK56"/>
    <mergeCell ref="GV47:GY47"/>
    <mergeCell ref="JD23:JE24"/>
    <mergeCell ref="JI42:JJ43"/>
    <mergeCell ref="JH38:JI39"/>
    <mergeCell ref="GT28:GT29"/>
    <mergeCell ref="GX36:GX37"/>
    <mergeCell ref="GQ36:GR37"/>
    <mergeCell ref="GS36:GT37"/>
    <mergeCell ref="GH20:GI20"/>
    <mergeCell ref="GK23:GL23"/>
    <mergeCell ref="JK31:JO31"/>
    <mergeCell ref="GQ19:GT19"/>
    <mergeCell ref="GQ20:GQ21"/>
    <mergeCell ref="GQ27:GT27"/>
    <mergeCell ref="GS35:GT35"/>
    <mergeCell ref="GG35:GH35"/>
    <mergeCell ref="JG37:JJ37"/>
    <mergeCell ref="GQ24:GQ25"/>
    <mergeCell ref="JE37:JF37"/>
    <mergeCell ref="IT38:IU38"/>
    <mergeCell ref="IV56:IW56"/>
    <mergeCell ref="IR41:IT43"/>
    <mergeCell ref="GF31:GH33"/>
    <mergeCell ref="GQ47:GU47"/>
    <mergeCell ref="GO28:GP29"/>
    <mergeCell ref="KC53:KD53"/>
    <mergeCell ref="JL42:JM43"/>
    <mergeCell ref="JK42:JK43"/>
    <mergeCell ref="IR22:IR25"/>
    <mergeCell ref="IR27:IR29"/>
    <mergeCell ref="JG41:JH41"/>
    <mergeCell ref="GU35:GX35"/>
    <mergeCell ref="JZ54:KA54"/>
    <mergeCell ref="JX44:JX46"/>
    <mergeCell ref="KB30:KH31"/>
    <mergeCell ref="GK27:GL27"/>
    <mergeCell ref="GM27:GN27"/>
    <mergeCell ref="GO27:GP27"/>
    <mergeCell ref="IU54:IV54"/>
    <mergeCell ref="IV35:IW35"/>
    <mergeCell ref="JA37:JB37"/>
    <mergeCell ref="IY35:JI35"/>
    <mergeCell ref="JC37:JD37"/>
    <mergeCell ref="GU19:GX19"/>
    <mergeCell ref="JC38:JD39"/>
    <mergeCell ref="GT40:GU41"/>
    <mergeCell ref="GK19:GL19"/>
    <mergeCell ref="GM20:GN21"/>
    <mergeCell ref="GO24:GP25"/>
    <mergeCell ref="GH36:GI36"/>
    <mergeCell ref="JF56:JG56"/>
    <mergeCell ref="JG19:JH20"/>
    <mergeCell ref="JF22:JG22"/>
    <mergeCell ref="GJ41:GL41"/>
    <mergeCell ref="IX24:IY24"/>
    <mergeCell ref="JG42:JH43"/>
    <mergeCell ref="JK37:JO37"/>
    <mergeCell ref="JK38:JO39"/>
    <mergeCell ref="GO35:GP35"/>
    <mergeCell ref="JL22:JQ22"/>
    <mergeCell ref="KT53:KY55"/>
    <mergeCell ref="KP44:KS44"/>
    <mergeCell ref="KP49:KP50"/>
    <mergeCell ref="KQ49:KR50"/>
    <mergeCell ref="KI29:KJ29"/>
    <mergeCell ref="KD27:KN27"/>
    <mergeCell ref="KL16:KM17"/>
    <mergeCell ref="JE32:JF33"/>
    <mergeCell ref="KN16:KO17"/>
    <mergeCell ref="KC15:KD15"/>
    <mergeCell ref="KL44:KM44"/>
    <mergeCell ref="KE45:KK46"/>
    <mergeCell ref="KL55:KS55"/>
    <mergeCell ref="JY44:JZ44"/>
    <mergeCell ref="JY49:JZ49"/>
    <mergeCell ref="KB55:KD55"/>
    <mergeCell ref="JN42:JN43"/>
    <mergeCell ref="JE38:JF39"/>
    <mergeCell ref="KJ48:KK48"/>
    <mergeCell ref="KQ30:KT31"/>
    <mergeCell ref="KQ45:KR46"/>
    <mergeCell ref="KN30:KO31"/>
    <mergeCell ref="MB38:MB40"/>
    <mergeCell ref="MC38:MC40"/>
    <mergeCell ref="KA49:KB49"/>
    <mergeCell ref="ME44:MF44"/>
    <mergeCell ref="JK32:JO33"/>
    <mergeCell ref="IU32:IV32"/>
    <mergeCell ref="KT45:KW46"/>
    <mergeCell ref="JZ36:KA36"/>
    <mergeCell ref="MD35:ME35"/>
    <mergeCell ref="KP45:KP46"/>
    <mergeCell ref="KN49:KO50"/>
    <mergeCell ref="JY48:JZ48"/>
    <mergeCell ref="JZ46:KA46"/>
    <mergeCell ref="IT24:IU24"/>
    <mergeCell ref="IT25:IU25"/>
    <mergeCell ref="IV24:IW24"/>
    <mergeCell ref="IS31:IT31"/>
    <mergeCell ref="IT23:IU23"/>
    <mergeCell ref="JN19:JN20"/>
    <mergeCell ref="JI19:JJ20"/>
    <mergeCell ref="JF23:JG24"/>
    <mergeCell ref="JH23:JH24"/>
    <mergeCell ref="JN28:JR29"/>
    <mergeCell ref="MB35:MB36"/>
    <mergeCell ref="KI33:KJ33"/>
    <mergeCell ref="KI36:KP36"/>
    <mergeCell ref="MC34:MD34"/>
    <mergeCell ref="JI41:JJ41"/>
    <mergeCell ref="KI34:KJ35"/>
    <mergeCell ref="JZ31:KA31"/>
    <mergeCell ref="MB18:MD20"/>
    <mergeCell ref="KC44:KD44"/>
    <mergeCell ref="KA42:KB42"/>
    <mergeCell ref="JA31:JB31"/>
    <mergeCell ref="IV22:IW22"/>
    <mergeCell ref="IV23:IW23"/>
    <mergeCell ref="IV25:IY25"/>
    <mergeCell ref="MD39:MP40"/>
    <mergeCell ref="IY18:JA18"/>
    <mergeCell ref="IV19:JF20"/>
    <mergeCell ref="JJ38:JJ39"/>
    <mergeCell ref="HU6:HX6"/>
    <mergeCell ref="HH6:HM6"/>
    <mergeCell ref="GL9:GV9"/>
    <mergeCell ref="HU7:HX8"/>
    <mergeCell ref="IR13:IR15"/>
    <mergeCell ref="GR24:GS25"/>
    <mergeCell ref="II7:IO7"/>
    <mergeCell ref="LS7:LY7"/>
    <mergeCell ref="GH21:GI21"/>
    <mergeCell ref="GF11:GH13"/>
    <mergeCell ref="GF24:GF25"/>
    <mergeCell ref="JK18:JN18"/>
    <mergeCell ref="GU23:GW23"/>
    <mergeCell ref="HH7:HM8"/>
    <mergeCell ref="JC32:JD33"/>
    <mergeCell ref="JH32:JI33"/>
    <mergeCell ref="JD25:JK25"/>
    <mergeCell ref="JK23:JK24"/>
    <mergeCell ref="JC31:JD31"/>
    <mergeCell ref="GU11:GV11"/>
    <mergeCell ref="GW11:GX11"/>
    <mergeCell ref="GY11:HB11"/>
    <mergeCell ref="KN20:KO21"/>
    <mergeCell ref="KN34:KO35"/>
    <mergeCell ref="JF13:JG13"/>
    <mergeCell ref="HU31:HV31"/>
    <mergeCell ref="HX31:IH31"/>
    <mergeCell ref="GY12:GY13"/>
    <mergeCell ref="IU18:IU20"/>
    <mergeCell ref="KJ19:KK19"/>
    <mergeCell ref="KE16:KK17"/>
    <mergeCell ref="GU28:GY29"/>
    <mergeCell ref="JY15:JZ15"/>
    <mergeCell ref="JJ32:JJ33"/>
    <mergeCell ref="GY16:GY17"/>
    <mergeCell ref="GS15:GT15"/>
    <mergeCell ref="KA27:KB27"/>
    <mergeCell ref="KJ15:KK15"/>
    <mergeCell ref="JY29:JZ29"/>
    <mergeCell ref="KC19:KD19"/>
    <mergeCell ref="JE31:JF31"/>
    <mergeCell ref="JZ30:KA30"/>
    <mergeCell ref="KG33:KH33"/>
    <mergeCell ref="JX33:JX36"/>
    <mergeCell ref="JZ34:KA34"/>
    <mergeCell ref="KM34:KM35"/>
    <mergeCell ref="HX33:IH33"/>
    <mergeCell ref="IW28:IX28"/>
    <mergeCell ref="IW29:IX29"/>
    <mergeCell ref="JZ16:KA16"/>
    <mergeCell ref="JZ17:KA17"/>
    <mergeCell ref="GM24:GN25"/>
    <mergeCell ref="GO20:GP21"/>
    <mergeCell ref="HB16:HB17"/>
    <mergeCell ref="GQ28:GQ29"/>
    <mergeCell ref="GF15:GH17"/>
    <mergeCell ref="GG23:GH23"/>
    <mergeCell ref="GH24:GI24"/>
    <mergeCell ref="GH25:GI25"/>
    <mergeCell ref="JZ35:KA35"/>
    <mergeCell ref="KD13:KN13"/>
    <mergeCell ref="KK34:KL35"/>
    <mergeCell ref="JJ28:JJ29"/>
    <mergeCell ref="GR20:GS21"/>
    <mergeCell ref="FW3:GC3"/>
    <mergeCell ref="FW4:GC4"/>
    <mergeCell ref="FW5:GC5"/>
    <mergeCell ref="FW6:GC6"/>
    <mergeCell ref="FW7:GC7"/>
    <mergeCell ref="GG68:GH68"/>
    <mergeCell ref="GK68:GL68"/>
    <mergeCell ref="GH28:GI28"/>
    <mergeCell ref="GM19:GN19"/>
    <mergeCell ref="GO19:GP19"/>
    <mergeCell ref="GS11:GT11"/>
    <mergeCell ref="IX9:JH9"/>
    <mergeCell ref="IU9:IV9"/>
    <mergeCell ref="JH13:JI13"/>
    <mergeCell ref="JJ13:JM13"/>
    <mergeCell ref="JN13:JR13"/>
    <mergeCell ref="IS13:IT13"/>
    <mergeCell ref="IX14:JE15"/>
    <mergeCell ref="JE18:JF18"/>
    <mergeCell ref="JG18:JH18"/>
    <mergeCell ref="GY43:HB43"/>
    <mergeCell ref="GH48:GI48"/>
    <mergeCell ref="GH49:GI49"/>
    <mergeCell ref="GQ48:GQ49"/>
    <mergeCell ref="GJ36:GP37"/>
    <mergeCell ref="GK47:GL47"/>
    <mergeCell ref="HB39:HF39"/>
    <mergeCell ref="GU52:GX52"/>
    <mergeCell ref="GY40:GZ41"/>
    <mergeCell ref="HA40:HA41"/>
    <mergeCell ref="GS31:GT31"/>
    <mergeCell ref="GG47:GH47"/>
    <mergeCell ref="GJ52:GK52"/>
    <mergeCell ref="GF20:GF21"/>
    <mergeCell ref="IR37:IR39"/>
    <mergeCell ref="JF14:JG15"/>
    <mergeCell ref="JH14:JI15"/>
    <mergeCell ref="JM28:JM29"/>
    <mergeCell ref="IR18:IT20"/>
    <mergeCell ref="JJ27:JM27"/>
    <mergeCell ref="JF28:JG29"/>
    <mergeCell ref="IT28:IU28"/>
    <mergeCell ref="GY32:GY33"/>
    <mergeCell ref="JM14:JM15"/>
    <mergeCell ref="HE61:HE62"/>
    <mergeCell ref="GN56:GO56"/>
    <mergeCell ref="JL56:JQ56"/>
    <mergeCell ref="IX56:IY56"/>
    <mergeCell ref="JK41:JN41"/>
    <mergeCell ref="GM11:GO11"/>
    <mergeCell ref="GJ12:GT13"/>
    <mergeCell ref="GJ28:GL29"/>
    <mergeCell ref="GZ16:HA17"/>
    <mergeCell ref="GT20:GT21"/>
    <mergeCell ref="GT24:GT25"/>
    <mergeCell ref="IX54:JH54"/>
    <mergeCell ref="JG32:JG33"/>
    <mergeCell ref="JK14:JL15"/>
    <mergeCell ref="IV18:IW18"/>
    <mergeCell ref="IT67:IU67"/>
    <mergeCell ref="IW60:IX60"/>
    <mergeCell ref="IT58:IU58"/>
    <mergeCell ref="IT14:IU14"/>
    <mergeCell ref="JG60:JJ60"/>
    <mergeCell ref="II4:IO4"/>
    <mergeCell ref="II5:IO5"/>
    <mergeCell ref="II6:IO6"/>
    <mergeCell ref="HO6:HS6"/>
    <mergeCell ref="GI12:GI13"/>
    <mergeCell ref="JH22:JK22"/>
    <mergeCell ref="JI23:JJ24"/>
    <mergeCell ref="GG19:GH19"/>
    <mergeCell ref="IR31:IR33"/>
    <mergeCell ref="GU24:GW25"/>
    <mergeCell ref="IU33:IV33"/>
    <mergeCell ref="JG31:JJ31"/>
    <mergeCell ref="HO7:HS8"/>
    <mergeCell ref="GW12:GX13"/>
    <mergeCell ref="GQ23:GT23"/>
    <mergeCell ref="GW15:GX15"/>
    <mergeCell ref="KT16:KW17"/>
    <mergeCell ref="PM13:PN13"/>
    <mergeCell ref="PO13:PP13"/>
    <mergeCell ref="PQ13:PR13"/>
    <mergeCell ref="IS15:IU15"/>
    <mergeCell ref="IT29:IU29"/>
    <mergeCell ref="MC30:MD30"/>
    <mergeCell ref="MC26:MD26"/>
    <mergeCell ref="KQ29:KT29"/>
    <mergeCell ref="MC28:MD28"/>
    <mergeCell ref="ME27:MF27"/>
    <mergeCell ref="PK34:PL34"/>
    <mergeCell ref="NG6:NL6"/>
    <mergeCell ref="NN6:NR6"/>
    <mergeCell ref="OY6:PE6"/>
    <mergeCell ref="MJ23:MO24"/>
    <mergeCell ref="MJ22:MK22"/>
    <mergeCell ref="MN22:MO22"/>
    <mergeCell ref="PI13:PJ13"/>
    <mergeCell ref="PK13:PL13"/>
    <mergeCell ref="KN15:KO15"/>
    <mergeCell ref="KA13:KB13"/>
    <mergeCell ref="MX34:NB34"/>
    <mergeCell ref="KK33:KL33"/>
    <mergeCell ref="KM33:KP33"/>
    <mergeCell ref="KC16:KD16"/>
    <mergeCell ref="KB17:KD17"/>
    <mergeCell ref="IS32:IT32"/>
    <mergeCell ref="IS33:IT33"/>
    <mergeCell ref="MD31:ME31"/>
    <mergeCell ref="MP31:MQ32"/>
    <mergeCell ref="MR31:MS32"/>
    <mergeCell ref="MG22:MI22"/>
    <mergeCell ref="PM34:PN34"/>
    <mergeCell ref="IY28:JE29"/>
    <mergeCell ref="MB27:MB28"/>
    <mergeCell ref="KT19:KW19"/>
    <mergeCell ref="IX23:IY23"/>
    <mergeCell ref="KQ16:KR17"/>
    <mergeCell ref="LS5:LY5"/>
    <mergeCell ref="MO26:MP26"/>
    <mergeCell ref="LS6:LY6"/>
    <mergeCell ref="KS16:KS17"/>
    <mergeCell ref="KP19:KS19"/>
    <mergeCell ref="KS20:KS21"/>
    <mergeCell ref="GU12:GV13"/>
    <mergeCell ref="JD13:JE13"/>
    <mergeCell ref="MH9:MR9"/>
    <mergeCell ref="IU11:IV11"/>
    <mergeCell ref="IX11:JH11"/>
    <mergeCell ref="MN17:MP17"/>
    <mergeCell ref="MT17:MU17"/>
    <mergeCell ref="MT27:MT28"/>
    <mergeCell ref="OB18:OD19"/>
    <mergeCell ref="MX30:NB30"/>
    <mergeCell ref="OI30:OK31"/>
    <mergeCell ref="MT23:MT24"/>
    <mergeCell ref="MU23:MV24"/>
    <mergeCell ref="PQ16:PR16"/>
    <mergeCell ref="PO19:PP19"/>
    <mergeCell ref="PM19:PN19"/>
    <mergeCell ref="PN22:PR22"/>
    <mergeCell ref="MW23:MW24"/>
    <mergeCell ref="MQ16:MS16"/>
    <mergeCell ref="MQ17:MS17"/>
    <mergeCell ref="MT16:MW16"/>
    <mergeCell ref="KG29:KH29"/>
    <mergeCell ref="PM31:PY32"/>
    <mergeCell ref="JX29:JX31"/>
    <mergeCell ref="PM27:PN27"/>
    <mergeCell ref="MX23:MZ24"/>
    <mergeCell ref="MC24:MD24"/>
    <mergeCell ref="JD22:JE22"/>
    <mergeCell ref="IS27:IT27"/>
    <mergeCell ref="KL15:KM15"/>
    <mergeCell ref="JD27:JE27"/>
    <mergeCell ref="IX22:IY22"/>
    <mergeCell ref="PT22:PV22"/>
    <mergeCell ref="MX22:MZ22"/>
    <mergeCell ref="PQ17:PR17"/>
    <mergeCell ref="PM25:PN25"/>
    <mergeCell ref="MC23:MD23"/>
    <mergeCell ref="JL19:JM20"/>
    <mergeCell ref="PX16:PY16"/>
    <mergeCell ref="PS19:PT19"/>
    <mergeCell ref="MF31:MO32"/>
    <mergeCell ref="PL30:PL32"/>
    <mergeCell ref="PL26:PL28"/>
    <mergeCell ref="MU27:MX28"/>
    <mergeCell ref="KM29:KP29"/>
    <mergeCell ref="KL19:KM19"/>
    <mergeCell ref="KN19:KO19"/>
    <mergeCell ref="JN27:JR27"/>
    <mergeCell ref="ME28:MF28"/>
    <mergeCell ref="JX15:JX17"/>
    <mergeCell ref="JH28:JI29"/>
    <mergeCell ref="IW27:IX27"/>
    <mergeCell ref="KK30:KL31"/>
    <mergeCell ref="MX31:NB32"/>
    <mergeCell ref="MC27:MD27"/>
    <mergeCell ref="OH25:OJ27"/>
    <mergeCell ref="JZ21:KA21"/>
    <mergeCell ref="JX19:JX21"/>
    <mergeCell ref="JL23:JQ25"/>
    <mergeCell ref="MQ18:MR18"/>
    <mergeCell ref="MK17:MM17"/>
    <mergeCell ref="MN16:MP16"/>
    <mergeCell ref="ME24:MF24"/>
    <mergeCell ref="KP20:KP21"/>
    <mergeCell ref="OI29:OK29"/>
    <mergeCell ref="MM26:MN26"/>
    <mergeCell ref="KK29:KL29"/>
    <mergeCell ref="QP6:QU6"/>
    <mergeCell ref="GI9:GJ9"/>
    <mergeCell ref="GI15:GI17"/>
    <mergeCell ref="QQ13:QR13"/>
    <mergeCell ref="QS13:QT13"/>
    <mergeCell ref="QU13:QV13"/>
    <mergeCell ref="GJ11:GK11"/>
    <mergeCell ref="KM6:KO6"/>
    <mergeCell ref="IV14:IW14"/>
    <mergeCell ref="JN14:JR15"/>
    <mergeCell ref="PQ19:PR19"/>
    <mergeCell ref="KL20:KM21"/>
    <mergeCell ref="RA13:RB13"/>
    <mergeCell ref="PN15:PR15"/>
    <mergeCell ref="PT15:PV15"/>
    <mergeCell ref="QA15:QI15"/>
    <mergeCell ref="QB28:QJ28"/>
    <mergeCell ref="QB25:QC25"/>
    <mergeCell ref="QD25:QE25"/>
    <mergeCell ref="JB22:JC22"/>
    <mergeCell ref="QC13:QD13"/>
    <mergeCell ref="JK28:JL29"/>
    <mergeCell ref="LN24:LO24"/>
    <mergeCell ref="LP24:LQ24"/>
    <mergeCell ref="MR23:MS24"/>
    <mergeCell ref="JS7:JZ8"/>
    <mergeCell ref="KB7:KF8"/>
    <mergeCell ref="KH7:KK8"/>
    <mergeCell ref="HZ7:IB8"/>
    <mergeCell ref="MM27:MN28"/>
    <mergeCell ref="MO27:MP28"/>
    <mergeCell ref="MP23:MQ24"/>
    <mergeCell ref="PM20:PN20"/>
    <mergeCell ref="PO20:PP20"/>
    <mergeCell ref="QK13:QL13"/>
    <mergeCell ref="QM13:QN13"/>
    <mergeCell ref="QO13:QP13"/>
    <mergeCell ref="PZ16:QA16"/>
    <mergeCell ref="OB17:OD17"/>
    <mergeCell ref="PW15:PX15"/>
    <mergeCell ref="OA18:OA19"/>
    <mergeCell ref="QI17:QZ20"/>
    <mergeCell ref="MR27:MS28"/>
    <mergeCell ref="MB22:MB24"/>
    <mergeCell ref="ME23:MF23"/>
    <mergeCell ref="QE13:QF13"/>
    <mergeCell ref="MQ27:MQ28"/>
    <mergeCell ref="PL22:PM22"/>
    <mergeCell ref="PO17:PP17"/>
    <mergeCell ref="PO18:PP18"/>
    <mergeCell ref="MU26:MX26"/>
    <mergeCell ref="OY7:PE7"/>
    <mergeCell ref="PL15:PM15"/>
    <mergeCell ref="PQ18:PR18"/>
    <mergeCell ref="PS18:PT18"/>
    <mergeCell ref="PQ20:PT20"/>
    <mergeCell ref="PU17:PY20"/>
    <mergeCell ref="QB22:QJ22"/>
    <mergeCell ref="PT26:QA28"/>
    <mergeCell ref="ME11:MF11"/>
    <mergeCell ref="MH11:MR11"/>
    <mergeCell ref="MG23:MI23"/>
    <mergeCell ref="MH24:MI24"/>
    <mergeCell ref="OL25:ON27"/>
    <mergeCell ref="SM4:SS4"/>
    <mergeCell ref="SM5:SS5"/>
    <mergeCell ref="SM6:SS6"/>
    <mergeCell ref="PR9:QB9"/>
    <mergeCell ref="PO9:PP9"/>
    <mergeCell ref="GZ12:HA13"/>
    <mergeCell ref="HB12:HB13"/>
    <mergeCell ref="HZ6:IB6"/>
    <mergeCell ref="JS6:JZ6"/>
    <mergeCell ref="KB6:KF6"/>
    <mergeCell ref="KH6:KK6"/>
    <mergeCell ref="LS3:LY3"/>
    <mergeCell ref="OY3:PE3"/>
    <mergeCell ref="OY4:PE4"/>
    <mergeCell ref="OY5:PE5"/>
    <mergeCell ref="IS22:IT22"/>
    <mergeCell ref="NT6:NW6"/>
    <mergeCell ref="NY6:OA6"/>
    <mergeCell ref="NG7:NL8"/>
    <mergeCell ref="NN7:NR8"/>
    <mergeCell ref="NT7:NW8"/>
    <mergeCell ref="NY7:OA8"/>
    <mergeCell ref="QB17:QC18"/>
    <mergeCell ref="PZ17:QA18"/>
    <mergeCell ref="KM7:KO8"/>
    <mergeCell ref="IV15:IW15"/>
    <mergeCell ref="RF7:RI8"/>
    <mergeCell ref="RF3:RH4"/>
    <mergeCell ref="JK19:JK20"/>
    <mergeCell ref="MS18:MU18"/>
    <mergeCell ref="QW7:RD8"/>
    <mergeCell ref="QW6:RD6"/>
    <mergeCell ref="RF6:RI6"/>
    <mergeCell ref="PO11:PP11"/>
    <mergeCell ref="PZ19:QH20"/>
    <mergeCell ref="PT16:PU16"/>
    <mergeCell ref="PM16:PN16"/>
    <mergeCell ref="ME9:MF9"/>
    <mergeCell ref="MK16:MM16"/>
    <mergeCell ref="MV19:MW20"/>
    <mergeCell ref="QD16:QH16"/>
    <mergeCell ref="KT15:KW15"/>
    <mergeCell ref="JJ14:JJ15"/>
    <mergeCell ref="JI18:JJ18"/>
    <mergeCell ref="MC22:MD22"/>
    <mergeCell ref="MF18:MG18"/>
    <mergeCell ref="PR11:QB11"/>
    <mergeCell ref="PL17:PL20"/>
    <mergeCell ref="MV18:MW18"/>
    <mergeCell ref="MF19:MR20"/>
    <mergeCell ref="MS19:MU20"/>
    <mergeCell ref="MP22:MQ22"/>
    <mergeCell ref="MR22:MS22"/>
    <mergeCell ref="MT22:MW22"/>
    <mergeCell ref="SR17:SU17"/>
    <mergeCell ref="SM7:SS7"/>
    <mergeCell ref="JY19:JZ19"/>
    <mergeCell ref="KT20:KW21"/>
    <mergeCell ref="II3:IO3"/>
    <mergeCell ref="QP7:QU8"/>
    <mergeCell ref="SM3:SS3"/>
    <mergeCell ref="LS4:LY4"/>
    <mergeCell ref="ME16:MJ17"/>
    <mergeCell ref="ME18:ME20"/>
    <mergeCell ref="MP92:MQ93"/>
    <mergeCell ref="MW92:MW93"/>
    <mergeCell ref="MR91:MS91"/>
    <mergeCell ref="MT43:MT44"/>
    <mergeCell ref="MU43:MV44"/>
    <mergeCell ref="MU38:MX38"/>
    <mergeCell ref="PY37:PZ38"/>
    <mergeCell ref="PM36:PO38"/>
    <mergeCell ref="MP42:MQ42"/>
    <mergeCell ref="MX47:MX48"/>
    <mergeCell ref="PV40:PW40"/>
    <mergeCell ref="QE52:QH52"/>
    <mergeCell ref="MQ72:MS72"/>
    <mergeCell ref="MX86:NC87"/>
    <mergeCell ref="MB31:MB32"/>
    <mergeCell ref="KT72:KW73"/>
    <mergeCell ref="MP69:MR70"/>
    <mergeCell ref="MT92:MT93"/>
    <mergeCell ref="MR92:MS93"/>
    <mergeCell ref="MR58:MS58"/>
    <mergeCell ref="MQ64:MS64"/>
    <mergeCell ref="MV79:MW80"/>
    <mergeCell ref="MX85:NC85"/>
    <mergeCell ref="MU79:MU80"/>
    <mergeCell ref="KQ53:KR54"/>
    <mergeCell ref="MB42:MB44"/>
    <mergeCell ref="KT52:KY52"/>
    <mergeCell ref="KT44:KW44"/>
    <mergeCell ref="QI76:QI77"/>
    <mergeCell ref="MV75:MV76"/>
    <mergeCell ref="PZ78:QI78"/>
    <mergeCell ref="QB76:QC77"/>
    <mergeCell ref="QH72:QH73"/>
    <mergeCell ref="QD76:QD77"/>
    <mergeCell ref="PR69:QB69"/>
    <mergeCell ref="QC89:QD90"/>
    <mergeCell ref="PZ71:QA71"/>
    <mergeCell ref="MP52:MQ52"/>
    <mergeCell ref="KP48:KS48"/>
    <mergeCell ref="KS53:KS54"/>
    <mergeCell ref="KS45:KS46"/>
    <mergeCell ref="MU92:MV93"/>
    <mergeCell ref="MY79:NC81"/>
    <mergeCell ref="PO84:PO86"/>
    <mergeCell ref="PQ48:PR48"/>
    <mergeCell ref="PT48:PU48"/>
    <mergeCell ref="QE76:QH77"/>
    <mergeCell ref="PM66:PN66"/>
    <mergeCell ref="KP92:KS92"/>
    <mergeCell ref="KQ93:KR94"/>
    <mergeCell ref="KT86:LA86"/>
    <mergeCell ref="KT87:LA88"/>
    <mergeCell ref="MK62:MM62"/>
    <mergeCell ref="OF20:OK20"/>
    <mergeCell ref="OM20:OQ20"/>
    <mergeCell ref="OS20:OV20"/>
    <mergeCell ref="OF21:OK23"/>
    <mergeCell ref="OM21:OQ23"/>
    <mergeCell ref="OS21:OV23"/>
    <mergeCell ref="ME43:MF43"/>
    <mergeCell ref="MD36:ME36"/>
    <mergeCell ref="MB46:MD48"/>
    <mergeCell ref="KQ33:KU33"/>
    <mergeCell ref="ME50:MF50"/>
    <mergeCell ref="MT53:MT54"/>
    <mergeCell ref="MG34:MH34"/>
    <mergeCell ref="MT42:MW42"/>
    <mergeCell ref="KN53:KO54"/>
    <mergeCell ref="MP43:MQ44"/>
    <mergeCell ref="KS49:KS50"/>
    <mergeCell ref="KI30:KJ31"/>
    <mergeCell ref="QB30:QC30"/>
    <mergeCell ref="PX30:PY30"/>
    <mergeCell ref="QD31:QD32"/>
    <mergeCell ref="MQ39:MR40"/>
    <mergeCell ref="MP35:MQ36"/>
    <mergeCell ref="MT34:MW34"/>
    <mergeCell ref="KT48:KZ48"/>
    <mergeCell ref="QC52:QD52"/>
    <mergeCell ref="QG60:QJ60"/>
    <mergeCell ref="MG43:MO44"/>
    <mergeCell ref="MT58:MW58"/>
    <mergeCell ref="MW65:MX66"/>
    <mergeCell ref="QI44:QT44"/>
    <mergeCell ref="KQ63:KU63"/>
    <mergeCell ref="MT91:MW91"/>
    <mergeCell ref="MP91:MQ91"/>
    <mergeCell ref="KL49:KM50"/>
    <mergeCell ref="KC49:KK50"/>
    <mergeCell ref="KN52:KO52"/>
    <mergeCell ref="KD42:KN42"/>
    <mergeCell ref="OP25:OR27"/>
    <mergeCell ref="OT25:OV27"/>
    <mergeCell ref="PM28:PN28"/>
    <mergeCell ref="MT97:MW97"/>
    <mergeCell ref="MU68:MX68"/>
    <mergeCell ref="QK36:QL36"/>
    <mergeCell ref="PZ31:QA32"/>
    <mergeCell ref="MQ26:MT26"/>
    <mergeCell ref="YC107:YC108"/>
    <mergeCell ref="XQ96:XQ97"/>
    <mergeCell ref="XR96:XR97"/>
    <mergeCell ref="YD96:YD97"/>
    <mergeCell ref="YX96:YX97"/>
    <mergeCell ref="YY96:YY97"/>
    <mergeCell ref="WZ39:XA40"/>
    <mergeCell ref="XO80:XO81"/>
    <mergeCell ref="XP80:XP81"/>
    <mergeCell ref="XQ80:XQ81"/>
    <mergeCell ref="XR80:XR81"/>
    <mergeCell ref="XS80:XS81"/>
    <mergeCell ref="XT80:XT81"/>
    <mergeCell ref="YL57:YL58"/>
    <mergeCell ref="YN57:YN58"/>
    <mergeCell ref="XQ51:XQ52"/>
    <mergeCell ref="YA39:YA40"/>
    <mergeCell ref="YU39:YU40"/>
    <mergeCell ref="XZ43:XZ44"/>
    <mergeCell ref="YW57:YW58"/>
    <mergeCell ref="YE49:YE50"/>
    <mergeCell ref="YL27:YL28"/>
    <mergeCell ref="YM27:YM28"/>
    <mergeCell ref="XJ25:XJ26"/>
    <mergeCell ref="YD29:YD30"/>
    <mergeCell ref="XQ49:XQ50"/>
    <mergeCell ref="XR49:XR50"/>
    <mergeCell ref="XS49:XS50"/>
    <mergeCell ref="XT49:XT50"/>
    <mergeCell ref="XG96:XG97"/>
    <mergeCell ref="XH96:XH97"/>
    <mergeCell ref="XI96:XI97"/>
    <mergeCell ref="XJ96:XJ97"/>
    <mergeCell ref="YE96:YE97"/>
    <mergeCell ref="XK96:XK97"/>
    <mergeCell ref="NU106:NV106"/>
    <mergeCell ref="QD72:QD73"/>
    <mergeCell ref="QD30:QH30"/>
    <mergeCell ref="MW31:MW32"/>
    <mergeCell ref="MS38:MT38"/>
    <mergeCell ref="MH50:MR50"/>
    <mergeCell ref="QC53:QD54"/>
    <mergeCell ref="PL48:PL50"/>
    <mergeCell ref="PQ37:PV38"/>
    <mergeCell ref="PI34:PJ34"/>
    <mergeCell ref="PW36:PX36"/>
    <mergeCell ref="PS34:PT34"/>
    <mergeCell ref="PU34:PV34"/>
    <mergeCell ref="PW34:PX34"/>
    <mergeCell ref="PY34:PZ34"/>
    <mergeCell ref="QA34:QB34"/>
    <mergeCell ref="QC34:QD34"/>
    <mergeCell ref="QE34:QF34"/>
    <mergeCell ref="QG34:QH34"/>
    <mergeCell ref="MR53:MS54"/>
    <mergeCell ref="MR35:MS36"/>
    <mergeCell ref="MX35:NB36"/>
    <mergeCell ref="MW53:MW54"/>
    <mergeCell ref="QD26:QE27"/>
    <mergeCell ref="ZU96:ZU97"/>
    <mergeCell ref="ZV96:ZV97"/>
    <mergeCell ref="ACJ112:ACK112"/>
    <mergeCell ref="WZ139:XA141"/>
    <mergeCell ref="ACJ108:ACK108"/>
    <mergeCell ref="ZX101:ZX103"/>
    <mergeCell ref="XI142:XI144"/>
    <mergeCell ref="XJ142:XJ144"/>
    <mergeCell ref="XK142:XK144"/>
    <mergeCell ref="XL142:XL144"/>
    <mergeCell ref="XM142:XM144"/>
    <mergeCell ref="XN142:XN144"/>
    <mergeCell ref="XO142:XO144"/>
    <mergeCell ref="XP142:XP144"/>
    <mergeCell ref="XQ142:XQ144"/>
    <mergeCell ref="XR142:XR144"/>
    <mergeCell ref="AAG88:AAG89"/>
    <mergeCell ref="ZY96:ZY97"/>
    <mergeCell ref="ZZ96:ZZ97"/>
    <mergeCell ref="AAC96:AAC97"/>
    <mergeCell ref="AAD96:AAD97"/>
    <mergeCell ref="AAE96:AAE97"/>
    <mergeCell ref="AAF96:AAF97"/>
    <mergeCell ref="YY88:YY89"/>
    <mergeCell ref="YZ88:YZ89"/>
    <mergeCell ref="ZA88:ZA89"/>
    <mergeCell ref="ZB88:ZB89"/>
    <mergeCell ref="ACJ131:ACK131"/>
    <mergeCell ref="ACJ132:ACK132"/>
    <mergeCell ref="ACJ133:ACK133"/>
    <mergeCell ref="ACJ119:ACK119"/>
    <mergeCell ref="ACJ98:ACK98"/>
    <mergeCell ref="ACJ115:ACK115"/>
    <mergeCell ref="AAP107:AAP108"/>
    <mergeCell ref="AAQ107:AAQ108"/>
    <mergeCell ref="AAR107:AAR108"/>
    <mergeCell ref="AAS107:AAS108"/>
    <mergeCell ref="WZ91:XA91"/>
    <mergeCell ref="XI101:XI103"/>
    <mergeCell ref="XB121:XF125"/>
    <mergeCell ref="WZ121:XA125"/>
    <mergeCell ref="WZ92:XA92"/>
    <mergeCell ref="WZ93:XA93"/>
    <mergeCell ref="WZ94:XA94"/>
    <mergeCell ref="ACJ102:ACK102"/>
    <mergeCell ref="ZP96:ZP97"/>
    <mergeCell ref="ZQ96:ZQ97"/>
    <mergeCell ref="ZR96:ZR97"/>
    <mergeCell ref="ZS96:ZS97"/>
    <mergeCell ref="ACJ99:ACK99"/>
    <mergeCell ref="ACJ100:ACK100"/>
    <mergeCell ref="ACJ101:ACK101"/>
    <mergeCell ref="YK98:YK100"/>
    <mergeCell ref="YL98:YL100"/>
    <mergeCell ref="YM98:YM100"/>
    <mergeCell ref="YS129:YS130"/>
    <mergeCell ref="YT129:YT130"/>
    <mergeCell ref="YU129:YU130"/>
    <mergeCell ref="YV129:YV130"/>
    <mergeCell ref="YW129:YW130"/>
    <mergeCell ref="YX129:YX130"/>
    <mergeCell ref="YL137:YL138"/>
    <mergeCell ref="YV134:YV136"/>
    <mergeCell ref="ZN104:ZN106"/>
    <mergeCell ref="AGO331:AGP331"/>
    <mergeCell ref="AIH33:AII33"/>
    <mergeCell ref="AGR217:AGS217"/>
    <mergeCell ref="AGP217:AGQ217"/>
    <mergeCell ref="AIH42:AII42"/>
    <mergeCell ref="ACO114:ACP114"/>
    <mergeCell ref="ACJ114:ACK114"/>
    <mergeCell ref="AGM121:AGN121"/>
    <mergeCell ref="AGM125:AGN125"/>
    <mergeCell ref="AHB326:AHC327"/>
    <mergeCell ref="ADI54:ADJ54"/>
    <mergeCell ref="ADA113:ADB113"/>
    <mergeCell ref="ADD113:ADE113"/>
    <mergeCell ref="ADF113:ADG113"/>
    <mergeCell ref="ADA121:ADB121"/>
    <mergeCell ref="ACQ125:ACR125"/>
    <mergeCell ref="ACO117:ACP117"/>
    <mergeCell ref="ACO118:ACP118"/>
    <mergeCell ref="ACO119:ACP119"/>
    <mergeCell ref="ACL126:ACM126"/>
    <mergeCell ref="ACL127:ACM127"/>
    <mergeCell ref="ACJ122:ACK122"/>
    <mergeCell ref="ACJ123:ACK123"/>
    <mergeCell ref="ACJ124:ACK124"/>
    <mergeCell ref="ACJ125:ACK125"/>
    <mergeCell ref="ACT87:ACU87"/>
    <mergeCell ref="AGM175:AGN175"/>
    <mergeCell ref="AGM176:AGN176"/>
    <mergeCell ref="AGM177:AGN177"/>
    <mergeCell ref="AET231:AEU231"/>
    <mergeCell ref="AEW231:AEX231"/>
    <mergeCell ref="AEH234:AEI234"/>
    <mergeCell ref="AEJ234:AEK234"/>
    <mergeCell ref="AEM234:AEN234"/>
    <mergeCell ref="AEO234:AEP234"/>
    <mergeCell ref="ADS121:ADT121"/>
    <mergeCell ref="ADU121:ADV121"/>
    <mergeCell ref="ADA122:ADB122"/>
    <mergeCell ref="ADA118:ADB118"/>
    <mergeCell ref="ADD118:ADE118"/>
    <mergeCell ref="AEE102:AEF102"/>
    <mergeCell ref="ADX103:ADY103"/>
    <mergeCell ref="ADZ103:AEA103"/>
    <mergeCell ref="AEE103:AEF103"/>
    <mergeCell ref="ADX104:ADY104"/>
    <mergeCell ref="ADZ104:AEA104"/>
    <mergeCell ref="AEC104:AED104"/>
    <mergeCell ref="ADX109:ADY109"/>
    <mergeCell ref="ADZ109:AEA109"/>
    <mergeCell ref="AEC109:AED109"/>
    <mergeCell ref="ADX110:ADY110"/>
    <mergeCell ref="ADF93:ADG93"/>
    <mergeCell ref="ADU94:ADV94"/>
    <mergeCell ref="ACQ126:ACR126"/>
    <mergeCell ref="ACQ127:ACR127"/>
    <mergeCell ref="ACQ128:ACR128"/>
    <mergeCell ref="ACQ129:ACR129"/>
    <mergeCell ref="ACT124:ACU124"/>
    <mergeCell ref="ACT125:ACU125"/>
    <mergeCell ref="ACT129:ACU129"/>
    <mergeCell ref="ACT126:ACU126"/>
    <mergeCell ref="ACT127:ACU127"/>
    <mergeCell ref="ACT128:ACU128"/>
    <mergeCell ref="ACT132:ACU132"/>
    <mergeCell ref="AHD325:AHG325"/>
    <mergeCell ref="ACY28:ACZ28"/>
    <mergeCell ref="AGO44:AGO46"/>
    <mergeCell ref="AGQ331:AGR331"/>
    <mergeCell ref="AGS136:AGT136"/>
    <mergeCell ref="AGM133:AGO133"/>
    <mergeCell ref="AGP133:AGQ133"/>
    <mergeCell ref="AGP132:AGQ132"/>
    <mergeCell ref="AGR132:AGY134"/>
    <mergeCell ref="AHB233:AHC234"/>
    <mergeCell ref="AHB237:AHC238"/>
    <mergeCell ref="AHB236:AHC236"/>
    <mergeCell ref="AHI151:AHR153"/>
    <mergeCell ref="AGU250:AGY252"/>
    <mergeCell ref="AHH273:AHR273"/>
    <mergeCell ref="AHD273:AHG273"/>
    <mergeCell ref="AGX299:AGY299"/>
    <mergeCell ref="AGX304:AGY304"/>
    <mergeCell ref="AHG305:AHG306"/>
    <mergeCell ref="AGX277:AGY277"/>
    <mergeCell ref="AGZ277:AHA277"/>
    <mergeCell ref="AHB277:AHC277"/>
    <mergeCell ref="AHC317:AHC318"/>
    <mergeCell ref="AHB32:AHC32"/>
    <mergeCell ref="ACV32:ACW32"/>
    <mergeCell ref="ACT33:ACU33"/>
    <mergeCell ref="ACV33:ACW33"/>
    <mergeCell ref="ACT34:ACU34"/>
    <mergeCell ref="ADP42:ADQ42"/>
    <mergeCell ref="AGZ261:AHA261"/>
    <mergeCell ref="AHD108:AHH108"/>
    <mergeCell ref="ADS29:ADT29"/>
    <mergeCell ref="ADS30:ADT30"/>
    <mergeCell ref="AHC187:AHD187"/>
    <mergeCell ref="AHD140:AHG140"/>
    <mergeCell ref="AHD145:AHG145"/>
    <mergeCell ref="ADN229:ADO229"/>
    <mergeCell ref="ADP229:ADQ229"/>
    <mergeCell ref="ACY99:ACZ99"/>
    <mergeCell ref="ACY100:ACZ100"/>
    <mergeCell ref="AGX140:AGY140"/>
    <mergeCell ref="ADA94:ADB94"/>
    <mergeCell ref="ACY123:ACZ123"/>
    <mergeCell ref="ACY124:ACZ124"/>
    <mergeCell ref="ACT95:ACU95"/>
    <mergeCell ref="ACT96:ACU96"/>
    <mergeCell ref="ACT111:ACU111"/>
    <mergeCell ref="AEY227:AEZ227"/>
    <mergeCell ref="ADF118:ADG118"/>
    <mergeCell ref="AGM227:AGY228"/>
    <mergeCell ref="AGO239:AGP239"/>
    <mergeCell ref="AGS108:AGT108"/>
    <mergeCell ref="ADN42:ADO42"/>
    <mergeCell ref="AGZ143:AHG143"/>
    <mergeCell ref="ACY106:ACZ106"/>
    <mergeCell ref="ACY125:ACZ125"/>
    <mergeCell ref="ACY91:ACZ91"/>
    <mergeCell ref="ADI93:ADJ93"/>
    <mergeCell ref="ADK93:ADL93"/>
    <mergeCell ref="ADN93:ADO93"/>
    <mergeCell ref="ADF107:ADG107"/>
    <mergeCell ref="ADI124:ADJ124"/>
    <mergeCell ref="ADN107:ADO107"/>
    <mergeCell ref="ADI115:ADJ115"/>
    <mergeCell ref="AIU2:AIV3"/>
    <mergeCell ref="AIU4:AIV5"/>
    <mergeCell ref="AIQ4:AIR5"/>
    <mergeCell ref="AIQ6:AIR7"/>
    <mergeCell ref="AIS2:AIT3"/>
    <mergeCell ref="AIM2:AIN3"/>
    <mergeCell ref="AIO2:AIP3"/>
    <mergeCell ref="AIQ2:AIR3"/>
    <mergeCell ref="AGX325:AGY325"/>
    <mergeCell ref="AHA15:AHB16"/>
    <mergeCell ref="AHC15:AHD16"/>
    <mergeCell ref="AGL211:AGL213"/>
    <mergeCell ref="ADD32:ADE32"/>
    <mergeCell ref="ADF32:ADG32"/>
    <mergeCell ref="ADD33:ADE33"/>
    <mergeCell ref="ADF33:ADG33"/>
    <mergeCell ref="AHE41:AHE42"/>
    <mergeCell ref="ADD30:ADE30"/>
    <mergeCell ref="ADF30:ADG30"/>
    <mergeCell ref="ADD31:ADE31"/>
    <mergeCell ref="ADF31:ADG31"/>
    <mergeCell ref="ADD40:ADE40"/>
    <mergeCell ref="ADF40:ADG40"/>
    <mergeCell ref="ADK30:ADL30"/>
    <mergeCell ref="ADK31:ADL31"/>
    <mergeCell ref="ADK33:ADL33"/>
    <mergeCell ref="ADK34:ADL34"/>
    <mergeCell ref="ADN35:ADO35"/>
    <mergeCell ref="ADP35:ADQ35"/>
    <mergeCell ref="ADN36:ADO36"/>
    <mergeCell ref="ADP36:ADQ36"/>
    <mergeCell ref="ADN37:ADO37"/>
    <mergeCell ref="ADI42:ADJ42"/>
    <mergeCell ref="ADK42:ADL42"/>
    <mergeCell ref="ADI43:ADJ43"/>
    <mergeCell ref="AGX314:AGZ315"/>
    <mergeCell ref="AGY66:AGZ66"/>
    <mergeCell ref="AGK54:AGL54"/>
    <mergeCell ref="AHE262:AHF263"/>
    <mergeCell ref="AGP262:AGQ262"/>
    <mergeCell ref="AGM263:AGO263"/>
    <mergeCell ref="AGP263:AGQ263"/>
    <mergeCell ref="AGM264:AGO264"/>
    <mergeCell ref="AGQ283:AGY285"/>
    <mergeCell ref="AEH114:AEI114"/>
    <mergeCell ref="AEJ114:AEK114"/>
    <mergeCell ref="AEM114:AEN114"/>
    <mergeCell ref="AEO114:AEP114"/>
    <mergeCell ref="AFC134:AFD134"/>
    <mergeCell ref="AFE134:AFF134"/>
    <mergeCell ref="AEO169:AEP169"/>
    <mergeCell ref="AEH170:AEI170"/>
    <mergeCell ref="AEJ170:AEK170"/>
    <mergeCell ref="AEM170:AEN170"/>
    <mergeCell ref="AEY228:AEZ228"/>
    <mergeCell ref="AER229:AES229"/>
    <mergeCell ref="AET229:AEU229"/>
    <mergeCell ref="AEW229:AEX229"/>
    <mergeCell ref="AEY229:AEZ229"/>
    <mergeCell ref="AER230:AES230"/>
    <mergeCell ref="AET230:AEU230"/>
    <mergeCell ref="AEW230:AEX230"/>
    <mergeCell ref="AEY230:AEZ230"/>
    <mergeCell ref="AER231:AES231"/>
    <mergeCell ref="AKE4:AKJ4"/>
    <mergeCell ref="AKE5:AKJ7"/>
    <mergeCell ref="ACY11:ACZ11"/>
    <mergeCell ref="ADA12:ADB12"/>
    <mergeCell ref="ACY13:ACZ13"/>
    <mergeCell ref="ADA13:ADB13"/>
    <mergeCell ref="ACY14:ACZ14"/>
    <mergeCell ref="AGZ326:AHA327"/>
    <mergeCell ref="AHE326:AHF327"/>
    <mergeCell ref="AHD326:AHD327"/>
    <mergeCell ref="AHA44:AHB44"/>
    <mergeCell ref="ACY44:ACZ44"/>
    <mergeCell ref="ACY83:ACZ83"/>
    <mergeCell ref="ADX45:ADY45"/>
    <mergeCell ref="ADZ45:AEA45"/>
    <mergeCell ref="ADX46:ADY46"/>
    <mergeCell ref="AEC48:AED48"/>
    <mergeCell ref="AGO78:AGP78"/>
    <mergeCell ref="AGN56:AGN59"/>
    <mergeCell ref="AHD71:AHE71"/>
    <mergeCell ref="AGZ56:AHA56"/>
    <mergeCell ref="AGL44:AGN46"/>
    <mergeCell ref="AGS273:AGT273"/>
    <mergeCell ref="AGR48:AHB48"/>
    <mergeCell ref="AHD72:AHE73"/>
    <mergeCell ref="AGO302:AGP302"/>
    <mergeCell ref="AGM314:AGN314"/>
    <mergeCell ref="AGM315:AGN315"/>
    <mergeCell ref="AGP313:AGQ313"/>
    <mergeCell ref="AGM325:AGN325"/>
    <mergeCell ref="AGR313:AGS313"/>
    <mergeCell ref="AGQ314:AGW315"/>
    <mergeCell ref="AGQ300:AGY302"/>
    <mergeCell ref="AGM301:AGN301"/>
    <mergeCell ref="AGM300:AGN300"/>
    <mergeCell ref="AGR297:AHB297"/>
    <mergeCell ref="AHB305:AHC306"/>
    <mergeCell ref="AGL92:AGL94"/>
    <mergeCell ref="AGM75:AGN75"/>
    <mergeCell ref="AGO75:AGP75"/>
    <mergeCell ref="AGQ75:AGR75"/>
    <mergeCell ref="ADI88:ADJ88"/>
    <mergeCell ref="ACY128:ACZ128"/>
    <mergeCell ref="AGS75:AGT75"/>
    <mergeCell ref="AGU75:AGV75"/>
    <mergeCell ref="AGW75:AGX75"/>
    <mergeCell ref="ADN41:ADO41"/>
    <mergeCell ref="AGM145:AGN145"/>
    <mergeCell ref="AGO122:AGP122"/>
    <mergeCell ref="AGO117:AGP117"/>
    <mergeCell ref="AGM132:AGO132"/>
    <mergeCell ref="AHI108:AHP108"/>
    <mergeCell ref="ADX19:ADY19"/>
    <mergeCell ref="AHE45:AHE46"/>
    <mergeCell ref="AHB50:AHC50"/>
    <mergeCell ref="ADI35:ADJ35"/>
    <mergeCell ref="ACY43:ACZ43"/>
    <mergeCell ref="ADA43:ADB43"/>
    <mergeCell ref="AHA314:AHC315"/>
    <mergeCell ref="ADS98:ADT98"/>
    <mergeCell ref="ADU98:ADV98"/>
    <mergeCell ref="AGO177:AGP177"/>
    <mergeCell ref="AHD24:AHE24"/>
    <mergeCell ref="AHC40:AHD40"/>
    <mergeCell ref="AJU4:AKC4"/>
    <mergeCell ref="AJU5:AKC7"/>
    <mergeCell ref="ACV35:ACW35"/>
    <mergeCell ref="AGO22:AGP22"/>
    <mergeCell ref="AHD28:AHE28"/>
    <mergeCell ref="ACY22:ACZ22"/>
    <mergeCell ref="ACY23:ACZ23"/>
    <mergeCell ref="ACJ126:ACK126"/>
    <mergeCell ref="AHA40:AHB40"/>
    <mergeCell ref="AHO48:AHQ48"/>
    <mergeCell ref="AGY40:AGZ40"/>
    <mergeCell ref="AGQ21:AGR21"/>
    <mergeCell ref="AGN29:AGN30"/>
    <mergeCell ref="ACY29:ACZ29"/>
    <mergeCell ref="ACY25:ACZ25"/>
    <mergeCell ref="ACQ117:ACR117"/>
    <mergeCell ref="ACQ118:ACR118"/>
    <mergeCell ref="ACL122:ACM122"/>
    <mergeCell ref="ACL123:ACM123"/>
    <mergeCell ref="ACL124:ACM124"/>
    <mergeCell ref="AGQ25:AGR25"/>
    <mergeCell ref="ADS28:ADT28"/>
    <mergeCell ref="ADI32:ADJ32"/>
    <mergeCell ref="AHE109:AHG110"/>
    <mergeCell ref="ACT36:ACU36"/>
    <mergeCell ref="ADF34:ADG34"/>
    <mergeCell ref="ACY48:ACZ48"/>
    <mergeCell ref="ADA48:ADB48"/>
    <mergeCell ref="ACY27:ACZ27"/>
    <mergeCell ref="ACJ85:ACK85"/>
    <mergeCell ref="ACJ86:ACK86"/>
    <mergeCell ref="ACJ87:ACK87"/>
    <mergeCell ref="ADA21:ADB21"/>
    <mergeCell ref="AEC98:AED98"/>
    <mergeCell ref="ACY32:ACZ32"/>
    <mergeCell ref="ACY35:ACZ35"/>
    <mergeCell ref="ADK38:ADL38"/>
    <mergeCell ref="ACY90:ACZ90"/>
    <mergeCell ref="ACT91:ACU91"/>
    <mergeCell ref="AEM25:AEN25"/>
    <mergeCell ref="ACT116:ACU116"/>
    <mergeCell ref="ACT117:ACU117"/>
    <mergeCell ref="ACL120:ACM120"/>
    <mergeCell ref="ACT120:ACU120"/>
    <mergeCell ref="ACT121:ACU121"/>
    <mergeCell ref="ACT114:ACU114"/>
    <mergeCell ref="ACT115:ACU115"/>
    <mergeCell ref="ADS25:ADT25"/>
    <mergeCell ref="ADX33:ADY33"/>
    <mergeCell ref="ADZ35:AEA35"/>
    <mergeCell ref="AEC32:AED32"/>
    <mergeCell ref="ACL112:ACM112"/>
    <mergeCell ref="ACL113:ACM113"/>
    <mergeCell ref="AGK75:AGL75"/>
    <mergeCell ref="AGR119:AHB119"/>
    <mergeCell ref="AGX108:AGY108"/>
    <mergeCell ref="AIQ25:AIR25"/>
    <mergeCell ref="AIT25:AJD25"/>
    <mergeCell ref="ACQ102:ACR102"/>
    <mergeCell ref="ACL119:ACM119"/>
    <mergeCell ref="ACO122:ACP122"/>
    <mergeCell ref="ACO111:ACP111"/>
    <mergeCell ref="ACO112:ACP112"/>
    <mergeCell ref="ACQ99:ACR99"/>
    <mergeCell ref="AHB325:AHC325"/>
    <mergeCell ref="AHH325:AHM325"/>
    <mergeCell ref="AGZ325:AHA325"/>
    <mergeCell ref="AGM211:AGN211"/>
    <mergeCell ref="AGM217:AGN217"/>
    <mergeCell ref="AGM222:AGN222"/>
    <mergeCell ref="AGM226:AGN226"/>
    <mergeCell ref="AGM293:AGN293"/>
    <mergeCell ref="AGM299:AGN299"/>
    <mergeCell ref="AGM304:AGN304"/>
    <mergeCell ref="AGM309:AGN309"/>
    <mergeCell ref="AGO283:AGP283"/>
    <mergeCell ref="AGY67:AGZ68"/>
    <mergeCell ref="AGS62:AHA64"/>
    <mergeCell ref="AGM265:AGO265"/>
    <mergeCell ref="AGP265:AGQ265"/>
    <mergeCell ref="ADN88:ADO88"/>
    <mergeCell ref="ADP88:ADQ88"/>
    <mergeCell ref="AGX50:AGY50"/>
    <mergeCell ref="ADN118:ADO118"/>
    <mergeCell ref="AGO90:AGP90"/>
    <mergeCell ref="ADU227:ADV227"/>
    <mergeCell ref="ADX227:ADY227"/>
    <mergeCell ref="ADN87:ADO87"/>
    <mergeCell ref="ADP87:ADQ87"/>
    <mergeCell ref="ADS87:ADT87"/>
    <mergeCell ref="ADU87:ADV87"/>
    <mergeCell ref="ADP50:ADQ50"/>
    <mergeCell ref="ADP107:ADQ107"/>
    <mergeCell ref="ADS107:ADT107"/>
    <mergeCell ref="ADU107:ADV107"/>
    <mergeCell ref="AEJ230:AEK230"/>
    <mergeCell ref="AEM230:AEN230"/>
    <mergeCell ref="AEO230:AEP230"/>
    <mergeCell ref="AGM174:AGN174"/>
    <mergeCell ref="ADN127:ADO127"/>
    <mergeCell ref="ADP127:ADQ127"/>
    <mergeCell ref="ADS127:ADT127"/>
    <mergeCell ref="ADU127:ADV127"/>
    <mergeCell ref="AET227:AEU227"/>
    <mergeCell ref="AEW227:AEX227"/>
    <mergeCell ref="AER246:AES246"/>
    <mergeCell ref="AET246:AEU246"/>
    <mergeCell ref="AEW246:AEX246"/>
    <mergeCell ref="AEH254:AEI254"/>
    <mergeCell ref="AEJ254:AEK254"/>
    <mergeCell ref="AEM254:AEN254"/>
    <mergeCell ref="ADZ62:AEA62"/>
    <mergeCell ref="AEC92:AED92"/>
    <mergeCell ref="AEE92:AEF92"/>
    <mergeCell ref="ADZ93:AEA93"/>
    <mergeCell ref="ADZ95:AEA95"/>
    <mergeCell ref="AGM79:AGN79"/>
    <mergeCell ref="ADS88:ADT88"/>
    <mergeCell ref="ADU88:ADV88"/>
    <mergeCell ref="ADS101:ADT101"/>
    <mergeCell ref="AEH90:AEI90"/>
    <mergeCell ref="AEH240:AEI240"/>
    <mergeCell ref="AEJ240:AEK240"/>
    <mergeCell ref="AEM240:AEN240"/>
    <mergeCell ref="AEO240:AEP240"/>
    <mergeCell ref="AEH241:AEI241"/>
    <mergeCell ref="AGO103:AGO105"/>
    <mergeCell ref="ADZ102:AEA102"/>
    <mergeCell ref="AEM239:AEN239"/>
    <mergeCell ref="AEO239:AEP239"/>
    <mergeCell ref="AHD109:AHD110"/>
    <mergeCell ref="AER239:AES239"/>
    <mergeCell ref="AET239:AEU239"/>
    <mergeCell ref="AEW239:AEX239"/>
    <mergeCell ref="AEY239:AEZ239"/>
    <mergeCell ref="AHE162:AHF163"/>
    <mergeCell ref="AER154:AES154"/>
    <mergeCell ref="AEJ108:AEK108"/>
    <mergeCell ref="AEM108:AEN108"/>
    <mergeCell ref="AEJ113:AEK113"/>
    <mergeCell ref="AEM113:AEN113"/>
    <mergeCell ref="AEO113:AEP113"/>
    <mergeCell ref="AEE237:AEF237"/>
    <mergeCell ref="AGQ332:AGR332"/>
    <mergeCell ref="AHD278:AHD279"/>
    <mergeCell ref="AGZ278:AHA279"/>
    <mergeCell ref="AGM294:AGY295"/>
    <mergeCell ref="AGM290:AGN290"/>
    <mergeCell ref="AGZ271:AHH271"/>
    <mergeCell ref="AGM269:AGO269"/>
    <mergeCell ref="AGP269:AGQ269"/>
    <mergeCell ref="AGP261:AGQ261"/>
    <mergeCell ref="AGR261:AGS261"/>
    <mergeCell ref="AGM270:AGO270"/>
    <mergeCell ref="AGP258:AGQ258"/>
    <mergeCell ref="AGP259:AGQ259"/>
    <mergeCell ref="AGP264:AGQ264"/>
    <mergeCell ref="AGO251:AGP251"/>
    <mergeCell ref="AGQ249:AGR249"/>
    <mergeCell ref="AGM137:AGN137"/>
    <mergeCell ref="AGN148:AGO148"/>
    <mergeCell ref="AGX150:AGY150"/>
    <mergeCell ref="AGX131:AGY131"/>
    <mergeCell ref="AGM126:AGY127"/>
    <mergeCell ref="AGM117:AGN117"/>
    <mergeCell ref="AGO301:AGP301"/>
    <mergeCell ref="AHC310:AHD311"/>
    <mergeCell ref="AGZ309:AHB309"/>
    <mergeCell ref="AHC309:AHD309"/>
    <mergeCell ref="AGQ304:AGR304"/>
    <mergeCell ref="AHH283:AHK285"/>
    <mergeCell ref="AGZ285:AHG285"/>
    <mergeCell ref="AHD313:AHE313"/>
    <mergeCell ref="AHF313:AHJ313"/>
    <mergeCell ref="AGU309:AGV309"/>
    <mergeCell ref="AHD321:AHD322"/>
    <mergeCell ref="AHE321:AHF322"/>
    <mergeCell ref="AHG321:AHG322"/>
    <mergeCell ref="AGZ321:AHA322"/>
    <mergeCell ref="AHB321:AHC322"/>
    <mergeCell ref="AGO119:AGP119"/>
    <mergeCell ref="AGV157:AHI159"/>
    <mergeCell ref="AGM140:AGN140"/>
    <mergeCell ref="AGM150:AGN150"/>
    <mergeCell ref="AGZ320:AHA320"/>
    <mergeCell ref="AHH326:AHM328"/>
    <mergeCell ref="AGQ290:AGY291"/>
    <mergeCell ref="AGM280:AGO280"/>
    <mergeCell ref="AGO291:AGP291"/>
    <mergeCell ref="AGO290:AGP290"/>
    <mergeCell ref="AGZ126:AHA127"/>
    <mergeCell ref="AGQ137:AGY138"/>
    <mergeCell ref="AHB244:AHC245"/>
    <mergeCell ref="ADS57:ADT57"/>
    <mergeCell ref="ADN47:ADO47"/>
    <mergeCell ref="AGZ32:AHA32"/>
    <mergeCell ref="AEE231:AEF231"/>
    <mergeCell ref="AEC235:AED235"/>
    <mergeCell ref="AEE235:AEF235"/>
    <mergeCell ref="AGQ93:AGY94"/>
    <mergeCell ref="AEO125:AEP125"/>
    <mergeCell ref="AEH126:AEI126"/>
    <mergeCell ref="AEJ126:AEK126"/>
    <mergeCell ref="ADK28:ADL28"/>
    <mergeCell ref="ADD48:ADE48"/>
    <mergeCell ref="ADN58:ADO58"/>
    <mergeCell ref="ADS31:ADT31"/>
    <mergeCell ref="AHG326:AHG327"/>
    <mergeCell ref="AHH109:AHH110"/>
    <mergeCell ref="AGP278:AGQ278"/>
    <mergeCell ref="AGM279:AGO279"/>
    <mergeCell ref="AGP279:AGQ279"/>
    <mergeCell ref="AHB257:AHC258"/>
    <mergeCell ref="AGR278:AGY280"/>
    <mergeCell ref="AGZ179:AHA179"/>
    <mergeCell ref="AHH168:AHH169"/>
    <mergeCell ref="AGZ151:AHA152"/>
    <mergeCell ref="AHB151:AHC152"/>
    <mergeCell ref="AHD151:AHD152"/>
    <mergeCell ref="AHE115:AHF116"/>
    <mergeCell ref="AHG115:AHG116"/>
    <mergeCell ref="AGL174:AGL177"/>
    <mergeCell ref="AHE170:AHF170"/>
    <mergeCell ref="AGX174:AGY174"/>
    <mergeCell ref="AGZ174:AHA174"/>
    <mergeCell ref="AHE175:AHF176"/>
    <mergeCell ref="AGZ121:AHA121"/>
    <mergeCell ref="ADU86:ADV86"/>
    <mergeCell ref="AEH56:AEI56"/>
    <mergeCell ref="AEJ56:AEK56"/>
    <mergeCell ref="ADP49:ADQ49"/>
    <mergeCell ref="ADN52:ADO52"/>
    <mergeCell ref="ADN56:ADO56"/>
    <mergeCell ref="AHE122:AHG123"/>
    <mergeCell ref="AGQ109:AGY110"/>
    <mergeCell ref="AGZ93:AHA94"/>
    <mergeCell ref="AHD282:AHG282"/>
    <mergeCell ref="AHD277:AHG277"/>
    <mergeCell ref="AHC75:AHD75"/>
    <mergeCell ref="AHB122:AHC123"/>
    <mergeCell ref="AGR112:AHB112"/>
    <mergeCell ref="AEC102:AED102"/>
    <mergeCell ref="AGQ198:AGY200"/>
    <mergeCell ref="AGL202:AGL204"/>
    <mergeCell ref="AGM93:AGN93"/>
    <mergeCell ref="AGM116:AGN116"/>
    <mergeCell ref="AGO96:AGP97"/>
    <mergeCell ref="AEJ237:AEK237"/>
    <mergeCell ref="AEM237:AEN237"/>
    <mergeCell ref="AEO237:AEP237"/>
    <mergeCell ref="AEH238:AEI238"/>
    <mergeCell ref="AEJ238:AEK238"/>
    <mergeCell ref="AEM238:AEN238"/>
    <mergeCell ref="AEO238:AEP238"/>
    <mergeCell ref="AEH239:AEI239"/>
    <mergeCell ref="AEJ239:AEK239"/>
    <mergeCell ref="ACQ134:ACR134"/>
    <mergeCell ref="AGL140:AGL143"/>
    <mergeCell ref="ADN228:ADO228"/>
    <mergeCell ref="ADP228:ADQ228"/>
    <mergeCell ref="AGL161:AGN163"/>
    <mergeCell ref="AGM151:AGN151"/>
    <mergeCell ref="AGM152:AGN152"/>
    <mergeCell ref="AGM101:AGN101"/>
    <mergeCell ref="ACT80:ACU80"/>
    <mergeCell ref="ADA92:ADB92"/>
    <mergeCell ref="AGO116:AGP116"/>
    <mergeCell ref="ADA40:ADB40"/>
    <mergeCell ref="ADP45:ADQ45"/>
    <mergeCell ref="ADN46:ADO46"/>
    <mergeCell ref="ADP46:ADQ46"/>
    <mergeCell ref="AEO15:AEP15"/>
    <mergeCell ref="AHC104:AHD105"/>
    <mergeCell ref="AHE104:AHE105"/>
    <mergeCell ref="AGQ96:AGQ97"/>
    <mergeCell ref="AGO115:AGP115"/>
    <mergeCell ref="ADS108:ADT108"/>
    <mergeCell ref="AEW158:AEX158"/>
    <mergeCell ref="AEY158:AEZ158"/>
    <mergeCell ref="AER159:AES159"/>
    <mergeCell ref="ADP110:ADQ110"/>
    <mergeCell ref="ADS110:ADT110"/>
    <mergeCell ref="ADU110:ADV110"/>
    <mergeCell ref="ADP117:ADQ117"/>
    <mergeCell ref="AFC138:AFD138"/>
    <mergeCell ref="AFE138:AFF138"/>
    <mergeCell ref="AFC139:AFD139"/>
    <mergeCell ref="ADS99:ADT99"/>
    <mergeCell ref="ADU99:ADV99"/>
    <mergeCell ref="ADN104:ADO104"/>
    <mergeCell ref="AGQ197:AGR197"/>
    <mergeCell ref="AGM223:AGY224"/>
    <mergeCell ref="AGX217:AGY217"/>
    <mergeCell ref="AGP142:AGQ142"/>
    <mergeCell ref="AGP143:AGQ143"/>
    <mergeCell ref="AGZ141:AHA142"/>
    <mergeCell ref="AHD136:AHG136"/>
    <mergeCell ref="AEW152:AEX152"/>
    <mergeCell ref="AEY152:AEZ152"/>
    <mergeCell ref="AER153:AES153"/>
    <mergeCell ref="AET153:AEU153"/>
    <mergeCell ref="AEW153:AEX153"/>
    <mergeCell ref="AEY153:AEZ153"/>
    <mergeCell ref="AGM131:AGN131"/>
    <mergeCell ref="ADN120:ADO120"/>
    <mergeCell ref="ADN84:ADO84"/>
    <mergeCell ref="ADP84:ADQ84"/>
    <mergeCell ref="ADS84:ADT84"/>
    <mergeCell ref="ADK121:ADL121"/>
    <mergeCell ref="ADN121:ADO121"/>
    <mergeCell ref="ADP121:ADQ121"/>
    <mergeCell ref="ACT41:ACU41"/>
    <mergeCell ref="AGM50:AGN50"/>
    <mergeCell ref="AGQ68:AGR68"/>
    <mergeCell ref="AGZ71:AHA71"/>
    <mergeCell ref="AHA41:AHB42"/>
    <mergeCell ref="AHC41:AHD42"/>
    <mergeCell ref="ACV41:ACW41"/>
    <mergeCell ref="ACT42:ACU42"/>
    <mergeCell ref="ACT52:ACU52"/>
    <mergeCell ref="AWU13:AWV14"/>
    <mergeCell ref="AWW13:AWW14"/>
    <mergeCell ref="ASI28:ASJ28"/>
    <mergeCell ref="ASO28:ASR28"/>
    <mergeCell ref="ASO29:ASO30"/>
    <mergeCell ref="ASP29:ASQ30"/>
    <mergeCell ref="ASR29:ASR30"/>
    <mergeCell ref="AWR17:AWS18"/>
    <mergeCell ref="ASK15:ASL16"/>
    <mergeCell ref="ASL20:ASM21"/>
    <mergeCell ref="ARU51:ARU53"/>
    <mergeCell ref="ASG51:ASH51"/>
    <mergeCell ref="ARV14:ARW14"/>
    <mergeCell ref="ARZ15:ASH16"/>
    <mergeCell ref="ADS14:ADT14"/>
    <mergeCell ref="ADI22:ADJ22"/>
    <mergeCell ref="ADK15:ADL15"/>
    <mergeCell ref="ADI16:ADJ16"/>
    <mergeCell ref="AIH36:AII36"/>
    <mergeCell ref="AIH37:AII37"/>
    <mergeCell ref="AGM14:AGM16"/>
    <mergeCell ref="AIP33:AIR33"/>
    <mergeCell ref="AGN14:AGO14"/>
    <mergeCell ref="AIK36:AIL36"/>
    <mergeCell ref="AIH40:AII40"/>
    <mergeCell ref="AIH35:AII35"/>
    <mergeCell ref="AIS42:AIT42"/>
    <mergeCell ref="AHM42:AHO42"/>
    <mergeCell ref="AGK18:AGL18"/>
    <mergeCell ref="AGM18:AGN18"/>
    <mergeCell ref="AGO18:AGP18"/>
    <mergeCell ref="AGQ18:AGR18"/>
    <mergeCell ref="AGS18:AGT18"/>
    <mergeCell ref="AGU18:AGV18"/>
    <mergeCell ref="AGW18:AGX18"/>
    <mergeCell ref="ADI50:ADJ50"/>
    <mergeCell ref="AEJ16:AEK16"/>
    <mergeCell ref="AEH17:AEI17"/>
    <mergeCell ref="AEJ17:AEK17"/>
    <mergeCell ref="AEH18:AEI18"/>
    <mergeCell ref="AEJ18:AEK18"/>
    <mergeCell ref="AEH19:AEI19"/>
    <mergeCell ref="AEJ19:AEK19"/>
    <mergeCell ref="AEH20:AEI20"/>
    <mergeCell ref="AEJ20:AEK20"/>
    <mergeCell ref="AEH21:AEI21"/>
    <mergeCell ref="AEJ21:AEK21"/>
    <mergeCell ref="ADU53:ADV53"/>
    <mergeCell ref="AHP42:AHQ42"/>
    <mergeCell ref="ADN40:ADO40"/>
    <mergeCell ref="ADP40:ADQ40"/>
    <mergeCell ref="AWR33:AWS34"/>
    <mergeCell ref="AWT33:AWT34"/>
    <mergeCell ref="AEO13:AEP13"/>
    <mergeCell ref="AIS35:AIT35"/>
    <mergeCell ref="AWU21:AWV22"/>
    <mergeCell ref="AHH41:AHH42"/>
    <mergeCell ref="AWT16:AWW16"/>
    <mergeCell ref="AWP17:AWQ18"/>
    <mergeCell ref="ATH43:ATI44"/>
    <mergeCell ref="ATH41:ATI42"/>
    <mergeCell ref="AWT21:AWT22"/>
    <mergeCell ref="ADN45:ADO45"/>
    <mergeCell ref="ADS22:ADT22"/>
    <mergeCell ref="AWW33:AWW34"/>
    <mergeCell ref="AWP29:AWQ30"/>
    <mergeCell ref="AWU33:AWV34"/>
    <mergeCell ref="ASJ20:ASK21"/>
    <mergeCell ref="AWR29:AWS30"/>
    <mergeCell ref="AWT29:AWT30"/>
    <mergeCell ref="AWU29:AWV30"/>
    <mergeCell ref="AWW29:AWW30"/>
    <mergeCell ref="AWB24:AWB26"/>
    <mergeCell ref="AWN24:AWO24"/>
    <mergeCell ref="AWP24:AWQ24"/>
    <mergeCell ref="AWR24:AWS24"/>
    <mergeCell ref="AWT24:AWW24"/>
    <mergeCell ref="ASW49:ASW51"/>
    <mergeCell ref="ATI49:ATJ49"/>
    <mergeCell ref="ADK36:ADL36"/>
    <mergeCell ref="ADI37:ADJ37"/>
    <mergeCell ref="ADK37:ADL37"/>
    <mergeCell ref="ADI48:ADJ48"/>
    <mergeCell ref="AGO38:AGP38"/>
    <mergeCell ref="AIM35:AIN35"/>
    <mergeCell ref="AIK35:AIL35"/>
    <mergeCell ref="ACO83:ACP83"/>
    <mergeCell ref="ACO84:ACP84"/>
    <mergeCell ref="AEE59:AEF59"/>
    <mergeCell ref="ADI56:ADJ56"/>
    <mergeCell ref="ADK56:ADL56"/>
    <mergeCell ref="ADI57:ADJ57"/>
    <mergeCell ref="ADS54:ADT54"/>
    <mergeCell ref="ADU54:ADV54"/>
    <mergeCell ref="ADS55:ADT55"/>
    <mergeCell ref="AHM61:AHV61"/>
    <mergeCell ref="AHM62:AHV64"/>
    <mergeCell ref="ADA22:ADB22"/>
    <mergeCell ref="ADA27:ADB27"/>
    <mergeCell ref="ADA28:ADB28"/>
    <mergeCell ref="ADD60:ADE60"/>
    <mergeCell ref="AEH29:AEI29"/>
    <mergeCell ref="AEJ29:AEK29"/>
    <mergeCell ref="AEM30:AEN30"/>
    <mergeCell ref="AEM28:AEN28"/>
    <mergeCell ref="AEO26:AEP26"/>
    <mergeCell ref="AEM26:AEN26"/>
    <mergeCell ref="AEO29:AEP29"/>
    <mergeCell ref="AHD21:AHE22"/>
    <mergeCell ref="AGN21:AGN22"/>
    <mergeCell ref="AHL28:AHT28"/>
    <mergeCell ref="AHL29:AHT30"/>
    <mergeCell ref="AGZ20:AHA20"/>
    <mergeCell ref="AHD20:AHE20"/>
    <mergeCell ref="AEE56:AEF56"/>
    <mergeCell ref="ADI41:ADJ41"/>
    <mergeCell ref="ADK41:ADL41"/>
    <mergeCell ref="AEE50:AEF50"/>
    <mergeCell ref="ADD34:ADE34"/>
    <mergeCell ref="AEC36:AED36"/>
    <mergeCell ref="ADX34:ADY34"/>
    <mergeCell ref="ASQ23:AST23"/>
    <mergeCell ref="ARU24:ARU26"/>
    <mergeCell ref="ASQ24:ASQ25"/>
    <mergeCell ref="ASR24:ASS25"/>
    <mergeCell ref="ASP56:ASP57"/>
    <mergeCell ref="AIT26:AJD26"/>
    <mergeCell ref="ACT37:ACU37"/>
    <mergeCell ref="AAW51:AAZ52"/>
    <mergeCell ref="WO33:WQ33"/>
    <mergeCell ref="WR33:WS33"/>
    <mergeCell ref="WK35:WN35"/>
    <mergeCell ref="ADP56:ADQ56"/>
    <mergeCell ref="AEO25:AEP25"/>
    <mergeCell ref="ADK51:ADL51"/>
    <mergeCell ref="ADK54:ADL54"/>
    <mergeCell ref="ATJ8:ATM9"/>
    <mergeCell ref="TX6:TZ6"/>
    <mergeCell ref="AWN12:AWO12"/>
    <mergeCell ref="ADA29:ADB29"/>
    <mergeCell ref="ADN51:ADO51"/>
    <mergeCell ref="ADD39:ADE39"/>
    <mergeCell ref="ADF39:ADG39"/>
    <mergeCell ref="ADK12:ADL12"/>
    <mergeCell ref="ADX60:ADY60"/>
    <mergeCell ref="ADZ60:AEA60"/>
    <mergeCell ref="ADP53:ADQ53"/>
    <mergeCell ref="ADP54:ADQ54"/>
    <mergeCell ref="ADP55:ADQ55"/>
    <mergeCell ref="ACL84:ACM84"/>
    <mergeCell ref="AWT17:AWT18"/>
    <mergeCell ref="ARU19:ARW21"/>
    <mergeCell ref="AQN55:AQN57"/>
    <mergeCell ref="ADD12:ADE12"/>
    <mergeCell ref="AEM14:AEN14"/>
    <mergeCell ref="ARX12:ARY12"/>
    <mergeCell ref="ARF56:ARF57"/>
    <mergeCell ref="ARF55:ARI55"/>
    <mergeCell ref="ASP15:ASP16"/>
    <mergeCell ref="AHK20:AHT20"/>
    <mergeCell ref="ADK32:ADL32"/>
    <mergeCell ref="ADI38:ADJ38"/>
    <mergeCell ref="ADA44:ADB44"/>
    <mergeCell ref="ACY45:ACZ45"/>
    <mergeCell ref="ADK44:ADL44"/>
    <mergeCell ref="ADI45:ADJ45"/>
    <mergeCell ref="AST24:AST25"/>
    <mergeCell ref="ASM55:ASP55"/>
    <mergeCell ref="ASN56:ASO57"/>
    <mergeCell ref="AHB21:AHC22"/>
    <mergeCell ref="ACT51:ACU51"/>
    <mergeCell ref="ACV51:ACW51"/>
    <mergeCell ref="ACT54:ACU54"/>
    <mergeCell ref="ACV54:ACW54"/>
    <mergeCell ref="ACT55:ACU55"/>
    <mergeCell ref="ACV55:ACW55"/>
    <mergeCell ref="ACT56:ACU56"/>
    <mergeCell ref="ACV56:ACW56"/>
    <mergeCell ref="AWC33:AWO34"/>
    <mergeCell ref="AWP33:AWQ34"/>
    <mergeCell ref="ADA20:ADB20"/>
    <mergeCell ref="ADP47:ADQ47"/>
    <mergeCell ref="ADN48:ADO48"/>
    <mergeCell ref="ADP48:ADQ48"/>
    <mergeCell ref="AIH43:AII43"/>
    <mergeCell ref="AWT13:AWT14"/>
    <mergeCell ref="WL16:WM16"/>
    <mergeCell ref="WR16:WS16"/>
    <mergeCell ref="WK17:WW18"/>
    <mergeCell ref="WT14:WU14"/>
    <mergeCell ref="WT16:WU16"/>
    <mergeCell ref="AGM7:AGS7"/>
    <mergeCell ref="ALI7:ALO7"/>
    <mergeCell ref="ADX57:ADY57"/>
    <mergeCell ref="ADS37:ADT37"/>
    <mergeCell ref="ADU37:ADV37"/>
    <mergeCell ref="AWU17:AWV18"/>
    <mergeCell ref="AWW17:AWW18"/>
    <mergeCell ref="AWB28:AWB30"/>
    <mergeCell ref="AWN28:AWO28"/>
    <mergeCell ref="AHF32:AHK32"/>
    <mergeCell ref="AHD25:AHE26"/>
    <mergeCell ref="PX75:PY75"/>
    <mergeCell ref="PZ75:QA75"/>
    <mergeCell ref="PZ65:QA66"/>
    <mergeCell ref="AWP28:AWQ28"/>
    <mergeCell ref="AWR28:AWS28"/>
    <mergeCell ref="AWT28:AWW28"/>
    <mergeCell ref="AWC29:AWO30"/>
    <mergeCell ref="PU72:PY73"/>
    <mergeCell ref="AWC25:AWO26"/>
    <mergeCell ref="AWP25:AWQ26"/>
    <mergeCell ref="AWR25:AWS26"/>
    <mergeCell ref="AWT25:AWT26"/>
    <mergeCell ref="ASN15:ASO16"/>
    <mergeCell ref="ADK25:ADL25"/>
    <mergeCell ref="AWW21:AWW22"/>
    <mergeCell ref="AWU25:AWV26"/>
    <mergeCell ref="AWP20:AWQ20"/>
    <mergeCell ref="AWW25:AWW26"/>
    <mergeCell ref="AWR20:AWS20"/>
    <mergeCell ref="AWT20:AWW20"/>
    <mergeCell ref="AWC21:AWO22"/>
    <mergeCell ref="ADI23:ADJ23"/>
    <mergeCell ref="AEM17:AEN17"/>
    <mergeCell ref="AHF21:AHF22"/>
    <mergeCell ref="AHJ21:AHJ22"/>
    <mergeCell ref="ACY20:ACZ20"/>
    <mergeCell ref="AEC58:AED58"/>
    <mergeCell ref="AWB32:AWB34"/>
    <mergeCell ref="AWN32:AWO32"/>
    <mergeCell ref="AWP32:AWQ32"/>
    <mergeCell ref="AWR32:AWS32"/>
    <mergeCell ref="AWT32:AWW32"/>
    <mergeCell ref="WZ47:XA48"/>
    <mergeCell ref="WZ49:XA50"/>
    <mergeCell ref="AAW19:AAX20"/>
    <mergeCell ref="ADX43:ADY43"/>
    <mergeCell ref="ADZ43:AEA43"/>
    <mergeCell ref="ADX44:ADY44"/>
    <mergeCell ref="ADZ44:AEA44"/>
    <mergeCell ref="ATP50:ATQ51"/>
    <mergeCell ref="ATR50:ATR51"/>
    <mergeCell ref="AWB16:AWB18"/>
    <mergeCell ref="AWN16:AWO16"/>
    <mergeCell ref="ATM50:ATN51"/>
    <mergeCell ref="ATK50:ATL51"/>
    <mergeCell ref="ASM51:ASP51"/>
    <mergeCell ref="AQZ55:ARA55"/>
    <mergeCell ref="AQO55:AQP55"/>
    <mergeCell ref="ARJ55:ARN55"/>
    <mergeCell ref="ADS38:ADT38"/>
    <mergeCell ref="ACV28:ACW28"/>
    <mergeCell ref="ACT29:ACU29"/>
    <mergeCell ref="ACV29:ACW29"/>
    <mergeCell ref="AGO9:AGP9"/>
    <mergeCell ref="AGR9:AHB9"/>
    <mergeCell ref="ADN38:ADO38"/>
    <mergeCell ref="ADP37:ADQ37"/>
    <mergeCell ref="ADN44:ADO44"/>
    <mergeCell ref="AWR12:AWS12"/>
    <mergeCell ref="AWP16:AWQ16"/>
    <mergeCell ref="AWR16:AWS16"/>
    <mergeCell ref="ARG56:ARH57"/>
    <mergeCell ref="ARI56:ARI57"/>
    <mergeCell ref="ATO50:ATO51"/>
    <mergeCell ref="ATM49:ATN49"/>
    <mergeCell ref="ATO49:ATR49"/>
    <mergeCell ref="AWB12:AWB14"/>
    <mergeCell ref="ATC11:ATE13"/>
    <mergeCell ref="ADA19:ADB19"/>
    <mergeCell ref="ADU38:ADV38"/>
    <mergeCell ref="ADS39:ADT39"/>
    <mergeCell ref="ADU39:ADV39"/>
    <mergeCell ref="ADS40:ADT40"/>
    <mergeCell ref="ADU40:ADV40"/>
    <mergeCell ref="ADS41:ADT41"/>
    <mergeCell ref="ADU41:ADV41"/>
    <mergeCell ref="ATK49:ATL49"/>
    <mergeCell ref="AWC17:AWO18"/>
    <mergeCell ref="AWB20:AWB22"/>
    <mergeCell ref="AWN20:AWO20"/>
    <mergeCell ref="ADZ17:AEA17"/>
    <mergeCell ref="ADI51:ADJ51"/>
    <mergeCell ref="ACY17:ACZ17"/>
    <mergeCell ref="ADD24:ADE24"/>
    <mergeCell ref="ADF24:ADG24"/>
    <mergeCell ref="ADD25:ADE25"/>
    <mergeCell ref="ADF25:ADG25"/>
    <mergeCell ref="ADD26:ADE26"/>
    <mergeCell ref="ADF26:ADG26"/>
    <mergeCell ref="ADD27:ADE27"/>
    <mergeCell ref="ADF27:ADG27"/>
    <mergeCell ref="ADD28:ADE28"/>
    <mergeCell ref="ADF28:ADG28"/>
    <mergeCell ref="ADI19:ADJ19"/>
    <mergeCell ref="ADN17:ADO17"/>
    <mergeCell ref="ADP17:ADQ17"/>
    <mergeCell ref="ADN19:ADO19"/>
    <mergeCell ref="ADD14:ADE14"/>
    <mergeCell ref="ADF14:ADG14"/>
    <mergeCell ref="ADU56:ADV56"/>
    <mergeCell ref="AEE33:AEF33"/>
    <mergeCell ref="AEO32:AEP32"/>
    <mergeCell ref="AEO31:AEP31"/>
    <mergeCell ref="AEO34:AEP34"/>
    <mergeCell ref="AEO35:AEP35"/>
    <mergeCell ref="AEO36:AEP36"/>
    <mergeCell ref="AIQ26:AIR26"/>
    <mergeCell ref="AEM32:AEN32"/>
    <mergeCell ref="AGR38:AHB38"/>
    <mergeCell ref="AWP21:AWQ22"/>
    <mergeCell ref="AWR21:AWS22"/>
    <mergeCell ref="ARU55:ARU57"/>
    <mergeCell ref="ADS19:ADT19"/>
    <mergeCell ref="ADS33:ADT33"/>
    <mergeCell ref="ADS34:ADT34"/>
    <mergeCell ref="ADP29:ADQ29"/>
    <mergeCell ref="ADI27:ADJ27"/>
    <mergeCell ref="ADP14:ADQ14"/>
    <mergeCell ref="AWP12:AWQ12"/>
    <mergeCell ref="AWT12:AWW12"/>
    <mergeCell ref="AWC13:AWO14"/>
    <mergeCell ref="AWP13:AWQ14"/>
    <mergeCell ref="AWR13:AWS14"/>
    <mergeCell ref="ADI24:ADJ24"/>
    <mergeCell ref="ADK24:ADL24"/>
    <mergeCell ref="ADA31:ADB31"/>
    <mergeCell ref="AWE10:AWF10"/>
    <mergeCell ref="AWH10:AWR10"/>
    <mergeCell ref="ARX10:ARY10"/>
    <mergeCell ref="AEE47:AEF47"/>
    <mergeCell ref="AEE48:AEF48"/>
    <mergeCell ref="AEE60:AEF60"/>
    <mergeCell ref="ADZ59:AEA59"/>
    <mergeCell ref="AQN59:AQN61"/>
    <mergeCell ref="AQZ59:ARA59"/>
    <mergeCell ref="ARF59:ARI59"/>
    <mergeCell ref="ARF60:ARF61"/>
    <mergeCell ref="ARG60:ARH61"/>
    <mergeCell ref="ARI60:ARI61"/>
    <mergeCell ref="AQO59:AQP59"/>
    <mergeCell ref="ARJ56:ARN57"/>
    <mergeCell ref="ASX50:ATJ51"/>
    <mergeCell ref="ASL23:ASM23"/>
    <mergeCell ref="ADI12:ADJ12"/>
    <mergeCell ref="AEE51:AEF51"/>
    <mergeCell ref="AEE52:AEF52"/>
    <mergeCell ref="ADI20:ADJ20"/>
    <mergeCell ref="AEE39:AEF39"/>
    <mergeCell ref="ADU13:ADV13"/>
    <mergeCell ref="AHC45:AHD46"/>
    <mergeCell ref="ADA53:ADB53"/>
    <mergeCell ref="ADA33:ADB33"/>
    <mergeCell ref="ADA35:ADB35"/>
    <mergeCell ref="AGZ50:AHA50"/>
    <mergeCell ref="ADX18:ADY18"/>
    <mergeCell ref="AIM37:AIN37"/>
    <mergeCell ref="AIM36:AIN36"/>
    <mergeCell ref="AIH38:AII38"/>
    <mergeCell ref="AIK38:AIL38"/>
    <mergeCell ref="AIK41:AIL41"/>
    <mergeCell ref="AIM38:AIN38"/>
    <mergeCell ref="AGO33:AHA34"/>
    <mergeCell ref="ADF12:ADG12"/>
    <mergeCell ref="ADA60:ADB60"/>
    <mergeCell ref="AEM18:AEN18"/>
    <mergeCell ref="AEO18:AEP18"/>
    <mergeCell ref="AEO19:AEP19"/>
    <mergeCell ref="AEE15:AEF15"/>
    <mergeCell ref="AEO21:AEP21"/>
    <mergeCell ref="AEM22:AEN22"/>
    <mergeCell ref="ADK19:ADL19"/>
    <mergeCell ref="ADS21:ADT21"/>
    <mergeCell ref="ADI21:ADJ21"/>
    <mergeCell ref="ADK21:ADL21"/>
    <mergeCell ref="ADF19:ADG19"/>
    <mergeCell ref="ADF20:ADG20"/>
    <mergeCell ref="ADD21:ADE21"/>
    <mergeCell ref="ADS20:ADT20"/>
    <mergeCell ref="ADF16:ADG16"/>
    <mergeCell ref="AEE20:AEF20"/>
    <mergeCell ref="ADS53:ADT53"/>
    <mergeCell ref="ADF47:ADG47"/>
    <mergeCell ref="ATN89:ATP92"/>
    <mergeCell ref="AEM86:AEN86"/>
    <mergeCell ref="AEO86:AEP86"/>
    <mergeCell ref="AEM87:AEN87"/>
    <mergeCell ref="AEO87:AEP87"/>
    <mergeCell ref="AEM88:AEN88"/>
    <mergeCell ref="AEO88:AEP88"/>
    <mergeCell ref="AEJ89:AEK89"/>
    <mergeCell ref="AEM89:AEN89"/>
    <mergeCell ref="ADF100:ADG100"/>
    <mergeCell ref="ADI100:ADJ100"/>
    <mergeCell ref="ADK100:ADL100"/>
    <mergeCell ref="ADN100:ADO100"/>
    <mergeCell ref="ADN26:ADO26"/>
    <mergeCell ref="ADS43:ADT43"/>
    <mergeCell ref="ADS44:ADT44"/>
    <mergeCell ref="ADI36:ADJ36"/>
    <mergeCell ref="ADF46:ADG46"/>
    <mergeCell ref="ADF56:ADG56"/>
    <mergeCell ref="ADD61:ADE61"/>
    <mergeCell ref="AGY69:AHI69"/>
    <mergeCell ref="AHH50:AHJ50"/>
    <mergeCell ref="AHH51:AHJ52"/>
    <mergeCell ref="AHJ62:AHL63"/>
    <mergeCell ref="ADS23:ADT23"/>
    <mergeCell ref="AEM31:AEN31"/>
    <mergeCell ref="ASI83:ASJ84"/>
    <mergeCell ref="ASK61:ASL61"/>
    <mergeCell ref="ARA85:ARB86"/>
    <mergeCell ref="AQY89:AQZ90"/>
    <mergeCell ref="AGN32:AGN34"/>
    <mergeCell ref="AEE55:AEF55"/>
    <mergeCell ref="AEE54:AEF54"/>
    <mergeCell ref="ADU43:ADV43"/>
    <mergeCell ref="ADX48:ADY48"/>
    <mergeCell ref="ADZ48:AEA48"/>
    <mergeCell ref="AGZ51:AHA52"/>
    <mergeCell ref="AEH27:AEI27"/>
    <mergeCell ref="AHB51:AHC52"/>
    <mergeCell ref="ADI29:ADJ29"/>
    <mergeCell ref="ADI30:ADJ30"/>
    <mergeCell ref="ADI31:ADJ31"/>
    <mergeCell ref="ADI33:ADJ33"/>
    <mergeCell ref="ADI34:ADJ34"/>
    <mergeCell ref="AIM41:AIN41"/>
    <mergeCell ref="AIK39:AIL39"/>
    <mergeCell ref="AIM39:AIN39"/>
    <mergeCell ref="ADD100:ADE100"/>
    <mergeCell ref="ADF88:ADG88"/>
    <mergeCell ref="AHD93:AHD94"/>
    <mergeCell ref="ADD41:ADE41"/>
    <mergeCell ref="ADI98:ADJ98"/>
    <mergeCell ref="ADK98:ADL98"/>
    <mergeCell ref="ADP26:ADQ26"/>
    <mergeCell ref="AHJ71:AHL71"/>
    <mergeCell ref="AGO81:AGP81"/>
    <mergeCell ref="AGO93:AGP93"/>
    <mergeCell ref="ASQ66:ASQ67"/>
    <mergeCell ref="AIH34:AII34"/>
    <mergeCell ref="ASK55:ASL55"/>
    <mergeCell ref="ADX40:ADY40"/>
    <mergeCell ref="ADX41:ADY41"/>
    <mergeCell ref="ADX42:ADY42"/>
    <mergeCell ref="ADU42:ADV42"/>
    <mergeCell ref="ADK27:ADL27"/>
    <mergeCell ref="ADI28:ADJ28"/>
    <mergeCell ref="ADI55:ADJ55"/>
    <mergeCell ref="ADF84:ADG84"/>
    <mergeCell ref="ADI84:ADJ84"/>
    <mergeCell ref="ADK84:ADL84"/>
    <mergeCell ref="ADU84:ADV84"/>
    <mergeCell ref="ARY24:ASK26"/>
    <mergeCell ref="AEC62:AED62"/>
    <mergeCell ref="ADZ61:AEA61"/>
    <mergeCell ref="ADX62:ADY62"/>
    <mergeCell ref="ACJ83:ACL83"/>
    <mergeCell ref="ACM83:ACN83"/>
    <mergeCell ref="ADP44:ADQ44"/>
    <mergeCell ref="ADA23:ADB23"/>
    <mergeCell ref="ADI26:ADJ26"/>
    <mergeCell ref="ARA24:ARE24"/>
    <mergeCell ref="ARF24:ARG24"/>
    <mergeCell ref="AEO16:AEP16"/>
    <mergeCell ref="AGO21:AGP21"/>
    <mergeCell ref="ADA36:ADB36"/>
    <mergeCell ref="ADA45:ADB45"/>
    <mergeCell ref="ADA41:ADB41"/>
    <mergeCell ref="AEO22:AEP22"/>
    <mergeCell ref="AEM23:AEN23"/>
    <mergeCell ref="AEO23:AEP23"/>
    <mergeCell ref="WZ79:XA79"/>
    <mergeCell ref="WZ83:XA83"/>
    <mergeCell ref="ADF35:ADG35"/>
    <mergeCell ref="ADA17:ADB17"/>
    <mergeCell ref="ADA18:ADB18"/>
    <mergeCell ref="AHG25:AHJ26"/>
    <mergeCell ref="AHF28:AHK28"/>
    <mergeCell ref="AHG29:AHJ30"/>
    <mergeCell ref="AHK33:AHK34"/>
    <mergeCell ref="ADA47:ADB47"/>
    <mergeCell ref="AHF45:AHG46"/>
    <mergeCell ref="ADF21:ADG21"/>
    <mergeCell ref="ADU29:ADV29"/>
    <mergeCell ref="AEM20:AEN20"/>
    <mergeCell ref="ADZ29:AEA29"/>
    <mergeCell ref="ADZ30:AEA30"/>
    <mergeCell ref="ASI82:ASJ82"/>
    <mergeCell ref="ASK83:ASL84"/>
    <mergeCell ref="AHB77:AHC77"/>
    <mergeCell ref="AHO75:AHP75"/>
    <mergeCell ref="AHQ75:AHR75"/>
    <mergeCell ref="ARY69:ARY71"/>
    <mergeCell ref="XH39:XH40"/>
    <mergeCell ref="XI39:XI40"/>
    <mergeCell ref="XJ39:XJ40"/>
    <mergeCell ref="XK39:XK40"/>
    <mergeCell ref="XL39:XL40"/>
    <mergeCell ref="YH39:YH40"/>
    <mergeCell ref="YI39:YI40"/>
    <mergeCell ref="YJ39:YJ40"/>
    <mergeCell ref="YK39:YK40"/>
    <mergeCell ref="YL39:YL40"/>
    <mergeCell ref="YM39:YM40"/>
    <mergeCell ref="YN39:YN40"/>
    <mergeCell ref="YO39:YO40"/>
    <mergeCell ref="YP39:YP40"/>
    <mergeCell ref="ACJ84:ACK84"/>
    <mergeCell ref="XN80:XN81"/>
    <mergeCell ref="AEO14:AEP14"/>
    <mergeCell ref="ADU55:ADV55"/>
    <mergeCell ref="ADS27:ADT27"/>
    <mergeCell ref="AHB33:AHC34"/>
    <mergeCell ref="AHD33:AHE34"/>
    <mergeCell ref="AHI62:AHI63"/>
    <mergeCell ref="AHF62:AHF63"/>
    <mergeCell ref="ACV43:ACW43"/>
    <mergeCell ref="ACY34:ACZ34"/>
    <mergeCell ref="ADD44:ADE44"/>
    <mergeCell ref="ADF44:ADG44"/>
    <mergeCell ref="ADS61:ADT61"/>
    <mergeCell ref="AHJ57:AHT59"/>
    <mergeCell ref="ACV42:ACW42"/>
    <mergeCell ref="ADN55:ADO55"/>
    <mergeCell ref="ADD43:ADE43"/>
    <mergeCell ref="ADF43:ADG43"/>
    <mergeCell ref="ADN43:ADO43"/>
    <mergeCell ref="ADK18:ADL18"/>
    <mergeCell ref="ADD22:ADE22"/>
    <mergeCell ref="ADF22:ADG22"/>
    <mergeCell ref="ADN30:ADO30"/>
    <mergeCell ref="ADP30:ADQ30"/>
    <mergeCell ref="ADN31:ADO31"/>
    <mergeCell ref="ADD15:ADE15"/>
    <mergeCell ref="ADF15:ADG15"/>
    <mergeCell ref="AEE32:AEF32"/>
    <mergeCell ref="ADP20:ADQ20"/>
    <mergeCell ref="ADN21:ADO21"/>
    <mergeCell ref="ADP21:ADQ21"/>
    <mergeCell ref="ADN22:ADO22"/>
    <mergeCell ref="AEC35:AED35"/>
    <mergeCell ref="ADX59:ADY59"/>
    <mergeCell ref="AEC59:AED59"/>
    <mergeCell ref="ADP16:ADQ16"/>
    <mergeCell ref="AEM35:AEN35"/>
    <mergeCell ref="AEM36:AEN36"/>
    <mergeCell ref="ADD23:ADE23"/>
    <mergeCell ref="ADF23:ADG23"/>
    <mergeCell ref="ADD29:ADE29"/>
    <mergeCell ref="AEM33:AEN33"/>
    <mergeCell ref="ADD56:ADE56"/>
    <mergeCell ref="ADA46:ADB46"/>
    <mergeCell ref="ADA37:ADB37"/>
    <mergeCell ref="ADP41:ADQ41"/>
    <mergeCell ref="ACY36:ACZ36"/>
    <mergeCell ref="ACY33:ACZ33"/>
    <mergeCell ref="AHB57:AHC58"/>
    <mergeCell ref="AGZ61:AHA61"/>
    <mergeCell ref="AEE44:AEF44"/>
    <mergeCell ref="AEC45:AED45"/>
    <mergeCell ref="ADF62:ADG62"/>
    <mergeCell ref="ADK61:ADL61"/>
    <mergeCell ref="ADZ22:AEA22"/>
    <mergeCell ref="ADZ23:AEA23"/>
    <mergeCell ref="ADS58:ADT58"/>
    <mergeCell ref="AEO17:AEP17"/>
    <mergeCell ref="ADI18:ADJ18"/>
    <mergeCell ref="ACV44:ACW44"/>
    <mergeCell ref="AEC25:AED25"/>
    <mergeCell ref="AEE25:AEF25"/>
    <mergeCell ref="AEH36:AEI36"/>
    <mergeCell ref="AEJ36:AEK36"/>
    <mergeCell ref="AEC57:AED57"/>
    <mergeCell ref="AVK4:AVQ4"/>
    <mergeCell ref="AVK5:AVQ5"/>
    <mergeCell ref="AVK6:AVQ6"/>
    <mergeCell ref="AVK7:AVQ7"/>
    <mergeCell ref="ARX19:ARX21"/>
    <mergeCell ref="ASH19:ASI19"/>
    <mergeCell ref="ASJ19:ASK19"/>
    <mergeCell ref="ASL19:ASM19"/>
    <mergeCell ref="ASN19:ASQ19"/>
    <mergeCell ref="ASN20:ASN21"/>
    <mergeCell ref="ASO20:ASP21"/>
    <mergeCell ref="ASQ20:ASQ21"/>
    <mergeCell ref="ARU14:ARU16"/>
    <mergeCell ref="ASG14:ASH14"/>
    <mergeCell ref="ASI14:ASJ14"/>
    <mergeCell ref="ASK14:ASL14"/>
    <mergeCell ref="ASM14:ASP14"/>
    <mergeCell ref="ASW7:ATB7"/>
    <mergeCell ref="ATD7:ATH7"/>
    <mergeCell ref="ASW8:ATB9"/>
    <mergeCell ref="ATD8:ATH9"/>
    <mergeCell ref="AIK6:AIL7"/>
    <mergeCell ref="ASI15:ASJ16"/>
    <mergeCell ref="AKR5:AKU7"/>
    <mergeCell ref="AII6:AIJ7"/>
    <mergeCell ref="AJH5:AJS7"/>
    <mergeCell ref="ADU27:ADV27"/>
    <mergeCell ref="AEE38:AEF38"/>
    <mergeCell ref="AEC39:AED39"/>
    <mergeCell ref="ASO61:ASP61"/>
    <mergeCell ref="AHF33:AHF34"/>
    <mergeCell ref="AHE40:AHH40"/>
    <mergeCell ref="AGN25:AGN26"/>
    <mergeCell ref="AEC41:AED41"/>
    <mergeCell ref="AEE41:AEF41"/>
    <mergeCell ref="AEC42:AED42"/>
    <mergeCell ref="AEE42:AEF42"/>
    <mergeCell ref="AGS25:AHA26"/>
    <mergeCell ref="AHK21:AHT22"/>
    <mergeCell ref="AOL4:AOM4"/>
    <mergeCell ref="AON6:AOO6"/>
    <mergeCell ref="AON4:AOO4"/>
    <mergeCell ref="AOL5:AOM5"/>
    <mergeCell ref="ADZ28:AEA28"/>
    <mergeCell ref="AQK19:AQT20"/>
    <mergeCell ref="ASJ23:ASK23"/>
    <mergeCell ref="ADZ31:AEA31"/>
    <mergeCell ref="ADZ32:AEA32"/>
    <mergeCell ref="ARD55:ARE55"/>
    <mergeCell ref="ARD60:ARE61"/>
    <mergeCell ref="AQO56:ARA57"/>
    <mergeCell ref="ASM15:ASM16"/>
    <mergeCell ref="AHF15:AHG16"/>
    <mergeCell ref="AHH15:AHH16"/>
    <mergeCell ref="AHS18:AHT18"/>
    <mergeCell ref="AEC21:AED21"/>
    <mergeCell ref="AIS39:AIT39"/>
    <mergeCell ref="AIK40:AIL40"/>
    <mergeCell ref="AIM40:AIN40"/>
    <mergeCell ref="ADZ16:AEA16"/>
    <mergeCell ref="ADX17:ADY17"/>
    <mergeCell ref="AEO24:AEP24"/>
    <mergeCell ref="ADU30:ADV30"/>
    <mergeCell ref="AHE18:AHF18"/>
    <mergeCell ref="AON5:AOO5"/>
    <mergeCell ref="AIM4:AIN5"/>
    <mergeCell ref="AIO4:AIP5"/>
    <mergeCell ref="AGM78:AGN78"/>
    <mergeCell ref="AGQ78:AGY79"/>
    <mergeCell ref="AGX85:AGY85"/>
    <mergeCell ref="AGR81:AHB81"/>
    <mergeCell ref="ASG82:ASH82"/>
    <mergeCell ref="AQL85:AQX86"/>
    <mergeCell ref="AQY85:AQZ86"/>
    <mergeCell ref="AQH84:AQJ86"/>
    <mergeCell ref="AHH86:AHH87"/>
    <mergeCell ref="AQY84:AQZ84"/>
    <mergeCell ref="AQL89:AQX90"/>
    <mergeCell ref="ASG102:ASH102"/>
    <mergeCell ref="ARG101:ARG102"/>
    <mergeCell ref="ASM102:ASP102"/>
    <mergeCell ref="ARC85:ARC86"/>
    <mergeCell ref="AQW88:AQX88"/>
    <mergeCell ref="ASR66:ASS67"/>
    <mergeCell ref="ASM66:ASN67"/>
    <mergeCell ref="ASK102:ASL102"/>
    <mergeCell ref="AHD77:AHG77"/>
    <mergeCell ref="AGN71:AGN73"/>
    <mergeCell ref="AHB71:AHC71"/>
    <mergeCell ref="ASO69:ASP69"/>
    <mergeCell ref="ASQ69:AST69"/>
    <mergeCell ref="AGO20:AGP20"/>
    <mergeCell ref="AGO24:AGP24"/>
    <mergeCell ref="AEO28:AEP28"/>
    <mergeCell ref="ADI47:ADJ47"/>
    <mergeCell ref="ADS17:ADT17"/>
    <mergeCell ref="ADZ27:AEA27"/>
    <mergeCell ref="ASK69:ASL69"/>
    <mergeCell ref="ASM69:ASN69"/>
    <mergeCell ref="ARX80:ARY80"/>
    <mergeCell ref="ADS13:ADT13"/>
    <mergeCell ref="ARU82:ARU85"/>
    <mergeCell ref="ARA84:ARB84"/>
    <mergeCell ref="ASM83:ASM84"/>
    <mergeCell ref="ARH101:ARI102"/>
    <mergeCell ref="ASO66:ASP67"/>
    <mergeCell ref="AQK84:AQK86"/>
    <mergeCell ref="ARD85:ARE86"/>
    <mergeCell ref="ADK35:ADL35"/>
    <mergeCell ref="ADI87:ADJ87"/>
    <mergeCell ref="ADK87:ADL87"/>
    <mergeCell ref="ADS26:ADT26"/>
    <mergeCell ref="ADS16:ADT16"/>
    <mergeCell ref="ADP18:ADQ18"/>
    <mergeCell ref="AHG18:AHH18"/>
    <mergeCell ref="AHI18:AHJ18"/>
    <mergeCell ref="AHK18:AHL18"/>
    <mergeCell ref="AHM18:AHN18"/>
    <mergeCell ref="AHO18:AHP18"/>
    <mergeCell ref="ADS49:ADT49"/>
    <mergeCell ref="ADN50:ADO50"/>
    <mergeCell ref="ADI14:ADJ14"/>
    <mergeCell ref="ADK17:ADL17"/>
    <mergeCell ref="ADK13:ADL13"/>
    <mergeCell ref="AHI75:AHJ75"/>
    <mergeCell ref="AHK75:AHL75"/>
    <mergeCell ref="AHD57:AHE58"/>
    <mergeCell ref="AES76:AEU76"/>
    <mergeCell ref="ASM56:ASM57"/>
    <mergeCell ref="ASM62:ASN63"/>
    <mergeCell ref="ASO62:ASP63"/>
    <mergeCell ref="AHD61:AHE61"/>
    <mergeCell ref="AHF56:AHI56"/>
    <mergeCell ref="AGO56:AGP56"/>
    <mergeCell ref="AGO61:AGP61"/>
    <mergeCell ref="AIM34:AIN34"/>
    <mergeCell ref="AGO72:AHA73"/>
    <mergeCell ref="AGO58:AGP58"/>
    <mergeCell ref="AGO29:AGP29"/>
    <mergeCell ref="AIS33:AIT33"/>
    <mergeCell ref="AIK33:AIL33"/>
    <mergeCell ref="AHB100:AHC101"/>
    <mergeCell ref="AHD100:AHD101"/>
    <mergeCell ref="AGN86:AGP86"/>
    <mergeCell ref="AGQ86:AGY88"/>
    <mergeCell ref="AGN87:AGP87"/>
    <mergeCell ref="AGN88:AGP88"/>
    <mergeCell ref="AGZ85:AHB85"/>
    <mergeCell ref="AGO83:AGP83"/>
    <mergeCell ref="AGR83:AHB83"/>
    <mergeCell ref="AQP100:AQQ100"/>
    <mergeCell ref="ARZ61:ASA61"/>
    <mergeCell ref="ARZ65:ASA65"/>
    <mergeCell ref="AGP40:AGQ40"/>
    <mergeCell ref="AGP44:AGQ44"/>
    <mergeCell ref="AIH41:AII41"/>
    <mergeCell ref="ASP83:ASP84"/>
    <mergeCell ref="AQW84:AQX84"/>
    <mergeCell ref="ARC84:ARF84"/>
    <mergeCell ref="ASN83:ASO84"/>
    <mergeCell ref="ARV83:ASH85"/>
    <mergeCell ref="AHL32:AHN32"/>
    <mergeCell ref="AHL33:AHN34"/>
    <mergeCell ref="AHD56:AHE56"/>
    <mergeCell ref="AHJ61:AHL61"/>
    <mergeCell ref="AHJ56:AHT56"/>
    <mergeCell ref="AHD50:AHG50"/>
    <mergeCell ref="AGO48:AGP48"/>
    <mergeCell ref="AGN67:AGN69"/>
    <mergeCell ref="AGQ62:AGR62"/>
    <mergeCell ref="AHI72:AHI73"/>
    <mergeCell ref="AHD32:AHE32"/>
    <mergeCell ref="ARY66:ARY67"/>
    <mergeCell ref="AHR48:AHS48"/>
    <mergeCell ref="AHG51:AHG52"/>
    <mergeCell ref="AGQ63:AGR63"/>
    <mergeCell ref="AGQ29:AGR29"/>
    <mergeCell ref="AGQ59:AGR59"/>
    <mergeCell ref="AGO59:AGP59"/>
    <mergeCell ref="AGS57:AHA59"/>
    <mergeCell ref="AHB61:AHC61"/>
    <mergeCell ref="AGW66:AGX66"/>
    <mergeCell ref="ATO8:ATQ9"/>
    <mergeCell ref="AHG21:AHI22"/>
    <mergeCell ref="ASA12:ASK12"/>
    <mergeCell ref="ARX49:ARY49"/>
    <mergeCell ref="ASA49:ASK49"/>
    <mergeCell ref="ARV56:ASH57"/>
    <mergeCell ref="ARZ62:ASL63"/>
    <mergeCell ref="AHD99:AHH99"/>
    <mergeCell ref="AHE100:AHG101"/>
    <mergeCell ref="ATO122:ATY122"/>
    <mergeCell ref="ASI51:ASJ51"/>
    <mergeCell ref="ASK51:ASL51"/>
    <mergeCell ref="ARV52:ASH53"/>
    <mergeCell ref="ASI52:ASJ53"/>
    <mergeCell ref="ASK52:ASL53"/>
    <mergeCell ref="ASK56:ASL57"/>
    <mergeCell ref="AIS4:AIT5"/>
    <mergeCell ref="ATO7:ATQ7"/>
    <mergeCell ref="ARC101:ARD102"/>
    <mergeCell ref="ARN81:ARP81"/>
    <mergeCell ref="ARN82:ARP83"/>
    <mergeCell ref="AJD209:AJE210"/>
    <mergeCell ref="AGP161:AGQ161"/>
    <mergeCell ref="AJB211:AJI211"/>
    <mergeCell ref="AJG209:AJH210"/>
    <mergeCell ref="AHB64:AHL64"/>
    <mergeCell ref="AHI57:AHI58"/>
    <mergeCell ref="ARU182:ARW184"/>
    <mergeCell ref="AHA168:AHB169"/>
    <mergeCell ref="AGZ175:AHA176"/>
    <mergeCell ref="AGO172:AGP172"/>
    <mergeCell ref="AOL6:AOM6"/>
    <mergeCell ref="ATK17:ATL17"/>
    <mergeCell ref="ATM17:ATN17"/>
    <mergeCell ref="ATK18:ATL18"/>
    <mergeCell ref="ATM18:ATN18"/>
    <mergeCell ref="ARV15:ARW15"/>
    <mergeCell ref="ARX15:ARY15"/>
    <mergeCell ref="ASQ14:ASV14"/>
    <mergeCell ref="ASQ15:ASV16"/>
    <mergeCell ref="ARV16:ARW16"/>
    <mergeCell ref="ARX16:ARY16"/>
    <mergeCell ref="AHH45:AHH46"/>
    <mergeCell ref="ARA89:ARB90"/>
    <mergeCell ref="AHH78:AHJ79"/>
    <mergeCell ref="AKL4:AKP4"/>
    <mergeCell ref="AKL5:AKP7"/>
    <mergeCell ref="AMO4:AMS4"/>
    <mergeCell ref="AJH4:AJS4"/>
    <mergeCell ref="AGR12:AHB12"/>
    <mergeCell ref="AGO12:AGP12"/>
    <mergeCell ref="AGX77:AGY77"/>
    <mergeCell ref="AGY18:AGZ18"/>
    <mergeCell ref="AHA18:AHB18"/>
    <mergeCell ref="AHC18:AHD18"/>
    <mergeCell ref="AHQ18:AHR18"/>
    <mergeCell ref="AQP124:AQQ124"/>
    <mergeCell ref="ARA124:ARB124"/>
    <mergeCell ref="AHB126:AHC127"/>
    <mergeCell ref="ARV173:ARW173"/>
    <mergeCell ref="ASA80:ASK80"/>
    <mergeCell ref="AGN180:AGO180"/>
    <mergeCell ref="AIS6:AIT7"/>
    <mergeCell ref="AGN96:AGN97"/>
    <mergeCell ref="RF2:RH2"/>
    <mergeCell ref="AMU5:AMX6"/>
    <mergeCell ref="SR13:SU13"/>
    <mergeCell ref="SR14:SR15"/>
    <mergeCell ref="AHF29:AHF30"/>
    <mergeCell ref="ATJ7:ATM7"/>
    <mergeCell ref="KP15:KS15"/>
    <mergeCell ref="AMU4:AMX4"/>
    <mergeCell ref="AMZ4:ANB4"/>
    <mergeCell ref="AMH5:AMM6"/>
    <mergeCell ref="AMO5:AMS6"/>
    <mergeCell ref="AHG33:AHJ34"/>
    <mergeCell ref="AGL325:AGL328"/>
    <mergeCell ref="AGZ328:AHG328"/>
    <mergeCell ref="AGL40:AGN42"/>
    <mergeCell ref="AHK25:AHK26"/>
    <mergeCell ref="AHF25:AHF26"/>
    <mergeCell ref="AHB29:AHC30"/>
    <mergeCell ref="AHD29:AHE30"/>
    <mergeCell ref="AHB28:AHC28"/>
    <mergeCell ref="AHB25:AHC26"/>
    <mergeCell ref="ARB59:ARC59"/>
    <mergeCell ref="ARD59:ARE59"/>
    <mergeCell ref="ARD56:ARE57"/>
    <mergeCell ref="AQO60:ARA61"/>
    <mergeCell ref="ARB56:ARC57"/>
    <mergeCell ref="ADA42:ADB42"/>
    <mergeCell ref="ASA10:ASK10"/>
    <mergeCell ref="ACY18:ACZ18"/>
    <mergeCell ref="KQ20:KR21"/>
    <mergeCell ref="AHF20:AHJ20"/>
    <mergeCell ref="AGR20:AGT20"/>
    <mergeCell ref="AIM6:AIN7"/>
    <mergeCell ref="AGM3:AGS3"/>
    <mergeCell ref="AGM4:AGS4"/>
    <mergeCell ref="AGM5:AGS5"/>
    <mergeCell ref="TX7:TZ8"/>
    <mergeCell ref="AGM6:AGS6"/>
    <mergeCell ref="ALI3:ALO3"/>
    <mergeCell ref="ALI4:ALO4"/>
    <mergeCell ref="ALI5:ALO5"/>
    <mergeCell ref="ALI6:ALO6"/>
    <mergeCell ref="TF6:TK6"/>
    <mergeCell ref="SD9:SE9"/>
    <mergeCell ref="SG9:SQ9"/>
    <mergeCell ref="ASK174:ASL175"/>
    <mergeCell ref="WZ88:XA89"/>
    <mergeCell ref="WZ78:XA78"/>
    <mergeCell ref="WK152:WL152"/>
    <mergeCell ref="WM190:WN190"/>
    <mergeCell ref="ASG55:ASH55"/>
    <mergeCell ref="TS6:TV6"/>
    <mergeCell ref="ATG11:ATI13"/>
    <mergeCell ref="ADK29:ADL29"/>
    <mergeCell ref="MK106:ML106"/>
    <mergeCell ref="MM106:MN106"/>
    <mergeCell ref="MU98:MV99"/>
    <mergeCell ref="MT72:MW72"/>
    <mergeCell ref="MP79:MR80"/>
    <mergeCell ref="ACQ123:ACR123"/>
    <mergeCell ref="AGX121:AGY121"/>
    <mergeCell ref="AGX125:AGY125"/>
    <mergeCell ref="AMZ5:ANB6"/>
    <mergeCell ref="ARE100:ARF100"/>
    <mergeCell ref="TF7:TK8"/>
    <mergeCell ref="MX39:MX40"/>
    <mergeCell ref="PZ44:QA44"/>
    <mergeCell ref="MT35:MT36"/>
    <mergeCell ref="MU35:MV36"/>
    <mergeCell ref="MW35:MW36"/>
    <mergeCell ref="QE31:QG32"/>
    <mergeCell ref="QS37:QT38"/>
    <mergeCell ref="MP30:MQ30"/>
    <mergeCell ref="MV39:MW40"/>
    <mergeCell ref="MP34:MQ34"/>
    <mergeCell ref="QQ36:QR36"/>
    <mergeCell ref="MT31:MT32"/>
    <mergeCell ref="MU31:MV32"/>
    <mergeCell ref="PM44:PN44"/>
    <mergeCell ref="MR30:MS30"/>
    <mergeCell ref="QB37:QC38"/>
    <mergeCell ref="OH30:OH31"/>
    <mergeCell ref="PP36:PP38"/>
    <mergeCell ref="QO36:QP36"/>
    <mergeCell ref="QF36:QF38"/>
    <mergeCell ref="PL36:PL38"/>
    <mergeCell ref="MR34:MS34"/>
    <mergeCell ref="QI30:QK30"/>
    <mergeCell ref="QI31:QK32"/>
    <mergeCell ref="QS36:QT36"/>
    <mergeCell ref="QM34:QN34"/>
    <mergeCell ref="QO34:QP34"/>
    <mergeCell ref="MX42:NC42"/>
    <mergeCell ref="PM26:PN26"/>
    <mergeCell ref="PO26:PP26"/>
    <mergeCell ref="MX19:MX20"/>
    <mergeCell ref="JL57:JQ58"/>
    <mergeCell ref="ME56:MF56"/>
    <mergeCell ref="SN14:SO15"/>
    <mergeCell ref="QH45:QH46"/>
    <mergeCell ref="MR43:MS44"/>
    <mergeCell ref="PX44:PY44"/>
    <mergeCell ref="PT41:PU42"/>
    <mergeCell ref="SA30:SB30"/>
    <mergeCell ref="SA34:SB34"/>
    <mergeCell ref="SA42:SB42"/>
    <mergeCell ref="SA38:SB38"/>
    <mergeCell ref="SD31:SM32"/>
    <mergeCell ref="SR30:SU30"/>
    <mergeCell ref="PL40:PL42"/>
    <mergeCell ref="PQ44:PR44"/>
    <mergeCell ref="SP30:SQ30"/>
    <mergeCell ref="MY19:MZ20"/>
    <mergeCell ref="NA19:NA20"/>
    <mergeCell ref="MX18:NA18"/>
    <mergeCell ref="MD32:ME32"/>
    <mergeCell ref="MJ42:MK42"/>
    <mergeCell ref="KP52:KS52"/>
    <mergeCell ref="MO46:MP46"/>
    <mergeCell ref="MO38:MP38"/>
    <mergeCell ref="MG42:MH42"/>
    <mergeCell ref="MR42:MS42"/>
    <mergeCell ref="KB20:KK21"/>
    <mergeCell ref="MC43:MD43"/>
    <mergeCell ref="MC44:MD44"/>
    <mergeCell ref="PP52:PQ52"/>
    <mergeCell ref="MX43:NC44"/>
    <mergeCell ref="MN42:MO42"/>
    <mergeCell ref="KP16:KP17"/>
    <mergeCell ref="QB81:QC82"/>
    <mergeCell ref="MT74:MU74"/>
    <mergeCell ref="MW86:MW87"/>
    <mergeCell ref="MN97:MO97"/>
    <mergeCell ref="SB35:SC35"/>
    <mergeCell ref="SD25:SF25"/>
    <mergeCell ref="SG25:SH25"/>
    <mergeCell ref="SD22:SM23"/>
    <mergeCell ref="SB26:SC26"/>
    <mergeCell ref="SB27:SC27"/>
    <mergeCell ref="QE89:QE90"/>
    <mergeCell ref="SB36:SC36"/>
    <mergeCell ref="MN52:MO52"/>
    <mergeCell ref="MN34:MO34"/>
    <mergeCell ref="PY103:PZ103"/>
    <mergeCell ref="MX91:NB91"/>
    <mergeCell ref="MQ46:MR46"/>
    <mergeCell ref="MS46:MT46"/>
    <mergeCell ref="MU47:MU48"/>
    <mergeCell ref="GT88:GU88"/>
    <mergeCell ref="GV88:GW88"/>
    <mergeCell ref="GZ83:HG83"/>
    <mergeCell ref="GZ84:HG86"/>
    <mergeCell ref="JC60:JF60"/>
    <mergeCell ref="HC98:HO100"/>
    <mergeCell ref="HC97:HO97"/>
    <mergeCell ref="GT103:GV104"/>
    <mergeCell ref="GY69:GZ70"/>
    <mergeCell ref="KE99:KK100"/>
    <mergeCell ref="KG63:KH63"/>
    <mergeCell ref="JY98:JZ98"/>
    <mergeCell ref="GY61:GZ62"/>
    <mergeCell ref="IU81:IV81"/>
    <mergeCell ref="GW61:GX62"/>
    <mergeCell ref="JC71:JD71"/>
    <mergeCell ref="JY93:KK94"/>
    <mergeCell ref="KA96:KB96"/>
    <mergeCell ref="KA102:KB102"/>
    <mergeCell ref="JK90:JK91"/>
    <mergeCell ref="JL90:JM91"/>
    <mergeCell ref="GZ78:HG81"/>
    <mergeCell ref="GX73:GX74"/>
    <mergeCell ref="IS83:IT83"/>
    <mergeCell ref="IV94:IW94"/>
    <mergeCell ref="JY86:JZ86"/>
    <mergeCell ref="KK64:KL65"/>
    <mergeCell ref="JY78:KB78"/>
    <mergeCell ref="JZ88:KA88"/>
    <mergeCell ref="JZ87:KA87"/>
    <mergeCell ref="KC87:KD87"/>
    <mergeCell ref="KC88:KD88"/>
    <mergeCell ref="KE87:KK88"/>
    <mergeCell ref="JY67:JY69"/>
    <mergeCell ref="GX97:HB97"/>
    <mergeCell ref="GU78:GU79"/>
    <mergeCell ref="MY69:NA70"/>
    <mergeCell ref="MV64:MY64"/>
    <mergeCell ref="MT63:MU63"/>
    <mergeCell ref="QD64:QH64"/>
    <mergeCell ref="MY68:NA68"/>
    <mergeCell ref="MW75:MX76"/>
    <mergeCell ref="MT75:MU76"/>
    <mergeCell ref="PQ71:PR71"/>
    <mergeCell ref="IR98:IR101"/>
    <mergeCell ref="IU94:IU96"/>
    <mergeCell ref="JG99:JG100"/>
    <mergeCell ref="JH83:JI83"/>
    <mergeCell ref="KB72:KK73"/>
    <mergeCell ref="JX104:JX107"/>
    <mergeCell ref="KJ104:KK104"/>
    <mergeCell ref="GV69:GW70"/>
    <mergeCell ref="GV97:GW97"/>
    <mergeCell ref="GZ103:GZ104"/>
    <mergeCell ref="GX98:GX99"/>
    <mergeCell ref="GW102:GZ102"/>
    <mergeCell ref="GR102:GS102"/>
    <mergeCell ref="KC64:KD64"/>
    <mergeCell ref="JY63:JZ63"/>
    <mergeCell ref="JY71:JZ71"/>
    <mergeCell ref="KC71:KD71"/>
    <mergeCell ref="KK63:KL63"/>
    <mergeCell ref="KJ92:KK92"/>
    <mergeCell ref="KJ71:KK71"/>
    <mergeCell ref="KL71:KM71"/>
    <mergeCell ref="KL86:KM86"/>
    <mergeCell ref="JX71:JX73"/>
    <mergeCell ref="JY75:JZ75"/>
    <mergeCell ref="JA76:JB77"/>
    <mergeCell ref="JK84:JL85"/>
    <mergeCell ref="MG85:MH85"/>
    <mergeCell ref="MG86:MH86"/>
    <mergeCell ref="MI86:MO87"/>
    <mergeCell ref="JC75:JF75"/>
    <mergeCell ref="HB65:HE66"/>
    <mergeCell ref="GX72:HB72"/>
    <mergeCell ref="JE71:JF71"/>
    <mergeCell ref="KP87:KP88"/>
    <mergeCell ref="KP86:KS86"/>
    <mergeCell ref="MC79:MD79"/>
    <mergeCell ref="IR67:IR69"/>
    <mergeCell ref="KM63:KP63"/>
    <mergeCell ref="JG95:JH96"/>
    <mergeCell ref="KL104:KM104"/>
    <mergeCell ref="JG75:JI75"/>
    <mergeCell ref="JK71:JM71"/>
    <mergeCell ref="JK72:JM73"/>
    <mergeCell ref="JJ84:JJ85"/>
    <mergeCell ref="JQ90:JR90"/>
    <mergeCell ref="JQ95:JR95"/>
    <mergeCell ref="JL95:JM96"/>
    <mergeCell ref="IS99:IT99"/>
    <mergeCell ref="IS101:IT101"/>
    <mergeCell ref="JY104:JZ104"/>
    <mergeCell ref="JK66:JO66"/>
    <mergeCell ref="JF76:JF77"/>
    <mergeCell ref="JC101:JJ101"/>
    <mergeCell ref="JH99:JI100"/>
    <mergeCell ref="JC99:JD100"/>
    <mergeCell ref="KD84:KN84"/>
    <mergeCell ref="JY77:JZ77"/>
    <mergeCell ref="JX67:JX69"/>
    <mergeCell ref="KL99:KM100"/>
    <mergeCell ref="KM67:KO67"/>
    <mergeCell ref="JZ65:KA65"/>
    <mergeCell ref="GS107:GT108"/>
    <mergeCell ref="JC66:JD66"/>
    <mergeCell ref="JG66:JJ66"/>
    <mergeCell ref="KL92:KM92"/>
    <mergeCell ref="KN92:KO92"/>
    <mergeCell ref="KN87:KO88"/>
    <mergeCell ref="MF69:MO70"/>
    <mergeCell ref="ME79:MF79"/>
    <mergeCell ref="ME80:MF80"/>
    <mergeCell ref="JG72:JG73"/>
    <mergeCell ref="KR68:KR69"/>
    <mergeCell ref="JG67:JG68"/>
    <mergeCell ref="MK63:MM63"/>
    <mergeCell ref="MC101:MD101"/>
    <mergeCell ref="MC80:MD80"/>
    <mergeCell ref="KU104:KX104"/>
    <mergeCell ref="KS99:KS100"/>
    <mergeCell ref="KN72:KO73"/>
    <mergeCell ref="MB91:MB93"/>
    <mergeCell ref="MC78:MD78"/>
    <mergeCell ref="MB64:MD66"/>
    <mergeCell ref="ME72:MJ73"/>
    <mergeCell ref="MC85:MD85"/>
    <mergeCell ref="WK98:WL98"/>
    <mergeCell ref="ACY89:ACZ89"/>
    <mergeCell ref="ACY94:ACZ94"/>
    <mergeCell ref="ACQ88:ACR88"/>
    <mergeCell ref="ACO98:ACP98"/>
    <mergeCell ref="WX119:WY120"/>
    <mergeCell ref="AAU104:ABB106"/>
    <mergeCell ref="WG104:WJ104"/>
    <mergeCell ref="WG105:WJ105"/>
    <mergeCell ref="WG102:WJ102"/>
    <mergeCell ref="WK104:WL104"/>
    <mergeCell ref="WK105:WL105"/>
    <mergeCell ref="WG98:WJ98"/>
    <mergeCell ref="WG80:WJ80"/>
    <mergeCell ref="WK102:WL102"/>
    <mergeCell ref="ABX117:ACG117"/>
    <mergeCell ref="ABX118:ACH127"/>
    <mergeCell ref="WZ90:XA90"/>
    <mergeCell ref="WK101:WL101"/>
    <mergeCell ref="AAU101:ABB103"/>
    <mergeCell ref="MN85:MO85"/>
    <mergeCell ref="MB62:MD63"/>
    <mergeCell ref="JG61:JJ62"/>
    <mergeCell ref="NE64:NI66"/>
    <mergeCell ref="KA76:KB76"/>
    <mergeCell ref="MT64:MU64"/>
    <mergeCell ref="PL60:PN62"/>
    <mergeCell ref="PP61:QB62"/>
    <mergeCell ref="KP64:KP65"/>
    <mergeCell ref="JX63:JX65"/>
    <mergeCell ref="OB115:OC115"/>
    <mergeCell ref="OA118:OB118"/>
    <mergeCell ref="OC118:OD118"/>
    <mergeCell ref="ZA96:ZA97"/>
    <mergeCell ref="YZ98:YZ100"/>
    <mergeCell ref="YY98:YY100"/>
    <mergeCell ref="AAG98:AAG100"/>
    <mergeCell ref="AAG96:AAG97"/>
    <mergeCell ref="AAH96:AAH97"/>
    <mergeCell ref="AAI96:AAI97"/>
    <mergeCell ref="AAJ96:AAJ97"/>
    <mergeCell ref="AAL96:AAL97"/>
    <mergeCell ref="AAM96:AAM97"/>
    <mergeCell ref="ACV89:ACW89"/>
    <mergeCell ref="ACY132:ACZ132"/>
    <mergeCell ref="ACT131:ACU131"/>
    <mergeCell ref="PZ72:QA73"/>
    <mergeCell ref="PS72:PT72"/>
    <mergeCell ref="XP96:XP97"/>
    <mergeCell ref="AAU82:ABH86"/>
    <mergeCell ref="ACQ87:ACR87"/>
    <mergeCell ref="ACT86:ACU86"/>
    <mergeCell ref="AAU96:AAY97"/>
    <mergeCell ref="ACO131:ACP131"/>
    <mergeCell ref="ACO132:ACP132"/>
    <mergeCell ref="ACH83:ACH84"/>
    <mergeCell ref="ADA124:ADB124"/>
    <mergeCell ref="ADD124:ADE124"/>
    <mergeCell ref="ADF124:ADG124"/>
    <mergeCell ref="ACQ83:ACR83"/>
    <mergeCell ref="PR129:QB129"/>
    <mergeCell ref="AAU80:ABA81"/>
    <mergeCell ref="WZ82:XA82"/>
    <mergeCell ref="ADI86:ADJ86"/>
    <mergeCell ref="ACO100:ACP100"/>
    <mergeCell ref="ACO101:ACP101"/>
    <mergeCell ref="ACO102:ACP102"/>
    <mergeCell ref="WZ85:XA85"/>
    <mergeCell ref="WZ86:XA86"/>
    <mergeCell ref="ACY103:ACZ103"/>
    <mergeCell ref="ACT104:ACU104"/>
    <mergeCell ref="ADK108:ADL108"/>
    <mergeCell ref="ACY105:ACZ105"/>
    <mergeCell ref="ACY97:ACZ97"/>
    <mergeCell ref="ABW107:ACH115"/>
    <mergeCell ref="ACL97:ACM97"/>
    <mergeCell ref="ACL98:ACM98"/>
    <mergeCell ref="ACW83:ACX83"/>
    <mergeCell ref="XG107:XG108"/>
    <mergeCell ref="ZX104:ZX106"/>
    <mergeCell ref="XW107:XW108"/>
    <mergeCell ref="XX107:XX108"/>
    <mergeCell ref="XY107:XY108"/>
    <mergeCell ref="XZ107:XZ108"/>
    <mergeCell ref="YA107:YA108"/>
    <mergeCell ref="YB107:YB108"/>
    <mergeCell ref="XO101:XO103"/>
    <mergeCell ref="XP101:XP103"/>
    <mergeCell ref="XQ101:XQ103"/>
    <mergeCell ref="XR101:XR103"/>
    <mergeCell ref="XS101:XS103"/>
    <mergeCell ref="XT101:XT103"/>
    <mergeCell ref="XU98:XU100"/>
    <mergeCell ref="XV98:XV100"/>
    <mergeCell ref="ZQ98:ZQ100"/>
    <mergeCell ref="ZR98:ZR100"/>
    <mergeCell ref="ACT85:ACU85"/>
    <mergeCell ref="ACV102:ACW102"/>
    <mergeCell ref="ADA102:ADB102"/>
    <mergeCell ref="ZB96:ZB97"/>
    <mergeCell ref="AAP88:AAP89"/>
    <mergeCell ref="AAQ88:AAQ89"/>
    <mergeCell ref="YA98:YA100"/>
    <mergeCell ref="YB98:YB100"/>
    <mergeCell ref="YC98:YC100"/>
    <mergeCell ref="AAK96:AAK97"/>
    <mergeCell ref="ADI104:ADJ104"/>
    <mergeCell ref="ZT96:ZT97"/>
    <mergeCell ref="ASM165:ASP165"/>
    <mergeCell ref="AHB114:AHC114"/>
    <mergeCell ref="AHB115:AHC116"/>
    <mergeCell ref="AHH93:AHH94"/>
    <mergeCell ref="ACQ97:ACR97"/>
    <mergeCell ref="ACQ103:ACR103"/>
    <mergeCell ref="AQH88:AQJ90"/>
    <mergeCell ref="ACT122:ACU122"/>
    <mergeCell ref="ADA90:ADB90"/>
    <mergeCell ref="ADD90:ADE90"/>
    <mergeCell ref="ADF90:ADG90"/>
    <mergeCell ref="ADI90:ADJ90"/>
    <mergeCell ref="ADK90:ADL90"/>
    <mergeCell ref="ADN90:ADO90"/>
    <mergeCell ref="ADP90:ADQ90"/>
    <mergeCell ref="ADN89:ADO89"/>
    <mergeCell ref="ADP89:ADQ89"/>
    <mergeCell ref="ADS89:ADT89"/>
    <mergeCell ref="ADU89:ADV89"/>
    <mergeCell ref="ADU125:ADV125"/>
    <mergeCell ref="ADU108:ADV108"/>
    <mergeCell ref="ACQ120:ACR120"/>
    <mergeCell ref="ACQ121:ACR121"/>
    <mergeCell ref="AQO124:AQO126"/>
    <mergeCell ref="ACQ113:ACR113"/>
    <mergeCell ref="ACQ114:ACR114"/>
    <mergeCell ref="ACQ111:ACR111"/>
    <mergeCell ref="ACQ98:ACR98"/>
    <mergeCell ref="ACY92:ACZ92"/>
    <mergeCell ref="ACT93:ACU93"/>
    <mergeCell ref="ADU112:ADV112"/>
    <mergeCell ref="ADI96:ADJ96"/>
    <mergeCell ref="ADK96:ADL96"/>
    <mergeCell ref="ADN96:ADO96"/>
    <mergeCell ref="ADP96:ADQ96"/>
    <mergeCell ref="ADS96:ADT96"/>
    <mergeCell ref="ADU96:ADV96"/>
    <mergeCell ref="ADP93:ADQ93"/>
    <mergeCell ref="ADS93:ADT93"/>
    <mergeCell ref="ADU93:ADV93"/>
    <mergeCell ref="AQY88:AQZ88"/>
    <mergeCell ref="ASI119:ASJ120"/>
    <mergeCell ref="ASM119:ASM120"/>
    <mergeCell ref="ARA88:ARB88"/>
    <mergeCell ref="ARC88:ARF88"/>
    <mergeCell ref="AGX114:AGY114"/>
    <mergeCell ref="AGQ115:AGY117"/>
    <mergeCell ref="ARF89:ARF90"/>
    <mergeCell ref="AGM100:AGN100"/>
    <mergeCell ref="ACT108:ACU108"/>
    <mergeCell ref="AGN146:AGO146"/>
    <mergeCell ref="AGN147:AGO147"/>
    <mergeCell ref="AEM126:AEN126"/>
    <mergeCell ref="AEO126:AEP126"/>
    <mergeCell ref="ACY121:ACZ121"/>
    <mergeCell ref="ACY122:ACZ122"/>
    <mergeCell ref="ACY113:ACZ113"/>
    <mergeCell ref="ADA101:ADB101"/>
    <mergeCell ref="ADD101:ADE101"/>
    <mergeCell ref="ADF101:ADG101"/>
    <mergeCell ref="ADI101:ADJ101"/>
    <mergeCell ref="ADK101:ADL101"/>
    <mergeCell ref="ADN101:ADO101"/>
    <mergeCell ref="ADP101:ADQ101"/>
    <mergeCell ref="ASV244:ASX245"/>
    <mergeCell ref="ARZ130:ARZ131"/>
    <mergeCell ref="AHB226:AHC226"/>
    <mergeCell ref="AHB227:AHC228"/>
    <mergeCell ref="ASM118:ASP118"/>
    <mergeCell ref="AHH122:AHH123"/>
    <mergeCell ref="AGZ122:AHA123"/>
    <mergeCell ref="AHE274:AHF275"/>
    <mergeCell ref="AHH269:AHH270"/>
    <mergeCell ref="AHD244:AHD245"/>
    <mergeCell ref="AGQ277:AGR277"/>
    <mergeCell ref="AGP273:AGR273"/>
    <mergeCell ref="AGZ257:AHA258"/>
    <mergeCell ref="AGX202:AGY202"/>
    <mergeCell ref="ACL130:ACM130"/>
    <mergeCell ref="ACL131:ACM131"/>
    <mergeCell ref="ACL132:ACM132"/>
    <mergeCell ref="ACL133:ACM133"/>
    <mergeCell ref="ASN182:ASO182"/>
    <mergeCell ref="ASN183:ASO184"/>
    <mergeCell ref="ASL183:ASM184"/>
    <mergeCell ref="ASL182:ASM182"/>
    <mergeCell ref="ASI177:ASK180"/>
    <mergeCell ref="ASP166:ASP167"/>
    <mergeCell ref="AGR168:AGS168"/>
    <mergeCell ref="ASN166:ASO167"/>
    <mergeCell ref="ASM82:ASP82"/>
    <mergeCell ref="ASQ82:ATB82"/>
    <mergeCell ref="AGZ146:AHA147"/>
    <mergeCell ref="AHD126:AHD127"/>
    <mergeCell ref="AHH126:AHH127"/>
    <mergeCell ref="AHB140:AHC140"/>
    <mergeCell ref="AGX136:AGY136"/>
    <mergeCell ref="AHH140:AHP140"/>
    <mergeCell ref="AHI150:AHR150"/>
    <mergeCell ref="AGO199:AGP199"/>
    <mergeCell ref="ARV107:ASH108"/>
    <mergeCell ref="ACO116:ACP116"/>
    <mergeCell ref="ACO113:ACP113"/>
    <mergeCell ref="ACL105:ACM105"/>
    <mergeCell ref="ACL106:ACM106"/>
    <mergeCell ref="ACO99:ACP99"/>
    <mergeCell ref="ACO108:ACP108"/>
    <mergeCell ref="ACO109:ACP109"/>
    <mergeCell ref="ACO110:ACP110"/>
    <mergeCell ref="ACL94:ACM94"/>
    <mergeCell ref="ACL125:ACM125"/>
    <mergeCell ref="AHD256:AHG256"/>
    <mergeCell ref="AHB256:AHC256"/>
    <mergeCell ref="AGZ273:AHA273"/>
    <mergeCell ref="AGZ243:AHA243"/>
    <mergeCell ref="AHI249:AHT249"/>
    <mergeCell ref="AHI250:AHT252"/>
    <mergeCell ref="AEJ241:AEK241"/>
    <mergeCell ref="AEM241:AEN241"/>
    <mergeCell ref="AEO241:AEP241"/>
    <mergeCell ref="AEH242:AEI242"/>
    <mergeCell ref="AEJ242:AEK242"/>
    <mergeCell ref="AEM242:AEN242"/>
    <mergeCell ref="ADS86:ADT86"/>
    <mergeCell ref="AGM268:AGN268"/>
    <mergeCell ref="AGM273:AGN273"/>
    <mergeCell ref="AGM277:AGN277"/>
    <mergeCell ref="AGM261:AGN261"/>
    <mergeCell ref="ASZ206:ATA206"/>
    <mergeCell ref="ATB206:ATC206"/>
    <mergeCell ref="AGR169:AGS169"/>
    <mergeCell ref="AGX226:AGY226"/>
    <mergeCell ref="ARY183:ASK184"/>
    <mergeCell ref="ASM178:ASN179"/>
    <mergeCell ref="ASS126:AST127"/>
    <mergeCell ref="ASU134:ASU135"/>
    <mergeCell ref="ASP209:ASP210"/>
    <mergeCell ref="ASU130:ASU131"/>
    <mergeCell ref="ASM213:ASM214"/>
    <mergeCell ref="AHC85:AHD85"/>
    <mergeCell ref="ASN192:ASO192"/>
    <mergeCell ref="ASP192:ASQ192"/>
    <mergeCell ref="ASR192:ASS192"/>
    <mergeCell ref="AST192:ASU192"/>
    <mergeCell ref="AHB132:AHC133"/>
    <mergeCell ref="ARY202:ARY204"/>
    <mergeCell ref="ASM195:ASN196"/>
    <mergeCell ref="AGQ125:AGR125"/>
    <mergeCell ref="AGZ140:AHA140"/>
    <mergeCell ref="AHH115:AHN117"/>
    <mergeCell ref="AGZ203:AHA204"/>
    <mergeCell ref="ARC124:ARD124"/>
    <mergeCell ref="ARE124:ARF124"/>
    <mergeCell ref="ARG124:ARJ124"/>
    <mergeCell ref="AQP125:ARB126"/>
    <mergeCell ref="ARC125:ARD126"/>
    <mergeCell ref="ARE125:ARF126"/>
    <mergeCell ref="ARG125:ARG126"/>
    <mergeCell ref="ARH125:ARI126"/>
    <mergeCell ref="ARJ125:ARJ126"/>
    <mergeCell ref="AQO128:AQO130"/>
    <mergeCell ref="AQP128:AQQ128"/>
    <mergeCell ref="ARA128:ARB128"/>
    <mergeCell ref="ARC128:ARD128"/>
    <mergeCell ref="ARE128:ARF128"/>
    <mergeCell ref="ARG128:ARJ128"/>
    <mergeCell ref="AQP129:ARB130"/>
    <mergeCell ref="AHI198:AHT200"/>
    <mergeCell ref="AHI167:AHX167"/>
    <mergeCell ref="AHI168:AHX170"/>
    <mergeCell ref="ARE104:ARF104"/>
    <mergeCell ref="ARG104:ARJ104"/>
    <mergeCell ref="ARE105:ARF106"/>
    <mergeCell ref="ASI142:ASJ142"/>
    <mergeCell ref="ASQ174:ASS175"/>
    <mergeCell ref="ARC100:ARD100"/>
    <mergeCell ref="ARJ101:ARJ102"/>
    <mergeCell ref="ARG112:ARJ112"/>
    <mergeCell ref="AQP113:ARB114"/>
    <mergeCell ref="ARC113:ARD114"/>
    <mergeCell ref="ARE113:ARF114"/>
    <mergeCell ref="ARG113:ARG114"/>
    <mergeCell ref="ARH113:ARI114"/>
    <mergeCell ref="ARJ113:ARJ114"/>
    <mergeCell ref="AQO116:AQO118"/>
    <mergeCell ref="AQP116:AQQ116"/>
    <mergeCell ref="ARA116:ARB116"/>
    <mergeCell ref="ARC116:ARD116"/>
    <mergeCell ref="AHD115:AHD116"/>
    <mergeCell ref="AHD122:AHD123"/>
    <mergeCell ref="ARZ123:ASA123"/>
    <mergeCell ref="ASM166:ASM167"/>
    <mergeCell ref="ATL128:ATM128"/>
    <mergeCell ref="ATG160:ATH160"/>
    <mergeCell ref="ATF221:ATR222"/>
    <mergeCell ref="ATS221:ATT222"/>
    <mergeCell ref="ATQ220:ATR220"/>
    <mergeCell ref="ATS220:ATT220"/>
    <mergeCell ref="ASX206:ASY206"/>
    <mergeCell ref="ASQ221:ASR222"/>
    <mergeCell ref="ASS221:ASS222"/>
    <mergeCell ref="ASK209:ASL210"/>
    <mergeCell ref="AHI103:AHL103"/>
    <mergeCell ref="ARG100:ARJ100"/>
    <mergeCell ref="ARU114:ARW116"/>
    <mergeCell ref="ASQ202:AST202"/>
    <mergeCell ref="ASU202:ASW202"/>
    <mergeCell ref="ARE101:ARF102"/>
    <mergeCell ref="ATD123:ATE123"/>
    <mergeCell ref="ARV137:ARW137"/>
    <mergeCell ref="ARX137:ARY137"/>
    <mergeCell ref="ARZ137:ASA137"/>
    <mergeCell ref="ASB137:ASC137"/>
    <mergeCell ref="ASD137:ASE137"/>
    <mergeCell ref="ASF137:ASG137"/>
    <mergeCell ref="ASH137:ASI137"/>
    <mergeCell ref="ASJ137:ASK137"/>
    <mergeCell ref="ASL137:ASM137"/>
    <mergeCell ref="ASN137:ASO137"/>
    <mergeCell ref="ASP137:ASQ137"/>
    <mergeCell ref="ASR137:ASS137"/>
    <mergeCell ref="AST137:ASU137"/>
    <mergeCell ref="ASV137:ASW137"/>
    <mergeCell ref="ASX137:ASY137"/>
    <mergeCell ref="ASZ137:ATA137"/>
    <mergeCell ref="ATB137:ATC137"/>
    <mergeCell ref="AHH141:AHP143"/>
    <mergeCell ref="ASN133:ASO133"/>
    <mergeCell ref="ASU203:ASW204"/>
    <mergeCell ref="AHI104:AHI105"/>
    <mergeCell ref="AHJ104:AHK105"/>
    <mergeCell ref="ARC136:ARD136"/>
    <mergeCell ref="AQO120:AQO122"/>
    <mergeCell ref="AQP120:AQQ120"/>
    <mergeCell ref="ARG105:ARG106"/>
    <mergeCell ref="ARH105:ARI106"/>
    <mergeCell ref="ARJ105:ARJ106"/>
    <mergeCell ref="AQO108:AQO110"/>
    <mergeCell ref="AQP108:AQQ108"/>
    <mergeCell ref="ARA108:ARB108"/>
    <mergeCell ref="ARC108:ARD108"/>
    <mergeCell ref="ARE108:ARF108"/>
    <mergeCell ref="ARG108:ARJ108"/>
    <mergeCell ref="AQP109:ARB110"/>
    <mergeCell ref="ARC109:ARD110"/>
    <mergeCell ref="ARE109:ARF110"/>
    <mergeCell ref="ARG109:ARG110"/>
    <mergeCell ref="ARH109:ARI110"/>
    <mergeCell ref="ARJ109:ARJ110"/>
    <mergeCell ref="AQO112:AQO114"/>
    <mergeCell ref="ARA112:ARB112"/>
    <mergeCell ref="ARC112:ARD112"/>
    <mergeCell ref="ARE112:ARF112"/>
    <mergeCell ref="ARY195:ARY196"/>
    <mergeCell ref="ARY199:ARY200"/>
    <mergeCell ref="ASS134:AST135"/>
    <mergeCell ref="ATR253:ATS254"/>
    <mergeCell ref="ATT253:ATU254"/>
    <mergeCell ref="ATD246:ATD248"/>
    <mergeCell ref="ATP246:ATQ246"/>
    <mergeCell ref="ATR246:ATS246"/>
    <mergeCell ref="AHE212:AHG213"/>
    <mergeCell ref="AHD211:AHH211"/>
    <mergeCell ref="ATE253:ATQ254"/>
    <mergeCell ref="ATG250:ATH250"/>
    <mergeCell ref="ATJ250:ATT250"/>
    <mergeCell ref="ATD242:ATD244"/>
    <mergeCell ref="ATP242:ATQ242"/>
    <mergeCell ref="ATR242:ATS242"/>
    <mergeCell ref="ATD234:ATD236"/>
    <mergeCell ref="ASI209:ASJ210"/>
    <mergeCell ref="ASM216:ASP216"/>
    <mergeCell ref="ASM217:ASM218"/>
    <mergeCell ref="AGZ227:AHA228"/>
    <mergeCell ref="AGZ226:AHA226"/>
    <mergeCell ref="ASN221:ASO222"/>
    <mergeCell ref="ASM212:ASP212"/>
    <mergeCell ref="ATR234:ATS234"/>
    <mergeCell ref="ASI212:ASJ212"/>
    <mergeCell ref="ASK212:ASL212"/>
    <mergeCell ref="AGZ250:AHA251"/>
    <mergeCell ref="AHB250:AHC251"/>
    <mergeCell ref="AHD212:AHD213"/>
    <mergeCell ref="AHD198:AHD199"/>
    <mergeCell ref="ASV243:ASX243"/>
    <mergeCell ref="AHB212:AHC213"/>
    <mergeCell ref="AHI236:AHQ236"/>
    <mergeCell ref="AHI237:AHQ239"/>
    <mergeCell ref="ATD252:ATD254"/>
    <mergeCell ref="ATP234:ATQ234"/>
    <mergeCell ref="AKL213:AKN215"/>
    <mergeCell ref="AJO213:AKF215"/>
    <mergeCell ref="AGZ239:AHH239"/>
    <mergeCell ref="ARV208:ARW208"/>
    <mergeCell ref="ARV212:ARW212"/>
    <mergeCell ref="ARV216:ARW216"/>
    <mergeCell ref="ATE234:ATF234"/>
    <mergeCell ref="AHB249:AHC249"/>
    <mergeCell ref="AHD217:AHH217"/>
    <mergeCell ref="AHE218:AHG219"/>
    <mergeCell ref="AHB232:AHC232"/>
    <mergeCell ref="AHD233:AHD234"/>
    <mergeCell ref="AHD237:AHD238"/>
    <mergeCell ref="ARU216:ARU218"/>
    <mergeCell ref="AGZ244:AHA245"/>
    <mergeCell ref="AHB217:AHC217"/>
    <mergeCell ref="ASD206:ASE206"/>
    <mergeCell ref="ASF206:ASG206"/>
    <mergeCell ref="ATT246:ATU246"/>
    <mergeCell ref="ASK198:ASL198"/>
    <mergeCell ref="ARZ199:ASL200"/>
    <mergeCell ref="ATU221:ATV222"/>
    <mergeCell ref="ATU220:ATV220"/>
    <mergeCell ref="ATQ224:ATR224"/>
    <mergeCell ref="ATP252:ATQ252"/>
    <mergeCell ref="ATV253:ATV254"/>
    <mergeCell ref="ATR247:ATS248"/>
    <mergeCell ref="ATT247:ATU248"/>
    <mergeCell ref="ATT243:ATU244"/>
    <mergeCell ref="ATT234:ATU234"/>
    <mergeCell ref="ATT238:ATU238"/>
    <mergeCell ref="ATD238:ATD240"/>
    <mergeCell ref="ATY235:ATY236"/>
    <mergeCell ref="ACO236:ACP236"/>
    <mergeCell ref="AAU131:ABA133"/>
    <mergeCell ref="AAU200:AAZ202"/>
    <mergeCell ref="AIR206:AIS206"/>
    <mergeCell ref="AIU206:AJE206"/>
    <mergeCell ref="ACT213:ACU213"/>
    <mergeCell ref="ACT214:ACU214"/>
    <mergeCell ref="ACT215:ACU215"/>
    <mergeCell ref="ARU178:ARU180"/>
    <mergeCell ref="ARU173:ARU175"/>
    <mergeCell ref="ASG173:ASH173"/>
    <mergeCell ref="ARV166:ASH167"/>
    <mergeCell ref="ASI166:ASJ167"/>
    <mergeCell ref="AGM153:AGN153"/>
    <mergeCell ref="AGO153:AGP153"/>
    <mergeCell ref="ATE161:ATF161"/>
    <mergeCell ref="ARV165:ARW165"/>
    <mergeCell ref="ARV169:ARW169"/>
    <mergeCell ref="ARV213:ASH214"/>
    <mergeCell ref="ASK216:ASL216"/>
    <mergeCell ref="AHG162:AHG163"/>
    <mergeCell ref="AHH162:AHI163"/>
    <mergeCell ref="AHB179:AHC179"/>
    <mergeCell ref="AHD179:AHG179"/>
    <mergeCell ref="ATR162:ATS163"/>
    <mergeCell ref="ASH206:ASI206"/>
    <mergeCell ref="ASJ206:ASK206"/>
    <mergeCell ref="ASL206:ASM206"/>
    <mergeCell ref="ASN206:ASO206"/>
    <mergeCell ref="ASP206:ASQ206"/>
    <mergeCell ref="ASR206:ASS206"/>
    <mergeCell ref="AST206:ASU206"/>
    <mergeCell ref="ASV206:ASW206"/>
    <mergeCell ref="ARU220:ARW222"/>
    <mergeCell ref="ARZ133:ARZ135"/>
    <mergeCell ref="ASP133:ASQ133"/>
    <mergeCell ref="ASR133:ASU133"/>
    <mergeCell ref="ASI165:ASJ165"/>
    <mergeCell ref="AAU168:ABB169"/>
    <mergeCell ref="AEH231:AEI231"/>
    <mergeCell ref="AEJ231:AEK231"/>
    <mergeCell ref="AEM231:AEN231"/>
    <mergeCell ref="AEO231:AEP231"/>
    <mergeCell ref="AEH232:AEI232"/>
    <mergeCell ref="AEJ232:AEK232"/>
    <mergeCell ref="AEM232:AEN232"/>
    <mergeCell ref="AEO232:AEP232"/>
    <mergeCell ref="AEH233:AEI233"/>
    <mergeCell ref="AEJ233:AEK233"/>
    <mergeCell ref="AEM233:AEN233"/>
    <mergeCell ref="AEO233:AEP233"/>
    <mergeCell ref="AGM136:AGN136"/>
    <mergeCell ref="AAU155:ABC157"/>
    <mergeCell ref="AHD227:AHD228"/>
    <mergeCell ref="AHD197:AHH197"/>
    <mergeCell ref="AHE198:AHG199"/>
    <mergeCell ref="AGZ236:AHA236"/>
    <mergeCell ref="ATS224:ATT224"/>
    <mergeCell ref="AGX211:AGY211"/>
    <mergeCell ref="ATT162:ATU163"/>
    <mergeCell ref="ASG143:ASH144"/>
    <mergeCell ref="ATU225:ATV226"/>
    <mergeCell ref="ATW235:ATX236"/>
    <mergeCell ref="ADD129:ADE129"/>
    <mergeCell ref="ADF129:ADG129"/>
    <mergeCell ref="ADI129:ADJ129"/>
    <mergeCell ref="ADK129:ADL129"/>
    <mergeCell ref="ADA128:ADB128"/>
    <mergeCell ref="ADD128:ADE128"/>
    <mergeCell ref="ADF128:ADG128"/>
    <mergeCell ref="ADI128:ADJ128"/>
    <mergeCell ref="ADK128:ADL128"/>
    <mergeCell ref="ADN128:ADO128"/>
    <mergeCell ref="ADP128:ADQ128"/>
    <mergeCell ref="ADS128:ADT128"/>
    <mergeCell ref="ADU128:ADV128"/>
    <mergeCell ref="AEC154:AED154"/>
    <mergeCell ref="AEE154:AEF154"/>
    <mergeCell ref="AHD146:AHD147"/>
    <mergeCell ref="AGP136:AGR136"/>
    <mergeCell ref="AHB131:AHC131"/>
    <mergeCell ref="ATY243:ATY244"/>
    <mergeCell ref="ATV246:ATY246"/>
    <mergeCell ref="ATV247:ATV248"/>
    <mergeCell ref="ATW247:ATX248"/>
    <mergeCell ref="ATY247:ATY248"/>
    <mergeCell ref="ASN143:ASN144"/>
    <mergeCell ref="AST203:AST204"/>
    <mergeCell ref="ASI174:ASJ175"/>
    <mergeCell ref="ATT252:ATU252"/>
    <mergeCell ref="ATV252:ATY252"/>
    <mergeCell ref="ATX225:ATY226"/>
    <mergeCell ref="WM189:WN189"/>
    <mergeCell ref="AAU192:ABA194"/>
    <mergeCell ref="WM187:WN187"/>
    <mergeCell ref="ACL229:ACM229"/>
    <mergeCell ref="ACJ231:ACK231"/>
    <mergeCell ref="ACJ236:ACK236"/>
    <mergeCell ref="ACQ236:ACR236"/>
    <mergeCell ref="ATO128:ATY128"/>
    <mergeCell ref="ACR216:ACS216"/>
    <mergeCell ref="ACR217:ACS217"/>
    <mergeCell ref="ACR218:ACS218"/>
    <mergeCell ref="ACV155:ACW155"/>
    <mergeCell ref="ACV220:ACY220"/>
    <mergeCell ref="AJI214:AJI215"/>
    <mergeCell ref="AKH213:AKJ215"/>
    <mergeCell ref="AGZ191:AHA191"/>
    <mergeCell ref="AGL197:AGL200"/>
    <mergeCell ref="AHC188:AHD189"/>
    <mergeCell ref="ASM202:ASN202"/>
    <mergeCell ref="ATW130:ATX130"/>
    <mergeCell ref="ASM203:ASN204"/>
    <mergeCell ref="ASN174:ASO175"/>
    <mergeCell ref="ASP174:ASP175"/>
    <mergeCell ref="ASA129:ASB129"/>
    <mergeCell ref="ASA133:ASB133"/>
    <mergeCell ref="AGL136:AGL138"/>
    <mergeCell ref="AGS150:AGT150"/>
    <mergeCell ref="ASM174:ASM175"/>
    <mergeCell ref="AFC143:AFD143"/>
    <mergeCell ref="AFE143:AFF143"/>
    <mergeCell ref="AHH146:AHM148"/>
    <mergeCell ref="ASK143:ASK144"/>
    <mergeCell ref="ATR252:ATS252"/>
    <mergeCell ref="ATR235:ATS236"/>
    <mergeCell ref="ARY221:ASK222"/>
    <mergeCell ref="ASL221:ASM222"/>
    <mergeCell ref="ASA226:ASB226"/>
    <mergeCell ref="ASG169:ASH169"/>
    <mergeCell ref="AGZ134:AHG134"/>
    <mergeCell ref="AHB125:AHC125"/>
    <mergeCell ref="ASU126:ASU127"/>
    <mergeCell ref="ASI217:ASJ218"/>
    <mergeCell ref="ASK217:ASL218"/>
    <mergeCell ref="ARV217:ASH218"/>
    <mergeCell ref="ASP182:ASS182"/>
    <mergeCell ref="ASG208:ASH208"/>
    <mergeCell ref="ASI208:ASJ208"/>
    <mergeCell ref="ASL220:ASM220"/>
    <mergeCell ref="ASJ182:ASK182"/>
    <mergeCell ref="ASK142:ASN142"/>
    <mergeCell ref="ASP170:ASP171"/>
    <mergeCell ref="ARZ203:ASL204"/>
    <mergeCell ref="ASQ203:ASQ204"/>
    <mergeCell ref="ACQ130:ACR130"/>
    <mergeCell ref="ACQ131:ACR131"/>
    <mergeCell ref="AFE142:AFF142"/>
    <mergeCell ref="AFD237:AFE237"/>
    <mergeCell ref="AFG237:AFH237"/>
    <mergeCell ref="AFI237:AFJ237"/>
    <mergeCell ref="AJJ208:AKL208"/>
    <mergeCell ref="AJJ209:AKL211"/>
    <mergeCell ref="ATP161:ATQ161"/>
    <mergeCell ref="ATE239:ATQ240"/>
    <mergeCell ref="AHD218:AHD219"/>
    <mergeCell ref="AGR209:AHB209"/>
    <mergeCell ref="AGZ198:AHA199"/>
    <mergeCell ref="ASG216:ASH216"/>
    <mergeCell ref="ASI216:ASJ216"/>
    <mergeCell ref="ATI124:ATI126"/>
    <mergeCell ref="ASN125:ASO125"/>
    <mergeCell ref="ASA125:ASB125"/>
    <mergeCell ref="ASO202:ASP202"/>
    <mergeCell ref="ASR126:ASR127"/>
    <mergeCell ref="ASI186:ASJ186"/>
    <mergeCell ref="ASG186:ASH186"/>
    <mergeCell ref="ASP125:ASQ125"/>
    <mergeCell ref="ASN209:ASO210"/>
    <mergeCell ref="ACR220:ACS220"/>
    <mergeCell ref="AFC135:AFD135"/>
    <mergeCell ref="AFE135:AFF135"/>
    <mergeCell ref="AFC136:AFD136"/>
    <mergeCell ref="ATD206:ATE206"/>
    <mergeCell ref="ASO199:ASP200"/>
    <mergeCell ref="AJF209:AJF210"/>
    <mergeCell ref="AGL232:AGL234"/>
    <mergeCell ref="AGO238:AGP238"/>
    <mergeCell ref="AHB191:AHC191"/>
    <mergeCell ref="AER228:AES228"/>
    <mergeCell ref="AET228:AEU228"/>
    <mergeCell ref="AEW228:AEX228"/>
    <mergeCell ref="ATJ131:ATV132"/>
    <mergeCell ref="AGZ150:AHA150"/>
    <mergeCell ref="AHE223:AHF224"/>
    <mergeCell ref="AHG227:AHG228"/>
    <mergeCell ref="AEU152:AEV152"/>
    <mergeCell ref="ACY126:ACZ126"/>
    <mergeCell ref="ACY127:ACZ127"/>
    <mergeCell ref="ATW253:ATX254"/>
    <mergeCell ref="AGX197:AGY197"/>
    <mergeCell ref="AGZ197:AHA197"/>
    <mergeCell ref="AGM212:AGY213"/>
    <mergeCell ref="AGZ212:AHA213"/>
    <mergeCell ref="ASN217:ASO218"/>
    <mergeCell ref="ASR134:ASR135"/>
    <mergeCell ref="ASM209:ASM210"/>
    <mergeCell ref="ASV133:ASX133"/>
    <mergeCell ref="ASV134:ASX135"/>
    <mergeCell ref="AST182:ASV182"/>
    <mergeCell ref="AST183:ASV184"/>
    <mergeCell ref="AHB197:AHC197"/>
    <mergeCell ref="AHB211:AHC211"/>
    <mergeCell ref="AHB198:AHC199"/>
    <mergeCell ref="AHI218:AHS220"/>
    <mergeCell ref="AHI217:AHS217"/>
    <mergeCell ref="ARV209:ASH210"/>
    <mergeCell ref="ASA126:ASM127"/>
    <mergeCell ref="AJB209:AJC210"/>
    <mergeCell ref="AJJ213:AJL213"/>
    <mergeCell ref="AGZ180:AHA181"/>
    <mergeCell ref="AGX179:AGY179"/>
    <mergeCell ref="AGL167:AGL170"/>
    <mergeCell ref="AGL121:AGL123"/>
    <mergeCell ref="AGO161:AGO163"/>
    <mergeCell ref="AHA161:AHB161"/>
    <mergeCell ref="ASR130:ASR131"/>
    <mergeCell ref="ARU170:ARU171"/>
    <mergeCell ref="AHD226:AHG226"/>
    <mergeCell ref="ASO203:ASP204"/>
    <mergeCell ref="ATE247:ATQ248"/>
    <mergeCell ref="ASK173:ASL173"/>
    <mergeCell ref="ASE142:ASF142"/>
    <mergeCell ref="ASG142:ASH142"/>
    <mergeCell ref="ASQ199:ASQ200"/>
    <mergeCell ref="ASR199:ASS200"/>
    <mergeCell ref="AST199:AST200"/>
    <mergeCell ref="ATJ160:ATT160"/>
    <mergeCell ref="ATJ130:ATK130"/>
    <mergeCell ref="ATJ124:ATK124"/>
    <mergeCell ref="ASI143:ASJ144"/>
    <mergeCell ref="ASK194:ASL194"/>
    <mergeCell ref="ASM194:ASN194"/>
    <mergeCell ref="ASO194:ASP194"/>
    <mergeCell ref="ASM198:ASN198"/>
    <mergeCell ref="ASO198:ASP198"/>
    <mergeCell ref="ASK202:ASL202"/>
    <mergeCell ref="ATV238:ATY238"/>
    <mergeCell ref="ATV243:ATV244"/>
    <mergeCell ref="ATW243:ATX244"/>
    <mergeCell ref="ARV186:ARW186"/>
    <mergeCell ref="AHI125:AHN125"/>
    <mergeCell ref="AHG223:AHG224"/>
    <mergeCell ref="AHE187:AHH187"/>
    <mergeCell ref="ATY253:ATY254"/>
    <mergeCell ref="AGU167:AGV167"/>
    <mergeCell ref="ATE243:ATQ244"/>
    <mergeCell ref="ATT165:ATT166"/>
    <mergeCell ref="ASS183:ASS184"/>
    <mergeCell ref="AHH226:AHO226"/>
    <mergeCell ref="ATW162:ATX163"/>
    <mergeCell ref="ATT242:ATU242"/>
    <mergeCell ref="ATR243:ATS244"/>
    <mergeCell ref="ACT105:ACU105"/>
    <mergeCell ref="AGR90:AHB90"/>
    <mergeCell ref="ACO106:ACP106"/>
    <mergeCell ref="ACY52:ACZ52"/>
    <mergeCell ref="ACY57:ACZ57"/>
    <mergeCell ref="AGZ88:AHH88"/>
    <mergeCell ref="ACY55:ACZ55"/>
    <mergeCell ref="ACY56:ACZ56"/>
    <mergeCell ref="ACY58:ACZ58"/>
    <mergeCell ref="ACY59:ACZ59"/>
    <mergeCell ref="AEM55:AEN55"/>
    <mergeCell ref="AEO89:AEP89"/>
    <mergeCell ref="ADK105:ADL105"/>
    <mergeCell ref="ADN105:ADO105"/>
    <mergeCell ref="AHG78:AHG79"/>
    <mergeCell ref="AEC56:AED56"/>
    <mergeCell ref="ADK39:ADL39"/>
    <mergeCell ref="ADK40:ADL40"/>
    <mergeCell ref="AGL50:AGL52"/>
    <mergeCell ref="AHF86:AHG87"/>
    <mergeCell ref="AGL114:AGL117"/>
    <mergeCell ref="AHB109:AHC110"/>
    <mergeCell ref="AGP103:AGQ103"/>
    <mergeCell ref="AHA103:AHB103"/>
    <mergeCell ref="AHA104:AHB105"/>
    <mergeCell ref="AEM95:AEN95"/>
    <mergeCell ref="ADA108:ADB108"/>
    <mergeCell ref="ADI107:ADJ107"/>
    <mergeCell ref="ACY88:ACZ88"/>
    <mergeCell ref="ADK112:ADL112"/>
    <mergeCell ref="ADA89:ADB89"/>
    <mergeCell ref="AES77:AEU77"/>
    <mergeCell ref="AES78:AEU78"/>
    <mergeCell ref="AES79:AEU79"/>
    <mergeCell ref="ADX61:ADY61"/>
    <mergeCell ref="ADN57:ADO57"/>
    <mergeCell ref="ADK104:ADL104"/>
    <mergeCell ref="ADF95:ADG95"/>
    <mergeCell ref="AHG62:AHH63"/>
    <mergeCell ref="ADU59:ADV59"/>
    <mergeCell ref="ADP102:ADQ102"/>
    <mergeCell ref="ADS102:ADT102"/>
    <mergeCell ref="ADS104:ADT104"/>
    <mergeCell ref="ADU104:ADV104"/>
    <mergeCell ref="ADD105:ADE105"/>
    <mergeCell ref="ADF105:ADG105"/>
    <mergeCell ref="ADD95:ADE95"/>
    <mergeCell ref="ACV93:ACW93"/>
    <mergeCell ref="ADZ91:AEA91"/>
    <mergeCell ref="AEC91:AED91"/>
    <mergeCell ref="AEC90:AED90"/>
    <mergeCell ref="ADP108:ADQ108"/>
    <mergeCell ref="ADK43:ADL43"/>
    <mergeCell ref="ADI44:ADJ44"/>
    <mergeCell ref="AEE43:AEF43"/>
    <mergeCell ref="AEC44:AED44"/>
    <mergeCell ref="ADU50:ADV50"/>
    <mergeCell ref="ADS52:ADT52"/>
    <mergeCell ref="ADU52:ADV52"/>
    <mergeCell ref="ADK86:ADL86"/>
    <mergeCell ref="ADN86:ADO86"/>
    <mergeCell ref="AEE61:AEF61"/>
    <mergeCell ref="AEE62:AEF62"/>
    <mergeCell ref="ADP100:ADQ100"/>
    <mergeCell ref="ARY62:ARY63"/>
    <mergeCell ref="AEH236:AEI236"/>
    <mergeCell ref="AEJ236:AEK236"/>
    <mergeCell ref="AEM236:AEN236"/>
    <mergeCell ref="AEO236:AEP236"/>
    <mergeCell ref="AEH237:AEI237"/>
    <mergeCell ref="AEH229:AEI229"/>
    <mergeCell ref="AEJ229:AEK229"/>
    <mergeCell ref="AEM229:AEN229"/>
    <mergeCell ref="AEO229:AEP229"/>
    <mergeCell ref="AEH230:AEI230"/>
    <mergeCell ref="AJI209:AJI210"/>
    <mergeCell ref="AHB174:AHC174"/>
    <mergeCell ref="AHH104:AHH105"/>
    <mergeCell ref="AGX92:AGY92"/>
    <mergeCell ref="AHB108:AHC108"/>
    <mergeCell ref="AQO100:AQO102"/>
    <mergeCell ref="ARA100:ARB100"/>
    <mergeCell ref="AEO170:AEP170"/>
    <mergeCell ref="AEH227:AEI227"/>
    <mergeCell ref="AGO209:AGP209"/>
    <mergeCell ref="AEJ165:AEK165"/>
    <mergeCell ref="AEM165:AEN165"/>
    <mergeCell ref="AEO165:AEP165"/>
    <mergeCell ref="AEH166:AEI166"/>
    <mergeCell ref="AEJ166:AEK166"/>
    <mergeCell ref="AEM166:AEN166"/>
    <mergeCell ref="AEO166:AEP166"/>
    <mergeCell ref="AEH167:AEI167"/>
    <mergeCell ref="AEJ167:AEK167"/>
    <mergeCell ref="AEM167:AEN167"/>
    <mergeCell ref="AEO167:AEP167"/>
    <mergeCell ref="AEH168:AEI168"/>
    <mergeCell ref="AEJ168:AEK168"/>
    <mergeCell ref="AEM168:AEN168"/>
    <mergeCell ref="AEO168:AEP168"/>
    <mergeCell ref="AER155:AES155"/>
    <mergeCell ref="AET155:AEU155"/>
    <mergeCell ref="AEW155:AEX155"/>
    <mergeCell ref="AGM92:AGN92"/>
    <mergeCell ref="ARC89:ARC90"/>
    <mergeCell ref="ARD89:ARE90"/>
    <mergeCell ref="AQK88:AQK90"/>
    <mergeCell ref="AEM235:AEN235"/>
    <mergeCell ref="AEO235:AEP235"/>
    <mergeCell ref="AFD233:AFE233"/>
    <mergeCell ref="AFG233:AFH233"/>
    <mergeCell ref="AFI233:AFJ233"/>
    <mergeCell ref="AFB234:AFC234"/>
    <mergeCell ref="AFD234:AFE234"/>
    <mergeCell ref="AFG234:AFH234"/>
    <mergeCell ref="AFI234:AFJ234"/>
    <mergeCell ref="AFB235:AFC235"/>
    <mergeCell ref="AFD235:AFE235"/>
    <mergeCell ref="AFG235:AFH235"/>
    <mergeCell ref="AFI235:AFJ235"/>
    <mergeCell ref="AHD92:AHH92"/>
    <mergeCell ref="AGZ78:AHA79"/>
    <mergeCell ref="AER227:AES227"/>
    <mergeCell ref="AER236:AES236"/>
    <mergeCell ref="AEY231:AEZ231"/>
    <mergeCell ref="AFB236:AFC236"/>
    <mergeCell ref="AFD236:AFE236"/>
    <mergeCell ref="AFG236:AFH236"/>
    <mergeCell ref="ASD226:ASN226"/>
    <mergeCell ref="AEE234:AEF234"/>
    <mergeCell ref="AGO137:AGP137"/>
    <mergeCell ref="AGO138:AGP138"/>
    <mergeCell ref="AGM138:AGN138"/>
    <mergeCell ref="AGO176:AGP176"/>
    <mergeCell ref="AGM109:AGN109"/>
    <mergeCell ref="AGO109:AGP109"/>
    <mergeCell ref="AHD191:AHH191"/>
    <mergeCell ref="AGQ175:AGY177"/>
    <mergeCell ref="AGM123:AGN123"/>
    <mergeCell ref="AGQ122:AGY123"/>
    <mergeCell ref="AGO123:AGP123"/>
    <mergeCell ref="AQP112:AQQ112"/>
    <mergeCell ref="AGM204:AGN204"/>
    <mergeCell ref="AHB93:AHC94"/>
    <mergeCell ref="AHE103:AHH103"/>
    <mergeCell ref="AHI99:AHO99"/>
    <mergeCell ref="AHI109:AHP110"/>
    <mergeCell ref="AGP187:AGQ187"/>
    <mergeCell ref="AGO168:AGP168"/>
    <mergeCell ref="AGM168:AGN168"/>
    <mergeCell ref="AGR170:AGS170"/>
    <mergeCell ref="AGM179:AGN179"/>
    <mergeCell ref="AHF104:AHG105"/>
    <mergeCell ref="AHC103:AHD103"/>
    <mergeCell ref="AHA167:AHB167"/>
    <mergeCell ref="AHE192:AHG193"/>
    <mergeCell ref="AGL99:AGL101"/>
    <mergeCell ref="AGX99:AGY99"/>
    <mergeCell ref="AGZ99:AHA99"/>
    <mergeCell ref="AEE109:AEF109"/>
    <mergeCell ref="AGO129:AGP129"/>
    <mergeCell ref="AGO169:AGP169"/>
    <mergeCell ref="AEH159:AEI159"/>
    <mergeCell ref="AEJ159:AEK159"/>
    <mergeCell ref="AEM159:AEN159"/>
    <mergeCell ref="AEH112:AEI112"/>
    <mergeCell ref="AEJ112:AEK112"/>
    <mergeCell ref="AEM112:AEN112"/>
    <mergeCell ref="AEE199:AEF199"/>
    <mergeCell ref="AEH135:AEI135"/>
    <mergeCell ref="AEJ135:AEK135"/>
    <mergeCell ref="AEM135:AEN135"/>
    <mergeCell ref="AEO135:AEP135"/>
    <mergeCell ref="AEY139:AEZ139"/>
    <mergeCell ref="AEY140:AEZ140"/>
    <mergeCell ref="AEY141:AEZ141"/>
    <mergeCell ref="AEJ162:AEK162"/>
    <mergeCell ref="AEM162:AEN162"/>
    <mergeCell ref="AEO162:AEP162"/>
    <mergeCell ref="AEM177:AEN177"/>
    <mergeCell ref="AEO177:AEP177"/>
    <mergeCell ref="AEH178:AEI178"/>
    <mergeCell ref="AEJ178:AEK178"/>
    <mergeCell ref="AEH165:AEI165"/>
    <mergeCell ref="AGZ217:AHA217"/>
    <mergeCell ref="AGZ233:AHA234"/>
    <mergeCell ref="AGX232:AGY232"/>
    <mergeCell ref="AGM197:AGN197"/>
    <mergeCell ref="AGM191:AGN191"/>
    <mergeCell ref="AGP114:AGR114"/>
    <mergeCell ref="AGS114:AGT114"/>
    <mergeCell ref="AGO170:AGP170"/>
    <mergeCell ref="ACQ229:ACR229"/>
    <mergeCell ref="ADU232:ADV232"/>
    <mergeCell ref="ACQ233:ACR233"/>
    <mergeCell ref="ACT233:ACU233"/>
    <mergeCell ref="ACV233:ACW233"/>
    <mergeCell ref="ACY233:ACZ233"/>
    <mergeCell ref="AGZ137:AHA138"/>
    <mergeCell ref="AHD180:AHD181"/>
    <mergeCell ref="AHG141:AHG142"/>
    <mergeCell ref="AGM167:AGN167"/>
    <mergeCell ref="AGO152:AGP152"/>
    <mergeCell ref="AGO151:AGP151"/>
    <mergeCell ref="AGM134:AGQ134"/>
    <mergeCell ref="AGN181:AGO181"/>
    <mergeCell ref="AGM200:AGN200"/>
    <mergeCell ref="AHD121:AHH121"/>
    <mergeCell ref="AGL108:AGL110"/>
    <mergeCell ref="AGP108:AGR108"/>
    <mergeCell ref="ARU186:ARU188"/>
    <mergeCell ref="ACT134:ACU134"/>
    <mergeCell ref="ACY133:ACZ133"/>
    <mergeCell ref="ADD126:ADE126"/>
    <mergeCell ref="AHA187:AHB187"/>
    <mergeCell ref="AGZ132:AHA133"/>
    <mergeCell ref="ACT130:ACU130"/>
    <mergeCell ref="AGL187:AGN189"/>
    <mergeCell ref="AGL191:AGL193"/>
    <mergeCell ref="AGP150:AGR150"/>
    <mergeCell ref="ADZ227:AEA227"/>
    <mergeCell ref="AGT125:AGU125"/>
    <mergeCell ref="AGR129:AHB129"/>
    <mergeCell ref="AGZ117:AHG117"/>
    <mergeCell ref="AHD125:AHH125"/>
    <mergeCell ref="AHE126:AHG127"/>
    <mergeCell ref="AGZ125:AHA125"/>
    <mergeCell ref="ACY111:ACZ111"/>
    <mergeCell ref="ACY110:ACZ110"/>
    <mergeCell ref="ADF126:ADG126"/>
    <mergeCell ref="ADI126:ADJ126"/>
    <mergeCell ref="ADK126:ADL126"/>
    <mergeCell ref="ADN126:ADO126"/>
    <mergeCell ref="ADP126:ADQ126"/>
    <mergeCell ref="ADS126:ADT126"/>
    <mergeCell ref="ADU126:ADV126"/>
    <mergeCell ref="ACT216:ACU216"/>
    <mergeCell ref="ACT217:ACU217"/>
    <mergeCell ref="ADP227:ADQ227"/>
    <mergeCell ref="ADK155:ADL155"/>
    <mergeCell ref="ADN155:ADO155"/>
    <mergeCell ref="AGR195:AHB195"/>
    <mergeCell ref="AHH188:AHH189"/>
    <mergeCell ref="ACV125:ACW125"/>
    <mergeCell ref="ADA125:ADB125"/>
    <mergeCell ref="ADD125:ADE125"/>
    <mergeCell ref="ADF125:ADG125"/>
    <mergeCell ref="ADI125:ADJ125"/>
    <mergeCell ref="ADK125:ADL125"/>
    <mergeCell ref="ARA120:ARB120"/>
    <mergeCell ref="ARC120:ARD120"/>
    <mergeCell ref="AHC167:AHD167"/>
    <mergeCell ref="AHI191:AHO191"/>
    <mergeCell ref="AHI192:AHO193"/>
    <mergeCell ref="AGZ192:AHA193"/>
    <mergeCell ref="AHD141:AHD142"/>
    <mergeCell ref="ATR238:ATS238"/>
    <mergeCell ref="ATP238:ATQ238"/>
    <mergeCell ref="ATW225:ATW226"/>
    <mergeCell ref="ATW221:ATW222"/>
    <mergeCell ref="ATX221:ATY222"/>
    <mergeCell ref="ASA134:ASM135"/>
    <mergeCell ref="ATW220:ATZ220"/>
    <mergeCell ref="ATT239:ATU240"/>
    <mergeCell ref="ATT235:ATU236"/>
    <mergeCell ref="ATV235:ATV236"/>
    <mergeCell ref="ATE235:ATQ236"/>
    <mergeCell ref="ATZ225:ATZ226"/>
    <mergeCell ref="ASP126:ASQ127"/>
    <mergeCell ref="ASK213:ASL214"/>
    <mergeCell ref="ATW224:ATZ224"/>
    <mergeCell ref="ATF225:ATR226"/>
    <mergeCell ref="ATS225:ATT226"/>
    <mergeCell ref="ASK186:ASL186"/>
    <mergeCell ref="ASM186:ASP186"/>
    <mergeCell ref="ASM187:ASM188"/>
    <mergeCell ref="ATV239:ATV240"/>
    <mergeCell ref="ATW239:ATX240"/>
    <mergeCell ref="ATY239:ATY240"/>
    <mergeCell ref="ATR239:ATS240"/>
    <mergeCell ref="ASM208:ASP208"/>
    <mergeCell ref="AHH218:AHH219"/>
    <mergeCell ref="ASL125:ASM125"/>
    <mergeCell ref="ASR125:ASU125"/>
    <mergeCell ref="ATY162:ATY163"/>
    <mergeCell ref="ATR161:ATS161"/>
    <mergeCell ref="ATV162:ATV163"/>
    <mergeCell ref="ATJ125:ATV126"/>
    <mergeCell ref="ATI130:ATI132"/>
    <mergeCell ref="ASI187:ASJ188"/>
    <mergeCell ref="ASK187:ASL188"/>
    <mergeCell ref="ASN126:ASO127"/>
    <mergeCell ref="ATZ221:ATZ222"/>
    <mergeCell ref="ATT161:ATU161"/>
    <mergeCell ref="ASK169:ASL169"/>
    <mergeCell ref="ARV177:ARW177"/>
    <mergeCell ref="ARY182:ARZ182"/>
    <mergeCell ref="ATU224:ATV224"/>
    <mergeCell ref="ARV142:ARW142"/>
    <mergeCell ref="ASG177:ASH177"/>
    <mergeCell ref="ASL177:ASO177"/>
    <mergeCell ref="ARV178:ASH180"/>
    <mergeCell ref="ASL178:ASL179"/>
    <mergeCell ref="ASK208:ASL208"/>
    <mergeCell ref="ASN220:ASO220"/>
    <mergeCell ref="ASP220:ASS220"/>
    <mergeCell ref="ASP221:ASP222"/>
    <mergeCell ref="AJJ214:AJL215"/>
    <mergeCell ref="AIO209:AJA211"/>
    <mergeCell ref="AJB208:AJC208"/>
    <mergeCell ref="AJD208:AJE208"/>
    <mergeCell ref="AJF208:AJI208"/>
    <mergeCell ref="ARV206:ARW206"/>
    <mergeCell ref="AIZ208:AJA208"/>
    <mergeCell ref="AHI232:AHP232"/>
    <mergeCell ref="AHI233:AHP234"/>
    <mergeCell ref="ASL133:ASM133"/>
    <mergeCell ref="AGZ200:AHH200"/>
    <mergeCell ref="AHH136:AHP136"/>
    <mergeCell ref="AHH137:AHP138"/>
    <mergeCell ref="ATV242:ATY242"/>
    <mergeCell ref="AHD131:AHG131"/>
    <mergeCell ref="AGZ223:AHA224"/>
    <mergeCell ref="AGZ218:AHA219"/>
    <mergeCell ref="AHB218:AHC219"/>
    <mergeCell ref="AGZ222:AHA222"/>
    <mergeCell ref="AHB222:AHC222"/>
    <mergeCell ref="ASN187:ASO188"/>
    <mergeCell ref="ASP187:ASP188"/>
    <mergeCell ref="ASL129:ASM129"/>
    <mergeCell ref="ASN129:ASO129"/>
    <mergeCell ref="ASP129:ASQ129"/>
    <mergeCell ref="ARV187:ASH188"/>
    <mergeCell ref="ASN213:ASO214"/>
    <mergeCell ref="ASP213:ASP214"/>
    <mergeCell ref="ASR203:ASS204"/>
    <mergeCell ref="ASG165:ASH165"/>
    <mergeCell ref="ASI169:ASJ169"/>
    <mergeCell ref="ATV161:ATY161"/>
    <mergeCell ref="ATV234:ATY234"/>
    <mergeCell ref="AHB202:AHC202"/>
    <mergeCell ref="AGZ232:AHA232"/>
    <mergeCell ref="AGR165:AHB165"/>
    <mergeCell ref="ARC129:ARD130"/>
    <mergeCell ref="ARE129:ARF130"/>
    <mergeCell ref="ARG129:ARG130"/>
    <mergeCell ref="ARH129:ARI130"/>
    <mergeCell ref="ARJ129:ARJ130"/>
    <mergeCell ref="AQO132:AQO134"/>
    <mergeCell ref="AQP132:AQQ132"/>
    <mergeCell ref="ARA132:ARB132"/>
    <mergeCell ref="ARC132:ARD132"/>
    <mergeCell ref="ARE132:ARF132"/>
    <mergeCell ref="ARG132:ARJ132"/>
    <mergeCell ref="AQP133:ARB134"/>
    <mergeCell ref="ARC133:ARD134"/>
    <mergeCell ref="ARE133:ARF134"/>
    <mergeCell ref="ARG133:ARG134"/>
    <mergeCell ref="ARH133:ARI134"/>
    <mergeCell ref="AQO136:AQO138"/>
    <mergeCell ref="AQP136:AQQ136"/>
    <mergeCell ref="ARA136:ARB136"/>
    <mergeCell ref="AQP137:ARB138"/>
    <mergeCell ref="ARC137:ARD138"/>
    <mergeCell ref="ARC144:ARD144"/>
    <mergeCell ref="ARE144:ARF144"/>
    <mergeCell ref="ARG144:ARJ144"/>
    <mergeCell ref="ARZ195:ASL196"/>
    <mergeCell ref="ASN130:ASO131"/>
    <mergeCell ref="ASN134:ASO135"/>
    <mergeCell ref="ASM169:ASP169"/>
    <mergeCell ref="ASM199:ASN200"/>
    <mergeCell ref="ASQ198:AST198"/>
    <mergeCell ref="ASP183:ASP184"/>
    <mergeCell ref="AHB192:AHC193"/>
    <mergeCell ref="AGX191:AGY191"/>
    <mergeCell ref="AHB170:AHC170"/>
    <mergeCell ref="AGP146:AGY148"/>
    <mergeCell ref="AHB146:AHC147"/>
    <mergeCell ref="AGP180:AGY182"/>
    <mergeCell ref="AGO200:AGP200"/>
    <mergeCell ref="AGQ203:AGY204"/>
    <mergeCell ref="AGP141:AGQ141"/>
    <mergeCell ref="AHD174:AHG174"/>
    <mergeCell ref="ASQ111:ASR112"/>
    <mergeCell ref="ASK114:ASL114"/>
    <mergeCell ref="ASS111:ASS112"/>
    <mergeCell ref="ATE238:ATF238"/>
    <mergeCell ref="ATE242:ATF242"/>
    <mergeCell ref="ATE225:ATE226"/>
    <mergeCell ref="ATE221:ATE222"/>
    <mergeCell ref="ASP217:ASP218"/>
    <mergeCell ref="ARX220:ARX222"/>
    <mergeCell ref="ASJ220:ASK220"/>
    <mergeCell ref="ATD161:ATD163"/>
    <mergeCell ref="ATE162:ATQ163"/>
    <mergeCell ref="ASM173:ASP173"/>
    <mergeCell ref="ASQ173:ASS173"/>
    <mergeCell ref="ARV174:ASH175"/>
    <mergeCell ref="ATF165:ATG166"/>
    <mergeCell ref="ATH165:ATH166"/>
    <mergeCell ref="ATE165:ATE166"/>
    <mergeCell ref="ATI165:ATS166"/>
    <mergeCell ref="ASK170:ASL171"/>
    <mergeCell ref="ASK166:ASL167"/>
    <mergeCell ref="ARV170:ASH171"/>
    <mergeCell ref="ASI170:ASJ171"/>
    <mergeCell ref="AHF168:AHG169"/>
    <mergeCell ref="AHD175:AHD176"/>
    <mergeCell ref="ARY118:ARZ118"/>
    <mergeCell ref="ARY114:ARZ114"/>
    <mergeCell ref="ARZ194:ASA194"/>
    <mergeCell ref="ARZ198:ASA198"/>
    <mergeCell ref="ARZ202:ASA202"/>
    <mergeCell ref="ASI213:ASJ214"/>
    <mergeCell ref="ARY111:ASK112"/>
    <mergeCell ref="ARX118:ARX120"/>
    <mergeCell ref="ASK118:ASL118"/>
    <mergeCell ref="AHE237:AHG238"/>
    <mergeCell ref="AHJ157:AHJ159"/>
    <mergeCell ref="AHE132:AHF133"/>
    <mergeCell ref="AHG161:AHJ161"/>
    <mergeCell ref="AHI121:AHN121"/>
    <mergeCell ref="AHI122:AHN123"/>
    <mergeCell ref="AHE146:AHF147"/>
    <mergeCell ref="AHG146:AHG147"/>
    <mergeCell ref="AGZ148:AHG148"/>
    <mergeCell ref="AHH145:AHM145"/>
    <mergeCell ref="AHE168:AHE169"/>
    <mergeCell ref="AHH131:AHM131"/>
    <mergeCell ref="AHH132:AHM134"/>
    <mergeCell ref="AHC161:AHD161"/>
    <mergeCell ref="AHE161:AHF161"/>
    <mergeCell ref="AHG137:AHG138"/>
    <mergeCell ref="AGZ202:AHA202"/>
    <mergeCell ref="ARX182:ARX184"/>
    <mergeCell ref="ARU212:ARU214"/>
    <mergeCell ref="ASG212:ASH212"/>
    <mergeCell ref="AHH203:AHL204"/>
    <mergeCell ref="AHE167:AHH167"/>
    <mergeCell ref="AHC168:AHD169"/>
    <mergeCell ref="AHB203:AHC204"/>
    <mergeCell ref="AHD203:AHD204"/>
    <mergeCell ref="AHE203:AHF204"/>
    <mergeCell ref="AHG203:AHG204"/>
    <mergeCell ref="AHG180:AHG181"/>
    <mergeCell ref="AHB175:AHC176"/>
    <mergeCell ref="AHD202:AHG202"/>
    <mergeCell ref="AUE130:AUH130"/>
    <mergeCell ref="AUD125:AUD126"/>
    <mergeCell ref="AST66:AST67"/>
    <mergeCell ref="ATY131:ATZ132"/>
    <mergeCell ref="ATY130:ATZ130"/>
    <mergeCell ref="ATL122:ATM122"/>
    <mergeCell ref="ASQ183:ASR184"/>
    <mergeCell ref="ASU65:ATF65"/>
    <mergeCell ref="ASU66:ATF67"/>
    <mergeCell ref="ASQ194:AST194"/>
    <mergeCell ref="ASQ195:ASQ196"/>
    <mergeCell ref="ASR195:ASS196"/>
    <mergeCell ref="AST195:AST196"/>
    <mergeCell ref="ASP115:ASP116"/>
    <mergeCell ref="ASP119:ASP120"/>
    <mergeCell ref="ASK119:ASL120"/>
    <mergeCell ref="AUE131:AUH132"/>
    <mergeCell ref="ASU62:ATE63"/>
    <mergeCell ref="ASQ61:AST61"/>
    <mergeCell ref="ARX110:ARX112"/>
    <mergeCell ref="ARX114:ARX116"/>
    <mergeCell ref="ASG114:ASH114"/>
    <mergeCell ref="ASJ110:ASK110"/>
    <mergeCell ref="ASI115:ASJ116"/>
    <mergeCell ref="ASK115:ASL116"/>
    <mergeCell ref="AUA124:AUD124"/>
    <mergeCell ref="ASM61:ASN61"/>
    <mergeCell ref="ATW131:ATX132"/>
    <mergeCell ref="AUA125:AUA126"/>
    <mergeCell ref="AUB125:AUC126"/>
    <mergeCell ref="ARV98:ARW98"/>
    <mergeCell ref="ARV102:ARW102"/>
    <mergeCell ref="ARV106:ARW106"/>
    <mergeCell ref="ASO178:ASO179"/>
    <mergeCell ref="ASI173:ASJ173"/>
    <mergeCell ref="ASU69:ASW69"/>
    <mergeCell ref="ASU70:ASW71"/>
    <mergeCell ref="ASI99:ASJ100"/>
    <mergeCell ref="ASK99:ASL100"/>
    <mergeCell ref="ASK98:ASL98"/>
    <mergeCell ref="AUB131:AUC132"/>
    <mergeCell ref="AUD131:AUD132"/>
    <mergeCell ref="AUA131:AUA132"/>
    <mergeCell ref="ATW125:ATX126"/>
    <mergeCell ref="ATY125:ATZ126"/>
    <mergeCell ref="ASV192:ASW192"/>
    <mergeCell ref="ASX192:ASY192"/>
    <mergeCell ref="ASZ192:ATA192"/>
    <mergeCell ref="ATB192:ATC192"/>
    <mergeCell ref="ATD192:ATE192"/>
    <mergeCell ref="ASN119:ASO120"/>
    <mergeCell ref="ASU61:ATE61"/>
    <mergeCell ref="ASL111:ASM112"/>
    <mergeCell ref="ASM170:ASM171"/>
    <mergeCell ref="ASN170:ASO171"/>
    <mergeCell ref="ATU130:ATV130"/>
    <mergeCell ref="ASO195:ASP196"/>
    <mergeCell ref="ASL143:ASM144"/>
    <mergeCell ref="ASP130:ASQ131"/>
    <mergeCell ref="ASA130:ASM131"/>
    <mergeCell ref="AUA130:AUD130"/>
    <mergeCell ref="ASQ62:ASQ63"/>
    <mergeCell ref="ASR62:ASS63"/>
    <mergeCell ref="ARZ126:ARZ127"/>
    <mergeCell ref="ATW124:ATX124"/>
    <mergeCell ref="ATY124:ATZ124"/>
    <mergeCell ref="ASI85:ASP85"/>
    <mergeCell ref="ASL110:ASM110"/>
    <mergeCell ref="PL75:PL78"/>
    <mergeCell ref="MF35:MO36"/>
    <mergeCell ref="MU39:MU40"/>
    <mergeCell ref="MS47:MT48"/>
    <mergeCell ref="MQ38:MR38"/>
    <mergeCell ref="QA36:QD36"/>
    <mergeCell ref="QA57:QB58"/>
    <mergeCell ref="PO60:PO62"/>
    <mergeCell ref="QA60:QB60"/>
    <mergeCell ref="MH91:MI91"/>
    <mergeCell ref="ASK65:ASL65"/>
    <mergeCell ref="ASM65:ASN65"/>
    <mergeCell ref="ASO65:ASP65"/>
    <mergeCell ref="ACL93:ACM93"/>
    <mergeCell ref="ACQ100:ACR100"/>
    <mergeCell ref="ACQ101:ACR101"/>
    <mergeCell ref="ACY49:ACZ49"/>
    <mergeCell ref="AHF41:AHG42"/>
    <mergeCell ref="AHB78:AHC79"/>
    <mergeCell ref="AHC66:AHF66"/>
    <mergeCell ref="AHF71:AHI71"/>
    <mergeCell ref="AHF72:AHF73"/>
    <mergeCell ref="AHG72:AHH73"/>
    <mergeCell ref="AGM122:AGN122"/>
    <mergeCell ref="AHI126:AHN127"/>
    <mergeCell ref="AGO112:AGP112"/>
    <mergeCell ref="ACT47:ACU47"/>
    <mergeCell ref="ACT44:ACU44"/>
    <mergeCell ref="ADF61:ADG61"/>
    <mergeCell ref="ADD62:ADE62"/>
    <mergeCell ref="ACL87:ACM87"/>
    <mergeCell ref="ACT45:ACU45"/>
    <mergeCell ref="ACV45:ACW45"/>
    <mergeCell ref="ACT84:ACU84"/>
    <mergeCell ref="ACV84:ACW84"/>
    <mergeCell ref="ACV101:ACW101"/>
    <mergeCell ref="ADU101:ADV101"/>
    <mergeCell ref="ACV110:ACW110"/>
    <mergeCell ref="ADA110:ADB110"/>
    <mergeCell ref="ACJ120:ACK120"/>
    <mergeCell ref="ADU61:ADV61"/>
    <mergeCell ref="AHD51:AHD52"/>
    <mergeCell ref="AHE51:AHF52"/>
    <mergeCell ref="AGO52:AGP52"/>
    <mergeCell ref="ADF41:ADG41"/>
    <mergeCell ref="ACL103:ACM103"/>
    <mergeCell ref="ACQ93:ACR93"/>
    <mergeCell ref="ACQ94:ACR94"/>
    <mergeCell ref="ACQ95:ACR95"/>
    <mergeCell ref="ACT49:ACU49"/>
    <mergeCell ref="ACV49:ACW49"/>
    <mergeCell ref="ACT50:ACU50"/>
    <mergeCell ref="ACV53:ACW53"/>
    <mergeCell ref="ADP58:ADQ58"/>
    <mergeCell ref="ADN59:ADO59"/>
    <mergeCell ref="ADP59:ADQ59"/>
    <mergeCell ref="AGZ108:AHA108"/>
    <mergeCell ref="AGY103:AGZ103"/>
    <mergeCell ref="PO69:PP69"/>
    <mergeCell ref="ATU124:ATV124"/>
    <mergeCell ref="GG72:GH72"/>
    <mergeCell ref="GG84:GH84"/>
    <mergeCell ref="GI84:GJ84"/>
    <mergeCell ref="GR72:GS72"/>
    <mergeCell ref="GN72:GO72"/>
    <mergeCell ref="GG83:GH83"/>
    <mergeCell ref="HA89:HC90"/>
    <mergeCell ref="GW64:GX64"/>
    <mergeCell ref="GY64:GZ64"/>
    <mergeCell ref="KP76:KP77"/>
    <mergeCell ref="KQ76:KR77"/>
    <mergeCell ref="KS76:KS77"/>
    <mergeCell ref="GF60:GH62"/>
    <mergeCell ref="IY60:IZ60"/>
    <mergeCell ref="KT71:KW71"/>
    <mergeCell ref="GW60:GX60"/>
    <mergeCell ref="MB58:MB60"/>
    <mergeCell ref="MG58:MH58"/>
    <mergeCell ref="MP59:MQ60"/>
    <mergeCell ref="MI74:MK74"/>
    <mergeCell ref="MF75:MP76"/>
    <mergeCell ref="JI57:JJ58"/>
    <mergeCell ref="JK57:JK58"/>
    <mergeCell ref="KN71:KO71"/>
    <mergeCell ref="MQ74:MS74"/>
    <mergeCell ref="MO74:MP74"/>
    <mergeCell ref="KU68:KU69"/>
    <mergeCell ref="ME74:ME76"/>
    <mergeCell ref="GY78:GY79"/>
    <mergeCell ref="HF65:HF66"/>
    <mergeCell ref="JJ67:JJ68"/>
    <mergeCell ref="JH72:JI73"/>
    <mergeCell ref="KQ64:KU65"/>
    <mergeCell ref="KP71:KS71"/>
    <mergeCell ref="KP72:KP73"/>
    <mergeCell ref="IY76:IZ77"/>
    <mergeCell ref="KB65:KD65"/>
    <mergeCell ref="JC69:JJ69"/>
    <mergeCell ref="JE67:JF68"/>
    <mergeCell ref="MR86:MS87"/>
    <mergeCell ref="JG76:JI77"/>
    <mergeCell ref="JZ72:KA72"/>
    <mergeCell ref="JH57:JH58"/>
    <mergeCell ref="MD70:ME70"/>
    <mergeCell ref="MD69:ME69"/>
    <mergeCell ref="KA77:KB77"/>
    <mergeCell ref="KL87:KM88"/>
    <mergeCell ref="MN58:MO58"/>
    <mergeCell ref="MP58:MQ58"/>
    <mergeCell ref="KC63:KD63"/>
    <mergeCell ref="JE66:JF66"/>
    <mergeCell ref="JA66:JB66"/>
    <mergeCell ref="JA61:JB62"/>
    <mergeCell ref="JC61:JC62"/>
    <mergeCell ref="JC76:JC77"/>
    <mergeCell ref="JE72:JF73"/>
    <mergeCell ref="GV73:GW74"/>
    <mergeCell ref="D72:D74"/>
    <mergeCell ref="K72:L72"/>
    <mergeCell ref="M72:N72"/>
    <mergeCell ref="M73:N74"/>
    <mergeCell ref="EC58:EC59"/>
    <mergeCell ref="EC54:EC55"/>
    <mergeCell ref="CQ78:CT78"/>
    <mergeCell ref="CQ79:CT80"/>
    <mergeCell ref="BX90:BX92"/>
    <mergeCell ref="CJ90:CK90"/>
    <mergeCell ref="CL90:CM90"/>
    <mergeCell ref="CN90:CO90"/>
    <mergeCell ref="CP90:CS90"/>
    <mergeCell ref="CP91:CP92"/>
    <mergeCell ref="DZ62:DZ64"/>
    <mergeCell ref="CQ91:CR92"/>
    <mergeCell ref="CS91:CS92"/>
    <mergeCell ref="CA58:CA60"/>
    <mergeCell ref="PO52:PO54"/>
    <mergeCell ref="PL52:PN54"/>
    <mergeCell ref="AI90:AI92"/>
    <mergeCell ref="AV77:AW77"/>
    <mergeCell ref="AX77:AY77"/>
    <mergeCell ref="AZ61:BA61"/>
    <mergeCell ref="AI86:AI88"/>
    <mergeCell ref="AI81:AK84"/>
    <mergeCell ref="EP87:EQ87"/>
    <mergeCell ref="EN87:EO87"/>
    <mergeCell ref="GY65:GZ66"/>
    <mergeCell ref="HA60:HE60"/>
    <mergeCell ref="GW65:GX66"/>
    <mergeCell ref="GZ77:HG77"/>
    <mergeCell ref="E71:F71"/>
    <mergeCell ref="E70:N70"/>
    <mergeCell ref="K71:L71"/>
    <mergeCell ref="M71:N71"/>
    <mergeCell ref="M67:N68"/>
    <mergeCell ref="BD81:BG81"/>
    <mergeCell ref="BD82:BD83"/>
    <mergeCell ref="AX66:AY67"/>
    <mergeCell ref="GI65:GI66"/>
    <mergeCell ref="GF64:GH66"/>
    <mergeCell ref="GR68:GS68"/>
    <mergeCell ref="GT68:GU68"/>
    <mergeCell ref="IN64:IO64"/>
    <mergeCell ref="CB67:CG68"/>
    <mergeCell ref="JH67:JI68"/>
    <mergeCell ref="JF64:JG64"/>
    <mergeCell ref="JH64:JI64"/>
    <mergeCell ref="JJ64:JK64"/>
    <mergeCell ref="JL64:JM64"/>
    <mergeCell ref="JN64:JO64"/>
    <mergeCell ref="JP64:JQ64"/>
    <mergeCell ref="JR64:JS64"/>
    <mergeCell ref="IS60:IT60"/>
    <mergeCell ref="IS66:IT66"/>
    <mergeCell ref="MX52:NA52"/>
    <mergeCell ref="MV74:MY74"/>
    <mergeCell ref="KM68:KO69"/>
    <mergeCell ref="JD76:JE77"/>
    <mergeCell ref="JI90:JJ91"/>
    <mergeCell ref="JM84:JM85"/>
    <mergeCell ref="IX81:JH81"/>
    <mergeCell ref="IY75:IZ75"/>
    <mergeCell ref="BC99:BE99"/>
    <mergeCell ref="AU86:AX86"/>
    <mergeCell ref="JK94:JN94"/>
    <mergeCell ref="JG90:JH91"/>
    <mergeCell ref="IU89:IU91"/>
    <mergeCell ref="JI89:JJ89"/>
    <mergeCell ref="CQ71:CR72"/>
    <mergeCell ref="EP101:EP102"/>
    <mergeCell ref="EQ101:ER102"/>
    <mergeCell ref="EA88:EB88"/>
    <mergeCell ref="EC88:ED88"/>
    <mergeCell ref="EA76:EB76"/>
    <mergeCell ref="EC76:ED76"/>
    <mergeCell ref="EA77:EB77"/>
    <mergeCell ref="GZ89:GZ90"/>
    <mergeCell ref="GH69:GI69"/>
    <mergeCell ref="GT73:GU74"/>
    <mergeCell ref="EA79:EB79"/>
    <mergeCell ref="EA75:EB75"/>
    <mergeCell ref="ES80:EU81"/>
    <mergeCell ref="HE88:HQ88"/>
    <mergeCell ref="GS84:GT85"/>
    <mergeCell ref="GV89:GW90"/>
    <mergeCell ref="GX89:GY90"/>
    <mergeCell ref="ET84:EZ85"/>
    <mergeCell ref="ET83:EZ83"/>
    <mergeCell ref="ET100:FA100"/>
    <mergeCell ref="ET101:FA102"/>
    <mergeCell ref="EH87:EI87"/>
    <mergeCell ref="ES101:ES102"/>
    <mergeCell ref="CP102:CR102"/>
    <mergeCell ref="CA91:CB91"/>
    <mergeCell ref="GU77:GY77"/>
    <mergeCell ref="IW75:IX75"/>
    <mergeCell ref="IW71:IX71"/>
    <mergeCell ref="EL92:EM92"/>
    <mergeCell ref="EN92:EO92"/>
    <mergeCell ref="ER87:EU87"/>
    <mergeCell ref="EN79:EO79"/>
    <mergeCell ref="EP79:EQ79"/>
    <mergeCell ref="EM76:EN77"/>
    <mergeCell ref="GH70:GI70"/>
    <mergeCell ref="GK69:GL69"/>
    <mergeCell ref="GK72:GL72"/>
    <mergeCell ref="GK70:GL70"/>
    <mergeCell ref="GX69:GX70"/>
    <mergeCell ref="HA69:HA70"/>
    <mergeCell ref="CE82:CG82"/>
    <mergeCell ref="HB69:HG70"/>
    <mergeCell ref="HC72:HO72"/>
    <mergeCell ref="IT69:IU69"/>
    <mergeCell ref="JC72:JD73"/>
    <mergeCell ref="JN90:JN91"/>
    <mergeCell ref="JJ83:JM83"/>
    <mergeCell ref="JI95:JJ96"/>
    <mergeCell ref="JH84:JI85"/>
    <mergeCell ref="JN95:JN96"/>
    <mergeCell ref="JE99:JF100"/>
    <mergeCell ref="GG85:GH85"/>
    <mergeCell ref="GU84:GU85"/>
    <mergeCell ref="GG86:GH86"/>
    <mergeCell ref="JD83:JE83"/>
    <mergeCell ref="IR75:IR77"/>
    <mergeCell ref="IV84:JE86"/>
    <mergeCell ref="ME250:MF250"/>
    <mergeCell ref="MC250:MD250"/>
    <mergeCell ref="MD234:ME234"/>
    <mergeCell ref="MH234:MI234"/>
    <mergeCell ref="MH235:MI235"/>
    <mergeCell ref="MF235:MG235"/>
    <mergeCell ref="MF234:MG234"/>
    <mergeCell ref="MF185:MH185"/>
    <mergeCell ref="MS212:MT213"/>
    <mergeCell ref="MN215:MO215"/>
    <mergeCell ref="MK228:ML228"/>
    <mergeCell ref="MM229:MM230"/>
    <mergeCell ref="MQ229:MQ230"/>
    <mergeCell ref="MM199:MN199"/>
    <mergeCell ref="MK240:ML240"/>
    <mergeCell ref="MW234:MW235"/>
    <mergeCell ref="MI229:MJ230"/>
    <mergeCell ref="MK229:ML230"/>
    <mergeCell ref="MN229:MP230"/>
    <mergeCell ref="MM228:MQ228"/>
    <mergeCell ref="ME249:MF249"/>
    <mergeCell ref="MN248:MO249"/>
    <mergeCell ref="MH245:MR245"/>
    <mergeCell ref="ME245:MF245"/>
    <mergeCell ref="MN247:MO247"/>
    <mergeCell ref="MM243:MT243"/>
    <mergeCell ref="ME238:MF238"/>
    <mergeCell ref="MO241:MP242"/>
    <mergeCell ref="MG241:MH241"/>
    <mergeCell ref="MD241:ME241"/>
    <mergeCell ref="MV215:NB215"/>
    <mergeCell ref="MI187:MJ187"/>
    <mergeCell ref="MQ212:MR213"/>
    <mergeCell ref="MJ234:MO236"/>
    <mergeCell ref="MF236:MI236"/>
    <mergeCell ref="MC222:MD222"/>
    <mergeCell ref="MX233:NF233"/>
    <mergeCell ref="MB211:MD213"/>
    <mergeCell ref="MK220:ML220"/>
    <mergeCell ref="MT221:MT222"/>
    <mergeCell ref="MH197:MR197"/>
    <mergeCell ref="MH203:MR203"/>
    <mergeCell ref="MC247:MD247"/>
    <mergeCell ref="ML248:MM249"/>
    <mergeCell ref="MD236:ME236"/>
    <mergeCell ref="MP236:MW236"/>
    <mergeCell ref="MP233:MQ233"/>
    <mergeCell ref="MN225:MO226"/>
    <mergeCell ref="MP225:MP226"/>
    <mergeCell ref="MQ225:MR226"/>
    <mergeCell ref="MI228:MJ228"/>
    <mergeCell ref="MC220:MD220"/>
    <mergeCell ref="MC228:MD228"/>
    <mergeCell ref="MF224:MG224"/>
    <mergeCell ref="MC233:MD233"/>
    <mergeCell ref="ML225:MM226"/>
    <mergeCell ref="MD201:ME201"/>
    <mergeCell ref="MR205:MS205"/>
    <mergeCell ref="MR215:MU215"/>
    <mergeCell ref="MD216:ME216"/>
    <mergeCell ref="MD229:ME229"/>
    <mergeCell ref="MR228:NA228"/>
    <mergeCell ref="MF205:MG205"/>
    <mergeCell ref="MX205:NG205"/>
    <mergeCell ref="MD243:ME243"/>
    <mergeCell ref="MF215:MG215"/>
    <mergeCell ref="ME156:MF156"/>
    <mergeCell ref="ME161:MF161"/>
    <mergeCell ref="MO136:MP136"/>
    <mergeCell ref="MI132:MJ132"/>
    <mergeCell ref="MF136:MG136"/>
    <mergeCell ref="MD242:ME242"/>
    <mergeCell ref="MU241:NC243"/>
    <mergeCell ref="MO240:MP240"/>
    <mergeCell ref="MD151:MD153"/>
    <mergeCell ref="MP248:MP249"/>
    <mergeCell ref="MQ248:MR249"/>
    <mergeCell ref="MS248:MS249"/>
    <mergeCell ref="MJ247:MK247"/>
    <mergeCell ref="ML247:MM247"/>
    <mergeCell ref="MB240:MB243"/>
    <mergeCell ref="MS162:MS163"/>
    <mergeCell ref="MW170:MZ170"/>
    <mergeCell ref="MW171:MW172"/>
    <mergeCell ref="MB168:MC169"/>
    <mergeCell ref="MO162:MO163"/>
    <mergeCell ref="MB205:MB207"/>
    <mergeCell ref="MN205:MO205"/>
    <mergeCell ref="MP205:MQ205"/>
    <mergeCell ref="MR206:MS207"/>
    <mergeCell ref="MT205:MW205"/>
    <mergeCell ref="MT206:MT207"/>
    <mergeCell ref="MG153:MH153"/>
    <mergeCell ref="MH136:MI136"/>
    <mergeCell ref="MK151:ML151"/>
    <mergeCell ref="MS151:MT152"/>
    <mergeCell ref="NB150:NL150"/>
    <mergeCell ref="MA148:MB148"/>
    <mergeCell ref="MC148:MD148"/>
    <mergeCell ref="MO211:MP211"/>
    <mergeCell ref="MP215:MQ215"/>
    <mergeCell ref="MK199:ML199"/>
    <mergeCell ref="MU212:MU213"/>
    <mergeCell ref="MR216:MR217"/>
    <mergeCell ref="MS216:MT217"/>
    <mergeCell ref="MU200:MU201"/>
    <mergeCell ref="MS180:MT180"/>
    <mergeCell ref="MU184:MX184"/>
    <mergeCell ref="MU185:MU186"/>
    <mergeCell ref="MV185:MW186"/>
    <mergeCell ref="MX185:MX186"/>
    <mergeCell ref="MR200:MT201"/>
    <mergeCell ref="MM220:MN220"/>
    <mergeCell ref="MI185:MJ185"/>
    <mergeCell ref="MN218:MU218"/>
    <mergeCell ref="MB228:MB231"/>
    <mergeCell ref="ME221:MF221"/>
    <mergeCell ref="ME222:MF222"/>
    <mergeCell ref="MP206:MQ207"/>
    <mergeCell ref="MQ174:MS174"/>
    <mergeCell ref="MB209:MC210"/>
    <mergeCell ref="MP247:MS247"/>
    <mergeCell ref="MB136:MB139"/>
    <mergeCell ref="MF137:MP139"/>
    <mergeCell ref="NC132:ND132"/>
    <mergeCell ref="ME132:MF132"/>
    <mergeCell ref="MG132:MH132"/>
    <mergeCell ref="MI141:MJ141"/>
    <mergeCell ref="MW132:MX132"/>
    <mergeCell ref="MV177:MV178"/>
    <mergeCell ref="MW177:MX178"/>
    <mergeCell ref="MC221:MD221"/>
    <mergeCell ref="MD200:ME200"/>
    <mergeCell ref="MX212:MX213"/>
    <mergeCell ref="MO220:MP220"/>
    <mergeCell ref="MW206:MW207"/>
    <mergeCell ref="MI186:MJ186"/>
    <mergeCell ref="ME203:MF203"/>
    <mergeCell ref="MQ199:MU199"/>
    <mergeCell ref="MT141:MW141"/>
    <mergeCell ref="MY136:NI136"/>
    <mergeCell ref="MI150:MJ150"/>
    <mergeCell ref="MM156:MN156"/>
    <mergeCell ref="MG152:MH152"/>
    <mergeCell ref="MF141:MH141"/>
    <mergeCell ref="NC165:ND165"/>
    <mergeCell ref="NE165:NF165"/>
    <mergeCell ref="NG165:NH165"/>
    <mergeCell ref="ME159:MF159"/>
    <mergeCell ref="MG150:MH150"/>
    <mergeCell ref="MK132:ML132"/>
    <mergeCell ref="MM132:MN132"/>
    <mergeCell ref="MW151:MW152"/>
    <mergeCell ref="NK132:NL132"/>
    <mergeCell ref="MS185:MT186"/>
    <mergeCell ref="MC136:MD136"/>
    <mergeCell ref="MG221:ML222"/>
    <mergeCell ref="ME184:ME187"/>
    <mergeCell ref="MB184:MD187"/>
    <mergeCell ref="MI184:MK184"/>
    <mergeCell ref="MF177:MP178"/>
    <mergeCell ref="MK185:MP187"/>
    <mergeCell ref="MQ187:MX187"/>
    <mergeCell ref="MJ181:MP182"/>
    <mergeCell ref="MQ176:MS176"/>
    <mergeCell ref="MQ177:MS178"/>
    <mergeCell ref="MI193:MK193"/>
    <mergeCell ref="MI194:MP195"/>
    <mergeCell ref="MF200:ML201"/>
    <mergeCell ref="MI211:MK211"/>
    <mergeCell ref="MF212:MP213"/>
    <mergeCell ref="NE132:NF132"/>
    <mergeCell ref="MG199:MH199"/>
    <mergeCell ref="MK175:MM175"/>
    <mergeCell ref="MK136:ML136"/>
    <mergeCell ref="MO161:MS161"/>
    <mergeCell ref="MP162:MR163"/>
    <mergeCell ref="ME153:MF153"/>
    <mergeCell ref="MD161:MD163"/>
    <mergeCell ref="MQ200:MQ201"/>
    <mergeCell ref="MH175:MJ175"/>
    <mergeCell ref="ME171:ME172"/>
    <mergeCell ref="MC215:MD215"/>
    <mergeCell ref="ME158:MF158"/>
    <mergeCell ref="MF207:MG207"/>
    <mergeCell ref="ME148:MF148"/>
    <mergeCell ref="MG148:MH148"/>
    <mergeCell ref="MI148:MJ148"/>
    <mergeCell ref="MK148:ML148"/>
    <mergeCell ref="MQ168:MR169"/>
    <mergeCell ref="MN175:MP175"/>
    <mergeCell ref="MV157:MV158"/>
    <mergeCell ref="MR229:NA231"/>
    <mergeCell ref="RZ38:RZ40"/>
    <mergeCell ref="MU206:MV207"/>
    <mergeCell ref="PN40:PO40"/>
    <mergeCell ref="QE61:QF62"/>
    <mergeCell ref="MK72:MM72"/>
    <mergeCell ref="MN72:MP72"/>
    <mergeCell ref="MP81:MX81"/>
    <mergeCell ref="MG79:MH79"/>
    <mergeCell ref="MJ78:MK78"/>
    <mergeCell ref="MS79:MT80"/>
    <mergeCell ref="MH206:MI206"/>
    <mergeCell ref="NW165:NX165"/>
    <mergeCell ref="MV176:MY176"/>
    <mergeCell ref="PR110:PS110"/>
    <mergeCell ref="PT109:PY110"/>
    <mergeCell ref="PR109:PS109"/>
    <mergeCell ref="PO110:PP110"/>
    <mergeCell ref="PM110:PN110"/>
    <mergeCell ref="PM195:PN195"/>
    <mergeCell ref="PM196:PN196"/>
    <mergeCell ref="PM197:PP197"/>
    <mergeCell ref="MW175:MY175"/>
    <mergeCell ref="PN190:PO190"/>
    <mergeCell ref="PN189:PO189"/>
    <mergeCell ref="PR92:QB92"/>
    <mergeCell ref="MF182:MG182"/>
    <mergeCell ref="PO186:PP186"/>
    <mergeCell ref="MR98:MS99"/>
    <mergeCell ref="MX69:MX70"/>
    <mergeCell ref="MF187:MH187"/>
    <mergeCell ref="MS165:MT165"/>
    <mergeCell ref="MU165:MV165"/>
    <mergeCell ref="MW165:MX165"/>
    <mergeCell ref="MY165:MZ165"/>
    <mergeCell ref="NA165:NB165"/>
    <mergeCell ref="MF184:MG184"/>
    <mergeCell ref="MS171:MT172"/>
    <mergeCell ref="ME175:MG175"/>
    <mergeCell ref="MN174:MP174"/>
    <mergeCell ref="MS170:MT170"/>
    <mergeCell ref="MX171:MY172"/>
    <mergeCell ref="NA151:NA152"/>
    <mergeCell ref="MX151:MZ152"/>
    <mergeCell ref="MI161:MJ161"/>
    <mergeCell ref="MK161:ML161"/>
    <mergeCell ref="MF171:MR172"/>
    <mergeCell ref="MH174:MJ174"/>
    <mergeCell ref="MF181:MG181"/>
    <mergeCell ref="MH181:MI181"/>
    <mergeCell ref="ND129:NE130"/>
    <mergeCell ref="MP108:MR108"/>
    <mergeCell ref="ME100:MF100"/>
    <mergeCell ref="MT156:MU156"/>
    <mergeCell ref="MP128:MP130"/>
    <mergeCell ref="MD138:ME138"/>
    <mergeCell ref="MG157:MH157"/>
    <mergeCell ref="NA171:NC172"/>
    <mergeCell ref="MZ171:MZ172"/>
    <mergeCell ref="NA170:NC170"/>
    <mergeCell ref="MW150:NA150"/>
    <mergeCell ref="MS181:MT182"/>
    <mergeCell ref="MQ184:MR184"/>
    <mergeCell ref="ME152:MF152"/>
    <mergeCell ref="PU183:PV183"/>
    <mergeCell ref="WZ109:XA109"/>
    <mergeCell ref="WZ96:XA97"/>
    <mergeCell ref="WZ101:XA103"/>
    <mergeCell ref="WH152:WI152"/>
    <mergeCell ref="WG131:WJ131"/>
    <mergeCell ref="WK131:WL131"/>
    <mergeCell ref="WG132:WJ132"/>
    <mergeCell ref="WK132:WL132"/>
    <mergeCell ref="WG139:WJ139"/>
    <mergeCell ref="WW126:WX126"/>
    <mergeCell ref="WK121:WL121"/>
    <mergeCell ref="MU142:MV143"/>
    <mergeCell ref="PL119:PL121"/>
    <mergeCell ref="NB123:NB124"/>
    <mergeCell ref="MQ139:MX139"/>
    <mergeCell ref="MU136:MX136"/>
    <mergeCell ref="NM119:NM120"/>
    <mergeCell ref="PL125:PL127"/>
    <mergeCell ref="NL129:NL130"/>
    <mergeCell ref="MQ136:MR136"/>
    <mergeCell ref="NC108:NH109"/>
    <mergeCell ref="PU98:PV98"/>
    <mergeCell ref="PW98:PX98"/>
    <mergeCell ref="PY98:PZ98"/>
    <mergeCell ref="WZ111:XA111"/>
    <mergeCell ref="WG121:WJ121"/>
    <mergeCell ref="NC106:ND106"/>
    <mergeCell ref="XM170:XM171"/>
    <mergeCell ref="XN170:XN171"/>
    <mergeCell ref="XO170:XO171"/>
    <mergeCell ref="XL180:XL181"/>
    <mergeCell ref="XM180:XM181"/>
    <mergeCell ref="XN180:XN181"/>
    <mergeCell ref="XO180:XO181"/>
    <mergeCell ref="XL148:XL150"/>
    <mergeCell ref="XM148:XM150"/>
    <mergeCell ref="XN148:XN150"/>
    <mergeCell ref="XO148:XO150"/>
    <mergeCell ref="NI165:NJ165"/>
    <mergeCell ref="NK165:NL165"/>
    <mergeCell ref="XL98:XL100"/>
    <mergeCell ref="XM98:XM100"/>
    <mergeCell ref="XN98:XN100"/>
    <mergeCell ref="XH101:XH103"/>
    <mergeCell ref="XN139:XN141"/>
    <mergeCell ref="XO139:XO141"/>
    <mergeCell ref="NM148:NN148"/>
    <mergeCell ref="PM103:PN103"/>
    <mergeCell ref="WI145:WJ147"/>
    <mergeCell ref="WG126:WJ126"/>
    <mergeCell ref="PR123:QB123"/>
    <mergeCell ref="PR117:QB117"/>
    <mergeCell ref="WH145:WH147"/>
    <mergeCell ref="MP98:MQ99"/>
    <mergeCell ref="MR97:MS97"/>
    <mergeCell ref="MX142:ND144"/>
    <mergeCell ref="MY137:NI139"/>
    <mergeCell ref="MR159:MZ159"/>
    <mergeCell ref="MX141:ND141"/>
    <mergeCell ref="MT175:MV175"/>
    <mergeCell ref="MQ170:MR170"/>
    <mergeCell ref="MU150:MV150"/>
    <mergeCell ref="MS153:NA153"/>
    <mergeCell ref="MM148:MN148"/>
    <mergeCell ref="MO148:MP148"/>
    <mergeCell ref="MQ148:MR148"/>
    <mergeCell ref="MS148:MT148"/>
    <mergeCell ref="MU148:MV148"/>
    <mergeCell ref="MW148:MX148"/>
    <mergeCell ref="MY148:MZ148"/>
    <mergeCell ref="NA148:NB148"/>
    <mergeCell ref="NC148:ND148"/>
    <mergeCell ref="NE148:NF148"/>
    <mergeCell ref="NG148:NH148"/>
    <mergeCell ref="NI148:NJ148"/>
    <mergeCell ref="NK148:NL148"/>
    <mergeCell ref="VY123:VZ123"/>
    <mergeCell ref="WG137:WJ137"/>
    <mergeCell ref="MD144:ME144"/>
    <mergeCell ref="MY106:MZ106"/>
    <mergeCell ref="MI106:MJ106"/>
    <mergeCell ref="MD108:MF108"/>
    <mergeCell ref="MR122:MS122"/>
    <mergeCell ref="MN122:MO122"/>
    <mergeCell ref="MP122:MQ122"/>
    <mergeCell ref="MF123:MO124"/>
    <mergeCell ref="MT119:MT120"/>
    <mergeCell ref="XH139:XH141"/>
    <mergeCell ref="XI139:XI141"/>
    <mergeCell ref="XJ139:XJ141"/>
    <mergeCell ref="XK139:XK141"/>
    <mergeCell ref="XM137:XM138"/>
    <mergeCell ref="NI106:NJ106"/>
    <mergeCell ref="PW99:PX100"/>
    <mergeCell ref="NU132:NV132"/>
    <mergeCell ref="NW132:NX132"/>
    <mergeCell ref="OC132:OD132"/>
    <mergeCell ref="NY132:NZ132"/>
    <mergeCell ref="OA132:OB132"/>
    <mergeCell ref="MC99:MD99"/>
    <mergeCell ref="MK98:MO99"/>
    <mergeCell ref="MI98:MJ98"/>
    <mergeCell ref="WV142:WW144"/>
    <mergeCell ref="WK142:WL142"/>
    <mergeCell ref="NW106:NX106"/>
    <mergeCell ref="MX119:MX120"/>
    <mergeCell ref="OA122:OB122"/>
    <mergeCell ref="NI108:NK108"/>
    <mergeCell ref="OC123:OD124"/>
    <mergeCell ref="QD126:QD127"/>
    <mergeCell ref="QE126:QF127"/>
    <mergeCell ref="PW119:PX119"/>
    <mergeCell ref="NB128:NC128"/>
    <mergeCell ref="OQ132:OR132"/>
    <mergeCell ref="OM132:ON132"/>
    <mergeCell ref="WZ148:XA150"/>
    <mergeCell ref="WK107:WL107"/>
    <mergeCell ref="WG134:WJ134"/>
    <mergeCell ref="MN118:MO118"/>
    <mergeCell ref="MN110:MO110"/>
    <mergeCell ref="MS108:MT108"/>
    <mergeCell ref="MC102:MD102"/>
    <mergeCell ref="MG99:MH99"/>
    <mergeCell ref="MQ129:NC130"/>
    <mergeCell ref="MY122:NB122"/>
    <mergeCell ref="QA119:QE119"/>
    <mergeCell ref="PX108:PY108"/>
    <mergeCell ref="WQ172:WR172"/>
    <mergeCell ref="WH154:WI154"/>
    <mergeCell ref="XP139:XP141"/>
    <mergeCell ref="XS142:XS144"/>
    <mergeCell ref="XT142:XT144"/>
    <mergeCell ref="XU142:XU144"/>
    <mergeCell ref="XV142:XV144"/>
    <mergeCell ref="XH151:XH154"/>
    <mergeCell ref="XI151:XI154"/>
    <mergeCell ref="XQ155:XQ157"/>
    <mergeCell ref="QB145:QC145"/>
    <mergeCell ref="PH131:PI131"/>
    <mergeCell ref="PJ131:PK131"/>
    <mergeCell ref="PS164:PT164"/>
    <mergeCell ref="PU164:PV164"/>
    <mergeCell ref="PS165:PT166"/>
    <mergeCell ref="PU165:PV166"/>
    <mergeCell ref="OO132:OP132"/>
    <mergeCell ref="NG132:NH132"/>
    <mergeCell ref="NU151:NV151"/>
    <mergeCell ref="OA123:OB124"/>
    <mergeCell ref="NQ123:NZ124"/>
    <mergeCell ref="WK172:WL172"/>
    <mergeCell ref="XI166:XI167"/>
    <mergeCell ref="QB140:QC140"/>
    <mergeCell ref="PY155:PZ156"/>
    <mergeCell ref="QH141:QH142"/>
    <mergeCell ref="QD141:QD142"/>
    <mergeCell ref="WM121:WP121"/>
    <mergeCell ref="XM131:XM133"/>
    <mergeCell ref="WQ121:WR121"/>
    <mergeCell ref="WZ160:XA160"/>
    <mergeCell ref="WZ161:XA161"/>
    <mergeCell ref="WZ162:XA162"/>
    <mergeCell ref="NF129:NG130"/>
    <mergeCell ref="NF128:NG128"/>
    <mergeCell ref="WG142:WJ142"/>
    <mergeCell ref="WS151:WT154"/>
    <mergeCell ref="WI153:WJ153"/>
    <mergeCell ref="WK155:WL155"/>
    <mergeCell ref="QB120:QD121"/>
    <mergeCell ref="OE119:OE120"/>
    <mergeCell ref="NY122:NZ122"/>
    <mergeCell ref="WK151:WL151"/>
    <mergeCell ref="WZ155:XA157"/>
    <mergeCell ref="WG135:WJ135"/>
    <mergeCell ref="WK137:WL137"/>
    <mergeCell ref="WN151:WO151"/>
    <mergeCell ref="XG151:XG154"/>
    <mergeCell ref="XG148:XG150"/>
    <mergeCell ref="WK134:WL134"/>
    <mergeCell ref="XR151:XR154"/>
    <mergeCell ref="XS151:XS154"/>
    <mergeCell ref="XR129:XR130"/>
    <mergeCell ref="XS129:XS130"/>
    <mergeCell ref="XT129:XT130"/>
    <mergeCell ref="XU129:XU130"/>
    <mergeCell ref="XV129:XV130"/>
    <mergeCell ref="WG153:WH153"/>
    <mergeCell ref="XQ121:XQ125"/>
    <mergeCell ref="XR121:XR125"/>
    <mergeCell ref="XV121:XV125"/>
    <mergeCell ref="PS144:PT144"/>
    <mergeCell ref="QH125:QN125"/>
    <mergeCell ref="MM162:MN163"/>
    <mergeCell ref="MS168:NC169"/>
    <mergeCell ref="NM165:NN165"/>
    <mergeCell ref="MZ157:MZ158"/>
    <mergeCell ref="NF171:NG171"/>
    <mergeCell ref="NF172:NG172"/>
    <mergeCell ref="QH109:QH110"/>
    <mergeCell ref="XH172:XH174"/>
    <mergeCell ref="XI172:XI174"/>
    <mergeCell ref="XJ172:XJ174"/>
    <mergeCell ref="XK172:XK174"/>
    <mergeCell ref="ND128:NE128"/>
    <mergeCell ref="NN123:NN124"/>
    <mergeCell ref="OF123:OH124"/>
    <mergeCell ref="OK132:OL132"/>
    <mergeCell ref="PN131:PO131"/>
    <mergeCell ref="PP131:PQ131"/>
    <mergeCell ref="OE132:OF132"/>
    <mergeCell ref="PU154:PV154"/>
    <mergeCell ref="PO109:PP109"/>
    <mergeCell ref="XS170:XS171"/>
    <mergeCell ref="XT170:XT171"/>
    <mergeCell ref="XU170:XU171"/>
    <mergeCell ref="XV170:XV171"/>
    <mergeCell ref="XG131:XL133"/>
    <mergeCell ref="WZ164:XA164"/>
    <mergeCell ref="YD98:YD100"/>
    <mergeCell ref="ZG101:ZG103"/>
    <mergeCell ref="ZH101:ZH103"/>
    <mergeCell ref="ZI101:ZI103"/>
    <mergeCell ref="ZJ101:ZJ103"/>
    <mergeCell ref="ZK101:ZK103"/>
    <mergeCell ref="ZL101:ZL103"/>
    <mergeCell ref="NY118:NZ118"/>
    <mergeCell ref="NO123:NP124"/>
    <mergeCell ref="XG142:XG144"/>
    <mergeCell ref="XG139:XG141"/>
    <mergeCell ref="XR134:XR136"/>
    <mergeCell ref="XS134:XS136"/>
    <mergeCell ref="XT134:XT136"/>
    <mergeCell ref="XU134:XU136"/>
    <mergeCell ref="XV134:XV136"/>
    <mergeCell ref="XH137:XH138"/>
    <mergeCell ref="XI137:XI138"/>
    <mergeCell ref="XJ137:XJ138"/>
    <mergeCell ref="XK137:XK138"/>
    <mergeCell ref="XL137:XL138"/>
    <mergeCell ref="MS136:MT136"/>
    <mergeCell ref="MU151:MV152"/>
    <mergeCell ref="MV156:MZ156"/>
    <mergeCell ref="QD145:QG145"/>
    <mergeCell ref="XN137:XN138"/>
    <mergeCell ref="XO137:XO138"/>
    <mergeCell ref="XP137:XP138"/>
    <mergeCell ref="XQ137:XQ138"/>
    <mergeCell ref="XR137:XR138"/>
    <mergeCell ref="XS137:XS138"/>
    <mergeCell ref="XT137:XT138"/>
    <mergeCell ref="XU137:XU138"/>
    <mergeCell ref="XV137:XV138"/>
    <mergeCell ref="XH142:XH144"/>
    <mergeCell ref="MX123:MX124"/>
    <mergeCell ref="NC122:NI122"/>
    <mergeCell ref="NC123:NI124"/>
    <mergeCell ref="ACV95:ACW95"/>
    <mergeCell ref="ADA95:ADB95"/>
    <mergeCell ref="ACT99:ACU99"/>
    <mergeCell ref="YU96:YU97"/>
    <mergeCell ref="YH96:YH97"/>
    <mergeCell ref="YI96:YI97"/>
    <mergeCell ref="YJ96:YJ97"/>
    <mergeCell ref="YK96:YK97"/>
    <mergeCell ref="ZF98:ZF100"/>
    <mergeCell ref="ZG98:ZG100"/>
    <mergeCell ref="YA88:YA89"/>
    <mergeCell ref="YB88:YB89"/>
    <mergeCell ref="YC88:YC89"/>
    <mergeCell ref="YD88:YD89"/>
    <mergeCell ref="YE88:YE89"/>
    <mergeCell ref="YL96:YL97"/>
    <mergeCell ref="ACO86:ACP86"/>
    <mergeCell ref="ACO87:ACP87"/>
    <mergeCell ref="ACT89:ACU89"/>
    <mergeCell ref="ACV94:ACW94"/>
    <mergeCell ref="XU80:XU81"/>
    <mergeCell ref="XV80:XV81"/>
    <mergeCell ref="XW80:XW81"/>
    <mergeCell ref="XX80:XX81"/>
    <mergeCell ref="XY80:XY81"/>
    <mergeCell ref="WQ126:WR126"/>
    <mergeCell ref="WG101:WJ101"/>
    <mergeCell ref="WZ110:XA110"/>
    <mergeCell ref="YP80:YP81"/>
    <mergeCell ref="YP96:YP97"/>
    <mergeCell ref="YQ96:YQ97"/>
    <mergeCell ref="YR96:YR97"/>
    <mergeCell ref="YW96:YW97"/>
    <mergeCell ref="YM96:YM97"/>
    <mergeCell ref="YN96:YN97"/>
    <mergeCell ref="YO96:YO97"/>
    <mergeCell ref="YP98:YP100"/>
    <mergeCell ref="XN96:XN97"/>
    <mergeCell ref="XO96:XO97"/>
    <mergeCell ref="YS96:YS97"/>
    <mergeCell ref="YT96:YT97"/>
    <mergeCell ref="WZ113:XA113"/>
    <mergeCell ref="WZ117:XA117"/>
    <mergeCell ref="WZ118:XA118"/>
    <mergeCell ref="YV88:YV89"/>
    <mergeCell ref="YW88:YW89"/>
    <mergeCell ref="YX88:YX89"/>
    <mergeCell ref="XR104:XR106"/>
    <mergeCell ref="XS104:XS106"/>
    <mergeCell ref="XT104:XT106"/>
    <mergeCell ref="XG88:XG89"/>
    <mergeCell ref="XH88:XH89"/>
    <mergeCell ref="XI88:XI89"/>
    <mergeCell ref="WZ104:XA106"/>
    <mergeCell ref="WG107:WJ107"/>
    <mergeCell ref="YR98:YR100"/>
    <mergeCell ref="YS98:YS100"/>
    <mergeCell ref="YT98:YT100"/>
    <mergeCell ref="YX98:YX100"/>
    <mergeCell ref="YU98:YU100"/>
    <mergeCell ref="YV98:YV100"/>
    <mergeCell ref="AAN126:AAN128"/>
    <mergeCell ref="YZ96:YZ97"/>
    <mergeCell ref="ACY104:ACZ104"/>
    <mergeCell ref="YQ139:YQ141"/>
    <mergeCell ref="YR139:YR141"/>
    <mergeCell ref="XW137:XW138"/>
    <mergeCell ref="XX137:XX138"/>
    <mergeCell ref="XY137:XY138"/>
    <mergeCell ref="XP134:XP136"/>
    <mergeCell ref="XQ134:XQ136"/>
    <mergeCell ref="YD139:YD141"/>
    <mergeCell ref="YM166:YM167"/>
    <mergeCell ref="YP166:YP167"/>
    <mergeCell ref="YQ166:YQ167"/>
    <mergeCell ref="YR166:YR167"/>
    <mergeCell ref="WZ158:XA158"/>
    <mergeCell ref="WM155:WN155"/>
    <mergeCell ref="WO155:WP155"/>
    <mergeCell ref="YN166:YN167"/>
    <mergeCell ref="YO166:YO167"/>
    <mergeCell ref="YS166:YS167"/>
    <mergeCell ref="YT166:YT167"/>
    <mergeCell ref="ZG168:ZG169"/>
    <mergeCell ref="ZH168:ZH169"/>
    <mergeCell ref="ZI168:ZI169"/>
    <mergeCell ref="ZJ168:ZJ169"/>
    <mergeCell ref="ZK168:ZK169"/>
    <mergeCell ref="ZL168:ZL169"/>
    <mergeCell ref="ZM168:ZM169"/>
    <mergeCell ref="ZN168:ZN169"/>
    <mergeCell ref="ZO168:ZO169"/>
    <mergeCell ref="AAE168:AAE169"/>
    <mergeCell ref="AAE166:AAE167"/>
    <mergeCell ref="ZZ155:ZZ157"/>
    <mergeCell ref="AAA155:AAA157"/>
    <mergeCell ref="AAB155:AAB157"/>
    <mergeCell ref="AAC155:AAC157"/>
    <mergeCell ref="ZH155:ZH157"/>
    <mergeCell ref="ZT137:ZT138"/>
    <mergeCell ref="ZU137:ZU138"/>
    <mergeCell ref="ZV137:ZV138"/>
    <mergeCell ref="ZX137:ZX138"/>
    <mergeCell ref="ZY137:ZY138"/>
    <mergeCell ref="ZL155:ZL157"/>
    <mergeCell ref="YZ151:YZ154"/>
    <mergeCell ref="YZ134:YZ136"/>
    <mergeCell ref="ZA134:ZA136"/>
    <mergeCell ref="YI166:YI167"/>
    <mergeCell ref="YJ166:YJ167"/>
    <mergeCell ref="YK166:YK167"/>
    <mergeCell ref="WZ168:XA169"/>
    <mergeCell ref="ZD168:ZD169"/>
    <mergeCell ref="YE151:YE154"/>
    <mergeCell ref="YF151:YF154"/>
    <mergeCell ref="YG151:YG154"/>
    <mergeCell ref="YH151:YH154"/>
    <mergeCell ref="YI151:YI154"/>
    <mergeCell ref="YJ151:YJ154"/>
    <mergeCell ref="YK151:YK154"/>
    <mergeCell ref="YM151:YM154"/>
    <mergeCell ref="YN151:YN154"/>
    <mergeCell ref="YE142:YE144"/>
    <mergeCell ref="YF142:YF144"/>
    <mergeCell ref="YG142:YG144"/>
    <mergeCell ref="AAI168:AAI169"/>
    <mergeCell ref="XK170:XK171"/>
    <mergeCell ref="XL170:XL171"/>
    <mergeCell ref="XJ166:XJ167"/>
    <mergeCell ref="XK166:XK167"/>
    <mergeCell ref="XL166:XL167"/>
    <mergeCell ref="AAJ98:AAJ100"/>
    <mergeCell ref="AAK98:AAK100"/>
    <mergeCell ref="AAL98:AAL100"/>
    <mergeCell ref="AAM98:AAM100"/>
    <mergeCell ref="WK170:WL170"/>
    <mergeCell ref="YZ168:YZ169"/>
    <mergeCell ref="ZA168:ZA169"/>
    <mergeCell ref="ZB168:ZB169"/>
    <mergeCell ref="ZC168:ZC169"/>
    <mergeCell ref="XJ168:XJ169"/>
    <mergeCell ref="XK168:XK169"/>
    <mergeCell ref="WZ131:XA133"/>
    <mergeCell ref="XL139:XL141"/>
    <mergeCell ref="XQ139:XQ141"/>
    <mergeCell ref="WK126:WL126"/>
    <mergeCell ref="YQ168:YQ169"/>
    <mergeCell ref="YR168:YR169"/>
    <mergeCell ref="YS168:YS169"/>
    <mergeCell ref="ZB134:ZB136"/>
    <mergeCell ref="ZC134:ZC136"/>
    <mergeCell ref="YH166:YH167"/>
    <mergeCell ref="ZE98:ZE100"/>
    <mergeCell ref="XG155:XG157"/>
    <mergeCell ref="YW98:YW100"/>
    <mergeCell ref="ZC98:ZC100"/>
    <mergeCell ref="XZ98:XZ100"/>
    <mergeCell ref="YE98:YE100"/>
    <mergeCell ref="YF98:YF100"/>
    <mergeCell ref="YG98:YG100"/>
    <mergeCell ref="YH98:YH100"/>
    <mergeCell ref="YI98:YI100"/>
    <mergeCell ref="YJ98:YJ100"/>
    <mergeCell ref="ZW98:ZW100"/>
    <mergeCell ref="WZ159:XA159"/>
    <mergeCell ref="XL168:XL169"/>
    <mergeCell ref="AAI98:AAI100"/>
    <mergeCell ref="AAJ129:AAJ130"/>
    <mergeCell ref="AAK129:AAK130"/>
    <mergeCell ref="AAL129:AAL130"/>
    <mergeCell ref="AAM129:AAM130"/>
    <mergeCell ref="AAH126:AAH128"/>
    <mergeCell ref="AAI126:AAI128"/>
    <mergeCell ref="AAJ126:AAJ128"/>
    <mergeCell ref="AAK126:AAK128"/>
    <mergeCell ref="AAL126:AAL128"/>
    <mergeCell ref="AAM126:AAM128"/>
    <mergeCell ref="YQ98:YQ100"/>
    <mergeCell ref="ZY101:ZY103"/>
    <mergeCell ref="ZZ101:ZZ103"/>
    <mergeCell ref="AAA101:AAA103"/>
    <mergeCell ref="AAB101:AAB103"/>
    <mergeCell ref="AAH98:AAH100"/>
    <mergeCell ref="YS104:YS106"/>
    <mergeCell ref="YT104:YT106"/>
    <mergeCell ref="YU104:YU106"/>
    <mergeCell ref="ZC107:ZC108"/>
    <mergeCell ref="ZD107:ZD108"/>
    <mergeCell ref="ZE107:ZE108"/>
    <mergeCell ref="ACR212:ACS212"/>
    <mergeCell ref="ACL227:ACM227"/>
    <mergeCell ref="ACL228:ACM228"/>
    <mergeCell ref="ACJ227:ACK227"/>
    <mergeCell ref="ACO227:ACP227"/>
    <mergeCell ref="ACQ227:ACR227"/>
    <mergeCell ref="ACT227:ACU227"/>
    <mergeCell ref="ACV227:ACW227"/>
    <mergeCell ref="ACY227:ACZ227"/>
    <mergeCell ref="ADA227:ADB227"/>
    <mergeCell ref="ADD227:ADE227"/>
    <mergeCell ref="ADF227:ADG227"/>
    <mergeCell ref="ADI227:ADJ227"/>
    <mergeCell ref="ADK227:ADL227"/>
    <mergeCell ref="ADN227:ADO227"/>
    <mergeCell ref="ACL230:ACM230"/>
    <mergeCell ref="AAN98:AAN100"/>
    <mergeCell ref="AAO98:AAO100"/>
    <mergeCell ref="AAP98:AAP100"/>
    <mergeCell ref="ADA97:ADB97"/>
    <mergeCell ref="ADD97:ADE97"/>
    <mergeCell ref="ADF97:ADG97"/>
    <mergeCell ref="ADI97:ADJ97"/>
    <mergeCell ref="ADK97:ADL97"/>
    <mergeCell ref="ADN97:ADO97"/>
    <mergeCell ref="AAN96:AAN97"/>
    <mergeCell ref="AAO96:AAO97"/>
    <mergeCell ref="AAP96:AAP97"/>
    <mergeCell ref="AAQ96:AAQ97"/>
    <mergeCell ref="ADA96:ADB96"/>
    <mergeCell ref="ADD96:ADE96"/>
    <mergeCell ref="ADF96:ADG96"/>
    <mergeCell ref="ACQ124:ACR124"/>
    <mergeCell ref="ACY119:ACZ119"/>
    <mergeCell ref="ACY120:ACZ120"/>
    <mergeCell ref="ADK110:ADL110"/>
    <mergeCell ref="ADN108:ADO108"/>
    <mergeCell ref="ACL110:ACM110"/>
    <mergeCell ref="ACL111:ACM111"/>
    <mergeCell ref="ACT100:ACU100"/>
    <mergeCell ref="ACT98:ACU98"/>
    <mergeCell ref="ACL109:ACM109"/>
    <mergeCell ref="ADA100:ADB100"/>
    <mergeCell ref="ACO103:ACP103"/>
    <mergeCell ref="AAN119:AAN120"/>
    <mergeCell ref="ACT229:ACU229"/>
    <mergeCell ref="ACV229:ACW229"/>
    <mergeCell ref="ACY229:ACZ229"/>
    <mergeCell ref="ADA229:ADB229"/>
    <mergeCell ref="ADK102:ADL102"/>
    <mergeCell ref="ADN102:ADO102"/>
    <mergeCell ref="ADD102:ADE102"/>
    <mergeCell ref="ADF102:ADG102"/>
    <mergeCell ref="ADI102:ADJ102"/>
    <mergeCell ref="ACV105:ACW105"/>
    <mergeCell ref="ADA105:ADB105"/>
    <mergeCell ref="ACY98:ACZ98"/>
    <mergeCell ref="ACY102:ACZ102"/>
    <mergeCell ref="ACL101:ACM101"/>
    <mergeCell ref="ACR219:ACS219"/>
    <mergeCell ref="ADN168:ADO168"/>
    <mergeCell ref="ADD229:ADE229"/>
    <mergeCell ref="ADF229:ADG229"/>
    <mergeCell ref="ADI229:ADJ229"/>
    <mergeCell ref="AAF175:AAF177"/>
    <mergeCell ref="AAG175:AAG177"/>
    <mergeCell ref="ACQ108:ACR108"/>
    <mergeCell ref="ACQ105:ACR105"/>
    <mergeCell ref="ACQ106:ACR106"/>
    <mergeCell ref="AAO104:AAO106"/>
    <mergeCell ref="AAP104:AAP106"/>
    <mergeCell ref="AAQ104:AAQ106"/>
    <mergeCell ref="AAR104:AAR106"/>
    <mergeCell ref="AAS104:AAS106"/>
    <mergeCell ref="AAN175:AAN177"/>
    <mergeCell ref="AAO175:AAO177"/>
    <mergeCell ref="AAP175:AAP177"/>
    <mergeCell ref="AAQ175:AAQ177"/>
    <mergeCell ref="AAR175:AAR177"/>
    <mergeCell ref="AAS175:AAS177"/>
    <mergeCell ref="AAF168:AAF169"/>
    <mergeCell ref="AAG168:AAG169"/>
    <mergeCell ref="AAJ168:AAJ169"/>
    <mergeCell ref="AAK168:AAK169"/>
    <mergeCell ref="AAL168:AAL169"/>
    <mergeCell ref="AAH166:AAH167"/>
    <mergeCell ref="AAI166:AAI167"/>
    <mergeCell ref="AAJ166:AAJ167"/>
    <mergeCell ref="AAK166:AAK167"/>
    <mergeCell ref="AAL166:AAL167"/>
    <mergeCell ref="AAF166:AAF167"/>
    <mergeCell ref="AAG166:AAG167"/>
    <mergeCell ref="AAH168:AAH169"/>
    <mergeCell ref="ACQ107:ACR107"/>
    <mergeCell ref="AAU119:ABC120"/>
    <mergeCell ref="ACJ128:ACK128"/>
    <mergeCell ref="ACJ129:ACK129"/>
    <mergeCell ref="AAP166:AAP167"/>
    <mergeCell ref="AAQ166:AAQ167"/>
    <mergeCell ref="AAR166:AAR167"/>
    <mergeCell ref="AAS166:AAS167"/>
    <mergeCell ref="ACO104:ACP104"/>
    <mergeCell ref="ACQ119:ACR119"/>
    <mergeCell ref="ACJ104:ACK104"/>
    <mergeCell ref="ACJ105:ACK105"/>
    <mergeCell ref="ACO105:ACP105"/>
    <mergeCell ref="AAU142:ABC144"/>
    <mergeCell ref="ACJ113:ACK113"/>
    <mergeCell ref="ACJ116:ACK116"/>
    <mergeCell ref="ACO124:ACP124"/>
    <mergeCell ref="ACJ158:ACK158"/>
    <mergeCell ref="ACL158:ACM158"/>
    <mergeCell ref="ACO158:ACP158"/>
    <mergeCell ref="ACL153:ACM153"/>
    <mergeCell ref="ACO153:ACP153"/>
    <mergeCell ref="ACQ153:ACR153"/>
    <mergeCell ref="ACL161:ACM161"/>
    <mergeCell ref="ACO161:ACP161"/>
    <mergeCell ref="ACQ161:ACR161"/>
    <mergeCell ref="ACJ157:ACK157"/>
    <mergeCell ref="AAN151:AAN154"/>
    <mergeCell ref="AAO151:AAO154"/>
    <mergeCell ref="AAO119:AAO120"/>
    <mergeCell ref="AAP119:AAP120"/>
    <mergeCell ref="ACL129:ACM129"/>
    <mergeCell ref="ACJ130:ACK130"/>
    <mergeCell ref="ACJ168:ACK168"/>
    <mergeCell ref="AAS121:AAS125"/>
    <mergeCell ref="AHH277:AHP277"/>
    <mergeCell ref="AHB243:AHC243"/>
    <mergeCell ref="AHG257:AHG258"/>
    <mergeCell ref="AHB262:AHC263"/>
    <mergeCell ref="AHD290:AHD291"/>
    <mergeCell ref="AHE290:AHF291"/>
    <mergeCell ref="AHB20:AHC20"/>
    <mergeCell ref="AHH282:AHK282"/>
    <mergeCell ref="AHG278:AHG279"/>
    <mergeCell ref="AGS282:AGT282"/>
    <mergeCell ref="AGM238:AGN238"/>
    <mergeCell ref="ADS229:ADT229"/>
    <mergeCell ref="ADU229:ADV229"/>
    <mergeCell ref="AGL289:AGL291"/>
    <mergeCell ref="AHD262:AHD263"/>
    <mergeCell ref="AHD236:AHH236"/>
    <mergeCell ref="AHB261:AHC261"/>
    <mergeCell ref="AGX289:AGY289"/>
    <mergeCell ref="AHB150:AHC150"/>
    <mergeCell ref="AHG175:AHG176"/>
    <mergeCell ref="ADX101:ADY101"/>
    <mergeCell ref="ADS95:ADT95"/>
    <mergeCell ref="ADU95:ADV95"/>
    <mergeCell ref="AHJ72:AHL73"/>
    <mergeCell ref="AGO79:AGP79"/>
    <mergeCell ref="AGZ86:AHB87"/>
    <mergeCell ref="AHB62:AHC63"/>
    <mergeCell ref="AHD62:AHE63"/>
    <mergeCell ref="AGO63:AGP63"/>
    <mergeCell ref="AHC67:AHC68"/>
    <mergeCell ref="AHB72:AHC73"/>
    <mergeCell ref="AGL77:AGL79"/>
    <mergeCell ref="AGZ109:AHA110"/>
    <mergeCell ref="AHH227:AHO228"/>
    <mergeCell ref="AEE163:AEF163"/>
    <mergeCell ref="AEE162:AEF162"/>
    <mergeCell ref="AER152:AET152"/>
    <mergeCell ref="AEY156:AEZ156"/>
    <mergeCell ref="AEH235:AEI235"/>
    <mergeCell ref="AEJ235:AEK235"/>
    <mergeCell ref="AGZ237:AHA238"/>
    <mergeCell ref="AGM198:AGN198"/>
    <mergeCell ref="AGO198:AGP198"/>
    <mergeCell ref="AGM199:AGN199"/>
    <mergeCell ref="AGZ131:AHA131"/>
    <mergeCell ref="AHB121:AHC121"/>
    <mergeCell ref="AGQ237:AGY239"/>
    <mergeCell ref="AGM192:AGY193"/>
    <mergeCell ref="AGO195:AGP195"/>
    <mergeCell ref="AGZ177:AHG177"/>
    <mergeCell ref="AHB180:AHC181"/>
    <mergeCell ref="AEC252:AED252"/>
    <mergeCell ref="AEE252:AEF252"/>
    <mergeCell ref="ADS158:ADT158"/>
    <mergeCell ref="AHD114:AHG114"/>
    <mergeCell ref="AEM47:AEN47"/>
    <mergeCell ref="AEO47:AEP47"/>
    <mergeCell ref="ADS259:ADT259"/>
    <mergeCell ref="ADU259:ADV259"/>
    <mergeCell ref="ADX259:ADY259"/>
    <mergeCell ref="ADS35:ADT35"/>
    <mergeCell ref="ADS100:ADT100"/>
    <mergeCell ref="ADU100:ADV100"/>
    <mergeCell ref="AGX243:AGY243"/>
    <mergeCell ref="ADU256:ADV256"/>
    <mergeCell ref="ADX256:ADY256"/>
    <mergeCell ref="AGL277:AGL280"/>
    <mergeCell ref="AGZ280:AHG280"/>
    <mergeCell ref="AGL293:AGL295"/>
    <mergeCell ref="AGX293:AGY293"/>
    <mergeCell ref="AGZ293:AHA293"/>
    <mergeCell ref="AHB293:AHC293"/>
    <mergeCell ref="AHA66:AHB66"/>
    <mergeCell ref="AGN62:AGN64"/>
    <mergeCell ref="AGO62:AGP62"/>
    <mergeCell ref="AGO68:AGP68"/>
    <mergeCell ref="AGO57:AGP57"/>
    <mergeCell ref="AGQ57:AGR57"/>
    <mergeCell ref="AGS56:AGT56"/>
    <mergeCell ref="AGP140:AGR140"/>
    <mergeCell ref="AGZ136:AHA136"/>
    <mergeCell ref="AHB136:AHC136"/>
    <mergeCell ref="AGX145:AGY145"/>
    <mergeCell ref="AGZ145:AHA145"/>
    <mergeCell ref="AGO204:AGP204"/>
    <mergeCell ref="AGO245:AGP245"/>
    <mergeCell ref="AHC162:AHD163"/>
    <mergeCell ref="AHD132:AHD133"/>
    <mergeCell ref="AHG132:AHG133"/>
    <mergeCell ref="AHH180:AHO182"/>
    <mergeCell ref="AHH179:AHO179"/>
    <mergeCell ref="AHI211:AHN211"/>
    <mergeCell ref="AHI212:AHN213"/>
    <mergeCell ref="AGL256:AGL259"/>
    <mergeCell ref="AHG67:AHI68"/>
    <mergeCell ref="AGZ294:AHA295"/>
    <mergeCell ref="AFE136:AFF136"/>
    <mergeCell ref="AFC137:AFD137"/>
    <mergeCell ref="AFE137:AFF137"/>
    <mergeCell ref="AEM227:AEN227"/>
    <mergeCell ref="AEO227:AEP227"/>
    <mergeCell ref="AEH228:AEI228"/>
    <mergeCell ref="AEJ228:AEK228"/>
    <mergeCell ref="AEM228:AEN228"/>
    <mergeCell ref="AEO228:AEP228"/>
    <mergeCell ref="AHE188:AHE189"/>
    <mergeCell ref="AHF188:AHG189"/>
    <mergeCell ref="AHB137:AHC138"/>
    <mergeCell ref="AHD137:AHD138"/>
    <mergeCell ref="AHE137:AHF138"/>
    <mergeCell ref="AGZ114:AHA114"/>
    <mergeCell ref="AHD222:AHG222"/>
    <mergeCell ref="AHD223:AHD224"/>
    <mergeCell ref="AEJ227:AEK227"/>
    <mergeCell ref="AFE139:AFF139"/>
    <mergeCell ref="AFC140:AFD140"/>
    <mergeCell ref="AFE140:AFF140"/>
    <mergeCell ref="AFC141:AFD141"/>
    <mergeCell ref="AFE141:AFF141"/>
    <mergeCell ref="AEO90:AEP90"/>
    <mergeCell ref="AEE91:AEF91"/>
    <mergeCell ref="AEH86:AEI86"/>
    <mergeCell ref="AHC86:AHD87"/>
    <mergeCell ref="AHI85:AHP85"/>
    <mergeCell ref="AGO69:AGR69"/>
    <mergeCell ref="AHB268:AHC268"/>
    <mergeCell ref="AGL273:AGL275"/>
    <mergeCell ref="AGQ293:AGR293"/>
    <mergeCell ref="AGR269:AGY271"/>
    <mergeCell ref="AGX268:AGY268"/>
    <mergeCell ref="AGO187:AGO189"/>
    <mergeCell ref="AGL226:AGL228"/>
    <mergeCell ref="AGL222:AGL224"/>
    <mergeCell ref="AGX236:AGY236"/>
    <mergeCell ref="AGX249:AGY249"/>
    <mergeCell ref="AGZ249:AHA249"/>
    <mergeCell ref="AGO66:AGP66"/>
    <mergeCell ref="AGO71:AGP71"/>
    <mergeCell ref="AGM77:AGN77"/>
    <mergeCell ref="AGM99:AGN99"/>
    <mergeCell ref="AGM108:AGN108"/>
    <mergeCell ref="AGM114:AGN114"/>
    <mergeCell ref="AGZ182:AHG182"/>
    <mergeCell ref="AHA188:AHB189"/>
    <mergeCell ref="AHD192:AHD193"/>
    <mergeCell ref="AGS140:AGT140"/>
    <mergeCell ref="AHF57:AHF58"/>
    <mergeCell ref="AHG57:AHH58"/>
    <mergeCell ref="AHC44:AHD44"/>
    <mergeCell ref="AHA45:AHB46"/>
    <mergeCell ref="AGQ58:AGR58"/>
    <mergeCell ref="AHF61:AHI61"/>
    <mergeCell ref="AGM239:AGN239"/>
    <mergeCell ref="AHE180:AHF181"/>
    <mergeCell ref="AGP274:AGQ274"/>
    <mergeCell ref="AGO247:AGP247"/>
    <mergeCell ref="AHD67:AHE68"/>
    <mergeCell ref="AHF67:AHF68"/>
    <mergeCell ref="AGL236:AGL239"/>
    <mergeCell ref="AGL243:AGL245"/>
    <mergeCell ref="AGQ151:AGY153"/>
    <mergeCell ref="AHE141:AHF142"/>
    <mergeCell ref="AHB99:AHC99"/>
    <mergeCell ref="AGO100:AGP100"/>
    <mergeCell ref="AGZ100:AHA101"/>
    <mergeCell ref="AGZ115:AHA116"/>
    <mergeCell ref="AGL268:AGL271"/>
    <mergeCell ref="AGO215:AGP215"/>
    <mergeCell ref="AHH202:AHL202"/>
    <mergeCell ref="AHI86:AHP88"/>
    <mergeCell ref="AGQ100:AGY101"/>
    <mergeCell ref="AHI92:AHO92"/>
    <mergeCell ref="AGO94:AGP94"/>
    <mergeCell ref="AGL103:AGN105"/>
    <mergeCell ref="AHH100:AHH101"/>
    <mergeCell ref="AGO101:AGP101"/>
    <mergeCell ref="AGZ92:AHA92"/>
    <mergeCell ref="AHI100:AHO101"/>
    <mergeCell ref="AHE44:AHH44"/>
    <mergeCell ref="AHE86:AHE87"/>
    <mergeCell ref="AHG66:AHI66"/>
    <mergeCell ref="AHB92:AHC92"/>
    <mergeCell ref="AGM94:AGN94"/>
    <mergeCell ref="AGR254:AHB254"/>
    <mergeCell ref="AGP167:AGQ167"/>
    <mergeCell ref="AGT168:AGZ170"/>
    <mergeCell ref="AHD150:AHH150"/>
    <mergeCell ref="AHE151:AHG152"/>
    <mergeCell ref="AHE85:AHH85"/>
    <mergeCell ref="AGO64:AGR64"/>
    <mergeCell ref="AGM243:AGN243"/>
    <mergeCell ref="AGM249:AGN249"/>
    <mergeCell ref="AMH4:AMM4"/>
    <mergeCell ref="ADZ21:AEA21"/>
    <mergeCell ref="AGQ26:AGR26"/>
    <mergeCell ref="ADX22:ADY22"/>
    <mergeCell ref="AHH233:AHH234"/>
    <mergeCell ref="ACT32:ACU32"/>
    <mergeCell ref="ACT57:ACU57"/>
    <mergeCell ref="ACV57:ACW57"/>
    <mergeCell ref="ACT58:ACU58"/>
    <mergeCell ref="ACV58:ACW58"/>
    <mergeCell ref="ACT59:ACU59"/>
    <mergeCell ref="ACV59:ACW59"/>
    <mergeCell ref="ACT60:ACU60"/>
    <mergeCell ref="ADU17:ADV17"/>
    <mergeCell ref="ADK47:ADL47"/>
    <mergeCell ref="ADS18:ADT18"/>
    <mergeCell ref="ADU18:ADV18"/>
    <mergeCell ref="ADN27:ADO27"/>
    <mergeCell ref="ACY37:ACZ37"/>
    <mergeCell ref="ACY38:ACZ38"/>
    <mergeCell ref="ADA38:ADB38"/>
    <mergeCell ref="ACY39:ACZ39"/>
    <mergeCell ref="ADA39:ADB39"/>
    <mergeCell ref="ADI59:ADJ59"/>
    <mergeCell ref="ADI60:ADJ60"/>
    <mergeCell ref="AIB22:AIC23"/>
    <mergeCell ref="AHJ66:AHN66"/>
    <mergeCell ref="AHJ67:AHN69"/>
    <mergeCell ref="ADA30:ADB30"/>
    <mergeCell ref="AEC49:AED49"/>
    <mergeCell ref="AEE49:AEF49"/>
    <mergeCell ref="AEC50:AED50"/>
    <mergeCell ref="AEC53:AED53"/>
    <mergeCell ref="AEE53:AEF53"/>
    <mergeCell ref="AEO33:AEP33"/>
    <mergeCell ref="ADZ57:AEA57"/>
    <mergeCell ref="ADX58:ADY58"/>
    <mergeCell ref="ADZ58:AEA58"/>
    <mergeCell ref="ADN60:ADO60"/>
    <mergeCell ref="ADD57:ADE57"/>
    <mergeCell ref="ADF57:ADG57"/>
    <mergeCell ref="ADD58:ADE58"/>
    <mergeCell ref="ADF58:ADG58"/>
    <mergeCell ref="ADD45:ADE45"/>
    <mergeCell ref="ADF45:ADG45"/>
    <mergeCell ref="ADD46:ADE46"/>
    <mergeCell ref="ADD47:ADE47"/>
    <mergeCell ref="ADA16:ADB16"/>
    <mergeCell ref="ACY16:ACZ16"/>
    <mergeCell ref="AGL145:AGL148"/>
    <mergeCell ref="AGL179:AGL182"/>
    <mergeCell ref="AGZ211:AHA211"/>
    <mergeCell ref="AGL218:AGL220"/>
    <mergeCell ref="AGQ67:AGR67"/>
    <mergeCell ref="AGN182:AGO182"/>
    <mergeCell ref="AGQ77:AGR77"/>
    <mergeCell ref="AGL150:AGL153"/>
    <mergeCell ref="AGL131:AGL134"/>
    <mergeCell ref="AHA67:AHB68"/>
    <mergeCell ref="AGO165:AGP165"/>
    <mergeCell ref="AGR96:AHB97"/>
    <mergeCell ref="AHC96:AHC97"/>
    <mergeCell ref="AHE93:AHG94"/>
    <mergeCell ref="ADD20:ADE20"/>
    <mergeCell ref="AGL320:AGL323"/>
    <mergeCell ref="AGZ323:AHG323"/>
    <mergeCell ref="AGL304:AGL307"/>
    <mergeCell ref="AGM305:AGY307"/>
    <mergeCell ref="AGZ307:AHG307"/>
    <mergeCell ref="AHH304:AHP304"/>
    <mergeCell ref="AHH305:AHP307"/>
    <mergeCell ref="AGL299:AGL302"/>
    <mergeCell ref="AHK313:AHQ313"/>
    <mergeCell ref="AHK314:AHQ315"/>
    <mergeCell ref="AGL313:AGL315"/>
    <mergeCell ref="AGO184:AGP184"/>
    <mergeCell ref="AGR184:AHB184"/>
    <mergeCell ref="AGQ309:AGR309"/>
    <mergeCell ref="AGM310:AGN310"/>
    <mergeCell ref="AGM311:AGN311"/>
    <mergeCell ref="AGQ310:AGV311"/>
    <mergeCell ref="AHH320:AHO320"/>
    <mergeCell ref="AGV313:AGW313"/>
    <mergeCell ref="AGX313:AGZ313"/>
    <mergeCell ref="AHA313:AHC313"/>
    <mergeCell ref="AHH321:AHO323"/>
    <mergeCell ref="AHE294:AHF295"/>
    <mergeCell ref="AGW309:AGY309"/>
    <mergeCell ref="AGW310:AGY311"/>
    <mergeCell ref="AGZ310:AHB311"/>
    <mergeCell ref="AGM252:AGN252"/>
    <mergeCell ref="AGO252:AGP252"/>
    <mergeCell ref="AGM245:AGN245"/>
    <mergeCell ref="AHH198:AHH199"/>
    <mergeCell ref="AGL309:AGL311"/>
    <mergeCell ref="AHI243:AHN243"/>
    <mergeCell ref="AHI244:AHN245"/>
    <mergeCell ref="AHD261:AHG261"/>
    <mergeCell ref="AHG262:AHG263"/>
    <mergeCell ref="AHD257:AHD258"/>
    <mergeCell ref="AGM274:AGO274"/>
    <mergeCell ref="AHH222:AHO222"/>
    <mergeCell ref="AHH223:AHO224"/>
    <mergeCell ref="AGZ289:AHA289"/>
    <mergeCell ref="AHB289:AHC289"/>
    <mergeCell ref="AHD289:AHG289"/>
    <mergeCell ref="AHG274:AHG275"/>
    <mergeCell ref="AGX256:AGY256"/>
    <mergeCell ref="AHB273:AHC273"/>
    <mergeCell ref="AHD269:AHD270"/>
    <mergeCell ref="AGZ274:AHA275"/>
    <mergeCell ref="AHE257:AHF258"/>
    <mergeCell ref="AGO317:AGP318"/>
    <mergeCell ref="AGR317:AHB318"/>
    <mergeCell ref="AHE300:AHG301"/>
    <mergeCell ref="AHD299:AHH299"/>
    <mergeCell ref="AGZ299:AHA299"/>
    <mergeCell ref="AHB299:AHC299"/>
    <mergeCell ref="AHH300:AHH301"/>
    <mergeCell ref="AHD300:AHD301"/>
    <mergeCell ref="AGQ317:AGQ318"/>
    <mergeCell ref="AGQ299:AGR299"/>
    <mergeCell ref="AGZ300:AHA301"/>
    <mergeCell ref="AHB300:AHC301"/>
    <mergeCell ref="AHB278:AHC279"/>
    <mergeCell ref="AGM203:AGN203"/>
    <mergeCell ref="AGO203:AGP203"/>
    <mergeCell ref="AGM202:AGN202"/>
    <mergeCell ref="AHB320:AHC320"/>
    <mergeCell ref="AHD320:AHG320"/>
    <mergeCell ref="AHH278:AHP280"/>
    <mergeCell ref="AHB282:AHC282"/>
    <mergeCell ref="AGZ262:AHA263"/>
    <mergeCell ref="AGR262:AGY265"/>
    <mergeCell ref="AGZ264:AHG265"/>
    <mergeCell ref="AHH262:AHS265"/>
    <mergeCell ref="AGO219:AGP219"/>
    <mergeCell ref="AGM220:AGN220"/>
    <mergeCell ref="AGO220:AGP220"/>
    <mergeCell ref="AGQ218:AGY220"/>
    <mergeCell ref="AGP270:AGQ270"/>
    <mergeCell ref="AGM271:AGQ271"/>
    <mergeCell ref="AGQ252:AGT252"/>
    <mergeCell ref="AHD232:AHH232"/>
    <mergeCell ref="AHE233:AHG234"/>
    <mergeCell ref="AGQ244:AGY245"/>
    <mergeCell ref="AGM244:AGN244"/>
    <mergeCell ref="AGM250:AGN250"/>
    <mergeCell ref="AGO250:AGP250"/>
    <mergeCell ref="AHE250:AHG251"/>
    <mergeCell ref="AHD249:AHH249"/>
    <mergeCell ref="AGQ250:AGR250"/>
    <mergeCell ref="AHG290:AHG291"/>
    <mergeCell ref="AHB290:AHC291"/>
    <mergeCell ref="AHH290:AHK291"/>
    <mergeCell ref="AGM291:AGN291"/>
    <mergeCell ref="AGZ283:AHA284"/>
    <mergeCell ref="AHB283:AHC284"/>
    <mergeCell ref="AHD283:AHD284"/>
    <mergeCell ref="AHG294:AHG295"/>
    <mergeCell ref="AHI268:AHN268"/>
    <mergeCell ref="AHI269:AHN271"/>
    <mergeCell ref="AGZ305:AHA306"/>
    <mergeCell ref="AGO241:AGP241"/>
    <mergeCell ref="AGR241:AHB241"/>
    <mergeCell ref="AHE283:AHF284"/>
    <mergeCell ref="AGM283:AGN283"/>
    <mergeCell ref="AGX282:AGY282"/>
    <mergeCell ref="AHH250:AHH251"/>
    <mergeCell ref="AHD304:AHG304"/>
    <mergeCell ref="AHI299:AHR299"/>
    <mergeCell ref="AHI300:AHR302"/>
    <mergeCell ref="AHH274:AHR275"/>
    <mergeCell ref="AGS250:AGT250"/>
    <mergeCell ref="AGQ251:AGR251"/>
    <mergeCell ref="AGS251:AGT251"/>
    <mergeCell ref="AGO249:AGP249"/>
    <mergeCell ref="AHD243:AHH243"/>
    <mergeCell ref="AHE244:AHG245"/>
    <mergeCell ref="AHH244:AHH245"/>
    <mergeCell ref="AHH257:AHM259"/>
    <mergeCell ref="AHH261:AHS261"/>
    <mergeCell ref="AGZ256:AHA256"/>
    <mergeCell ref="AGX222:AGY222"/>
    <mergeCell ref="AGM251:AGN251"/>
    <mergeCell ref="AHH237:AHH238"/>
    <mergeCell ref="AGO244:AGP244"/>
    <mergeCell ref="AGM233:AGY234"/>
    <mergeCell ref="AHB274:AHC275"/>
    <mergeCell ref="AGZ268:AHA268"/>
    <mergeCell ref="AHE278:AHF279"/>
    <mergeCell ref="AGZ282:AHA282"/>
    <mergeCell ref="AGM258:AGO258"/>
    <mergeCell ref="AGM259:AGO259"/>
    <mergeCell ref="AGM257:AGO257"/>
    <mergeCell ref="AGR257:AGY259"/>
    <mergeCell ref="AGR141:AGY143"/>
    <mergeCell ref="AGM141:AGO141"/>
    <mergeCell ref="AKR4:AKU4"/>
    <mergeCell ref="AIO6:AIP7"/>
    <mergeCell ref="WZ33:XA34"/>
    <mergeCell ref="AIK2:AIL3"/>
    <mergeCell ref="AIK4:AIL5"/>
    <mergeCell ref="AHE14:AHH14"/>
    <mergeCell ref="AHE15:AHE16"/>
    <mergeCell ref="AGO25:AGP25"/>
    <mergeCell ref="AGO26:AGP26"/>
    <mergeCell ref="AGZ28:AHA28"/>
    <mergeCell ref="ACY93:ACZ93"/>
    <mergeCell ref="ACT94:ACU94"/>
    <mergeCell ref="ADA32:ADB32"/>
    <mergeCell ref="ACT46:ACU46"/>
    <mergeCell ref="ACV47:ACW47"/>
    <mergeCell ref="YJ57:YJ58"/>
    <mergeCell ref="YG27:YG28"/>
    <mergeCell ref="XR37:XR38"/>
    <mergeCell ref="XS37:XS38"/>
    <mergeCell ref="XT37:XT38"/>
    <mergeCell ref="AEM15:AEN15"/>
    <mergeCell ref="AEM13:AEN13"/>
    <mergeCell ref="AEH13:AEI13"/>
    <mergeCell ref="AEJ13:AEK13"/>
    <mergeCell ref="AEH14:AEI14"/>
    <mergeCell ref="AEO20:AEP20"/>
    <mergeCell ref="AEM29:AEN29"/>
    <mergeCell ref="AEJ27:AEK27"/>
    <mergeCell ref="AEH28:AEI28"/>
    <mergeCell ref="ADK57:ADL57"/>
    <mergeCell ref="ACL86:ACM86"/>
    <mergeCell ref="AEC40:AED40"/>
    <mergeCell ref="ADF53:ADG53"/>
    <mergeCell ref="ADD54:ADE54"/>
    <mergeCell ref="ADF54:ADG54"/>
    <mergeCell ref="ADD55:ADE55"/>
    <mergeCell ref="ACV46:ACW46"/>
    <mergeCell ref="ADI52:ADJ52"/>
    <mergeCell ref="ADI53:ADJ53"/>
    <mergeCell ref="ADK59:ADL59"/>
    <mergeCell ref="ADA34:ADB34"/>
    <mergeCell ref="ADI46:ADJ46"/>
    <mergeCell ref="ADP25:ADQ25"/>
    <mergeCell ref="ADF55:ADG55"/>
    <mergeCell ref="ADD59:ADE59"/>
    <mergeCell ref="ADN25:ADO25"/>
    <mergeCell ref="ADS51:ADT51"/>
    <mergeCell ref="ADU51:ADV51"/>
    <mergeCell ref="AEC61:AED61"/>
    <mergeCell ref="ACY31:ACZ31"/>
    <mergeCell ref="ADX35:ADY35"/>
    <mergeCell ref="ADX36:ADY36"/>
    <mergeCell ref="ADX37:ADY37"/>
    <mergeCell ref="ADX38:ADY38"/>
    <mergeCell ref="ADX39:ADY39"/>
    <mergeCell ref="XO51:XO52"/>
    <mergeCell ref="XP51:XP52"/>
    <mergeCell ref="ADS256:ADT256"/>
    <mergeCell ref="AGO332:AGP332"/>
    <mergeCell ref="AGS21:AHA22"/>
    <mergeCell ref="AHL24:AHT24"/>
    <mergeCell ref="AHA14:AHB14"/>
    <mergeCell ref="AHC14:AHD14"/>
    <mergeCell ref="AII2:AIJ3"/>
    <mergeCell ref="AGY14:AGZ14"/>
    <mergeCell ref="AGN15:AGZ16"/>
    <mergeCell ref="AGL14:AGL16"/>
    <mergeCell ref="AII4:AIJ5"/>
    <mergeCell ref="ADS60:ADT60"/>
    <mergeCell ref="ADU60:ADV60"/>
    <mergeCell ref="ADZ34:AEA34"/>
    <mergeCell ref="AEC31:AED31"/>
    <mergeCell ref="AEC33:AED33"/>
    <mergeCell ref="ADU23:ADV23"/>
    <mergeCell ref="ADU24:ADV24"/>
    <mergeCell ref="ADI62:ADJ62"/>
    <mergeCell ref="ADI61:ADJ61"/>
    <mergeCell ref="ADS15:ADT15"/>
    <mergeCell ref="ADK60:ADL60"/>
    <mergeCell ref="ADX16:ADY16"/>
    <mergeCell ref="AEE21:AEF21"/>
    <mergeCell ref="ADX23:ADY23"/>
    <mergeCell ref="ADX24:ADY24"/>
    <mergeCell ref="AEH26:AEI26"/>
    <mergeCell ref="AEJ26:AEK26"/>
    <mergeCell ref="ADX25:ADY25"/>
    <mergeCell ref="ADX26:ADY26"/>
    <mergeCell ref="ADX27:ADY27"/>
    <mergeCell ref="AEC28:AED28"/>
    <mergeCell ref="ADF48:ADG48"/>
    <mergeCell ref="ADF49:ADG49"/>
    <mergeCell ref="ADF50:ADG50"/>
    <mergeCell ref="ADS24:ADT24"/>
    <mergeCell ref="AHD314:AHE315"/>
    <mergeCell ref="AHF314:AHF315"/>
    <mergeCell ref="AHG314:AHI315"/>
    <mergeCell ref="AGR247:AHB247"/>
    <mergeCell ref="AHJ314:AHJ315"/>
    <mergeCell ref="AHE310:AHE311"/>
    <mergeCell ref="AHI310:AHI311"/>
    <mergeCell ref="AHJ310:AHP311"/>
    <mergeCell ref="AHJ309:AHP309"/>
    <mergeCell ref="AHF310:AHH311"/>
    <mergeCell ref="AHE309:AHI309"/>
    <mergeCell ref="AGM275:AGO275"/>
    <mergeCell ref="AHG283:AHG284"/>
    <mergeCell ref="AHL104:AHL105"/>
    <mergeCell ref="AHH114:AHN114"/>
    <mergeCell ref="AHH174:AHO174"/>
    <mergeCell ref="AGP257:AGQ257"/>
    <mergeCell ref="AGZ290:AHA291"/>
    <mergeCell ref="AHE227:AHF228"/>
    <mergeCell ref="AHI93:AHO94"/>
    <mergeCell ref="ADF17:ADG17"/>
    <mergeCell ref="AGT299:AGU299"/>
    <mergeCell ref="AGT304:AGU304"/>
    <mergeCell ref="AHH289:AHK289"/>
    <mergeCell ref="AGZ269:AHA270"/>
    <mergeCell ref="AHB269:AHC270"/>
    <mergeCell ref="AHD268:AHH268"/>
    <mergeCell ref="AGS249:AGT249"/>
    <mergeCell ref="AHB223:AHC224"/>
    <mergeCell ref="AHD293:AHG293"/>
    <mergeCell ref="AHH256:AHM256"/>
    <mergeCell ref="AEE45:AEF45"/>
    <mergeCell ref="AGL282:AGL285"/>
    <mergeCell ref="AGM115:AGN115"/>
    <mergeCell ref="ADZ25:AEA25"/>
    <mergeCell ref="ADZ26:AEA26"/>
    <mergeCell ref="AEJ28:AEK28"/>
    <mergeCell ref="AEE18:AEF18"/>
    <mergeCell ref="AEJ32:AEK32"/>
    <mergeCell ref="AEH33:AEI33"/>
    <mergeCell ref="ADK235:ADL235"/>
    <mergeCell ref="ADN235:ADO235"/>
    <mergeCell ref="ADP235:ADQ235"/>
    <mergeCell ref="ADS235:ADT235"/>
    <mergeCell ref="ADU235:ADV235"/>
    <mergeCell ref="ADX235:ADY235"/>
    <mergeCell ref="AHB294:AHC295"/>
    <mergeCell ref="AHD294:AHD295"/>
    <mergeCell ref="AHH293:AHJ293"/>
    <mergeCell ref="AHH294:AHJ295"/>
    <mergeCell ref="AGP280:AGQ280"/>
    <mergeCell ref="AHB141:AHC142"/>
    <mergeCell ref="AGZ259:AHG259"/>
    <mergeCell ref="AHH175:AHO177"/>
    <mergeCell ref="AHH192:AHH193"/>
    <mergeCell ref="AHI197:AHT197"/>
    <mergeCell ref="AGO230:AGP230"/>
    <mergeCell ref="AGR230:AHB230"/>
    <mergeCell ref="AHH151:AHH152"/>
    <mergeCell ref="AHE269:AHG270"/>
    <mergeCell ref="AEC231:AED231"/>
    <mergeCell ref="ADU228:ADV228"/>
    <mergeCell ref="ADX228:ADY228"/>
    <mergeCell ref="ADZ228:AEA228"/>
    <mergeCell ref="AEC228:AED228"/>
    <mergeCell ref="AEE228:AEF228"/>
    <mergeCell ref="AEC227:AED227"/>
    <mergeCell ref="AEE227:AEF227"/>
    <mergeCell ref="ADU154:ADV154"/>
    <mergeCell ref="ADX154:ADY154"/>
    <mergeCell ref="ADZ154:AEA154"/>
    <mergeCell ref="ADX226:ADY226"/>
    <mergeCell ref="ADZ226:AEA226"/>
    <mergeCell ref="ADX229:ADY229"/>
    <mergeCell ref="ADZ229:AEA229"/>
    <mergeCell ref="AEC229:AED229"/>
    <mergeCell ref="AEE229:AEF229"/>
    <mergeCell ref="AEE230:AEF230"/>
    <mergeCell ref="AEE232:AEF232"/>
    <mergeCell ref="AEE233:AEF233"/>
    <mergeCell ref="ADZ256:AEA256"/>
    <mergeCell ref="AEC256:AED256"/>
    <mergeCell ref="AEE256:AEF256"/>
    <mergeCell ref="AEC272:AED272"/>
    <mergeCell ref="AEE272:AEF272"/>
    <mergeCell ref="AEE19:AEF19"/>
    <mergeCell ref="AHD250:AHD251"/>
    <mergeCell ref="AEM21:AEN21"/>
    <mergeCell ref="AGO287:AGP287"/>
    <mergeCell ref="AGR287:AHB287"/>
    <mergeCell ref="ADK20:ADL20"/>
    <mergeCell ref="ADS228:ADT228"/>
    <mergeCell ref="ADS227:ADT227"/>
    <mergeCell ref="AGZ304:AHA304"/>
    <mergeCell ref="AHB304:AHC304"/>
    <mergeCell ref="AHB145:AHC145"/>
    <mergeCell ref="WZ119:XA120"/>
    <mergeCell ref="ACO91:ACP91"/>
    <mergeCell ref="ACT113:ACU113"/>
    <mergeCell ref="ACL88:ACM88"/>
    <mergeCell ref="ADK55:ADL55"/>
    <mergeCell ref="ADK58:ADL58"/>
    <mergeCell ref="ADU62:ADV62"/>
    <mergeCell ref="ADS45:ADT45"/>
    <mergeCell ref="ADU45:ADV45"/>
    <mergeCell ref="ADS46:ADT46"/>
    <mergeCell ref="ADU46:ADV46"/>
    <mergeCell ref="ADS47:ADT47"/>
    <mergeCell ref="ADU47:ADV47"/>
    <mergeCell ref="ADS48:ADT48"/>
    <mergeCell ref="ADU48:ADV48"/>
    <mergeCell ref="ADF59:ADG59"/>
    <mergeCell ref="ADK49:ADL49"/>
    <mergeCell ref="ADK52:ADL52"/>
    <mergeCell ref="ADK53:ADL53"/>
    <mergeCell ref="ADK50:ADL50"/>
    <mergeCell ref="ACV52:ACW52"/>
    <mergeCell ref="ADA50:ADB50"/>
    <mergeCell ref="ACY51:ACZ51"/>
    <mergeCell ref="ADA51:ADB51"/>
    <mergeCell ref="ADA52:ADB52"/>
    <mergeCell ref="ADA54:ADB54"/>
    <mergeCell ref="ADI39:ADJ39"/>
    <mergeCell ref="ADI40:ADJ40"/>
    <mergeCell ref="ACV60:ACW60"/>
    <mergeCell ref="ACT61:ACU61"/>
    <mergeCell ref="ACV61:ACW61"/>
    <mergeCell ref="YU80:YU81"/>
    <mergeCell ref="YV80:YV81"/>
    <mergeCell ref="YW80:YW81"/>
    <mergeCell ref="YX80:YX81"/>
    <mergeCell ref="ZC96:ZC97"/>
    <mergeCell ref="ZD96:ZD97"/>
    <mergeCell ref="ZE96:ZE97"/>
    <mergeCell ref="ZF96:ZF97"/>
    <mergeCell ref="ZG96:ZG97"/>
    <mergeCell ref="ZH96:ZH97"/>
    <mergeCell ref="ZI96:ZI97"/>
    <mergeCell ref="ZJ96:ZJ97"/>
    <mergeCell ref="ZK96:ZK97"/>
    <mergeCell ref="WZ45:XA46"/>
    <mergeCell ref="XU49:XU50"/>
    <mergeCell ref="XV49:XV50"/>
    <mergeCell ref="XW49:XW50"/>
    <mergeCell ref="AAO107:AAO108"/>
    <mergeCell ref="YG49:YG50"/>
    <mergeCell ref="XR39:XR40"/>
    <mergeCell ref="XS39:XS40"/>
    <mergeCell ref="XT39:XT40"/>
    <mergeCell ref="XU39:XU40"/>
    <mergeCell ref="XV39:XV40"/>
    <mergeCell ref="XW39:XW40"/>
    <mergeCell ref="XX39:XX40"/>
    <mergeCell ref="XY39:XY40"/>
    <mergeCell ref="XZ39:XZ40"/>
    <mergeCell ref="XM51:XM52"/>
    <mergeCell ref="XN51:XN52"/>
    <mergeCell ref="YV41:YV42"/>
    <mergeCell ref="YW41:YW42"/>
    <mergeCell ref="YX41:YX42"/>
    <mergeCell ref="YY41:YY42"/>
    <mergeCell ref="YZ41:YZ42"/>
    <mergeCell ref="ZA41:ZA42"/>
    <mergeCell ref="ZB41:ZB42"/>
    <mergeCell ref="ZC41:ZC42"/>
    <mergeCell ref="ZD41:ZD42"/>
    <mergeCell ref="ZE41:ZE42"/>
    <mergeCell ref="ZF41:ZF42"/>
    <mergeCell ref="ZG41:ZG42"/>
    <mergeCell ref="ZH41:ZH42"/>
    <mergeCell ref="ZI41:ZI42"/>
    <mergeCell ref="AAD39:AAD40"/>
    <mergeCell ref="AAE39:AAE40"/>
    <mergeCell ref="AAF39:AAF40"/>
    <mergeCell ref="AAG39:AAG40"/>
    <mergeCell ref="AAH39:AAH40"/>
    <mergeCell ref="AAI39:AAI40"/>
    <mergeCell ref="AAS39:AAS40"/>
    <mergeCell ref="YV45:YV46"/>
    <mergeCell ref="YW45:YW46"/>
    <mergeCell ref="YX45:YX46"/>
    <mergeCell ref="YY45:YY46"/>
    <mergeCell ref="YZ45:YZ46"/>
    <mergeCell ref="ZB45:ZB46"/>
    <mergeCell ref="ZC45:ZC46"/>
    <mergeCell ref="ZD45:ZD46"/>
    <mergeCell ref="ZE45:ZE46"/>
    <mergeCell ref="YV43:YV44"/>
    <mergeCell ref="ZE39:ZE40"/>
    <mergeCell ref="ZF39:ZF40"/>
    <mergeCell ref="ZG39:ZG40"/>
    <mergeCell ref="ZH39:ZH40"/>
    <mergeCell ref="YX43:YX44"/>
    <mergeCell ref="YY43:YY44"/>
    <mergeCell ref="YZ43:YZ44"/>
    <mergeCell ref="ZA43:ZA44"/>
    <mergeCell ref="ZB43:ZB44"/>
    <mergeCell ref="ZC43:ZC44"/>
    <mergeCell ref="ZD43:ZD44"/>
    <mergeCell ref="ZE43:ZE44"/>
    <mergeCell ref="ZI39:ZI40"/>
    <mergeCell ref="ZJ39:ZJ40"/>
    <mergeCell ref="ZK39:ZK40"/>
    <mergeCell ref="ZL39:ZL40"/>
    <mergeCell ref="ZM39:ZM40"/>
    <mergeCell ref="ZN39:ZN40"/>
    <mergeCell ref="ZO39:ZO40"/>
    <mergeCell ref="ZP39:ZP40"/>
    <mergeCell ref="ZQ39:ZQ40"/>
    <mergeCell ref="ZR39:ZR40"/>
    <mergeCell ref="ZS39:ZS40"/>
    <mergeCell ref="ZT39:ZT40"/>
    <mergeCell ref="ZU39:ZU40"/>
    <mergeCell ref="ZV39:ZV40"/>
    <mergeCell ref="ZR88:ZR89"/>
    <mergeCell ref="ZS88:ZS89"/>
    <mergeCell ref="YB39:YB40"/>
    <mergeCell ref="YC39:YC40"/>
    <mergeCell ref="YD39:YD40"/>
    <mergeCell ref="YE39:YE40"/>
    <mergeCell ref="YF39:YF40"/>
    <mergeCell ref="YG39:YG40"/>
    <mergeCell ref="XT43:XT44"/>
    <mergeCell ref="XU43:XU44"/>
    <mergeCell ref="XV43:XV44"/>
    <mergeCell ref="XW43:XW44"/>
    <mergeCell ref="YV39:YV40"/>
    <mergeCell ref="YW39:YW40"/>
    <mergeCell ref="YU49:YU50"/>
    <mergeCell ref="YF29:YF30"/>
    <mergeCell ref="YG29:YG30"/>
    <mergeCell ref="YC27:YC28"/>
    <mergeCell ref="YP29:YP30"/>
    <mergeCell ref="YQ29:YQ30"/>
    <mergeCell ref="YR29:YR30"/>
    <mergeCell ref="YN29:YN30"/>
    <mergeCell ref="YO29:YO30"/>
    <mergeCell ref="YP31:YP32"/>
    <mergeCell ref="YQ31:YQ32"/>
    <mergeCell ref="YR31:YR32"/>
    <mergeCell ref="YS31:YS32"/>
    <mergeCell ref="YT31:YT32"/>
    <mergeCell ref="ACV34:ACW34"/>
    <mergeCell ref="ACT35:ACU35"/>
    <mergeCell ref="ACT38:ACU38"/>
    <mergeCell ref="ACV38:ACW38"/>
    <mergeCell ref="ACT39:ACU39"/>
    <mergeCell ref="ACV39:ACW39"/>
    <mergeCell ref="YU31:YU32"/>
    <mergeCell ref="XV37:XV38"/>
    <mergeCell ref="XW37:XW38"/>
    <mergeCell ref="XX37:XX38"/>
    <mergeCell ref="XY37:XY38"/>
    <mergeCell ref="XZ37:XZ38"/>
    <mergeCell ref="YA37:YA38"/>
    <mergeCell ref="AAT49:AAT50"/>
    <mergeCell ref="XU29:XU30"/>
    <mergeCell ref="YS35:YS36"/>
    <mergeCell ref="YT35:YT36"/>
    <mergeCell ref="YU35:YU36"/>
    <mergeCell ref="XZ29:XZ30"/>
    <mergeCell ref="YA29:YA30"/>
    <mergeCell ref="YB29:YB30"/>
    <mergeCell ref="ACT48:ACU48"/>
    <mergeCell ref="ACT28:ACU28"/>
    <mergeCell ref="YS33:YS34"/>
    <mergeCell ref="YT33:YT34"/>
    <mergeCell ref="YU33:YU34"/>
    <mergeCell ref="XX49:XX50"/>
    <mergeCell ref="XY49:XY50"/>
    <mergeCell ref="XZ49:XZ50"/>
    <mergeCell ref="YF49:YF50"/>
    <mergeCell ref="ZA45:ZA46"/>
    <mergeCell ref="YS39:YS40"/>
    <mergeCell ref="YT39:YT40"/>
    <mergeCell ref="YN27:YN28"/>
    <mergeCell ref="YO27:YO28"/>
    <mergeCell ref="YD49:YD50"/>
    <mergeCell ref="ZJ27:ZJ28"/>
    <mergeCell ref="ZK27:ZK28"/>
    <mergeCell ref="ZL27:ZL28"/>
    <mergeCell ref="ZM27:ZM28"/>
    <mergeCell ref="ACV48:ACW48"/>
    <mergeCell ref="ACT30:ACU30"/>
    <mergeCell ref="XR19:XR20"/>
    <mergeCell ref="XS19:XS20"/>
    <mergeCell ref="XT19:XT20"/>
    <mergeCell ref="XU19:XU20"/>
    <mergeCell ref="XV19:XV20"/>
    <mergeCell ref="ACT62:ACU62"/>
    <mergeCell ref="ACV62:ACW62"/>
    <mergeCell ref="YK57:YK58"/>
    <mergeCell ref="XG57:XG58"/>
    <mergeCell ref="XH57:XH58"/>
    <mergeCell ref="XI57:XI58"/>
    <mergeCell ref="XJ57:XJ58"/>
    <mergeCell ref="XK57:XK58"/>
    <mergeCell ref="XL57:XL58"/>
    <mergeCell ref="XM57:XM58"/>
    <mergeCell ref="XN57:XN58"/>
    <mergeCell ref="YD27:YD28"/>
    <mergeCell ref="YE27:YE28"/>
    <mergeCell ref="YF27:YF28"/>
    <mergeCell ref="XR51:XR52"/>
    <mergeCell ref="AAT27:AAT28"/>
    <mergeCell ref="AAT29:AAT30"/>
    <mergeCell ref="AAT31:AAT32"/>
    <mergeCell ref="AAT33:AAT34"/>
    <mergeCell ref="AAT35:AAT36"/>
    <mergeCell ref="AAT37:AAT38"/>
    <mergeCell ref="AAT39:AAT40"/>
    <mergeCell ref="AAT41:AAT42"/>
    <mergeCell ref="AAT43:AAT44"/>
    <mergeCell ref="AAT45:AAT46"/>
    <mergeCell ref="AAT47:AAT48"/>
    <mergeCell ref="YH57:YH58"/>
    <mergeCell ref="XN39:XN40"/>
    <mergeCell ref="XO39:XO40"/>
    <mergeCell ref="XP39:XP40"/>
    <mergeCell ref="XQ39:XQ40"/>
    <mergeCell ref="YC57:YC58"/>
    <mergeCell ref="YD57:YD58"/>
    <mergeCell ref="YE57:YE58"/>
    <mergeCell ref="YF57:YF58"/>
    <mergeCell ref="YG57:YG58"/>
    <mergeCell ref="XG31:XG32"/>
    <mergeCell ref="XH31:XH32"/>
    <mergeCell ref="YS29:YS30"/>
    <mergeCell ref="YT29:YT30"/>
    <mergeCell ref="YU29:YU30"/>
    <mergeCell ref="YS27:YS28"/>
    <mergeCell ref="YT27:YT28"/>
    <mergeCell ref="YU27:YU28"/>
    <mergeCell ref="XG25:XG26"/>
    <mergeCell ref="XH25:XH26"/>
    <mergeCell ref="XI25:XI26"/>
    <mergeCell ref="YW43:YW44"/>
    <mergeCell ref="AAD43:AAD44"/>
    <mergeCell ref="AAE43:AAE44"/>
    <mergeCell ref="AAF43:AAF44"/>
    <mergeCell ref="AAG43:AAG44"/>
    <mergeCell ref="AAH43:AAH44"/>
    <mergeCell ref="ZH57:ZH58"/>
    <mergeCell ref="ACT218:ACU218"/>
    <mergeCell ref="ACT219:ACU219"/>
    <mergeCell ref="ACT220:ACU220"/>
    <mergeCell ref="ACJ110:ACK110"/>
    <mergeCell ref="ACJ111:ACK111"/>
    <mergeCell ref="ACJ107:ACK107"/>
    <mergeCell ref="ACO126:ACP126"/>
    <mergeCell ref="ACO127:ACP127"/>
    <mergeCell ref="ACQ133:ACR133"/>
    <mergeCell ref="AAU197:ABD199"/>
    <mergeCell ref="AAU203:ABF205"/>
    <mergeCell ref="AAU206:AAY208"/>
    <mergeCell ref="AAU137:ABC138"/>
    <mergeCell ref="ACL134:ACM134"/>
    <mergeCell ref="ACT154:ACU154"/>
    <mergeCell ref="ACV154:ACW154"/>
    <mergeCell ref="ACV217:ACW217"/>
    <mergeCell ref="ACV218:ACW218"/>
    <mergeCell ref="ACV219:ACW219"/>
    <mergeCell ref="ACJ153:ACK153"/>
    <mergeCell ref="ACJ134:ACK134"/>
    <mergeCell ref="ACO120:ACP120"/>
    <mergeCell ref="ACO121:ACP121"/>
    <mergeCell ref="ACV212:ACW212"/>
    <mergeCell ref="ACJ121:ACK121"/>
    <mergeCell ref="AAU126:ABC128"/>
    <mergeCell ref="AAU98:AAY100"/>
    <mergeCell ref="ACQ155:ACR155"/>
    <mergeCell ref="AAO166:AAO167"/>
    <mergeCell ref="AAT23:AAT24"/>
    <mergeCell ref="AAT25:AAT26"/>
    <mergeCell ref="AAS37:AAS38"/>
    <mergeCell ref="AAN55:AAN56"/>
    <mergeCell ref="AAO55:AAO56"/>
    <mergeCell ref="AAP55:AAP56"/>
    <mergeCell ref="AAP57:AAP58"/>
    <mergeCell ref="AAU134:ABB136"/>
    <mergeCell ref="ACT31:ACU31"/>
    <mergeCell ref="ACV31:ACW31"/>
    <mergeCell ref="ACJ109:ACK109"/>
    <mergeCell ref="ACL89:ACM89"/>
    <mergeCell ref="AAQ98:AAQ100"/>
    <mergeCell ref="AAR98:AAR100"/>
    <mergeCell ref="AAS98:AAS100"/>
    <mergeCell ref="AAS88:AAS89"/>
    <mergeCell ref="ACT83:ACV83"/>
    <mergeCell ref="ACT92:ACU92"/>
    <mergeCell ref="ACO88:ACP88"/>
    <mergeCell ref="ACJ103:ACK103"/>
    <mergeCell ref="ACJ91:ACK91"/>
    <mergeCell ref="ACJ92:ACK92"/>
    <mergeCell ref="ACT119:ACU119"/>
    <mergeCell ref="ACT123:ACU123"/>
    <mergeCell ref="ACJ94:ACK94"/>
    <mergeCell ref="ACV113:ACW113"/>
    <mergeCell ref="ACV121:ACW121"/>
    <mergeCell ref="ACV132:ACW132"/>
    <mergeCell ref="ACV126:ACW126"/>
    <mergeCell ref="ACV120:ACW120"/>
    <mergeCell ref="ACO94:ACP94"/>
    <mergeCell ref="ABT83:ACG84"/>
    <mergeCell ref="AAT82:AAT89"/>
    <mergeCell ref="AAT90:AAT97"/>
    <mergeCell ref="AAT98:AAT100"/>
    <mergeCell ref="ACQ158:ACR158"/>
    <mergeCell ref="ADI168:ADJ168"/>
    <mergeCell ref="ADK168:ADL168"/>
    <mergeCell ref="ACJ169:ACK169"/>
    <mergeCell ref="ACL169:ACM169"/>
    <mergeCell ref="ACQ171:ACR171"/>
    <mergeCell ref="ACT171:ACU171"/>
    <mergeCell ref="ACV171:ACW171"/>
    <mergeCell ref="ACY171:ACZ171"/>
    <mergeCell ref="ADA171:ADB171"/>
    <mergeCell ref="ADD171:ADE171"/>
    <mergeCell ref="ADF171:ADG171"/>
    <mergeCell ref="ADI171:ADJ171"/>
    <mergeCell ref="ADK171:ADL171"/>
    <mergeCell ref="ADN171:ADO171"/>
    <mergeCell ref="ACT22:ACU22"/>
    <mergeCell ref="ACV22:ACW22"/>
    <mergeCell ref="ACT23:ACU23"/>
    <mergeCell ref="ACV23:ACW23"/>
    <mergeCell ref="ACT24:ACU24"/>
    <mergeCell ref="AAM168:AAM169"/>
    <mergeCell ref="AAN168:AAN169"/>
    <mergeCell ref="AAO168:AAO169"/>
    <mergeCell ref="AAP168:AAP169"/>
    <mergeCell ref="AAQ168:AAQ169"/>
    <mergeCell ref="AAR168:AAR169"/>
    <mergeCell ref="AAS168:AAS169"/>
    <mergeCell ref="AAM178:AAM179"/>
    <mergeCell ref="AAN178:AAN179"/>
    <mergeCell ref="AAO178:AAO179"/>
    <mergeCell ref="AAP178:AAP179"/>
    <mergeCell ref="AAQ178:AAQ179"/>
    <mergeCell ref="AAR178:AAR179"/>
    <mergeCell ref="AAS178:AAS179"/>
    <mergeCell ref="ADD49:ADE49"/>
    <mergeCell ref="ADD50:ADE50"/>
    <mergeCell ref="ADD51:ADE51"/>
    <mergeCell ref="ADD42:ADE42"/>
    <mergeCell ref="ADD36:ADE36"/>
    <mergeCell ref="ADF36:ADG36"/>
    <mergeCell ref="ADD37:ADE37"/>
    <mergeCell ref="ADF37:ADG37"/>
    <mergeCell ref="ADD38:ADE38"/>
    <mergeCell ref="ADF38:ADG38"/>
    <mergeCell ref="ADD92:ADE92"/>
    <mergeCell ref="ADF92:ADG92"/>
    <mergeCell ref="ADI95:ADJ95"/>
    <mergeCell ref="ADK95:ADL95"/>
    <mergeCell ref="ADG83:ADH83"/>
    <mergeCell ref="ADK46:ADL46"/>
    <mergeCell ref="ADK45:ADL45"/>
    <mergeCell ref="ADF51:ADG51"/>
    <mergeCell ref="ADD52:ADE52"/>
    <mergeCell ref="ADF52:ADG52"/>
    <mergeCell ref="ADD53:ADE53"/>
    <mergeCell ref="ADF29:ADG29"/>
    <mergeCell ref="ADD89:ADE89"/>
    <mergeCell ref="ADF89:ADG89"/>
    <mergeCell ref="ADI89:ADJ89"/>
    <mergeCell ref="ADK89:ADL89"/>
    <mergeCell ref="ADK115:ADL115"/>
    <mergeCell ref="ADK154:ADL154"/>
    <mergeCell ref="ADN154:ADO154"/>
    <mergeCell ref="ACX212:ACY212"/>
    <mergeCell ref="ACV213:ACW213"/>
    <mergeCell ref="ACX213:ACY213"/>
    <mergeCell ref="ACV214:ACW214"/>
    <mergeCell ref="ACX214:ACY214"/>
    <mergeCell ref="ACV215:ACW215"/>
    <mergeCell ref="ACX215:ACY215"/>
    <mergeCell ref="ACV216:ACW216"/>
    <mergeCell ref="ACX216:ACY216"/>
    <mergeCell ref="ADN232:ADO232"/>
    <mergeCell ref="ADP232:ADQ232"/>
    <mergeCell ref="ADS232:ADT232"/>
    <mergeCell ref="ACY228:ACZ228"/>
    <mergeCell ref="ADA228:ADB228"/>
    <mergeCell ref="ADD228:ADE228"/>
    <mergeCell ref="ADF228:ADG228"/>
    <mergeCell ref="ADI228:ADJ228"/>
    <mergeCell ref="ACY154:ACZ154"/>
    <mergeCell ref="ADA154:ADB154"/>
    <mergeCell ref="ADD154:ADE154"/>
    <mergeCell ref="ADF154:ADG154"/>
    <mergeCell ref="ADI154:ADJ154"/>
    <mergeCell ref="ACX217:ACY217"/>
    <mergeCell ref="ACX218:ACY218"/>
    <mergeCell ref="ACX219:ACY219"/>
    <mergeCell ref="ADK232:ADL232"/>
    <mergeCell ref="ADN231:ADO231"/>
    <mergeCell ref="ADP231:ADQ231"/>
    <mergeCell ref="ADS231:ADT231"/>
    <mergeCell ref="ADP162:ADQ162"/>
    <mergeCell ref="ADS162:ADT162"/>
    <mergeCell ref="ACV228:ACW228"/>
    <mergeCell ref="ADK167:ADL167"/>
    <mergeCell ref="ADN167:ADO167"/>
    <mergeCell ref="ADP167:ADQ167"/>
    <mergeCell ref="ADS167:ADT167"/>
    <mergeCell ref="ADA198:ADB198"/>
    <mergeCell ref="ADD198:ADE198"/>
    <mergeCell ref="ADF198:ADG198"/>
    <mergeCell ref="ADI198:ADJ198"/>
    <mergeCell ref="ADK198:ADL198"/>
    <mergeCell ref="ADN198:ADO198"/>
    <mergeCell ref="ADP198:ADQ198"/>
    <mergeCell ref="ADS198:ADT198"/>
    <mergeCell ref="ADR226:ADT226"/>
    <mergeCell ref="ACV226:ACW226"/>
    <mergeCell ref="ACV157:ACW157"/>
    <mergeCell ref="ACY157:ACZ157"/>
    <mergeCell ref="ADA157:ADB157"/>
    <mergeCell ref="ADD157:ADE157"/>
    <mergeCell ref="ADF157:ADG157"/>
    <mergeCell ref="ADP171:ADQ171"/>
    <mergeCell ref="ADS171:ADT171"/>
    <mergeCell ref="ADF173:ADG173"/>
    <mergeCell ref="ADI173:ADJ173"/>
    <mergeCell ref="ADK173:ADL173"/>
    <mergeCell ref="ADN173:ADO173"/>
    <mergeCell ref="ADP173:ADQ173"/>
    <mergeCell ref="ADS173:ADT173"/>
    <mergeCell ref="ADF195:ADG195"/>
    <mergeCell ref="ADI195:ADJ195"/>
    <mergeCell ref="ADK195:ADL195"/>
    <mergeCell ref="ADP158:ADQ158"/>
    <mergeCell ref="ADX232:ADY232"/>
    <mergeCell ref="ADZ232:AEA232"/>
    <mergeCell ref="ADF231:ADG231"/>
    <mergeCell ref="ADI231:ADJ231"/>
    <mergeCell ref="ADK231:ADL231"/>
    <mergeCell ref="ACQ234:ACR234"/>
    <mergeCell ref="ACT234:ACU234"/>
    <mergeCell ref="ACV234:ACW234"/>
    <mergeCell ref="ACY234:ACZ234"/>
    <mergeCell ref="ADU234:ADV234"/>
    <mergeCell ref="ADX234:ADY234"/>
    <mergeCell ref="ADZ234:AEA234"/>
    <mergeCell ref="AEC234:AED234"/>
    <mergeCell ref="ACJ232:ACK232"/>
    <mergeCell ref="ACO232:ACP232"/>
    <mergeCell ref="ACL233:ACM233"/>
    <mergeCell ref="ACL234:ACM234"/>
    <mergeCell ref="ADK233:ADL233"/>
    <mergeCell ref="ACQ232:ACR232"/>
    <mergeCell ref="ACT232:ACU232"/>
    <mergeCell ref="ACV232:ACW232"/>
    <mergeCell ref="ACY232:ACZ232"/>
    <mergeCell ref="ADA232:ADB232"/>
    <mergeCell ref="ADD232:ADE232"/>
    <mergeCell ref="ADD230:ADE230"/>
    <mergeCell ref="ADF230:ADG230"/>
    <mergeCell ref="ADI230:ADJ230"/>
    <mergeCell ref="ADK230:ADL230"/>
    <mergeCell ref="ADN230:ADO230"/>
    <mergeCell ref="ADP230:ADQ230"/>
    <mergeCell ref="ADS230:ADT230"/>
    <mergeCell ref="ADU230:ADV230"/>
    <mergeCell ref="ADX230:ADY230"/>
    <mergeCell ref="ADZ230:AEA230"/>
    <mergeCell ref="AEC230:AED230"/>
    <mergeCell ref="ADU231:ADV231"/>
    <mergeCell ref="ADX231:ADY231"/>
    <mergeCell ref="ADZ231:AEA231"/>
    <mergeCell ref="ADU233:ADV233"/>
    <mergeCell ref="ADX233:ADY233"/>
    <mergeCell ref="ADZ233:AEA233"/>
    <mergeCell ref="ACV230:ACW230"/>
    <mergeCell ref="ACY230:ACZ230"/>
    <mergeCell ref="ADA230:ADB230"/>
    <mergeCell ref="AEC232:AED232"/>
    <mergeCell ref="AEC233:AED233"/>
    <mergeCell ref="ADF232:ADG232"/>
    <mergeCell ref="ADI232:ADJ232"/>
    <mergeCell ref="ACO231:ACP231"/>
    <mergeCell ref="ACQ231:ACR231"/>
    <mergeCell ref="ACT231:ACU231"/>
    <mergeCell ref="ACV231:ACW231"/>
    <mergeCell ref="ACO230:ACP230"/>
    <mergeCell ref="ACQ230:ACR230"/>
    <mergeCell ref="ACT230:ACU230"/>
    <mergeCell ref="ADS237:ADT237"/>
    <mergeCell ref="ADU237:ADV237"/>
    <mergeCell ref="ADX237:ADY237"/>
    <mergeCell ref="ADZ237:AEA237"/>
    <mergeCell ref="AEC237:AED237"/>
    <mergeCell ref="ACL236:ACM236"/>
    <mergeCell ref="ACL237:ACM237"/>
    <mergeCell ref="ADS236:ADT236"/>
    <mergeCell ref="ADU236:ADV236"/>
    <mergeCell ref="ADX236:ADY236"/>
    <mergeCell ref="ACJ235:ACK235"/>
    <mergeCell ref="ACO235:ACP235"/>
    <mergeCell ref="ACQ235:ACR235"/>
    <mergeCell ref="ACT235:ACU235"/>
    <mergeCell ref="ACV235:ACW235"/>
    <mergeCell ref="ACY235:ACZ235"/>
    <mergeCell ref="ADA235:ADB235"/>
    <mergeCell ref="ADD235:ADE235"/>
    <mergeCell ref="ADN233:ADO233"/>
    <mergeCell ref="ADP233:ADQ233"/>
    <mergeCell ref="ADS233:ADT233"/>
    <mergeCell ref="ACT236:ACU236"/>
    <mergeCell ref="ACV236:ACW236"/>
    <mergeCell ref="ACY236:ACZ236"/>
    <mergeCell ref="ADA236:ADB236"/>
    <mergeCell ref="ADD236:ADE236"/>
    <mergeCell ref="ADF236:ADG236"/>
    <mergeCell ref="ADI236:ADJ236"/>
    <mergeCell ref="ADK236:ADL236"/>
    <mergeCell ref="ADN236:ADO236"/>
    <mergeCell ref="ADP236:ADQ236"/>
    <mergeCell ref="ACJ233:ACK233"/>
    <mergeCell ref="ACO233:ACP233"/>
    <mergeCell ref="ADI234:ADJ234"/>
    <mergeCell ref="ADK234:ADL234"/>
    <mergeCell ref="ADA234:ADB234"/>
    <mergeCell ref="ADZ235:AEA235"/>
    <mergeCell ref="ADN234:ADO234"/>
    <mergeCell ref="ADP234:ADQ234"/>
    <mergeCell ref="ADS234:ADT234"/>
    <mergeCell ref="ADF235:ADG235"/>
    <mergeCell ref="ADI235:ADJ235"/>
    <mergeCell ref="ACL235:ACM235"/>
    <mergeCell ref="ACJ234:ACK234"/>
    <mergeCell ref="ACO234:ACP234"/>
    <mergeCell ref="ADD234:ADE234"/>
    <mergeCell ref="ADF234:ADG234"/>
    <mergeCell ref="ACO237:ACP237"/>
    <mergeCell ref="ACQ237:ACR237"/>
    <mergeCell ref="ACT237:ACU237"/>
    <mergeCell ref="ACV237:ACW237"/>
    <mergeCell ref="ACY237:ACZ237"/>
    <mergeCell ref="ADA237:ADB237"/>
    <mergeCell ref="ADD237:ADE237"/>
    <mergeCell ref="ADF237:ADG237"/>
    <mergeCell ref="ADI237:ADJ237"/>
    <mergeCell ref="ADK237:ADL237"/>
    <mergeCell ref="ADN237:ADO237"/>
    <mergeCell ref="ADP237:ADQ237"/>
    <mergeCell ref="ADI233:ADJ233"/>
    <mergeCell ref="AAP184:AAP185"/>
    <mergeCell ref="AAQ184:AAQ185"/>
    <mergeCell ref="AAS189:AAS191"/>
    <mergeCell ref="ZS168:ZS169"/>
    <mergeCell ref="ZT168:ZT169"/>
    <mergeCell ref="ZU168:ZU169"/>
    <mergeCell ref="ZV168:ZV169"/>
    <mergeCell ref="ZW168:ZW169"/>
    <mergeCell ref="ZX168:ZX169"/>
    <mergeCell ref="ZY168:ZY169"/>
    <mergeCell ref="ZZ168:ZZ169"/>
    <mergeCell ref="AAA168:AAA169"/>
    <mergeCell ref="AAB168:AAB169"/>
    <mergeCell ref="AAC168:AAC169"/>
    <mergeCell ref="AAD168:AAD169"/>
    <mergeCell ref="ZG166:ZG167"/>
    <mergeCell ref="ZH166:ZH167"/>
    <mergeCell ref="ZI166:ZI167"/>
    <mergeCell ref="ZJ166:ZJ167"/>
    <mergeCell ref="ZK166:ZK167"/>
    <mergeCell ref="ZL166:ZL167"/>
    <mergeCell ref="ZM166:ZM167"/>
    <mergeCell ref="ZN166:ZN167"/>
    <mergeCell ref="ZO166:ZO167"/>
    <mergeCell ref="ZP166:ZP167"/>
    <mergeCell ref="ZQ166:ZQ167"/>
    <mergeCell ref="ZR166:ZR167"/>
    <mergeCell ref="ZS166:ZS167"/>
    <mergeCell ref="ZT166:ZT167"/>
    <mergeCell ref="ZU166:ZU167"/>
    <mergeCell ref="ADA233:ADB233"/>
    <mergeCell ref="ADD233:ADE233"/>
    <mergeCell ref="ADF233:ADG233"/>
    <mergeCell ref="ACL231:ACM231"/>
    <mergeCell ref="ACL232:ACM232"/>
    <mergeCell ref="ACJ230:ACK230"/>
    <mergeCell ref="ABY207:ACH219"/>
    <mergeCell ref="ABY206:ACG206"/>
    <mergeCell ref="ACY231:ACZ231"/>
    <mergeCell ref="ADA231:ADB231"/>
    <mergeCell ref="ADD231:ADE231"/>
    <mergeCell ref="ACJ229:ACK229"/>
    <mergeCell ref="ACO229:ACP229"/>
    <mergeCell ref="AAR189:AAR191"/>
    <mergeCell ref="AAO195:AAO196"/>
    <mergeCell ref="ACJ228:ACK228"/>
    <mergeCell ref="ACO228:ACP228"/>
    <mergeCell ref="ACQ228:ACR228"/>
    <mergeCell ref="ACT228:ACU228"/>
    <mergeCell ref="ACT212:ACU212"/>
    <mergeCell ref="AAN170:AAN171"/>
    <mergeCell ref="AAO170:AAO171"/>
    <mergeCell ref="AAP170:AAP171"/>
    <mergeCell ref="AAQ170:AAQ171"/>
    <mergeCell ref="AAR170:AAR171"/>
    <mergeCell ref="AAS170:AAS171"/>
    <mergeCell ref="AAS172:AAS174"/>
    <mergeCell ref="ZM170:ZM171"/>
    <mergeCell ref="ZN170:ZN171"/>
    <mergeCell ref="ZO170:ZO171"/>
    <mergeCell ref="ZP170:ZP171"/>
    <mergeCell ref="ZQ170:ZQ171"/>
    <mergeCell ref="ZR170:ZR171"/>
    <mergeCell ref="ZS170:ZS171"/>
    <mergeCell ref="ADU239:ADV239"/>
    <mergeCell ref="ADX239:ADY239"/>
    <mergeCell ref="ADZ239:AEA239"/>
    <mergeCell ref="AEC236:AED236"/>
    <mergeCell ref="AEE236:AEF236"/>
    <mergeCell ref="ACJ237:ACK237"/>
    <mergeCell ref="ACL240:ACM240"/>
    <mergeCell ref="ACL241:ACM241"/>
    <mergeCell ref="ACJ241:ACK241"/>
    <mergeCell ref="ACO241:ACP241"/>
    <mergeCell ref="ACQ241:ACR241"/>
    <mergeCell ref="ACT241:ACU241"/>
    <mergeCell ref="ACV241:ACW241"/>
    <mergeCell ref="ACY241:ACZ241"/>
    <mergeCell ref="ADA241:ADB241"/>
    <mergeCell ref="ADD241:ADE241"/>
    <mergeCell ref="ADF241:ADG241"/>
    <mergeCell ref="ADI241:ADJ241"/>
    <mergeCell ref="ADK241:ADL241"/>
    <mergeCell ref="ADN241:ADO241"/>
    <mergeCell ref="ADP241:ADQ241"/>
    <mergeCell ref="XM166:XM167"/>
    <mergeCell ref="XN166:XN167"/>
    <mergeCell ref="XO166:XO167"/>
    <mergeCell ref="XP166:XP167"/>
    <mergeCell ref="XQ166:XQ167"/>
    <mergeCell ref="XR166:XR167"/>
    <mergeCell ref="XS166:XS167"/>
    <mergeCell ref="XT166:XT167"/>
    <mergeCell ref="XU166:XU167"/>
    <mergeCell ref="XV166:XV167"/>
    <mergeCell ref="XW166:XW167"/>
    <mergeCell ref="XX166:XX167"/>
    <mergeCell ref="XY166:XY167"/>
    <mergeCell ref="XZ166:XZ167"/>
    <mergeCell ref="YA166:YA167"/>
    <mergeCell ref="YB166:YB167"/>
    <mergeCell ref="AAM166:AAM167"/>
    <mergeCell ref="AAN166:AAN167"/>
    <mergeCell ref="ACJ238:ACK238"/>
    <mergeCell ref="ACO238:ACP238"/>
    <mergeCell ref="ACQ238:ACR238"/>
    <mergeCell ref="ACT238:ACU238"/>
    <mergeCell ref="ACV238:ACW238"/>
    <mergeCell ref="ACY238:ACZ238"/>
    <mergeCell ref="ADA238:ADB238"/>
    <mergeCell ref="ADD238:ADE238"/>
    <mergeCell ref="ADF238:ADG238"/>
    <mergeCell ref="ADI238:ADJ238"/>
    <mergeCell ref="ADK238:ADL238"/>
    <mergeCell ref="ADN238:ADO238"/>
    <mergeCell ref="ADP238:ADQ238"/>
    <mergeCell ref="ADS238:ADT238"/>
    <mergeCell ref="ADU238:ADV238"/>
    <mergeCell ref="YA170:YA171"/>
    <mergeCell ref="YB170:YB171"/>
    <mergeCell ref="YC170:YC171"/>
    <mergeCell ref="YD170:YD171"/>
    <mergeCell ref="YE170:YE171"/>
    <mergeCell ref="YF170:YF171"/>
    <mergeCell ref="YG170:YG171"/>
    <mergeCell ref="YH170:YH171"/>
    <mergeCell ref="YI170:YI171"/>
    <mergeCell ref="YJ170:YJ171"/>
    <mergeCell ref="ACJ243:ACK243"/>
    <mergeCell ref="ACO243:ACP243"/>
    <mergeCell ref="ACQ243:ACR243"/>
    <mergeCell ref="ACT243:ACU243"/>
    <mergeCell ref="ACV243:ACW243"/>
    <mergeCell ref="ACY243:ACZ243"/>
    <mergeCell ref="ADA243:ADB243"/>
    <mergeCell ref="ADD243:ADE243"/>
    <mergeCell ref="ADF243:ADG243"/>
    <mergeCell ref="ADI243:ADJ243"/>
    <mergeCell ref="ADK243:ADL243"/>
    <mergeCell ref="ADN243:ADO243"/>
    <mergeCell ref="ADP243:ADQ243"/>
    <mergeCell ref="ADS243:ADT243"/>
    <mergeCell ref="ADU243:ADV243"/>
    <mergeCell ref="ADX243:ADY243"/>
    <mergeCell ref="ADZ243:AEA243"/>
    <mergeCell ref="AEC243:AED243"/>
    <mergeCell ref="AEE243:AEF243"/>
    <mergeCell ref="ACL242:ACM242"/>
    <mergeCell ref="ACL243:ACM243"/>
    <mergeCell ref="AEC241:AED241"/>
    <mergeCell ref="ADX238:ADY238"/>
    <mergeCell ref="ADZ238:AEA238"/>
    <mergeCell ref="AEC238:AED238"/>
    <mergeCell ref="AEE238:AEF238"/>
    <mergeCell ref="ADZ236:AEA236"/>
    <mergeCell ref="AEC239:AED239"/>
    <mergeCell ref="AEE239:AEF239"/>
    <mergeCell ref="ACL238:ACM238"/>
    <mergeCell ref="ACL239:ACM239"/>
    <mergeCell ref="ACJ240:ACK240"/>
    <mergeCell ref="ACO240:ACP240"/>
    <mergeCell ref="ACQ240:ACR240"/>
    <mergeCell ref="ACT240:ACU240"/>
    <mergeCell ref="ACV240:ACW240"/>
    <mergeCell ref="ACY240:ACZ240"/>
    <mergeCell ref="ADA240:ADB240"/>
    <mergeCell ref="ADD240:ADE240"/>
    <mergeCell ref="ADF240:ADG240"/>
    <mergeCell ref="ADI240:ADJ240"/>
    <mergeCell ref="ADK240:ADL240"/>
    <mergeCell ref="ADN240:ADO240"/>
    <mergeCell ref="ADP240:ADQ240"/>
    <mergeCell ref="ADS240:ADT240"/>
    <mergeCell ref="ADU240:ADV240"/>
    <mergeCell ref="ADX240:ADY240"/>
    <mergeCell ref="ADZ240:AEA240"/>
    <mergeCell ref="AEC240:AED240"/>
    <mergeCell ref="AEE240:AEF240"/>
    <mergeCell ref="ACJ239:ACK239"/>
    <mergeCell ref="ACO239:ACP239"/>
    <mergeCell ref="ACQ239:ACR239"/>
    <mergeCell ref="ACT239:ACU239"/>
    <mergeCell ref="ACV239:ACW239"/>
    <mergeCell ref="ACY239:ACZ239"/>
    <mergeCell ref="ADA239:ADB239"/>
    <mergeCell ref="ADD239:ADE239"/>
    <mergeCell ref="ADF239:ADG239"/>
    <mergeCell ref="ADI239:ADJ239"/>
    <mergeCell ref="ADK239:ADL239"/>
    <mergeCell ref="ADN239:ADO239"/>
    <mergeCell ref="ADP239:ADQ239"/>
    <mergeCell ref="ADS239:ADT239"/>
    <mergeCell ref="ADS241:ADT241"/>
    <mergeCell ref="ADU241:ADV241"/>
    <mergeCell ref="ADX241:ADY241"/>
    <mergeCell ref="ADZ241:AEA241"/>
    <mergeCell ref="AEE241:AEF241"/>
    <mergeCell ref="ACJ244:ACK244"/>
    <mergeCell ref="ACO244:ACP244"/>
    <mergeCell ref="ACQ244:ACR244"/>
    <mergeCell ref="ACT244:ACU244"/>
    <mergeCell ref="ACV244:ACW244"/>
    <mergeCell ref="ACY244:ACZ244"/>
    <mergeCell ref="ADA244:ADB244"/>
    <mergeCell ref="ADD244:ADE244"/>
    <mergeCell ref="ADF244:ADG244"/>
    <mergeCell ref="ADI244:ADJ244"/>
    <mergeCell ref="ADK244:ADL244"/>
    <mergeCell ref="ADN244:ADO244"/>
    <mergeCell ref="ADP244:ADQ244"/>
    <mergeCell ref="ADS244:ADT244"/>
    <mergeCell ref="ADU244:ADV244"/>
    <mergeCell ref="ADX244:ADY244"/>
    <mergeCell ref="ADZ244:AEA244"/>
    <mergeCell ref="AEC244:AED244"/>
    <mergeCell ref="AEE244:AEF244"/>
    <mergeCell ref="ACJ245:ACK245"/>
    <mergeCell ref="ACO245:ACP245"/>
    <mergeCell ref="ACQ245:ACR245"/>
    <mergeCell ref="ACT245:ACU245"/>
    <mergeCell ref="ACV245:ACW245"/>
    <mergeCell ref="ACY245:ACZ245"/>
    <mergeCell ref="ADA245:ADB245"/>
    <mergeCell ref="ADD245:ADE245"/>
    <mergeCell ref="ADF245:ADG245"/>
    <mergeCell ref="ADI245:ADJ245"/>
    <mergeCell ref="ADK245:ADL245"/>
    <mergeCell ref="ADN245:ADO245"/>
    <mergeCell ref="ADP245:ADQ245"/>
    <mergeCell ref="ADS245:ADT245"/>
    <mergeCell ref="ADU245:ADV245"/>
    <mergeCell ref="ADX245:ADY245"/>
    <mergeCell ref="ADZ245:AEA245"/>
    <mergeCell ref="AEC245:AED245"/>
    <mergeCell ref="AEE245:AEF245"/>
    <mergeCell ref="ACL244:ACM244"/>
    <mergeCell ref="ACL245:ACM245"/>
    <mergeCell ref="ACO242:ACP242"/>
    <mergeCell ref="ACQ242:ACR242"/>
    <mergeCell ref="ACT242:ACU242"/>
    <mergeCell ref="ACV242:ACW242"/>
    <mergeCell ref="ACY242:ACZ242"/>
    <mergeCell ref="ADA242:ADB242"/>
    <mergeCell ref="ADD242:ADE242"/>
    <mergeCell ref="ADF242:ADG242"/>
    <mergeCell ref="ADI242:ADJ242"/>
    <mergeCell ref="ADK242:ADL242"/>
    <mergeCell ref="ADN242:ADO242"/>
    <mergeCell ref="ADP242:ADQ242"/>
    <mergeCell ref="ADS242:ADT242"/>
    <mergeCell ref="ADU242:ADV242"/>
    <mergeCell ref="ADX242:ADY242"/>
    <mergeCell ref="ADZ242:AEA242"/>
    <mergeCell ref="AEC242:AED242"/>
    <mergeCell ref="AEE242:AEF242"/>
    <mergeCell ref="ACJ242:ACK242"/>
    <mergeCell ref="ACJ246:ACK246"/>
    <mergeCell ref="ACO246:ACP246"/>
    <mergeCell ref="ACQ246:ACR246"/>
    <mergeCell ref="ACT246:ACU246"/>
    <mergeCell ref="ACV246:ACW246"/>
    <mergeCell ref="ACY246:ACZ246"/>
    <mergeCell ref="ADA246:ADB246"/>
    <mergeCell ref="ADD246:ADE246"/>
    <mergeCell ref="ADF246:ADG246"/>
    <mergeCell ref="ADI246:ADJ246"/>
    <mergeCell ref="ADK246:ADL246"/>
    <mergeCell ref="ADN246:ADO246"/>
    <mergeCell ref="ADP246:ADQ246"/>
    <mergeCell ref="ADS246:ADT246"/>
    <mergeCell ref="ADU246:ADV246"/>
    <mergeCell ref="ADX246:ADY246"/>
    <mergeCell ref="ADZ246:AEA246"/>
    <mergeCell ref="AEC246:AED246"/>
    <mergeCell ref="AEE246:AEF246"/>
    <mergeCell ref="ACJ247:ACK247"/>
    <mergeCell ref="ACO247:ACP247"/>
    <mergeCell ref="ACQ247:ACR247"/>
    <mergeCell ref="ACT247:ACU247"/>
    <mergeCell ref="ACV247:ACW247"/>
    <mergeCell ref="ACY247:ACZ247"/>
    <mergeCell ref="ADA247:ADB247"/>
    <mergeCell ref="ADD247:ADE247"/>
    <mergeCell ref="ADF247:ADG247"/>
    <mergeCell ref="ADI247:ADJ247"/>
    <mergeCell ref="ADK247:ADL247"/>
    <mergeCell ref="ADN247:ADO247"/>
    <mergeCell ref="ADP247:ADQ247"/>
    <mergeCell ref="ADS247:ADT247"/>
    <mergeCell ref="ADU247:ADV247"/>
    <mergeCell ref="ADX247:ADY247"/>
    <mergeCell ref="ADZ247:AEA247"/>
    <mergeCell ref="AEC247:AED247"/>
    <mergeCell ref="AEE247:AEF247"/>
    <mergeCell ref="ACL246:ACM246"/>
    <mergeCell ref="ACL247:ACM247"/>
    <mergeCell ref="ACJ248:ACK248"/>
    <mergeCell ref="ACO248:ACP248"/>
    <mergeCell ref="ACQ248:ACR248"/>
    <mergeCell ref="ACT248:ACU248"/>
    <mergeCell ref="ACV248:ACW248"/>
    <mergeCell ref="ACY248:ACZ248"/>
    <mergeCell ref="ADA248:ADB248"/>
    <mergeCell ref="ADD248:ADE248"/>
    <mergeCell ref="ADF248:ADG248"/>
    <mergeCell ref="ADI248:ADJ248"/>
    <mergeCell ref="ADK248:ADL248"/>
    <mergeCell ref="ADN248:ADO248"/>
    <mergeCell ref="ADP248:ADQ248"/>
    <mergeCell ref="ADS248:ADT248"/>
    <mergeCell ref="ADU248:ADV248"/>
    <mergeCell ref="ADX248:ADY248"/>
    <mergeCell ref="ADZ248:AEA248"/>
    <mergeCell ref="AEC248:AED248"/>
    <mergeCell ref="AEE248:AEF248"/>
    <mergeCell ref="ACJ249:ACK249"/>
    <mergeCell ref="ACO249:ACP249"/>
    <mergeCell ref="ACQ249:ACR249"/>
    <mergeCell ref="ACT249:ACU249"/>
    <mergeCell ref="ACV249:ACW249"/>
    <mergeCell ref="ACY249:ACZ249"/>
    <mergeCell ref="ADA249:ADB249"/>
    <mergeCell ref="ADD249:ADE249"/>
    <mergeCell ref="ADF249:ADG249"/>
    <mergeCell ref="ADI249:ADJ249"/>
    <mergeCell ref="ADK249:ADL249"/>
    <mergeCell ref="ADN249:ADO249"/>
    <mergeCell ref="ADP249:ADQ249"/>
    <mergeCell ref="ADS249:ADT249"/>
    <mergeCell ref="ADU249:ADV249"/>
    <mergeCell ref="ADX249:ADY249"/>
    <mergeCell ref="ADZ249:AEA249"/>
    <mergeCell ref="AEC249:AED249"/>
    <mergeCell ref="AEE249:AEF249"/>
    <mergeCell ref="ACL248:ACM248"/>
    <mergeCell ref="ACL249:ACM249"/>
    <mergeCell ref="ACQ250:ACR250"/>
    <mergeCell ref="ACT250:ACU250"/>
    <mergeCell ref="ACV250:ACW250"/>
    <mergeCell ref="ACY250:ACZ250"/>
    <mergeCell ref="ADA250:ADB250"/>
    <mergeCell ref="ADD250:ADE250"/>
    <mergeCell ref="ADF250:ADG250"/>
    <mergeCell ref="ADI250:ADJ250"/>
    <mergeCell ref="ADK250:ADL250"/>
    <mergeCell ref="ADN250:ADO250"/>
    <mergeCell ref="ADP250:ADQ250"/>
    <mergeCell ref="ADS250:ADT250"/>
    <mergeCell ref="ADU250:ADV250"/>
    <mergeCell ref="ADX250:ADY250"/>
    <mergeCell ref="ADZ250:AEA250"/>
    <mergeCell ref="AEC250:AED250"/>
    <mergeCell ref="AEE250:AEF250"/>
    <mergeCell ref="ACJ251:ACK251"/>
    <mergeCell ref="ACO251:ACP251"/>
    <mergeCell ref="ACQ251:ACR251"/>
    <mergeCell ref="ACT251:ACU251"/>
    <mergeCell ref="ACV251:ACW251"/>
    <mergeCell ref="ACY251:ACZ251"/>
    <mergeCell ref="ADA251:ADB251"/>
    <mergeCell ref="ADD251:ADE251"/>
    <mergeCell ref="ADF251:ADG251"/>
    <mergeCell ref="ADI251:ADJ251"/>
    <mergeCell ref="ADK251:ADL251"/>
    <mergeCell ref="ADN251:ADO251"/>
    <mergeCell ref="ADP251:ADQ251"/>
    <mergeCell ref="ADS251:ADT251"/>
    <mergeCell ref="ADU251:ADV251"/>
    <mergeCell ref="ADX251:ADY251"/>
    <mergeCell ref="ADZ251:AEA251"/>
    <mergeCell ref="AEC251:AED251"/>
    <mergeCell ref="AEE251:AEF251"/>
    <mergeCell ref="ACL250:ACM250"/>
    <mergeCell ref="ACL251:ACM251"/>
    <mergeCell ref="ACJ253:ACK253"/>
    <mergeCell ref="ACO253:ACP253"/>
    <mergeCell ref="ACQ253:ACR253"/>
    <mergeCell ref="ACT253:ACU253"/>
    <mergeCell ref="ACV253:ACW253"/>
    <mergeCell ref="ACY253:ACZ253"/>
    <mergeCell ref="ADA253:ADB253"/>
    <mergeCell ref="ADD253:ADE253"/>
    <mergeCell ref="ADF253:ADG253"/>
    <mergeCell ref="ADI253:ADJ253"/>
    <mergeCell ref="ADK253:ADL253"/>
    <mergeCell ref="ADN253:ADO253"/>
    <mergeCell ref="ADP253:ADQ253"/>
    <mergeCell ref="ADS253:ADT253"/>
    <mergeCell ref="ADU253:ADV253"/>
    <mergeCell ref="ADX253:ADY253"/>
    <mergeCell ref="ADZ253:AEA253"/>
    <mergeCell ref="AEC253:AED253"/>
    <mergeCell ref="AEE253:AEF253"/>
    <mergeCell ref="ACJ254:ACK254"/>
    <mergeCell ref="ACO254:ACP254"/>
    <mergeCell ref="ACQ254:ACR254"/>
    <mergeCell ref="ACT254:ACU254"/>
    <mergeCell ref="ACV254:ACW254"/>
    <mergeCell ref="ACY254:ACZ254"/>
    <mergeCell ref="ADA254:ADB254"/>
    <mergeCell ref="ADD254:ADE254"/>
    <mergeCell ref="ADF254:ADG254"/>
    <mergeCell ref="ADI254:ADJ254"/>
    <mergeCell ref="ADK254:ADL254"/>
    <mergeCell ref="ADN254:ADO254"/>
    <mergeCell ref="ADP254:ADQ254"/>
    <mergeCell ref="ADS254:ADT254"/>
    <mergeCell ref="ADU254:ADV254"/>
    <mergeCell ref="ADX254:ADY254"/>
    <mergeCell ref="ADZ254:AEA254"/>
    <mergeCell ref="AEC254:AED254"/>
    <mergeCell ref="AEE254:AEF254"/>
    <mergeCell ref="ACL253:ACM253"/>
    <mergeCell ref="ACL254:ACM254"/>
    <mergeCell ref="ACJ252:ACK252"/>
    <mergeCell ref="ACO252:ACP252"/>
    <mergeCell ref="ACQ252:ACR252"/>
    <mergeCell ref="ACT252:ACU252"/>
    <mergeCell ref="ACV252:ACW252"/>
    <mergeCell ref="ACY252:ACZ252"/>
    <mergeCell ref="ADA252:ADB252"/>
    <mergeCell ref="ADD252:ADE252"/>
    <mergeCell ref="ADF252:ADG252"/>
    <mergeCell ref="ADI252:ADJ252"/>
    <mergeCell ref="ADK252:ADL252"/>
    <mergeCell ref="ACL252:ACM252"/>
    <mergeCell ref="AEC257:AED257"/>
    <mergeCell ref="AEE257:AEF257"/>
    <mergeCell ref="ACJ258:ACK258"/>
    <mergeCell ref="ACO258:ACP258"/>
    <mergeCell ref="ACQ258:ACR258"/>
    <mergeCell ref="ACT258:ACU258"/>
    <mergeCell ref="ACV258:ACW258"/>
    <mergeCell ref="ACY258:ACZ258"/>
    <mergeCell ref="ADA258:ADB258"/>
    <mergeCell ref="ADD258:ADE258"/>
    <mergeCell ref="ADF258:ADG258"/>
    <mergeCell ref="ADI258:ADJ258"/>
    <mergeCell ref="ADK258:ADL258"/>
    <mergeCell ref="ADN258:ADO258"/>
    <mergeCell ref="ADP258:ADQ258"/>
    <mergeCell ref="ADS258:ADT258"/>
    <mergeCell ref="ADU258:ADV258"/>
    <mergeCell ref="ADX258:ADY258"/>
    <mergeCell ref="ADZ258:AEA258"/>
    <mergeCell ref="AEC258:AED258"/>
    <mergeCell ref="AEE258:AEF258"/>
    <mergeCell ref="ACL258:ACM258"/>
    <mergeCell ref="ACL257:ACM257"/>
    <mergeCell ref="ACT255:ACU255"/>
    <mergeCell ref="ACV255:ACW255"/>
    <mergeCell ref="ACY255:ACZ255"/>
    <mergeCell ref="ADA255:ADB255"/>
    <mergeCell ref="ADD255:ADE255"/>
    <mergeCell ref="ADF255:ADG255"/>
    <mergeCell ref="ADI255:ADJ255"/>
    <mergeCell ref="ADK255:ADL255"/>
    <mergeCell ref="ADN255:ADO255"/>
    <mergeCell ref="ADP255:ADQ255"/>
    <mergeCell ref="ADS255:ADT255"/>
    <mergeCell ref="ADU255:ADV255"/>
    <mergeCell ref="ADX255:ADY255"/>
    <mergeCell ref="ADZ255:AEA255"/>
    <mergeCell ref="AEC255:AED255"/>
    <mergeCell ref="AEE255:AEF255"/>
    <mergeCell ref="ACJ256:ACK256"/>
    <mergeCell ref="ACO256:ACP256"/>
    <mergeCell ref="ACQ256:ACR256"/>
    <mergeCell ref="ACT256:ACU256"/>
    <mergeCell ref="ACV256:ACW256"/>
    <mergeCell ref="ACY256:ACZ256"/>
    <mergeCell ref="ADA256:ADB256"/>
    <mergeCell ref="ADD256:ADE256"/>
    <mergeCell ref="ADF256:ADG256"/>
    <mergeCell ref="ADI256:ADJ256"/>
    <mergeCell ref="ADK256:ADL256"/>
    <mergeCell ref="ADN256:ADO256"/>
    <mergeCell ref="ADP256:ADQ256"/>
    <mergeCell ref="ACL255:ACM255"/>
    <mergeCell ref="ACJ255:ACK255"/>
    <mergeCell ref="ACO255:ACP255"/>
    <mergeCell ref="ACQ255:ACR255"/>
    <mergeCell ref="ACL256:ACM256"/>
    <mergeCell ref="ACJ257:ACK257"/>
    <mergeCell ref="ADZ259:AEA259"/>
    <mergeCell ref="AEC259:AED259"/>
    <mergeCell ref="AEE259:AEF259"/>
    <mergeCell ref="ACJ260:ACK260"/>
    <mergeCell ref="ACO260:ACP260"/>
    <mergeCell ref="ACQ260:ACR260"/>
    <mergeCell ref="ACT260:ACU260"/>
    <mergeCell ref="ACV260:ACW260"/>
    <mergeCell ref="ACY260:ACZ260"/>
    <mergeCell ref="ADA260:ADB260"/>
    <mergeCell ref="ADD260:ADE260"/>
    <mergeCell ref="ADF260:ADG260"/>
    <mergeCell ref="ADI260:ADJ260"/>
    <mergeCell ref="ADK260:ADL260"/>
    <mergeCell ref="ADN260:ADO260"/>
    <mergeCell ref="ADP260:ADQ260"/>
    <mergeCell ref="ADS260:ADT260"/>
    <mergeCell ref="ADU260:ADV260"/>
    <mergeCell ref="ADX260:ADY260"/>
    <mergeCell ref="ADZ260:AEA260"/>
    <mergeCell ref="AEC260:AED260"/>
    <mergeCell ref="AEE260:AEF260"/>
    <mergeCell ref="ACL259:ACM259"/>
    <mergeCell ref="ACL260:ACM260"/>
    <mergeCell ref="ACJ261:ACK261"/>
    <mergeCell ref="ACO261:ACP261"/>
    <mergeCell ref="ACQ261:ACR261"/>
    <mergeCell ref="ACT261:ACU261"/>
    <mergeCell ref="ACV261:ACW261"/>
    <mergeCell ref="ACY261:ACZ261"/>
    <mergeCell ref="ADA261:ADB261"/>
    <mergeCell ref="ADD261:ADE261"/>
    <mergeCell ref="ADF261:ADG261"/>
    <mergeCell ref="ADI261:ADJ261"/>
    <mergeCell ref="ADK261:ADL261"/>
    <mergeCell ref="ADN261:ADO261"/>
    <mergeCell ref="ADP261:ADQ261"/>
    <mergeCell ref="ADS261:ADT261"/>
    <mergeCell ref="ADU261:ADV261"/>
    <mergeCell ref="ADX261:ADY261"/>
    <mergeCell ref="ADZ261:AEA261"/>
    <mergeCell ref="AEC261:AED261"/>
    <mergeCell ref="AEE261:AEF261"/>
    <mergeCell ref="ACO259:ACP259"/>
    <mergeCell ref="ACQ259:ACR259"/>
    <mergeCell ref="ACT259:ACU259"/>
    <mergeCell ref="ACV259:ACW259"/>
    <mergeCell ref="ACY259:ACZ259"/>
    <mergeCell ref="ACL261:ACM261"/>
    <mergeCell ref="ACO257:ACP257"/>
    <mergeCell ref="ACV257:ACW257"/>
    <mergeCell ref="ACY257:ACZ257"/>
    <mergeCell ref="ADA257:ADB257"/>
    <mergeCell ref="ADD257:ADE257"/>
    <mergeCell ref="ACJ259:ACK259"/>
    <mergeCell ref="ADA259:ADB259"/>
    <mergeCell ref="ADD259:ADE259"/>
    <mergeCell ref="ADF259:ADG259"/>
    <mergeCell ref="ACJ262:ACK262"/>
    <mergeCell ref="ACO262:ACP262"/>
    <mergeCell ref="ACQ262:ACR262"/>
    <mergeCell ref="ACT262:ACU262"/>
    <mergeCell ref="ACV262:ACW262"/>
    <mergeCell ref="ACY262:ACZ262"/>
    <mergeCell ref="ADA262:ADB262"/>
    <mergeCell ref="ADD262:ADE262"/>
    <mergeCell ref="ADF262:ADG262"/>
    <mergeCell ref="ADI262:ADJ262"/>
    <mergeCell ref="ADK262:ADL262"/>
    <mergeCell ref="ADN262:ADO262"/>
    <mergeCell ref="ADP262:ADQ262"/>
    <mergeCell ref="ADS262:ADT262"/>
    <mergeCell ref="ADU262:ADV262"/>
    <mergeCell ref="ADX262:ADY262"/>
    <mergeCell ref="ADZ262:AEA262"/>
    <mergeCell ref="AEC262:AED262"/>
    <mergeCell ref="AEE262:AEF262"/>
    <mergeCell ref="ACL265:ACM265"/>
    <mergeCell ref="ACL262:ACM262"/>
    <mergeCell ref="ACJ263:ACK263"/>
    <mergeCell ref="ACO263:ACP263"/>
    <mergeCell ref="ACQ263:ACR263"/>
    <mergeCell ref="ACT263:ACU263"/>
    <mergeCell ref="ACV263:ACW263"/>
    <mergeCell ref="ACY263:ACZ263"/>
    <mergeCell ref="ADA263:ADB263"/>
    <mergeCell ref="ADD263:ADE263"/>
    <mergeCell ref="ADF263:ADG263"/>
    <mergeCell ref="ADI263:ADJ263"/>
    <mergeCell ref="ADK263:ADL263"/>
    <mergeCell ref="ADN263:ADO263"/>
    <mergeCell ref="ADP263:ADQ263"/>
    <mergeCell ref="ADS263:ADT263"/>
    <mergeCell ref="ADU263:ADV263"/>
    <mergeCell ref="ADX263:ADY263"/>
    <mergeCell ref="ADZ263:AEA263"/>
    <mergeCell ref="AEC263:AED263"/>
    <mergeCell ref="AEE263:AEF263"/>
    <mergeCell ref="ACJ264:ACK264"/>
    <mergeCell ref="ACO264:ACP264"/>
    <mergeCell ref="AEC264:AED264"/>
    <mergeCell ref="AEE264:AEF264"/>
    <mergeCell ref="ACL263:ACM263"/>
    <mergeCell ref="ACL264:ACM264"/>
    <mergeCell ref="ACJ265:ACK265"/>
    <mergeCell ref="ACO265:ACP265"/>
    <mergeCell ref="AEC265:AED265"/>
    <mergeCell ref="AEE265:AEF265"/>
    <mergeCell ref="ACV265:ACW265"/>
    <mergeCell ref="ACY265:ACZ265"/>
    <mergeCell ref="ADA265:ADB265"/>
    <mergeCell ref="ADD265:ADE265"/>
    <mergeCell ref="ADF265:ADG265"/>
    <mergeCell ref="ADI265:ADJ265"/>
    <mergeCell ref="ADK265:ADL265"/>
    <mergeCell ref="ADN265:ADO265"/>
    <mergeCell ref="ADP265:ADQ265"/>
    <mergeCell ref="ADS265:ADT265"/>
    <mergeCell ref="ADU265:ADV265"/>
    <mergeCell ref="ADX265:ADY265"/>
    <mergeCell ref="ADZ265:AEA265"/>
    <mergeCell ref="ACQ264:ACR264"/>
    <mergeCell ref="ACJ267:ACK267"/>
    <mergeCell ref="ACO267:ACP267"/>
    <mergeCell ref="ACQ267:ACR267"/>
    <mergeCell ref="ACT267:ACU267"/>
    <mergeCell ref="ACV267:ACW267"/>
    <mergeCell ref="ACY267:ACZ267"/>
    <mergeCell ref="ADA267:ADB267"/>
    <mergeCell ref="ADD267:ADE267"/>
    <mergeCell ref="ADF267:ADG267"/>
    <mergeCell ref="ADI267:ADJ267"/>
    <mergeCell ref="ADK267:ADL267"/>
    <mergeCell ref="ADN267:ADO267"/>
    <mergeCell ref="ADP267:ADQ267"/>
    <mergeCell ref="ADS267:ADT267"/>
    <mergeCell ref="ADU267:ADV267"/>
    <mergeCell ref="ADX267:ADY267"/>
    <mergeCell ref="ACJ266:ACK266"/>
    <mergeCell ref="ACO266:ACP266"/>
    <mergeCell ref="ACQ266:ACR266"/>
    <mergeCell ref="ACT266:ACU266"/>
    <mergeCell ref="ACV266:ACW266"/>
    <mergeCell ref="ACY266:ACZ266"/>
    <mergeCell ref="ADA266:ADB266"/>
    <mergeCell ref="ADD266:ADE266"/>
    <mergeCell ref="ADF266:ADG266"/>
    <mergeCell ref="ADI266:ADJ266"/>
    <mergeCell ref="ADK266:ADL266"/>
    <mergeCell ref="ADN266:ADO266"/>
    <mergeCell ref="ADP266:ADQ266"/>
    <mergeCell ref="ADS266:ADT266"/>
    <mergeCell ref="ADU266:ADV266"/>
    <mergeCell ref="ADX266:ADY266"/>
    <mergeCell ref="ADZ266:AEA266"/>
    <mergeCell ref="ACL266:ACM266"/>
    <mergeCell ref="ADZ267:AEA267"/>
    <mergeCell ref="ACL272:ACM272"/>
    <mergeCell ref="ACJ273:ACK273"/>
    <mergeCell ref="ACO273:ACP273"/>
    <mergeCell ref="ACQ273:ACR273"/>
    <mergeCell ref="ACT273:ACU273"/>
    <mergeCell ref="ACV273:ACW273"/>
    <mergeCell ref="ACY273:ACZ273"/>
    <mergeCell ref="ADA273:ADB273"/>
    <mergeCell ref="ADD273:ADE273"/>
    <mergeCell ref="ADF273:ADG273"/>
    <mergeCell ref="ADI273:ADJ273"/>
    <mergeCell ref="ADK273:ADL273"/>
    <mergeCell ref="ADN273:ADO273"/>
    <mergeCell ref="ADP273:ADQ273"/>
    <mergeCell ref="ADS273:ADT273"/>
    <mergeCell ref="ADU273:ADV273"/>
    <mergeCell ref="ADX275:ADY275"/>
    <mergeCell ref="ADZ275:AEA275"/>
    <mergeCell ref="ADU274:ADV274"/>
    <mergeCell ref="ADX274:ADY274"/>
    <mergeCell ref="ADZ274:AEA274"/>
    <mergeCell ref="AEC274:AED274"/>
    <mergeCell ref="AEE274:AEF274"/>
    <mergeCell ref="AEC267:AED267"/>
    <mergeCell ref="AEE267:AEF267"/>
    <mergeCell ref="ACJ268:ACK268"/>
    <mergeCell ref="ACO268:ACP268"/>
    <mergeCell ref="ACQ268:ACR268"/>
    <mergeCell ref="ACT268:ACU268"/>
    <mergeCell ref="ACV268:ACW268"/>
    <mergeCell ref="ACY268:ACZ268"/>
    <mergeCell ref="ADA268:ADB268"/>
    <mergeCell ref="ADD268:ADE268"/>
    <mergeCell ref="ADF268:ADG268"/>
    <mergeCell ref="ADI268:ADJ268"/>
    <mergeCell ref="ADK268:ADL268"/>
    <mergeCell ref="ADN268:ADO268"/>
    <mergeCell ref="ADP268:ADQ268"/>
    <mergeCell ref="ADS268:ADT268"/>
    <mergeCell ref="ADU268:ADV268"/>
    <mergeCell ref="ADX268:ADY268"/>
    <mergeCell ref="ADZ268:AEA268"/>
    <mergeCell ref="AEC268:AED268"/>
    <mergeCell ref="AEE268:AEF268"/>
    <mergeCell ref="ACL267:ACM267"/>
    <mergeCell ref="ADI270:ADJ270"/>
    <mergeCell ref="ADK270:ADL270"/>
    <mergeCell ref="ADN270:ADO270"/>
    <mergeCell ref="ADP270:ADQ270"/>
    <mergeCell ref="ADS270:ADT270"/>
    <mergeCell ref="ADU270:ADV270"/>
    <mergeCell ref="ADX270:ADY270"/>
    <mergeCell ref="ADZ270:AEA270"/>
    <mergeCell ref="AEC270:AED270"/>
    <mergeCell ref="AEE270:AEF270"/>
    <mergeCell ref="ACL269:ACM269"/>
    <mergeCell ref="AEC269:AED269"/>
    <mergeCell ref="AEE269:AEF269"/>
    <mergeCell ref="ACJ270:ACK270"/>
    <mergeCell ref="ACO270:ACP270"/>
    <mergeCell ref="ACQ270:ACR270"/>
    <mergeCell ref="ACT270:ACU270"/>
    <mergeCell ref="ACJ272:ACK272"/>
    <mergeCell ref="ACO272:ACP272"/>
    <mergeCell ref="ACL277:ACM277"/>
    <mergeCell ref="ADX273:ADY273"/>
    <mergeCell ref="ADZ273:AEA273"/>
    <mergeCell ref="AEC273:AED273"/>
    <mergeCell ref="AEE273:AEF273"/>
    <mergeCell ref="ADI276:ADJ276"/>
    <mergeCell ref="ADK276:ADL276"/>
    <mergeCell ref="ADN276:ADO276"/>
    <mergeCell ref="ADP276:ADQ276"/>
    <mergeCell ref="ADS276:ADT276"/>
    <mergeCell ref="ADU276:ADV276"/>
    <mergeCell ref="ADX276:ADY276"/>
    <mergeCell ref="ADZ276:AEA276"/>
    <mergeCell ref="AEC276:AED276"/>
    <mergeCell ref="AEE276:AEF276"/>
    <mergeCell ref="ACL275:ACM275"/>
    <mergeCell ref="ACL276:ACM276"/>
    <mergeCell ref="ACJ277:ACK277"/>
    <mergeCell ref="ACO277:ACP277"/>
    <mergeCell ref="ACQ277:ACR277"/>
    <mergeCell ref="ACT277:ACU277"/>
    <mergeCell ref="ACV277:ACW277"/>
    <mergeCell ref="ACY277:ACZ277"/>
    <mergeCell ref="ADA277:ADB277"/>
    <mergeCell ref="ADD277:ADE277"/>
    <mergeCell ref="ADF277:ADG277"/>
    <mergeCell ref="ADI277:ADJ277"/>
    <mergeCell ref="ADK277:ADL277"/>
    <mergeCell ref="ADN277:ADO277"/>
    <mergeCell ref="ADP277:ADQ277"/>
    <mergeCell ref="ADS277:ADT277"/>
    <mergeCell ref="ADU277:ADV277"/>
    <mergeCell ref="ADX277:ADY277"/>
    <mergeCell ref="ADZ277:AEA277"/>
    <mergeCell ref="AEC277:AED277"/>
    <mergeCell ref="AEE277:AEF277"/>
    <mergeCell ref="ACJ274:ACK274"/>
    <mergeCell ref="ACO274:ACP274"/>
    <mergeCell ref="ACQ274:ACR274"/>
    <mergeCell ref="ACT274:ACU274"/>
    <mergeCell ref="ACV274:ACW274"/>
    <mergeCell ref="ACY274:ACZ274"/>
    <mergeCell ref="ADA274:ADB274"/>
    <mergeCell ref="ADD274:ADE274"/>
    <mergeCell ref="ADF274:ADG274"/>
    <mergeCell ref="ADI274:ADJ274"/>
    <mergeCell ref="ADK274:ADL274"/>
    <mergeCell ref="ADN274:ADO274"/>
    <mergeCell ref="ADP274:ADQ274"/>
    <mergeCell ref="ADS274:ADT274"/>
    <mergeCell ref="AEC275:AED275"/>
    <mergeCell ref="AEE275:AEF275"/>
    <mergeCell ref="ADD276:ADE276"/>
    <mergeCell ref="ADF276:ADG276"/>
    <mergeCell ref="ACL274:ACM274"/>
    <mergeCell ref="ACJ275:ACK275"/>
    <mergeCell ref="ACO275:ACP275"/>
    <mergeCell ref="ACQ275:ACR275"/>
    <mergeCell ref="ACT275:ACU275"/>
    <mergeCell ref="ACV275:ACW275"/>
    <mergeCell ref="ACY275:ACZ275"/>
    <mergeCell ref="ACT264:ACU264"/>
    <mergeCell ref="ACV264:ACW264"/>
    <mergeCell ref="ACY264:ACZ264"/>
    <mergeCell ref="ADA264:ADB264"/>
    <mergeCell ref="ADD264:ADE264"/>
    <mergeCell ref="ADF264:ADG264"/>
    <mergeCell ref="ADI264:ADJ264"/>
    <mergeCell ref="ADK264:ADL264"/>
    <mergeCell ref="AEC271:AED271"/>
    <mergeCell ref="AEE271:AEF271"/>
    <mergeCell ref="ACY269:ACZ269"/>
    <mergeCell ref="ADA269:ADB269"/>
    <mergeCell ref="ADD269:ADE269"/>
    <mergeCell ref="ADF269:ADG269"/>
    <mergeCell ref="ADI269:ADJ269"/>
    <mergeCell ref="ADK269:ADL269"/>
    <mergeCell ref="ADN269:ADO269"/>
    <mergeCell ref="ADP269:ADQ269"/>
    <mergeCell ref="ADS269:ADT269"/>
    <mergeCell ref="ADU269:ADV269"/>
    <mergeCell ref="ADX269:ADY269"/>
    <mergeCell ref="ADZ269:AEA269"/>
    <mergeCell ref="ACV270:ACW270"/>
    <mergeCell ref="ACY270:ACZ270"/>
    <mergeCell ref="ADA270:ADB270"/>
    <mergeCell ref="ADD270:ADE270"/>
    <mergeCell ref="ADF270:ADG270"/>
    <mergeCell ref="AEC266:AED266"/>
    <mergeCell ref="AEE266:AEF266"/>
    <mergeCell ref="ACJ276:ACK276"/>
    <mergeCell ref="ACO276:ACP276"/>
    <mergeCell ref="ACQ276:ACR276"/>
    <mergeCell ref="ACT276:ACU276"/>
    <mergeCell ref="ACV276:ACW276"/>
    <mergeCell ref="ACY276:ACZ276"/>
    <mergeCell ref="ADA276:ADB276"/>
    <mergeCell ref="ADD275:ADE275"/>
    <mergeCell ref="ADF275:ADG275"/>
    <mergeCell ref="ADI275:ADJ275"/>
    <mergeCell ref="ADK275:ADL275"/>
    <mergeCell ref="ADA275:ADB275"/>
    <mergeCell ref="ACL273:ACM273"/>
    <mergeCell ref="ACL270:ACM270"/>
    <mergeCell ref="ACJ271:ACK271"/>
    <mergeCell ref="ACO271:ACP271"/>
    <mergeCell ref="ACQ271:ACR271"/>
    <mergeCell ref="ACT271:ACU271"/>
    <mergeCell ref="ACV271:ACW271"/>
    <mergeCell ref="ACY271:ACZ271"/>
    <mergeCell ref="ADA271:ADB271"/>
    <mergeCell ref="ADD271:ADE271"/>
    <mergeCell ref="ADF271:ADG271"/>
    <mergeCell ref="ADI271:ADJ271"/>
    <mergeCell ref="ADK271:ADL271"/>
    <mergeCell ref="ADN271:ADO271"/>
    <mergeCell ref="ADP271:ADQ271"/>
    <mergeCell ref="ADS271:ADT271"/>
    <mergeCell ref="ADU271:ADV271"/>
    <mergeCell ref="ADX271:ADY271"/>
    <mergeCell ref="ADZ271:AEA271"/>
    <mergeCell ref="ADN275:ADO275"/>
    <mergeCell ref="ADP275:ADQ275"/>
    <mergeCell ref="ADS275:ADT275"/>
    <mergeCell ref="ADU275:ADV275"/>
    <mergeCell ref="ACQ272:ACR272"/>
    <mergeCell ref="ACT272:ACU272"/>
    <mergeCell ref="ACV272:ACW272"/>
    <mergeCell ref="ACY272:ACZ272"/>
    <mergeCell ref="ADA272:ADB272"/>
    <mergeCell ref="ADD272:ADE272"/>
    <mergeCell ref="ADF272:ADG272"/>
    <mergeCell ref="ADI272:ADJ272"/>
    <mergeCell ref="ADK272:ADL272"/>
    <mergeCell ref="ADN272:ADO272"/>
    <mergeCell ref="ADP272:ADQ272"/>
    <mergeCell ref="ADS272:ADT272"/>
    <mergeCell ref="ADU272:ADV272"/>
    <mergeCell ref="ADX272:ADY272"/>
    <mergeCell ref="ADZ272:AEA272"/>
    <mergeCell ref="AEE13:AEF13"/>
    <mergeCell ref="ADP19:ADQ19"/>
    <mergeCell ref="ACT12:ACU12"/>
    <mergeCell ref="ACV12:ACW12"/>
    <mergeCell ref="ACT13:ACU13"/>
    <mergeCell ref="ACV13:ACW13"/>
    <mergeCell ref="ACT14:ACU14"/>
    <mergeCell ref="ACV14:ACW14"/>
    <mergeCell ref="ACT15:ACU15"/>
    <mergeCell ref="ACV15:ACW15"/>
    <mergeCell ref="ACT16:ACU16"/>
    <mergeCell ref="ACV16:ACW16"/>
    <mergeCell ref="ACT17:ACU17"/>
    <mergeCell ref="ACV17:ACW17"/>
    <mergeCell ref="ACT18:ACU18"/>
    <mergeCell ref="ACV18:ACW18"/>
    <mergeCell ref="ACT19:ACU19"/>
    <mergeCell ref="ACV19:ACW19"/>
    <mergeCell ref="ACT20:ACU20"/>
    <mergeCell ref="ACV20:ACW20"/>
    <mergeCell ref="ACT21:ACU21"/>
    <mergeCell ref="ACV21:ACW21"/>
    <mergeCell ref="AEC19:AED19"/>
    <mergeCell ref="ACT25:ACU25"/>
    <mergeCell ref="ADU36:ADV36"/>
    <mergeCell ref="ADU35:ADV35"/>
    <mergeCell ref="ADZ46:AEA46"/>
    <mergeCell ref="ADX47:ADY47"/>
    <mergeCell ref="ADZ47:AEA47"/>
    <mergeCell ref="ADZ52:AEA52"/>
    <mergeCell ref="ADX53:ADY53"/>
    <mergeCell ref="ADZ53:AEA53"/>
    <mergeCell ref="ADX54:ADY54"/>
    <mergeCell ref="ADZ54:AEA54"/>
    <mergeCell ref="ADX55:ADY55"/>
    <mergeCell ref="ADZ55:AEA55"/>
    <mergeCell ref="ADX56:ADY56"/>
    <mergeCell ref="ADZ56:AEA56"/>
    <mergeCell ref="ADP27:ADQ27"/>
    <mergeCell ref="ADN28:ADO28"/>
    <mergeCell ref="ADP28:ADQ28"/>
    <mergeCell ref="ADN264:ADO264"/>
    <mergeCell ref="ADP264:ADQ264"/>
    <mergeCell ref="ADS264:ADT264"/>
    <mergeCell ref="ADU264:ADV264"/>
    <mergeCell ref="ADX264:ADY264"/>
    <mergeCell ref="ADZ264:AEA264"/>
    <mergeCell ref="ACQ257:ACR257"/>
    <mergeCell ref="ACT257:ACU257"/>
    <mergeCell ref="ACL271:ACM271"/>
    <mergeCell ref="ACL268:ACM268"/>
    <mergeCell ref="ACJ269:ACK269"/>
    <mergeCell ref="ACO269:ACP269"/>
    <mergeCell ref="ACQ269:ACR269"/>
    <mergeCell ref="ACT269:ACU269"/>
    <mergeCell ref="ACV269:ACW269"/>
    <mergeCell ref="ADD13:ADE13"/>
    <mergeCell ref="ADF13:ADG13"/>
    <mergeCell ref="ACY12:ACZ12"/>
    <mergeCell ref="ADN13:ADO13"/>
    <mergeCell ref="ADD16:ADE16"/>
    <mergeCell ref="ADD18:ADE18"/>
    <mergeCell ref="ADF18:ADG18"/>
    <mergeCell ref="ADK16:ADL16"/>
    <mergeCell ref="ADI13:ADJ13"/>
    <mergeCell ref="ADI17:ADJ17"/>
    <mergeCell ref="ADD19:ADE19"/>
    <mergeCell ref="ADN20:ADO20"/>
    <mergeCell ref="ADN24:ADO24"/>
    <mergeCell ref="ACY15:ACZ15"/>
    <mergeCell ref="ADA15:ADB15"/>
    <mergeCell ref="ADX13:ADY13"/>
    <mergeCell ref="ACQ265:ACR265"/>
    <mergeCell ref="ACT265:ACU265"/>
    <mergeCell ref="ACJ54:ACK54"/>
    <mergeCell ref="ACL54:ACM54"/>
    <mergeCell ref="ACO54:ACP54"/>
    <mergeCell ref="ACQ54:ACR54"/>
    <mergeCell ref="ACJ55:ACK55"/>
    <mergeCell ref="ACL55:ACM55"/>
    <mergeCell ref="ACO55:ACP55"/>
    <mergeCell ref="ACQ55:ACR55"/>
    <mergeCell ref="ACT53:ACU53"/>
    <mergeCell ref="ADK161:ADL161"/>
    <mergeCell ref="ADN161:ADO161"/>
    <mergeCell ref="ADP161:ADQ161"/>
    <mergeCell ref="ADS161:ADT161"/>
    <mergeCell ref="ADU161:ADV161"/>
    <mergeCell ref="ADX161:ADY161"/>
    <mergeCell ref="ACJ165:ACK165"/>
    <mergeCell ref="ACJ166:ACK166"/>
    <mergeCell ref="ADN166:ADO166"/>
    <mergeCell ref="ADP166:ADQ166"/>
    <mergeCell ref="ADS166:ADT166"/>
    <mergeCell ref="ADU166:ADV166"/>
    <mergeCell ref="ADX166:ADY166"/>
    <mergeCell ref="ACQ168:ACR168"/>
    <mergeCell ref="ACT168:ACU168"/>
    <mergeCell ref="ACV168:ACW168"/>
    <mergeCell ref="ACY168:ACZ168"/>
    <mergeCell ref="ADA168:ADB168"/>
    <mergeCell ref="ADD168:ADE168"/>
    <mergeCell ref="ADF168:ADG168"/>
    <mergeCell ref="ACR214:ACS214"/>
    <mergeCell ref="ACR215:ACS215"/>
    <mergeCell ref="ACY159:ACZ159"/>
    <mergeCell ref="ADA159:ADB159"/>
    <mergeCell ref="ADD159:ADE159"/>
    <mergeCell ref="ADF162:ADG162"/>
    <mergeCell ref="ADI162:ADJ162"/>
    <mergeCell ref="ADP13:ADQ13"/>
    <mergeCell ref="ADK14:ADL14"/>
    <mergeCell ref="ADI15:ADJ15"/>
    <mergeCell ref="AEH51:AEI51"/>
    <mergeCell ref="AEJ51:AEK51"/>
    <mergeCell ref="AEH52:AEI52"/>
    <mergeCell ref="AEJ52:AEK52"/>
    <mergeCell ref="AEH53:AEI53"/>
    <mergeCell ref="AEJ53:AEK53"/>
    <mergeCell ref="AEC34:AED34"/>
    <mergeCell ref="AEE29:AEF29"/>
    <mergeCell ref="ADZ13:AEA13"/>
    <mergeCell ref="ADX14:ADY14"/>
    <mergeCell ref="ADZ14:AEA14"/>
    <mergeCell ref="ADX15:ADY15"/>
    <mergeCell ref="ADZ15:AEA15"/>
    <mergeCell ref="ADS62:ADT62"/>
    <mergeCell ref="AEC14:AED14"/>
    <mergeCell ref="AEC15:AED15"/>
    <mergeCell ref="AEC13:AED13"/>
    <mergeCell ref="ADF257:ADG257"/>
    <mergeCell ref="ADI257:ADJ257"/>
    <mergeCell ref="ADK257:ADL257"/>
    <mergeCell ref="ADN257:ADO257"/>
    <mergeCell ref="ADP257:ADQ257"/>
    <mergeCell ref="ADS257:ADT257"/>
    <mergeCell ref="ADU257:ADV257"/>
    <mergeCell ref="ADX257:ADY257"/>
    <mergeCell ref="ADZ257:AEA257"/>
    <mergeCell ref="ADN252:ADO252"/>
    <mergeCell ref="ADP252:ADQ252"/>
    <mergeCell ref="ADS252:ADT252"/>
    <mergeCell ref="ADU252:ADV252"/>
    <mergeCell ref="ADX252:ADY252"/>
    <mergeCell ref="ADZ252:AEA252"/>
    <mergeCell ref="ACJ250:ACK250"/>
    <mergeCell ref="ACO250:ACP250"/>
    <mergeCell ref="ACV25:ACW25"/>
    <mergeCell ref="ACT26:ACU26"/>
    <mergeCell ref="ACV26:ACW26"/>
    <mergeCell ref="ACT27:ACU27"/>
    <mergeCell ref="ACV27:ACW27"/>
    <mergeCell ref="ACV30:ACW30"/>
    <mergeCell ref="ADN14:ADO14"/>
    <mergeCell ref="ADN16:ADO16"/>
    <mergeCell ref="ADD17:ADE17"/>
    <mergeCell ref="ACV156:ACW156"/>
    <mergeCell ref="ACY156:ACZ156"/>
    <mergeCell ref="ADA156:ADB156"/>
    <mergeCell ref="ADD156:ADE156"/>
    <mergeCell ref="ADF156:ADG156"/>
    <mergeCell ref="ADI156:ADJ156"/>
    <mergeCell ref="ADK156:ADL156"/>
    <mergeCell ref="ADN156:ADO156"/>
    <mergeCell ref="ADP156:ADQ156"/>
    <mergeCell ref="ADS156:ADT156"/>
    <mergeCell ref="ADU156:ADV156"/>
    <mergeCell ref="ADX156:ADY156"/>
    <mergeCell ref="ADZ156:AEA156"/>
    <mergeCell ref="AEC156:AED156"/>
    <mergeCell ref="ADA58:ADB58"/>
    <mergeCell ref="ACJ49:ACK49"/>
    <mergeCell ref="ACL49:ACM49"/>
    <mergeCell ref="ACO49:ACP49"/>
    <mergeCell ref="ACQ49:ACR49"/>
    <mergeCell ref="ACJ50:ACK50"/>
    <mergeCell ref="ACL50:ACM50"/>
    <mergeCell ref="AEO46:AEP46"/>
    <mergeCell ref="AEH47:AEI47"/>
    <mergeCell ref="AEM49:AEN49"/>
    <mergeCell ref="ADP62:ADQ62"/>
    <mergeCell ref="AEC24:AED24"/>
    <mergeCell ref="AEE24:AEF24"/>
    <mergeCell ref="ADZ19:AEA19"/>
    <mergeCell ref="ADX20:ADY20"/>
    <mergeCell ref="ADZ20:AEA20"/>
    <mergeCell ref="ADN18:ADO18"/>
    <mergeCell ref="ADN33:ADO33"/>
    <mergeCell ref="ADP33:ADQ33"/>
    <mergeCell ref="ADN34:ADO34"/>
    <mergeCell ref="ADP34:ADQ34"/>
    <mergeCell ref="AEH55:AEI55"/>
    <mergeCell ref="AEJ55:AEK55"/>
    <mergeCell ref="ADU14:ADV14"/>
    <mergeCell ref="AEC27:AED27"/>
    <mergeCell ref="AEE27:AEF27"/>
    <mergeCell ref="AEC22:AED22"/>
    <mergeCell ref="ADZ49:AEA49"/>
    <mergeCell ref="ADX50:ADY50"/>
    <mergeCell ref="ADZ50:AEA50"/>
    <mergeCell ref="AEH37:AEI37"/>
    <mergeCell ref="AEJ37:AEK37"/>
    <mergeCell ref="ADU33:ADV33"/>
    <mergeCell ref="ADU34:ADV34"/>
    <mergeCell ref="AEE57:AEF57"/>
    <mergeCell ref="AEE58:AEF58"/>
    <mergeCell ref="ADX49:ADY49"/>
    <mergeCell ref="AEC30:AED30"/>
    <mergeCell ref="AEE30:AEF30"/>
    <mergeCell ref="AEE17:AEF17"/>
    <mergeCell ref="AEC18:AED18"/>
    <mergeCell ref="ADU28:ADV28"/>
    <mergeCell ref="AEE34:AEF34"/>
    <mergeCell ref="AEH39:AEI39"/>
    <mergeCell ref="AEJ39:AEK39"/>
    <mergeCell ref="AEJ30:AEK30"/>
    <mergeCell ref="AEH31:AEI31"/>
    <mergeCell ref="AEJ31:AEK31"/>
    <mergeCell ref="AEH32:AEI32"/>
    <mergeCell ref="AEH46:AEI46"/>
    <mergeCell ref="AEJ46:AEK46"/>
    <mergeCell ref="ADZ51:AEA51"/>
    <mergeCell ref="AEE22:AEF22"/>
    <mergeCell ref="ADZ24:AEA24"/>
    <mergeCell ref="AEJ14:AEK14"/>
    <mergeCell ref="AEJ15:AEK15"/>
    <mergeCell ref="AEH16:AEI16"/>
    <mergeCell ref="AEE14:AEF14"/>
    <mergeCell ref="AEE40:AEF40"/>
    <mergeCell ref="AEC51:AED51"/>
    <mergeCell ref="AEC52:AED52"/>
    <mergeCell ref="ADX51:ADY51"/>
    <mergeCell ref="ADX52:ADY52"/>
    <mergeCell ref="ADZ18:AEA18"/>
    <mergeCell ref="ADU58:ADV58"/>
    <mergeCell ref="AEH15:AEI15"/>
    <mergeCell ref="ADZ36:AEA36"/>
    <mergeCell ref="AEC54:AED54"/>
    <mergeCell ref="AEC55:AED55"/>
    <mergeCell ref="AEH50:AEI50"/>
    <mergeCell ref="AEJ50:AEK50"/>
    <mergeCell ref="AEC16:AED16"/>
    <mergeCell ref="AEE16:AEF16"/>
    <mergeCell ref="AEC17:AED17"/>
    <mergeCell ref="AEJ33:AEK33"/>
    <mergeCell ref="AEH34:AEI34"/>
    <mergeCell ref="AEJ34:AEK34"/>
    <mergeCell ref="AEH35:AEI35"/>
    <mergeCell ref="AEM27:AEN27"/>
    <mergeCell ref="AEO27:AEP27"/>
    <mergeCell ref="AEH25:AEI25"/>
    <mergeCell ref="AEJ25:AEK25"/>
    <mergeCell ref="ADU21:ADV21"/>
    <mergeCell ref="ADU22:ADV22"/>
    <mergeCell ref="ADU19:ADV19"/>
    <mergeCell ref="ADU20:ADV20"/>
    <mergeCell ref="AEC26:AED26"/>
    <mergeCell ref="AEE26:AEF26"/>
    <mergeCell ref="AEM39:AEN39"/>
    <mergeCell ref="AEO39:AEP39"/>
    <mergeCell ref="AEH40:AEI40"/>
    <mergeCell ref="AEJ40:AEK40"/>
    <mergeCell ref="AEM40:AEN40"/>
    <mergeCell ref="AEO40:AEP40"/>
    <mergeCell ref="AEH41:AEI41"/>
    <mergeCell ref="AEJ41:AEK41"/>
    <mergeCell ref="AEM41:AEN41"/>
    <mergeCell ref="AEO41:AEP41"/>
    <mergeCell ref="AEH42:AEI42"/>
    <mergeCell ref="AEJ42:AEK42"/>
    <mergeCell ref="AEM42:AEN42"/>
    <mergeCell ref="AEO42:AEP42"/>
    <mergeCell ref="AEH43:AEI43"/>
    <mergeCell ref="AEJ43:AEK43"/>
    <mergeCell ref="AEM43:AEN43"/>
    <mergeCell ref="AEO43:AEP43"/>
    <mergeCell ref="AEH22:AEI22"/>
    <mergeCell ref="AEJ22:AEK22"/>
    <mergeCell ref="AEH23:AEI23"/>
    <mergeCell ref="AEJ23:AEK23"/>
    <mergeCell ref="AEH24:AEI24"/>
    <mergeCell ref="AEJ24:AEK24"/>
    <mergeCell ref="ADX32:ADY32"/>
    <mergeCell ref="AEE35:AEF35"/>
    <mergeCell ref="AEE31:AEF31"/>
    <mergeCell ref="AEM16:AEN16"/>
    <mergeCell ref="WP16:WQ16"/>
    <mergeCell ref="ADP22:ADQ22"/>
    <mergeCell ref="AEH30:AEI30"/>
    <mergeCell ref="QH65:QH66"/>
    <mergeCell ref="YY80:YY81"/>
    <mergeCell ref="YZ80:YZ81"/>
    <mergeCell ref="ZA80:ZA81"/>
    <mergeCell ref="ZB80:ZB81"/>
    <mergeCell ref="ZC80:ZC81"/>
    <mergeCell ref="ZD80:ZD81"/>
    <mergeCell ref="PL199:PL201"/>
    <mergeCell ref="PM199:PN199"/>
    <mergeCell ref="PX199:PY199"/>
    <mergeCell ref="PZ199:QA199"/>
    <mergeCell ref="QB199:QC199"/>
    <mergeCell ref="QD199:QG199"/>
    <mergeCell ref="QH199:QM199"/>
    <mergeCell ref="PZ200:QA201"/>
    <mergeCell ref="QB200:QC201"/>
    <mergeCell ref="QD200:QD201"/>
    <mergeCell ref="QE200:QF201"/>
    <mergeCell ref="QG200:QG201"/>
    <mergeCell ref="QH200:QM201"/>
    <mergeCell ref="PQ200:PY201"/>
    <mergeCell ref="PM200:PN200"/>
    <mergeCell ref="PO200:PP200"/>
    <mergeCell ref="PM201:PN201"/>
    <mergeCell ref="PW184:PX185"/>
    <mergeCell ref="PM185:PN185"/>
    <mergeCell ref="PO185:PP185"/>
    <mergeCell ref="PM186:PN186"/>
    <mergeCell ref="PQ180:PV181"/>
    <mergeCell ref="PQ195:PV197"/>
    <mergeCell ref="PM181:PN181"/>
    <mergeCell ref="QJ61:QJ62"/>
    <mergeCell ref="QH53:QH54"/>
    <mergeCell ref="QI64:QO64"/>
    <mergeCell ref="QI65:QO67"/>
    <mergeCell ref="QD65:QD66"/>
    <mergeCell ref="QE53:QE54"/>
    <mergeCell ref="QF53:QG54"/>
    <mergeCell ref="QF57:QH58"/>
    <mergeCell ref="PY52:PZ52"/>
    <mergeCell ref="PZ108:QA108"/>
    <mergeCell ref="QB109:QC110"/>
    <mergeCell ref="PZ109:QA110"/>
    <mergeCell ref="SB32:SC32"/>
    <mergeCell ref="SD35:SM36"/>
    <mergeCell ref="QB108:QC108"/>
    <mergeCell ref="AEC20:AED20"/>
    <mergeCell ref="QE88:QH88"/>
    <mergeCell ref="AAF98:AAF100"/>
    <mergeCell ref="ZX98:ZX100"/>
    <mergeCell ref="ZY98:ZY100"/>
    <mergeCell ref="ZZ98:ZZ100"/>
    <mergeCell ref="AAA98:AAA100"/>
    <mergeCell ref="AAB98:AAB100"/>
    <mergeCell ref="ZC88:ZC89"/>
    <mergeCell ref="ZD88:ZD89"/>
    <mergeCell ref="ZE88:ZE89"/>
    <mergeCell ref="ZF88:ZF89"/>
    <mergeCell ref="ZG88:ZG89"/>
    <mergeCell ref="ZW96:ZW97"/>
    <mergeCell ref="ZX96:ZX97"/>
    <mergeCell ref="ADA14:ADB14"/>
    <mergeCell ref="ADX21:ADY21"/>
    <mergeCell ref="ADU15:ADV15"/>
    <mergeCell ref="ADU16:ADV16"/>
    <mergeCell ref="ADX28:ADY28"/>
    <mergeCell ref="ADX29:ADY29"/>
    <mergeCell ref="ADX30:ADY30"/>
    <mergeCell ref="ADX31:ADY31"/>
    <mergeCell ref="MS184:MT184"/>
    <mergeCell ref="NA157:NL159"/>
    <mergeCell ref="MN224:MO224"/>
    <mergeCell ref="MP224:MS224"/>
    <mergeCell ref="MS211:MT211"/>
    <mergeCell ref="MY212:NA213"/>
    <mergeCell ref="MG159:MH159"/>
    <mergeCell ref="MI176:MK176"/>
    <mergeCell ref="MI180:MK180"/>
    <mergeCell ref="ME162:MJ163"/>
    <mergeCell ref="MB176:MD178"/>
    <mergeCell ref="MA165:MB165"/>
    <mergeCell ref="MC165:MD165"/>
    <mergeCell ref="ME165:MF165"/>
    <mergeCell ref="ME197:MF197"/>
    <mergeCell ref="MG228:MH228"/>
    <mergeCell ref="MV194:MW195"/>
    <mergeCell ref="MX194:MX195"/>
    <mergeCell ref="MD218:ME218"/>
    <mergeCell ref="MQ194:MR195"/>
    <mergeCell ref="ME212:ME213"/>
    <mergeCell ref="MK210:MP210"/>
    <mergeCell ref="MB193:MD195"/>
    <mergeCell ref="MB199:MB201"/>
    <mergeCell ref="MF186:MH186"/>
    <mergeCell ref="MB221:MB222"/>
    <mergeCell ref="MQ175:MS175"/>
    <mergeCell ref="ME176:ME178"/>
    <mergeCell ref="MX206:NG207"/>
    <mergeCell ref="MJ224:MK224"/>
    <mergeCell ref="ML224:MM224"/>
    <mergeCell ref="MV216:NB218"/>
    <mergeCell ref="MQ211:MR211"/>
    <mergeCell ref="MC122:MD122"/>
    <mergeCell ref="MQ73:MS73"/>
    <mergeCell ref="PQ76:PY78"/>
    <mergeCell ref="MC58:MD58"/>
    <mergeCell ref="MC118:MD118"/>
    <mergeCell ref="PX80:PY80"/>
    <mergeCell ref="MT122:MX122"/>
    <mergeCell ref="OA106:OB106"/>
    <mergeCell ref="PN105:PO105"/>
    <mergeCell ref="MQ106:MR106"/>
    <mergeCell ref="MS106:MT106"/>
    <mergeCell ref="AAH101:AAH103"/>
    <mergeCell ref="AAI101:AAI103"/>
    <mergeCell ref="AAJ101:AAJ103"/>
    <mergeCell ref="AAK101:AAK103"/>
    <mergeCell ref="AAL101:AAL103"/>
    <mergeCell ref="AAM101:AAM103"/>
    <mergeCell ref="AAN101:AAN103"/>
    <mergeCell ref="AAO101:AAO103"/>
    <mergeCell ref="AAP101:AAP103"/>
    <mergeCell ref="AAC98:AAC100"/>
    <mergeCell ref="AAD98:AAD100"/>
    <mergeCell ref="AAE98:AAE100"/>
    <mergeCell ref="MT233:MW233"/>
    <mergeCell ref="MD142:ME142"/>
    <mergeCell ref="MT142:MT143"/>
    <mergeCell ref="MY78:NC78"/>
    <mergeCell ref="OI106:OJ106"/>
    <mergeCell ref="MT85:MW85"/>
    <mergeCell ref="MW98:MW99"/>
    <mergeCell ref="MQ62:MS62"/>
    <mergeCell ref="MT62:MW62"/>
    <mergeCell ref="MZ123:NA124"/>
    <mergeCell ref="MC119:MO120"/>
    <mergeCell ref="MC100:MD100"/>
    <mergeCell ref="MN62:MP62"/>
    <mergeCell ref="MR59:MS60"/>
    <mergeCell ref="MU53:MV54"/>
    <mergeCell ref="MS39:MT40"/>
    <mergeCell ref="WI12:WK12"/>
    <mergeCell ref="WR15:WS15"/>
    <mergeCell ref="WL12:WM12"/>
    <mergeCell ref="WT13:WU13"/>
    <mergeCell ref="WV13:WW13"/>
    <mergeCell ref="WX13:WY13"/>
    <mergeCell ref="SA44:SB44"/>
    <mergeCell ref="SE43:SM44"/>
    <mergeCell ref="SE42:SF42"/>
    <mergeCell ref="SC44:SD44"/>
    <mergeCell ref="SN43:SO44"/>
    <mergeCell ref="SA43:SB43"/>
    <mergeCell ref="SC43:SD43"/>
    <mergeCell ref="WT12:WU12"/>
    <mergeCell ref="WV12:WW12"/>
    <mergeCell ref="WN13:WO13"/>
    <mergeCell ref="WI13:WK13"/>
    <mergeCell ref="WG13:WH13"/>
    <mergeCell ref="WL13:WM13"/>
    <mergeCell ref="WN15:WO15"/>
    <mergeCell ref="WP15:WQ15"/>
    <mergeCell ref="WP14:WQ14"/>
    <mergeCell ref="SB23:SC23"/>
    <mergeCell ref="WP12:WQ12"/>
    <mergeCell ref="SB14:SC14"/>
    <mergeCell ref="SB15:SC15"/>
    <mergeCell ref="WT15:WU15"/>
    <mergeCell ref="SG13:SH13"/>
    <mergeCell ref="SD13:SF13"/>
    <mergeCell ref="SN26:SO27"/>
    <mergeCell ref="MR233:MS233"/>
    <mergeCell ref="ME224:ME226"/>
    <mergeCell ref="MG158:MH158"/>
    <mergeCell ref="MH207:MI207"/>
    <mergeCell ref="MO193:MP193"/>
    <mergeCell ref="MY177:MY178"/>
    <mergeCell ref="MU211:MX211"/>
    <mergeCell ref="MV212:MW213"/>
    <mergeCell ref="MH205:MI205"/>
    <mergeCell ref="MF206:MG206"/>
    <mergeCell ref="MD209:MJ210"/>
    <mergeCell ref="MQ209:MR210"/>
    <mergeCell ref="MN216:MO217"/>
    <mergeCell ref="MP216:MQ217"/>
    <mergeCell ref="MD207:ME207"/>
    <mergeCell ref="MD206:ME206"/>
    <mergeCell ref="MJ206:MO207"/>
    <mergeCell ref="MK162:ML163"/>
    <mergeCell ref="WA4:WB5"/>
    <mergeCell ref="WR12:WS12"/>
    <mergeCell ref="WR13:WS13"/>
    <mergeCell ref="WN14:WO14"/>
    <mergeCell ref="WR14:WS14"/>
    <mergeCell ref="WI14:WK15"/>
    <mergeCell ref="WG14:WH15"/>
    <mergeCell ref="WL14:WM15"/>
    <mergeCell ref="WP13:WQ13"/>
    <mergeCell ref="WS21:WT21"/>
    <mergeCell ref="VS7:VT7"/>
    <mergeCell ref="VS9:VT9"/>
    <mergeCell ref="VK8:VL9"/>
    <mergeCell ref="WG12:WH12"/>
    <mergeCell ref="WE80:WF81"/>
    <mergeCell ref="WE82:WF89"/>
    <mergeCell ref="SV13:SY13"/>
    <mergeCell ref="SV14:SY15"/>
    <mergeCell ref="SV17:SY17"/>
    <mergeCell ref="SU22:SU23"/>
    <mergeCell ref="SV21:SY21"/>
    <mergeCell ref="SS18:ST19"/>
    <mergeCell ref="WG79:WY79"/>
    <mergeCell ref="JZ64:KA64"/>
    <mergeCell ref="JK67:JO69"/>
    <mergeCell ref="JJ72:JJ73"/>
    <mergeCell ref="KL76:KM77"/>
    <mergeCell ref="KN76:KO77"/>
    <mergeCell ref="KM64:KM65"/>
    <mergeCell ref="MU86:MV87"/>
    <mergeCell ref="KN64:KO65"/>
    <mergeCell ref="KP67:KQ67"/>
    <mergeCell ref="ME81:MF81"/>
    <mergeCell ref="MP85:MQ85"/>
    <mergeCell ref="MU59:MV60"/>
    <mergeCell ref="PL71:PL73"/>
    <mergeCell ref="PT71:PU71"/>
    <mergeCell ref="TM7:TQ8"/>
    <mergeCell ref="TS7:TV8"/>
    <mergeCell ref="SC46:SD46"/>
    <mergeCell ref="VV52:VX52"/>
    <mergeCell ref="VY52:VZ52"/>
    <mergeCell ref="SP18:SQ19"/>
    <mergeCell ref="QQ34:QR34"/>
    <mergeCell ref="QA85:QB86"/>
    <mergeCell ref="PZ80:QA80"/>
    <mergeCell ref="QB80:QC80"/>
    <mergeCell ref="QD80:QG80"/>
    <mergeCell ref="WK80:WL80"/>
    <mergeCell ref="TM6:TQ6"/>
    <mergeCell ref="KP34:KP35"/>
    <mergeCell ref="KM30:KM31"/>
    <mergeCell ref="MN30:MO30"/>
    <mergeCell ref="PQ36:PR36"/>
    <mergeCell ref="PX40:QA40"/>
    <mergeCell ref="PX41:PX42"/>
    <mergeCell ref="PY41:PZ42"/>
    <mergeCell ref="QS34:QT34"/>
    <mergeCell ref="SB18:SC18"/>
    <mergeCell ref="SD18:SM19"/>
    <mergeCell ref="QU37:QU38"/>
    <mergeCell ref="QQ37:QR38"/>
    <mergeCell ref="QG36:QI38"/>
    <mergeCell ref="MT30:MW30"/>
    <mergeCell ref="KJ44:KK44"/>
    <mergeCell ref="KI63:KJ63"/>
    <mergeCell ref="MG52:MH52"/>
    <mergeCell ref="GX68:HA68"/>
    <mergeCell ref="JZ53:KA53"/>
    <mergeCell ref="JZ68:KL69"/>
    <mergeCell ref="KK67:KL67"/>
    <mergeCell ref="GX53:GX54"/>
    <mergeCell ref="NK55:OF83"/>
    <mergeCell ref="MX58:NA58"/>
    <mergeCell ref="MQ75:MS76"/>
    <mergeCell ref="MN73:MP73"/>
    <mergeCell ref="JC67:JD68"/>
    <mergeCell ref="IT68:IU68"/>
    <mergeCell ref="GT72:GU72"/>
    <mergeCell ref="KT76:KY78"/>
    <mergeCell ref="KT75:KY75"/>
    <mergeCell ref="JG71:JJ71"/>
    <mergeCell ref="JZ73:KA73"/>
    <mergeCell ref="JY76:JZ76"/>
    <mergeCell ref="IT85:IU85"/>
    <mergeCell ref="IT86:IU86"/>
    <mergeCell ref="JX86:JX88"/>
    <mergeCell ref="PT84:PU84"/>
    <mergeCell ref="MH56:MR56"/>
    <mergeCell ref="MF74:MG74"/>
    <mergeCell ref="MC68:MD68"/>
    <mergeCell ref="MI79:MO81"/>
    <mergeCell ref="ME62:MJ63"/>
    <mergeCell ref="PM77:PN77"/>
    <mergeCell ref="PO77:PP77"/>
    <mergeCell ref="ME64:ME66"/>
    <mergeCell ref="MP53:MQ54"/>
    <mergeCell ref="MT59:MT60"/>
    <mergeCell ref="MF53:MO54"/>
    <mergeCell ref="MD54:ME54"/>
    <mergeCell ref="MD53:ME53"/>
    <mergeCell ref="MX59:NA60"/>
    <mergeCell ref="MT65:MU66"/>
    <mergeCell ref="MV65:MV66"/>
    <mergeCell ref="MQ65:MS66"/>
    <mergeCell ref="JF86:JM86"/>
    <mergeCell ref="HA65:HA66"/>
    <mergeCell ref="HB68:HG68"/>
    <mergeCell ref="IP64:IQ64"/>
    <mergeCell ref="IR64:IS64"/>
    <mergeCell ref="IT64:IU64"/>
    <mergeCell ref="IV64:IW64"/>
    <mergeCell ref="IX64:IY64"/>
    <mergeCell ref="IZ64:JA64"/>
    <mergeCell ref="JB64:JC64"/>
    <mergeCell ref="JD64:JE64"/>
    <mergeCell ref="MF64:MG64"/>
    <mergeCell ref="MO64:MP64"/>
    <mergeCell ref="IR83:IR86"/>
    <mergeCell ref="GS83:GT83"/>
    <mergeCell ref="JD61:JE62"/>
    <mergeCell ref="PL64:PL67"/>
    <mergeCell ref="PP72:PQ72"/>
    <mergeCell ref="PO76:PP76"/>
    <mergeCell ref="PM72:PO72"/>
    <mergeCell ref="PT75:PU75"/>
    <mergeCell ref="HL49:HT51"/>
    <mergeCell ref="JZ45:KA45"/>
    <mergeCell ref="ATE252:ATF252"/>
    <mergeCell ref="GJ31:GK31"/>
    <mergeCell ref="GJ15:GK15"/>
    <mergeCell ref="MD139:ME139"/>
    <mergeCell ref="GT131:GT132"/>
    <mergeCell ref="JK98:JQ98"/>
    <mergeCell ref="JK99:JQ101"/>
    <mergeCell ref="MV199:MY199"/>
    <mergeCell ref="MV200:MY201"/>
    <mergeCell ref="MO176:MP176"/>
    <mergeCell ref="MW174:MY174"/>
    <mergeCell ref="MK174:MM174"/>
    <mergeCell ref="NW152:NX152"/>
    <mergeCell ref="NW151:NX151"/>
    <mergeCell ref="MO200:MP201"/>
    <mergeCell ref="ME151:MF151"/>
    <mergeCell ref="MD143:ME143"/>
    <mergeCell ref="PR26:PS26"/>
    <mergeCell ref="PR27:PS27"/>
    <mergeCell ref="MK26:ML26"/>
    <mergeCell ref="NW153:NX153"/>
    <mergeCell ref="PO201:PP201"/>
    <mergeCell ref="MQ185:MR186"/>
    <mergeCell ref="MQ150:MR150"/>
    <mergeCell ref="ME194:ME195"/>
    <mergeCell ref="MO184:MP184"/>
    <mergeCell ref="ME180:ME182"/>
    <mergeCell ref="MO180:MP180"/>
    <mergeCell ref="JQ42:JR42"/>
    <mergeCell ref="ATE246:ATF246"/>
    <mergeCell ref="OI123:OI124"/>
    <mergeCell ref="PN41:PS42"/>
    <mergeCell ref="IV41:IW41"/>
    <mergeCell ref="MW43:MW44"/>
    <mergeCell ref="PP50:PR50"/>
    <mergeCell ref="ACT78:ACU78"/>
    <mergeCell ref="ACV78:ACW78"/>
    <mergeCell ref="ACX78:ACY78"/>
    <mergeCell ref="ACR79:ACS79"/>
    <mergeCell ref="AAG101:AAG103"/>
    <mergeCell ref="WX96:WY97"/>
    <mergeCell ref="WE90:WF97"/>
    <mergeCell ref="XJ88:XJ89"/>
    <mergeCell ref="XK88:XK89"/>
    <mergeCell ref="XL88:XL89"/>
    <mergeCell ref="XM88:XM89"/>
    <mergeCell ref="XN88:XN89"/>
    <mergeCell ref="XO88:XO89"/>
    <mergeCell ref="XP88:XP89"/>
    <mergeCell ref="XQ88:XQ89"/>
    <mergeCell ref="XR88:XR89"/>
    <mergeCell ref="XS88:XS89"/>
    <mergeCell ref="XT88:XT89"/>
    <mergeCell ref="ZL96:ZL97"/>
    <mergeCell ref="ZM96:ZM97"/>
    <mergeCell ref="ZN96:ZN97"/>
    <mergeCell ref="ZO96:ZO97"/>
    <mergeCell ref="KQ99:KR100"/>
    <mergeCell ref="KD102:KN102"/>
    <mergeCell ref="GI100:GJ100"/>
    <mergeCell ref="GI85:GJ85"/>
    <mergeCell ref="KS87:KS88"/>
    <mergeCell ref="KR67:KU67"/>
    <mergeCell ref="KP68:KQ69"/>
    <mergeCell ref="ZY88:ZY89"/>
    <mergeCell ref="ZZ88:ZZ89"/>
    <mergeCell ref="AAA88:AAA89"/>
    <mergeCell ref="ZS98:ZS100"/>
    <mergeCell ref="ZT98:ZT100"/>
    <mergeCell ref="ZU98:ZU100"/>
    <mergeCell ref="ZV98:ZV100"/>
    <mergeCell ref="XW98:XW100"/>
    <mergeCell ref="XX98:XX100"/>
    <mergeCell ref="XY98:XY100"/>
    <mergeCell ref="ZJ88:ZJ89"/>
    <mergeCell ref="ZK88:ZK89"/>
    <mergeCell ref="ZL88:ZL89"/>
    <mergeCell ref="ZM88:ZM89"/>
    <mergeCell ref="YV96:YV97"/>
    <mergeCell ref="AAA96:AAA97"/>
    <mergeCell ref="AAB96:AAB97"/>
    <mergeCell ref="ZT88:ZT89"/>
    <mergeCell ref="ZU88:ZU89"/>
    <mergeCell ref="ZV88:ZV89"/>
    <mergeCell ref="ZW88:ZW89"/>
    <mergeCell ref="ZX88:ZX89"/>
    <mergeCell ref="ZN101:ZN103"/>
    <mergeCell ref="ZO101:ZO103"/>
    <mergeCell ref="ZP101:ZP103"/>
    <mergeCell ref="ZQ101:ZQ103"/>
    <mergeCell ref="ZR101:ZR103"/>
    <mergeCell ref="ZS101:ZS103"/>
    <mergeCell ref="ZT101:ZT103"/>
    <mergeCell ref="ZU101:ZU103"/>
    <mergeCell ref="ZV101:ZV103"/>
    <mergeCell ref="ZW101:ZW103"/>
    <mergeCell ref="AU133:AV133"/>
    <mergeCell ref="CY110:DB110"/>
    <mergeCell ref="DA107:DA108"/>
    <mergeCell ref="CV123:CV124"/>
    <mergeCell ref="DZ118:DZ121"/>
    <mergeCell ref="DZ108:DZ110"/>
    <mergeCell ref="GG98:GH98"/>
    <mergeCell ref="EU118:EX118"/>
    <mergeCell ref="EY118:FD118"/>
    <mergeCell ref="EQ119:ER121"/>
    <mergeCell ref="EL93:EM94"/>
    <mergeCell ref="EU121:EX121"/>
    <mergeCell ref="CP111:CR112"/>
    <mergeCell ref="CU111:CW112"/>
    <mergeCell ref="GI123:GJ123"/>
    <mergeCell ref="KC92:KD92"/>
    <mergeCell ref="JC98:JD98"/>
    <mergeCell ref="GP88:GQ88"/>
    <mergeCell ref="GJ90:GK90"/>
    <mergeCell ref="KN93:KO94"/>
    <mergeCell ref="MG97:MH97"/>
    <mergeCell ref="GO131:GP132"/>
    <mergeCell ref="GU131:GY132"/>
    <mergeCell ref="GU130:GY130"/>
    <mergeCell ref="GK130:GL130"/>
    <mergeCell ref="GO127:GP128"/>
    <mergeCell ref="GM130:GN130"/>
    <mergeCell ref="GO126:GP126"/>
    <mergeCell ref="GV118:GY118"/>
    <mergeCell ref="GM131:GN132"/>
    <mergeCell ref="GU126:GX126"/>
    <mergeCell ref="GQ130:GT130"/>
    <mergeCell ref="ME102:MF102"/>
    <mergeCell ref="IR94:IT96"/>
    <mergeCell ref="MB97:MB102"/>
    <mergeCell ref="MF91:MG91"/>
    <mergeCell ref="MB119:MB120"/>
    <mergeCell ref="KP98:KS98"/>
    <mergeCell ref="KP93:KP94"/>
    <mergeCell ref="JF83:JG83"/>
    <mergeCell ref="AQ133:AS135"/>
    <mergeCell ref="CN99:CP100"/>
    <mergeCell ref="CN94:CO94"/>
    <mergeCell ref="CA99:CM100"/>
    <mergeCell ref="PM76:PN76"/>
    <mergeCell ref="CF70:CG70"/>
    <mergeCell ref="CC70:CD70"/>
    <mergeCell ref="GZ88:HD88"/>
    <mergeCell ref="PW104:PX105"/>
    <mergeCell ref="OC106:OD106"/>
    <mergeCell ref="OE106:OF106"/>
    <mergeCell ref="GL88:GM88"/>
    <mergeCell ref="GL89:GU91"/>
    <mergeCell ref="GN88:GO88"/>
    <mergeCell ref="CC91:CK92"/>
    <mergeCell ref="CE103:CM104"/>
    <mergeCell ref="GO77:GP77"/>
    <mergeCell ref="CA103:CB103"/>
    <mergeCell ref="CA104:CB104"/>
    <mergeCell ref="CB90:CC90"/>
    <mergeCell ref="CD90:CE90"/>
    <mergeCell ref="CC94:CD94"/>
    <mergeCell ref="CF94:CG94"/>
    <mergeCell ref="GF78:GF81"/>
    <mergeCell ref="GI78:GJ78"/>
    <mergeCell ref="GG78:GH78"/>
    <mergeCell ref="MB74:MD76"/>
    <mergeCell ref="MB68:MB70"/>
    <mergeCell ref="HB73:HB74"/>
    <mergeCell ref="GJ73:GK73"/>
    <mergeCell ref="GJ74:GK74"/>
    <mergeCell ref="BZ98:BZ100"/>
    <mergeCell ref="CV99:CV100"/>
    <mergeCell ref="CO110:CS110"/>
    <mergeCell ref="ER80:ER81"/>
    <mergeCell ref="GG89:GI89"/>
    <mergeCell ref="GG91:GI91"/>
    <mergeCell ref="GJ89:GK89"/>
    <mergeCell ref="GG106:GH106"/>
    <mergeCell ref="GG110:GH110"/>
    <mergeCell ref="BZ79:CA79"/>
    <mergeCell ref="LY107:LZ108"/>
    <mergeCell ref="MA107:MB108"/>
    <mergeCell ref="JE94:JF94"/>
    <mergeCell ref="JG94:JH94"/>
    <mergeCell ref="KJ75:KK75"/>
    <mergeCell ref="KL75:KM75"/>
    <mergeCell ref="KL72:KM73"/>
    <mergeCell ref="MK101:MW102"/>
    <mergeCell ref="GG81:GJ81"/>
    <mergeCell ref="MD92:ME92"/>
    <mergeCell ref="MD93:ME93"/>
    <mergeCell ref="GG99:GH99"/>
    <mergeCell ref="MQ132:MR132"/>
    <mergeCell ref="MS132:MT132"/>
    <mergeCell ref="MU132:MV132"/>
    <mergeCell ref="BM133:BP133"/>
    <mergeCell ref="EW80:FB81"/>
    <mergeCell ref="ET75:EX75"/>
    <mergeCell ref="ET76:EX77"/>
    <mergeCell ref="GR115:GS116"/>
    <mergeCell ref="GI86:GJ86"/>
    <mergeCell ref="GF89:GF91"/>
    <mergeCell ref="MT123:MT124"/>
    <mergeCell ref="IS98:IT98"/>
    <mergeCell ref="GV91:HD91"/>
    <mergeCell ref="GQ78:GR79"/>
    <mergeCell ref="MB123:MB124"/>
    <mergeCell ref="EN80:EO81"/>
    <mergeCell ref="ARX18:ASG18"/>
    <mergeCell ref="ASH18:ASI18"/>
    <mergeCell ref="WK43:WL43"/>
    <mergeCell ref="WM43:WN43"/>
    <mergeCell ref="WK27:WL27"/>
    <mergeCell ref="WM27:WN27"/>
    <mergeCell ref="WK41:WL41"/>
    <mergeCell ref="WM41:WN41"/>
    <mergeCell ref="XM21:XM22"/>
    <mergeCell ref="XN21:XN22"/>
    <mergeCell ref="XO21:XO22"/>
    <mergeCell ref="XP21:XP22"/>
    <mergeCell ref="XQ21:XQ22"/>
    <mergeCell ref="XR21:XR22"/>
    <mergeCell ref="XS21:XS22"/>
    <mergeCell ref="XT21:XT22"/>
    <mergeCell ref="XU21:XU22"/>
    <mergeCell ref="XV21:XV22"/>
    <mergeCell ref="XW21:XW22"/>
    <mergeCell ref="XX21:XX22"/>
    <mergeCell ref="XY21:XY22"/>
    <mergeCell ref="XS51:XS52"/>
    <mergeCell ref="XT51:XT52"/>
    <mergeCell ref="XU51:XU52"/>
    <mergeCell ref="XV51:XV52"/>
    <mergeCell ref="XW51:XW52"/>
    <mergeCell ref="XX51:XX52"/>
    <mergeCell ref="XY51:XY52"/>
    <mergeCell ref="XZ51:XZ52"/>
    <mergeCell ref="YT21:YT22"/>
    <mergeCell ref="YU21:YU22"/>
    <mergeCell ref="XM23:XM24"/>
    <mergeCell ref="XN23:XN24"/>
    <mergeCell ref="XO23:XO24"/>
    <mergeCell ref="XP23:XP24"/>
    <mergeCell ref="XQ23:XQ24"/>
    <mergeCell ref="XR23:XR24"/>
    <mergeCell ref="XS23:XS24"/>
    <mergeCell ref="XT23:XT24"/>
    <mergeCell ref="XU23:XU24"/>
    <mergeCell ref="XV23:XV24"/>
    <mergeCell ref="XW23:XW24"/>
    <mergeCell ref="XX23:XX24"/>
    <mergeCell ref="XY23:XY24"/>
    <mergeCell ref="XZ23:XZ24"/>
    <mergeCell ref="YA23:YA24"/>
    <mergeCell ref="YB23:YB24"/>
    <mergeCell ref="YC23:YC24"/>
    <mergeCell ref="YD23:YD24"/>
    <mergeCell ref="YE23:YE24"/>
    <mergeCell ref="YF23:YF24"/>
    <mergeCell ref="ARZ66:ASL67"/>
    <mergeCell ref="YA51:YA52"/>
    <mergeCell ref="YB51:YB52"/>
    <mergeCell ref="YC51:YC52"/>
    <mergeCell ref="YD51:YD52"/>
    <mergeCell ref="YE51:YE52"/>
    <mergeCell ref="YF51:YF52"/>
    <mergeCell ref="XL21:XL22"/>
    <mergeCell ref="WJ78:WY78"/>
    <mergeCell ref="XG23:XG24"/>
    <mergeCell ref="XH23:XH24"/>
    <mergeCell ref="XI23:XI24"/>
    <mergeCell ref="XJ23:XJ24"/>
    <mergeCell ref="XK23:XK24"/>
    <mergeCell ref="XL23:XL24"/>
    <mergeCell ref="XK25:XK26"/>
    <mergeCell ref="XL25:XL26"/>
    <mergeCell ref="XG29:XG30"/>
    <mergeCell ref="XH29:XH30"/>
    <mergeCell ref="XI29:XI30"/>
    <mergeCell ref="XJ29:XJ30"/>
    <mergeCell ref="XK29:XK30"/>
    <mergeCell ref="XL29:XL30"/>
    <mergeCell ref="WE53:WJ58"/>
    <mergeCell ref="XG27:XG28"/>
    <mergeCell ref="XH27:XH28"/>
    <mergeCell ref="XI27:XI28"/>
    <mergeCell ref="XJ27:XJ28"/>
    <mergeCell ref="XK27:XK28"/>
    <mergeCell ref="XL27:XL28"/>
    <mergeCell ref="XG33:XG34"/>
    <mergeCell ref="XH33:XH34"/>
    <mergeCell ref="XI33:XI34"/>
    <mergeCell ref="XJ33:XJ34"/>
    <mergeCell ref="XK33:XK34"/>
    <mergeCell ref="XL33:XL34"/>
    <mergeCell ref="XG39:XG40"/>
    <mergeCell ref="XG51:XG52"/>
    <mergeCell ref="YE21:YE22"/>
    <mergeCell ref="YF21:YF22"/>
    <mergeCell ref="YG21:YG22"/>
    <mergeCell ref="YH21:YH22"/>
    <mergeCell ref="YI21:YI22"/>
    <mergeCell ref="YJ21:YJ22"/>
    <mergeCell ref="YK21:YK22"/>
    <mergeCell ref="YL21:YL22"/>
    <mergeCell ref="YM21:YM22"/>
    <mergeCell ref="YN21:YN22"/>
    <mergeCell ref="YO21:YO22"/>
    <mergeCell ref="YP21:YP22"/>
    <mergeCell ref="YQ21:YQ22"/>
    <mergeCell ref="ADK62:ADL62"/>
    <mergeCell ref="AEO30:AEP30"/>
    <mergeCell ref="AEJ35:AEK35"/>
    <mergeCell ref="ADZ33:AEA33"/>
    <mergeCell ref="AEH44:AEI44"/>
    <mergeCell ref="AEJ44:AEK44"/>
    <mergeCell ref="AEM44:AEN44"/>
    <mergeCell ref="AEO44:AEP44"/>
    <mergeCell ref="AEH45:AEI45"/>
    <mergeCell ref="AEJ45:AEK45"/>
    <mergeCell ref="AEM45:AEN45"/>
    <mergeCell ref="AEO45:AEP45"/>
    <mergeCell ref="AEM46:AEN46"/>
    <mergeCell ref="ADG11:ADH11"/>
    <mergeCell ref="AIL17:AIM17"/>
    <mergeCell ref="AIN17:AIO17"/>
    <mergeCell ref="AIP10:AIQ10"/>
    <mergeCell ref="AIR10:AIS10"/>
    <mergeCell ref="AIU18:AIV18"/>
    <mergeCell ref="AIW18:AIX18"/>
    <mergeCell ref="ADA11:ADB11"/>
    <mergeCell ref="ADI11:ADJ11"/>
    <mergeCell ref="ADK11:ADL11"/>
    <mergeCell ref="AQM10:AQO10"/>
    <mergeCell ref="YR19:YR20"/>
    <mergeCell ref="YS19:YS20"/>
    <mergeCell ref="YT19:YT20"/>
    <mergeCell ref="YU19:YU20"/>
    <mergeCell ref="SR18:SR19"/>
    <mergeCell ref="SU31:SU32"/>
    <mergeCell ref="SU14:SU15"/>
    <mergeCell ref="WG16:WH16"/>
    <mergeCell ref="WX15:WY15"/>
    <mergeCell ref="WX12:WY12"/>
    <mergeCell ref="WV15:WW15"/>
    <mergeCell ref="SV26:TA28"/>
    <mergeCell ref="SV25:TA25"/>
    <mergeCell ref="WU21:WV21"/>
    <mergeCell ref="WN12:WO12"/>
    <mergeCell ref="XO57:XO58"/>
    <mergeCell ref="XP57:XP58"/>
    <mergeCell ref="WI16:WK16"/>
    <mergeCell ref="WG129:WJ129"/>
    <mergeCell ref="WG11:WY11"/>
    <mergeCell ref="WE11:WF16"/>
    <mergeCell ref="WZ11:XA16"/>
    <mergeCell ref="AHM45:AHN45"/>
    <mergeCell ref="AHO45:AHP45"/>
    <mergeCell ref="XG19:XG20"/>
    <mergeCell ref="XH19:XH20"/>
    <mergeCell ref="XI19:XI20"/>
    <mergeCell ref="XJ19:XJ20"/>
    <mergeCell ref="XK19:XK20"/>
    <mergeCell ref="XL19:XL20"/>
    <mergeCell ref="XM19:XM20"/>
    <mergeCell ref="XN19:XN20"/>
    <mergeCell ref="XO19:XO20"/>
    <mergeCell ref="XP19:XP20"/>
    <mergeCell ref="XQ19:XQ20"/>
    <mergeCell ref="XV29:XV30"/>
    <mergeCell ref="XW29:XW30"/>
    <mergeCell ref="XX29:XX30"/>
    <mergeCell ref="XY29:XY30"/>
    <mergeCell ref="AAR96:AAR97"/>
    <mergeCell ref="AAS96:AAS97"/>
    <mergeCell ref="ACJ96:ACK96"/>
    <mergeCell ref="ACJ97:ACK97"/>
    <mergeCell ref="XH51:XH52"/>
    <mergeCell ref="XI51:XI52"/>
    <mergeCell ref="XJ51:XJ52"/>
    <mergeCell ref="XK51:XK52"/>
    <mergeCell ref="XL51:XL52"/>
    <mergeCell ref="ACO92:ACP92"/>
    <mergeCell ref="ACO89:ACP89"/>
    <mergeCell ref="AAC101:AAC103"/>
    <mergeCell ref="AAD101:AAD103"/>
    <mergeCell ref="AAE101:AAE103"/>
    <mergeCell ref="YJ35:YJ36"/>
    <mergeCell ref="YK35:YK36"/>
    <mergeCell ref="YL35:YL36"/>
    <mergeCell ref="YM35:YM36"/>
    <mergeCell ref="YM29:YM30"/>
    <mergeCell ref="YR21:YR22"/>
    <mergeCell ref="YS21:YS22"/>
    <mergeCell ref="XZ21:XZ22"/>
    <mergeCell ref="YA21:YA22"/>
    <mergeCell ref="YB21:YB22"/>
    <mergeCell ref="YC21:YC22"/>
    <mergeCell ref="YD21:YD22"/>
    <mergeCell ref="YT25:YT26"/>
    <mergeCell ref="YU25:YU26"/>
    <mergeCell ref="XM25:XM26"/>
    <mergeCell ref="XN25:XN26"/>
    <mergeCell ref="XO25:XO26"/>
    <mergeCell ref="XP25:XP26"/>
    <mergeCell ref="XQ25:XQ26"/>
    <mergeCell ref="XR25:XR26"/>
    <mergeCell ref="XS25:XS26"/>
    <mergeCell ref="XT25:XT26"/>
    <mergeCell ref="XU25:XU26"/>
    <mergeCell ref="XV25:XV26"/>
    <mergeCell ref="XW25:XW26"/>
    <mergeCell ref="XX25:XX26"/>
    <mergeCell ref="XY25:XY26"/>
    <mergeCell ref="XZ25:XZ26"/>
    <mergeCell ref="YA25:YA26"/>
    <mergeCell ref="YB25:YB26"/>
    <mergeCell ref="YC25:YC26"/>
    <mergeCell ref="YD25:YD26"/>
    <mergeCell ref="YE25:YE26"/>
    <mergeCell ref="YF25:YF26"/>
    <mergeCell ref="YG25:YG26"/>
    <mergeCell ref="YH25:YH26"/>
    <mergeCell ref="YI25:YI26"/>
    <mergeCell ref="YJ25:YJ26"/>
    <mergeCell ref="YK25:YK26"/>
    <mergeCell ref="YL25:YL26"/>
    <mergeCell ref="YM25:YM26"/>
    <mergeCell ref="YP25:YP26"/>
    <mergeCell ref="YQ25:YQ26"/>
    <mergeCell ref="YR25:YR26"/>
    <mergeCell ref="YS25:YS26"/>
    <mergeCell ref="YN25:YN26"/>
    <mergeCell ref="YO25:YO26"/>
    <mergeCell ref="YG23:YG24"/>
    <mergeCell ref="YH23:YH24"/>
    <mergeCell ref="YI23:YI24"/>
    <mergeCell ref="YJ23:YJ24"/>
    <mergeCell ref="YK23:YK24"/>
    <mergeCell ref="YL23:YL24"/>
    <mergeCell ref="YM23:YM24"/>
    <mergeCell ref="YN23:YN24"/>
    <mergeCell ref="YO23:YO24"/>
    <mergeCell ref="YP23:YP24"/>
    <mergeCell ref="YQ23:YQ24"/>
    <mergeCell ref="YR23:YR24"/>
    <mergeCell ref="XT33:XT34"/>
    <mergeCell ref="XU33:XU34"/>
    <mergeCell ref="XV33:XV34"/>
    <mergeCell ref="XW33:XW34"/>
    <mergeCell ref="XX33:XX34"/>
    <mergeCell ref="XY33:XY34"/>
    <mergeCell ref="XZ33:XZ34"/>
    <mergeCell ref="YA33:YA34"/>
    <mergeCell ref="YB33:YB34"/>
    <mergeCell ref="YC33:YC34"/>
    <mergeCell ref="YD33:YD34"/>
    <mergeCell ref="YE33:YE34"/>
    <mergeCell ref="YF33:YF34"/>
    <mergeCell ref="YG33:YG34"/>
    <mergeCell ref="XQ35:XQ36"/>
    <mergeCell ref="XR35:XR36"/>
    <mergeCell ref="XS35:XS36"/>
    <mergeCell ref="XT35:XT36"/>
    <mergeCell ref="XU35:XU36"/>
    <mergeCell ref="XV35:XV36"/>
    <mergeCell ref="XW35:XW36"/>
    <mergeCell ref="XX35:XX36"/>
    <mergeCell ref="XY35:XY36"/>
    <mergeCell ref="XZ35:XZ36"/>
    <mergeCell ref="YA35:YA36"/>
    <mergeCell ref="YB35:YB36"/>
    <mergeCell ref="YC35:YC36"/>
    <mergeCell ref="YD35:YD36"/>
    <mergeCell ref="YE35:YE36"/>
    <mergeCell ref="YF35:YF36"/>
    <mergeCell ref="YG35:YG36"/>
    <mergeCell ref="YH35:YH36"/>
    <mergeCell ref="YI35:YI36"/>
    <mergeCell ref="XP29:XP30"/>
    <mergeCell ref="XQ29:XQ30"/>
    <mergeCell ref="XR29:XR30"/>
    <mergeCell ref="XS29:XS30"/>
    <mergeCell ref="XT29:XT30"/>
    <mergeCell ref="YJ41:YJ42"/>
    <mergeCell ref="YK41:YK42"/>
    <mergeCell ref="YL41:YL42"/>
    <mergeCell ref="YM41:YM42"/>
    <mergeCell ref="YP27:YP28"/>
    <mergeCell ref="YQ27:YQ28"/>
    <mergeCell ref="YR27:YR28"/>
    <mergeCell ref="XG43:XG44"/>
    <mergeCell ref="XH43:XH44"/>
    <mergeCell ref="XI43:XI44"/>
    <mergeCell ref="XJ43:XJ44"/>
    <mergeCell ref="XK43:XK44"/>
    <mergeCell ref="XL43:XL44"/>
    <mergeCell ref="XM43:XM44"/>
    <mergeCell ref="XN43:XN44"/>
    <mergeCell ref="XY43:XY44"/>
    <mergeCell ref="YB43:YB44"/>
    <mergeCell ref="YR35:YR36"/>
    <mergeCell ref="XP43:XP44"/>
    <mergeCell ref="XQ43:XQ44"/>
    <mergeCell ref="XR43:XR44"/>
    <mergeCell ref="XS43:XS44"/>
    <mergeCell ref="YD37:YD38"/>
    <mergeCell ref="YE37:YE38"/>
    <mergeCell ref="YF37:YF38"/>
    <mergeCell ref="YG37:YG38"/>
    <mergeCell ref="YN37:YN38"/>
    <mergeCell ref="YO37:YO38"/>
    <mergeCell ref="YP37:YP38"/>
    <mergeCell ref="YQ37:YQ38"/>
    <mergeCell ref="YR37:YR38"/>
    <mergeCell ref="YH33:YH34"/>
    <mergeCell ref="YI33:YI34"/>
    <mergeCell ref="YJ33:YJ34"/>
    <mergeCell ref="YK33:YK34"/>
    <mergeCell ref="YL33:YL34"/>
    <mergeCell ref="YM33:YM34"/>
    <mergeCell ref="XI31:XI32"/>
    <mergeCell ref="XJ31:XJ32"/>
    <mergeCell ref="XK31:XK32"/>
    <mergeCell ref="XL31:XL32"/>
    <mergeCell ref="XM31:XM32"/>
    <mergeCell ref="XN31:XN32"/>
    <mergeCell ref="XO31:XO32"/>
    <mergeCell ref="XY27:XY28"/>
    <mergeCell ref="YB37:YB38"/>
    <mergeCell ref="YC37:YC38"/>
    <mergeCell ref="YJ37:YJ38"/>
    <mergeCell ref="YK37:YK38"/>
    <mergeCell ref="YL37:YL38"/>
    <mergeCell ref="YM37:YM38"/>
    <mergeCell ref="XQ33:XQ34"/>
    <mergeCell ref="XU37:XU38"/>
    <mergeCell ref="YH27:YH28"/>
    <mergeCell ref="YI27:YI28"/>
    <mergeCell ref="YJ27:YJ28"/>
    <mergeCell ref="YK27:YK28"/>
    <mergeCell ref="XR33:XR34"/>
    <mergeCell ref="XS33:XS34"/>
    <mergeCell ref="YE47:YE48"/>
    <mergeCell ref="YF47:YF48"/>
    <mergeCell ref="YG47:YG48"/>
    <mergeCell ref="YH47:YH48"/>
    <mergeCell ref="YI47:YI48"/>
    <mergeCell ref="YJ47:YJ48"/>
    <mergeCell ref="YK47:YK48"/>
    <mergeCell ref="YL47:YL48"/>
    <mergeCell ref="YM47:YM48"/>
    <mergeCell ref="XM27:XM28"/>
    <mergeCell ref="XN27:XN28"/>
    <mergeCell ref="XO27:XO28"/>
    <mergeCell ref="XP27:XP28"/>
    <mergeCell ref="XQ27:XQ28"/>
    <mergeCell ref="XR27:XR28"/>
    <mergeCell ref="XS27:XS28"/>
    <mergeCell ref="XT27:XT28"/>
    <mergeCell ref="XU27:XU28"/>
    <mergeCell ref="XV27:XV28"/>
    <mergeCell ref="XZ27:XZ28"/>
    <mergeCell ref="YA27:YA28"/>
    <mergeCell ref="YB27:YB28"/>
    <mergeCell ref="XG35:XG36"/>
    <mergeCell ref="XH35:XH36"/>
    <mergeCell ref="XI35:XI36"/>
    <mergeCell ref="XJ35:XJ36"/>
    <mergeCell ref="XK35:XK36"/>
    <mergeCell ref="XL35:XL36"/>
    <mergeCell ref="XM35:XM36"/>
    <mergeCell ref="YV23:YV24"/>
    <mergeCell ref="YW23:YW24"/>
    <mergeCell ref="YX23:YX24"/>
    <mergeCell ref="YY23:YY24"/>
    <mergeCell ref="YQ39:YQ40"/>
    <mergeCell ref="YY33:YY34"/>
    <mergeCell ref="YX39:YX40"/>
    <mergeCell ref="YY39:YY40"/>
    <mergeCell ref="YV37:YV38"/>
    <mergeCell ref="YW37:YW38"/>
    <mergeCell ref="YX37:YX38"/>
    <mergeCell ref="YY37:YY38"/>
    <mergeCell ref="XN33:XN34"/>
    <mergeCell ref="XO33:XO34"/>
    <mergeCell ref="XP33:XP34"/>
    <mergeCell ref="YH29:YH30"/>
    <mergeCell ref="YI29:YI30"/>
    <mergeCell ref="YJ29:YJ30"/>
    <mergeCell ref="YK29:YK30"/>
    <mergeCell ref="YL29:YL30"/>
    <mergeCell ref="XM29:XM30"/>
    <mergeCell ref="XN29:XN30"/>
    <mergeCell ref="XO29:XO30"/>
    <mergeCell ref="YC29:YC30"/>
    <mergeCell ref="XP31:XP32"/>
    <mergeCell ref="XQ31:XQ32"/>
    <mergeCell ref="XR31:XR32"/>
    <mergeCell ref="XS31:XS32"/>
    <mergeCell ref="XT31:XT32"/>
    <mergeCell ref="XU31:XU32"/>
    <mergeCell ref="XV31:XV32"/>
    <mergeCell ref="XW31:XW32"/>
    <mergeCell ref="XX31:XX32"/>
    <mergeCell ref="XY31:XY32"/>
    <mergeCell ref="XZ31:XZ32"/>
    <mergeCell ref="YE43:YE44"/>
    <mergeCell ref="YF43:YF44"/>
    <mergeCell ref="YG43:YG44"/>
    <mergeCell ref="YH43:YH44"/>
    <mergeCell ref="YI43:YI44"/>
    <mergeCell ref="YJ43:YJ44"/>
    <mergeCell ref="YK43:YK44"/>
    <mergeCell ref="YL43:YL44"/>
    <mergeCell ref="YM43:YM44"/>
    <mergeCell ref="XG45:XG46"/>
    <mergeCell ref="XH45:XH46"/>
    <mergeCell ref="XI45:XI46"/>
    <mergeCell ref="XJ45:XJ46"/>
    <mergeCell ref="XK45:XK46"/>
    <mergeCell ref="XL45:XL46"/>
    <mergeCell ref="XM45:XM46"/>
    <mergeCell ref="XN45:XN46"/>
    <mergeCell ref="XO45:XO46"/>
    <mergeCell ref="ZN27:ZN28"/>
    <mergeCell ref="ZO27:ZO28"/>
    <mergeCell ref="ZP27:ZP28"/>
    <mergeCell ref="YR51:YR52"/>
    <mergeCell ref="YS51:YS52"/>
    <mergeCell ref="YT51:YT52"/>
    <mergeCell ref="YU51:YU52"/>
    <mergeCell ref="XG55:XG56"/>
    <mergeCell ref="XH55:XH56"/>
    <mergeCell ref="XI55:XI56"/>
    <mergeCell ref="XJ55:XJ56"/>
    <mergeCell ref="XK55:XK56"/>
    <mergeCell ref="XL55:XL56"/>
    <mergeCell ref="XM55:XM56"/>
    <mergeCell ref="XN55:XN56"/>
    <mergeCell ref="XO55:XO56"/>
    <mergeCell ref="XP55:XP56"/>
    <mergeCell ref="XQ55:XQ56"/>
    <mergeCell ref="XR55:XR56"/>
    <mergeCell ref="XS55:XS56"/>
    <mergeCell ref="XT55:XT56"/>
    <mergeCell ref="XU55:XU56"/>
    <mergeCell ref="XV55:XV56"/>
    <mergeCell ref="XW55:XW56"/>
    <mergeCell ref="XX55:XX56"/>
    <mergeCell ref="XY55:XY56"/>
    <mergeCell ref="XZ55:XZ56"/>
    <mergeCell ref="YA55:YA56"/>
    <mergeCell ref="YB55:YB56"/>
    <mergeCell ref="YC55:YC56"/>
    <mergeCell ref="YD55:YD56"/>
    <mergeCell ref="YE55:YE56"/>
    <mergeCell ref="YF55:YF56"/>
    <mergeCell ref="YG55:YG56"/>
    <mergeCell ref="YH55:YH56"/>
    <mergeCell ref="YI55:YI56"/>
    <mergeCell ref="YJ55:YJ56"/>
    <mergeCell ref="YK55:YK56"/>
    <mergeCell ref="YL55:YL56"/>
    <mergeCell ref="YM55:YM56"/>
    <mergeCell ref="YN55:YN56"/>
    <mergeCell ref="YO55:YO56"/>
    <mergeCell ref="YP55:YP56"/>
    <mergeCell ref="YQ55:YQ56"/>
    <mergeCell ref="YR55:YR56"/>
    <mergeCell ref="YS55:YS56"/>
    <mergeCell ref="AAE21:AAE22"/>
    <mergeCell ref="AAF21:AAF22"/>
    <mergeCell ref="AAG21:AAG22"/>
    <mergeCell ref="AAH21:AAH22"/>
    <mergeCell ref="AAI21:AAI22"/>
    <mergeCell ref="AAS21:AAS22"/>
    <mergeCell ref="AAJ21:AAJ22"/>
    <mergeCell ref="AAK21:AAK22"/>
    <mergeCell ref="AAL21:AAL22"/>
    <mergeCell ref="AAM21:AAM22"/>
    <mergeCell ref="AAN21:AAN22"/>
    <mergeCell ref="AAO21:AAO22"/>
    <mergeCell ref="AAP21:AAP22"/>
    <mergeCell ref="AAQ21:AAQ22"/>
    <mergeCell ref="AAR21:AAR22"/>
    <mergeCell ref="YU55:YU56"/>
    <mergeCell ref="YN45:YN46"/>
    <mergeCell ref="YO45:YO46"/>
    <mergeCell ref="YP45:YP46"/>
    <mergeCell ref="YQ45:YQ46"/>
    <mergeCell ref="YR45:YR46"/>
    <mergeCell ref="YS45:YS46"/>
    <mergeCell ref="YT45:YT46"/>
    <mergeCell ref="YU45:YU46"/>
    <mergeCell ref="YN47:YN48"/>
    <mergeCell ref="YO47:YO48"/>
    <mergeCell ref="YP47:YP48"/>
    <mergeCell ref="YQ47:YQ48"/>
    <mergeCell ref="YR47:YR48"/>
    <mergeCell ref="YS47:YS48"/>
    <mergeCell ref="YT47:YT48"/>
    <mergeCell ref="YU47:YU48"/>
    <mergeCell ref="YN41:YN42"/>
    <mergeCell ref="YO41:YO42"/>
    <mergeCell ref="YP41:YP42"/>
    <mergeCell ref="YQ41:YQ42"/>
    <mergeCell ref="YR41:YR42"/>
    <mergeCell ref="YS41:YS42"/>
    <mergeCell ref="YT41:YT42"/>
    <mergeCell ref="YU41:YU42"/>
    <mergeCell ref="YN43:YN44"/>
    <mergeCell ref="YO43:YO44"/>
    <mergeCell ref="YP43:YP44"/>
    <mergeCell ref="YQ43:YQ44"/>
    <mergeCell ref="YR43:YR44"/>
    <mergeCell ref="YS43:YS44"/>
    <mergeCell ref="YZ23:YZ24"/>
    <mergeCell ref="ZA23:ZA24"/>
    <mergeCell ref="ZB23:ZB24"/>
    <mergeCell ref="ZC23:ZC24"/>
    <mergeCell ref="ZD23:ZD24"/>
    <mergeCell ref="ZE23:ZE24"/>
    <mergeCell ref="ZF23:ZF24"/>
    <mergeCell ref="ZG23:ZG24"/>
    <mergeCell ref="YZ33:YZ34"/>
    <mergeCell ref="ZA33:ZA34"/>
    <mergeCell ref="ZB33:ZB34"/>
    <mergeCell ref="ZC33:ZC34"/>
    <mergeCell ref="ZD33:ZD34"/>
    <mergeCell ref="ZE33:ZE34"/>
    <mergeCell ref="ZF33:ZF34"/>
    <mergeCell ref="ZG33:ZG34"/>
    <mergeCell ref="YZ39:YZ40"/>
    <mergeCell ref="ZA39:ZA40"/>
    <mergeCell ref="YV27:YV28"/>
    <mergeCell ref="YW27:YW28"/>
    <mergeCell ref="YX27:YX28"/>
    <mergeCell ref="YY27:YY28"/>
    <mergeCell ref="YZ27:YZ28"/>
    <mergeCell ref="ZA27:ZA28"/>
    <mergeCell ref="ZB27:ZB28"/>
    <mergeCell ref="ZC27:ZC28"/>
    <mergeCell ref="ZD27:ZD28"/>
    <mergeCell ref="YV21:YV22"/>
    <mergeCell ref="YW21:YW22"/>
    <mergeCell ref="YX21:YX22"/>
    <mergeCell ref="YY21:YY22"/>
    <mergeCell ref="YZ21:YZ22"/>
    <mergeCell ref="ZA21:ZA22"/>
    <mergeCell ref="ZB21:ZB22"/>
    <mergeCell ref="ZC21:ZC22"/>
    <mergeCell ref="ZD21:ZD22"/>
    <mergeCell ref="ZE21:ZE22"/>
    <mergeCell ref="ZF21:ZF22"/>
    <mergeCell ref="ZG21:ZG22"/>
    <mergeCell ref="ZH21:ZH22"/>
    <mergeCell ref="ZI21:ZI22"/>
    <mergeCell ref="ZJ21:ZJ22"/>
    <mergeCell ref="ZK21:ZK22"/>
    <mergeCell ref="ZL21:ZL22"/>
    <mergeCell ref="ZM21:ZM22"/>
    <mergeCell ref="ZN21:ZN22"/>
    <mergeCell ref="ZO21:ZO22"/>
    <mergeCell ref="ZP21:ZP22"/>
    <mergeCell ref="YT55:YT56"/>
    <mergeCell ref="YM51:YM52"/>
    <mergeCell ref="YN51:YN52"/>
    <mergeCell ref="YO51:YO52"/>
    <mergeCell ref="YP51:YP52"/>
    <mergeCell ref="YQ51:YQ52"/>
    <mergeCell ref="YT43:YT44"/>
    <mergeCell ref="YU43:YU44"/>
    <mergeCell ref="ZJ29:ZJ30"/>
    <mergeCell ref="ZK29:ZK30"/>
    <mergeCell ref="ZL29:ZL30"/>
    <mergeCell ref="ZM29:ZM30"/>
    <mergeCell ref="ZN29:ZN30"/>
    <mergeCell ref="ZO29:ZO30"/>
    <mergeCell ref="ZP29:ZP30"/>
    <mergeCell ref="YW33:YW34"/>
    <mergeCell ref="YX33:YX34"/>
    <mergeCell ref="ZB39:ZB40"/>
    <mergeCell ref="ZC39:ZC40"/>
    <mergeCell ref="ZD39:ZD40"/>
    <mergeCell ref="YZ37:YZ38"/>
    <mergeCell ref="ZA37:ZA38"/>
    <mergeCell ref="ZB37:ZB38"/>
    <mergeCell ref="YS23:YS24"/>
    <mergeCell ref="YT23:YT24"/>
    <mergeCell ref="YU23:YU24"/>
    <mergeCell ref="YS37:YS38"/>
    <mergeCell ref="YT37:YT38"/>
    <mergeCell ref="YU37:YU38"/>
    <mergeCell ref="ZE27:ZE28"/>
    <mergeCell ref="ZF27:ZF28"/>
    <mergeCell ref="ZG27:ZG28"/>
    <mergeCell ref="ZH27:ZH28"/>
    <mergeCell ref="ZI27:ZI28"/>
    <mergeCell ref="ZQ21:ZQ22"/>
    <mergeCell ref="ZR21:ZR22"/>
    <mergeCell ref="ZS21:ZS22"/>
    <mergeCell ref="ZT21:ZT22"/>
    <mergeCell ref="ZU21:ZU22"/>
    <mergeCell ref="ZV21:ZV22"/>
    <mergeCell ref="ZW21:ZW22"/>
    <mergeCell ref="ZX21:ZX22"/>
    <mergeCell ref="ZY21:ZY22"/>
    <mergeCell ref="ZZ21:ZZ22"/>
    <mergeCell ref="AAA21:AAA22"/>
    <mergeCell ref="AAB21:AAB22"/>
    <mergeCell ref="YV25:YV26"/>
    <mergeCell ref="YW25:YW26"/>
    <mergeCell ref="YX25:YX26"/>
    <mergeCell ref="YY25:YY26"/>
    <mergeCell ref="YZ25:YZ26"/>
    <mergeCell ref="ZA25:ZA26"/>
    <mergeCell ref="ZB25:ZB26"/>
    <mergeCell ref="ZC25:ZC26"/>
    <mergeCell ref="ZD25:ZD26"/>
    <mergeCell ref="ZE25:ZE26"/>
    <mergeCell ref="ZF25:ZF26"/>
    <mergeCell ref="ZG25:ZG26"/>
    <mergeCell ref="ZH25:ZH26"/>
    <mergeCell ref="ZI25:ZI26"/>
    <mergeCell ref="ZJ25:ZJ26"/>
    <mergeCell ref="ZK25:ZK26"/>
    <mergeCell ref="ZL25:ZL26"/>
    <mergeCell ref="ZM25:ZM26"/>
    <mergeCell ref="ZN25:ZN26"/>
    <mergeCell ref="ZO25:ZO26"/>
    <mergeCell ref="ZP25:ZP26"/>
    <mergeCell ref="ZQ25:ZQ26"/>
    <mergeCell ref="ZR25:ZR26"/>
    <mergeCell ref="ZS25:ZS26"/>
    <mergeCell ref="ZT25:ZT26"/>
    <mergeCell ref="ZU25:ZU26"/>
    <mergeCell ref="ZV25:ZV26"/>
    <mergeCell ref="ZW25:ZW26"/>
    <mergeCell ref="ZX25:ZX26"/>
    <mergeCell ref="ZY25:ZY26"/>
    <mergeCell ref="ZZ25:ZZ26"/>
    <mergeCell ref="AAA25:AAA26"/>
    <mergeCell ref="AAB25:AAB26"/>
    <mergeCell ref="ZH23:ZH24"/>
    <mergeCell ref="ZI23:ZI24"/>
    <mergeCell ref="ZJ23:ZJ24"/>
    <mergeCell ref="ZK23:ZK24"/>
    <mergeCell ref="ZL23:ZL24"/>
    <mergeCell ref="ZM23:ZM24"/>
    <mergeCell ref="ZN23:ZN24"/>
    <mergeCell ref="ZO23:ZO24"/>
    <mergeCell ref="ZP23:ZP24"/>
    <mergeCell ref="AAE27:AAE28"/>
    <mergeCell ref="AAF27:AAF28"/>
    <mergeCell ref="AAG27:AAG28"/>
    <mergeCell ref="AAH27:AAH28"/>
    <mergeCell ref="AAI27:AAI28"/>
    <mergeCell ref="AAS27:AAS28"/>
    <mergeCell ref="AAJ25:AAJ26"/>
    <mergeCell ref="AAK25:AAK26"/>
    <mergeCell ref="AAL25:AAL26"/>
    <mergeCell ref="AAM25:AAM26"/>
    <mergeCell ref="AAN25:AAN26"/>
    <mergeCell ref="AAO25:AAO26"/>
    <mergeCell ref="AAP25:AAP26"/>
    <mergeCell ref="AAQ25:AAQ26"/>
    <mergeCell ref="AAR25:AAR26"/>
    <mergeCell ref="AAJ27:AAJ28"/>
    <mergeCell ref="AAK27:AAK28"/>
    <mergeCell ref="AAL27:AAL28"/>
    <mergeCell ref="AAM27:AAM28"/>
    <mergeCell ref="AAN27:AAN28"/>
    <mergeCell ref="AAO27:AAO28"/>
    <mergeCell ref="AAP27:AAP28"/>
    <mergeCell ref="AAQ27:AAQ28"/>
    <mergeCell ref="ZQ23:ZQ24"/>
    <mergeCell ref="ZR23:ZR24"/>
    <mergeCell ref="ZS23:ZS24"/>
    <mergeCell ref="ZT23:ZT24"/>
    <mergeCell ref="ZU23:ZU24"/>
    <mergeCell ref="ZV23:ZV24"/>
    <mergeCell ref="ZW23:ZW24"/>
    <mergeCell ref="ZX23:ZX24"/>
    <mergeCell ref="ZY23:ZY24"/>
    <mergeCell ref="ZZ23:ZZ24"/>
    <mergeCell ref="AAA23:AAA24"/>
    <mergeCell ref="AAB23:AAB24"/>
    <mergeCell ref="AAC23:AAC24"/>
    <mergeCell ref="AAD23:AAD24"/>
    <mergeCell ref="AAE23:AAE24"/>
    <mergeCell ref="AAF23:AAF24"/>
    <mergeCell ref="AAG23:AAG24"/>
    <mergeCell ref="AAH23:AAH24"/>
    <mergeCell ref="AAI23:AAI24"/>
    <mergeCell ref="AAS23:AAS24"/>
    <mergeCell ref="AAC25:AAC26"/>
    <mergeCell ref="AAD25:AAD26"/>
    <mergeCell ref="AAE25:AAE26"/>
    <mergeCell ref="AAF25:AAF26"/>
    <mergeCell ref="AAG25:AAG26"/>
    <mergeCell ref="AAH25:AAH26"/>
    <mergeCell ref="AAI25:AAI26"/>
    <mergeCell ref="AAS25:AAS26"/>
    <mergeCell ref="AAJ23:AAJ24"/>
    <mergeCell ref="AAK23:AAK24"/>
    <mergeCell ref="AAL23:AAL24"/>
    <mergeCell ref="ZH29:ZH30"/>
    <mergeCell ref="ZI29:ZI30"/>
    <mergeCell ref="ZU29:ZU30"/>
    <mergeCell ref="ZV29:ZV30"/>
    <mergeCell ref="ZW29:ZW30"/>
    <mergeCell ref="ZX29:ZX30"/>
    <mergeCell ref="ZY29:ZY30"/>
    <mergeCell ref="ZZ29:ZZ30"/>
    <mergeCell ref="AAA29:AAA30"/>
    <mergeCell ref="AAB29:AAB30"/>
    <mergeCell ref="AAP29:AAP30"/>
    <mergeCell ref="AAQ29:AAQ30"/>
    <mergeCell ref="AAR29:AAR30"/>
    <mergeCell ref="AAJ31:AAJ32"/>
    <mergeCell ref="AAK31:AAK32"/>
    <mergeCell ref="AAL31:AAL32"/>
    <mergeCell ref="AAM31:AAM32"/>
    <mergeCell ref="AAN31:AAN32"/>
    <mergeCell ref="AAO31:AAO32"/>
    <mergeCell ref="AAP31:AAP32"/>
    <mergeCell ref="AAQ31:AAQ32"/>
    <mergeCell ref="AAR31:AAR32"/>
    <mergeCell ref="AAL29:AAL30"/>
    <mergeCell ref="AAM29:AAM30"/>
    <mergeCell ref="AAN29:AAN30"/>
    <mergeCell ref="AAO29:AAO30"/>
    <mergeCell ref="AAC29:AAC30"/>
    <mergeCell ref="AAD29:AAD30"/>
    <mergeCell ref="AAE29:AAE30"/>
    <mergeCell ref="AAF29:AAF30"/>
    <mergeCell ref="AAG29:AAG30"/>
    <mergeCell ref="AAH29:AAH30"/>
    <mergeCell ref="AAI29:AAI30"/>
    <mergeCell ref="AAH33:AAH34"/>
    <mergeCell ref="AAI33:AAI34"/>
    <mergeCell ref="AAK33:AAK34"/>
    <mergeCell ref="AAL33:AAL34"/>
    <mergeCell ref="AAM33:AAM34"/>
    <mergeCell ref="AAN33:AAN34"/>
    <mergeCell ref="AAO33:AAO34"/>
    <mergeCell ref="AAP33:AAP34"/>
    <mergeCell ref="AAQ33:AAQ34"/>
    <mergeCell ref="AAR33:AAR34"/>
    <mergeCell ref="AAS29:AAS30"/>
    <mergeCell ref="YV31:YV32"/>
    <mergeCell ref="YW31:YW32"/>
    <mergeCell ref="YX31:YX32"/>
    <mergeCell ref="YY31:YY32"/>
    <mergeCell ref="YZ31:YZ32"/>
    <mergeCell ref="ZA31:ZA32"/>
    <mergeCell ref="ZB31:ZB32"/>
    <mergeCell ref="ZC31:ZC32"/>
    <mergeCell ref="ZD31:ZD32"/>
    <mergeCell ref="ZE31:ZE32"/>
    <mergeCell ref="ZF31:ZF32"/>
    <mergeCell ref="ZG31:ZG32"/>
    <mergeCell ref="ZH31:ZH32"/>
    <mergeCell ref="ZI31:ZI32"/>
    <mergeCell ref="ZJ31:ZJ32"/>
    <mergeCell ref="ZK31:ZK32"/>
    <mergeCell ref="ZL31:ZL32"/>
    <mergeCell ref="ZM31:ZM32"/>
    <mergeCell ref="ZN31:ZN32"/>
    <mergeCell ref="ZO31:ZO32"/>
    <mergeCell ref="ZP31:ZP32"/>
    <mergeCell ref="ZQ31:ZQ32"/>
    <mergeCell ref="ZR31:ZR32"/>
    <mergeCell ref="ZS31:ZS32"/>
    <mergeCell ref="ZT31:ZT32"/>
    <mergeCell ref="ZU31:ZU32"/>
    <mergeCell ref="ZV31:ZV32"/>
    <mergeCell ref="ZW31:ZW32"/>
    <mergeCell ref="ZX31:ZX32"/>
    <mergeCell ref="ZY31:ZY32"/>
    <mergeCell ref="ZZ31:ZZ32"/>
    <mergeCell ref="AAA31:AAA32"/>
    <mergeCell ref="AAB31:AAB32"/>
    <mergeCell ref="AAC31:AAC32"/>
    <mergeCell ref="AAD31:AAD32"/>
    <mergeCell ref="AAE31:AAE32"/>
    <mergeCell ref="AAF31:AAF32"/>
    <mergeCell ref="AAG31:AAG32"/>
    <mergeCell ref="AAH31:AAH32"/>
    <mergeCell ref="AAI31:AAI32"/>
    <mergeCell ref="AAS31:AAS32"/>
    <mergeCell ref="YV29:YV30"/>
    <mergeCell ref="YW29:YW30"/>
    <mergeCell ref="YX29:YX30"/>
    <mergeCell ref="YY29:YY30"/>
    <mergeCell ref="YZ29:YZ30"/>
    <mergeCell ref="ZA29:ZA30"/>
    <mergeCell ref="ZB29:ZB30"/>
    <mergeCell ref="ZC29:ZC30"/>
    <mergeCell ref="ZD29:ZD30"/>
    <mergeCell ref="ZE29:ZE30"/>
    <mergeCell ref="ZF29:ZF30"/>
    <mergeCell ref="ZG29:ZG30"/>
    <mergeCell ref="AAF35:AAF36"/>
    <mergeCell ref="AAG35:AAG36"/>
    <mergeCell ref="AAH35:AAH36"/>
    <mergeCell ref="AAI35:AAI36"/>
    <mergeCell ref="AAS35:AAS36"/>
    <mergeCell ref="YV33:YV34"/>
    <mergeCell ref="ZH33:ZH34"/>
    <mergeCell ref="ZI33:ZI34"/>
    <mergeCell ref="ZJ33:ZJ34"/>
    <mergeCell ref="ZK33:ZK34"/>
    <mergeCell ref="ZL33:ZL34"/>
    <mergeCell ref="ZM33:ZM34"/>
    <mergeCell ref="ZN33:ZN34"/>
    <mergeCell ref="ZO33:ZO34"/>
    <mergeCell ref="ZP33:ZP34"/>
    <mergeCell ref="ZQ33:ZQ34"/>
    <mergeCell ref="ZR33:ZR34"/>
    <mergeCell ref="ZS33:ZS34"/>
    <mergeCell ref="ZT33:ZT34"/>
    <mergeCell ref="ZU33:ZU34"/>
    <mergeCell ref="ZV33:ZV34"/>
    <mergeCell ref="ZW33:ZW34"/>
    <mergeCell ref="ZX33:ZX34"/>
    <mergeCell ref="ZY33:ZY34"/>
    <mergeCell ref="ZZ33:ZZ34"/>
    <mergeCell ref="AAA33:AAA34"/>
    <mergeCell ref="AAB33:AAB34"/>
    <mergeCell ref="AAJ33:AAJ34"/>
    <mergeCell ref="AAE37:AAE38"/>
    <mergeCell ref="AAF37:AAF38"/>
    <mergeCell ref="AAG37:AAG38"/>
    <mergeCell ref="AAH37:AAH38"/>
    <mergeCell ref="AAI37:AAI38"/>
    <mergeCell ref="ZC37:ZC38"/>
    <mergeCell ref="ZD37:ZD38"/>
    <mergeCell ref="ZE37:ZE38"/>
    <mergeCell ref="ZF37:ZF38"/>
    <mergeCell ref="ZG37:ZG38"/>
    <mergeCell ref="ZH37:ZH38"/>
    <mergeCell ref="ZI37:ZI38"/>
    <mergeCell ref="ZJ37:ZJ38"/>
    <mergeCell ref="ZK37:ZK38"/>
    <mergeCell ref="ZL37:ZL38"/>
    <mergeCell ref="ZM37:ZM38"/>
    <mergeCell ref="ZN37:ZN38"/>
    <mergeCell ref="ZO37:ZO38"/>
    <mergeCell ref="ZP37:ZP38"/>
    <mergeCell ref="ZQ37:ZQ38"/>
    <mergeCell ref="ZR37:ZR38"/>
    <mergeCell ref="ZS37:ZS38"/>
    <mergeCell ref="ZT37:ZT38"/>
    <mergeCell ref="ZU37:ZU38"/>
    <mergeCell ref="ZV37:ZV38"/>
    <mergeCell ref="ZW37:ZW38"/>
    <mergeCell ref="ZX37:ZX38"/>
    <mergeCell ref="ZY37:ZY38"/>
    <mergeCell ref="ZZ37:ZZ38"/>
    <mergeCell ref="AAA37:AAA38"/>
    <mergeCell ref="AAB37:AAB38"/>
    <mergeCell ref="AAC33:AAC34"/>
    <mergeCell ref="AAD33:AAD34"/>
    <mergeCell ref="AAE33:AAE34"/>
    <mergeCell ref="AAF33:AAF34"/>
    <mergeCell ref="AAG33:AAG34"/>
    <mergeCell ref="AAC39:AAC40"/>
    <mergeCell ref="ZF43:ZF44"/>
    <mergeCell ref="ZG43:ZG44"/>
    <mergeCell ref="ZH43:ZH44"/>
    <mergeCell ref="ZI43:ZI44"/>
    <mergeCell ref="ZJ43:ZJ44"/>
    <mergeCell ref="ZK43:ZK44"/>
    <mergeCell ref="ZL43:ZL44"/>
    <mergeCell ref="ZM43:ZM44"/>
    <mergeCell ref="ZN43:ZN44"/>
    <mergeCell ref="ZO43:ZO44"/>
    <mergeCell ref="ZP43:ZP44"/>
    <mergeCell ref="ZQ43:ZQ44"/>
    <mergeCell ref="ZR43:ZR44"/>
    <mergeCell ref="ZS43:ZS44"/>
    <mergeCell ref="ZT43:ZT44"/>
    <mergeCell ref="ZU43:ZU44"/>
    <mergeCell ref="ZV43:ZV44"/>
    <mergeCell ref="ZW43:ZW44"/>
    <mergeCell ref="ZX43:ZX44"/>
    <mergeCell ref="ZY43:ZY44"/>
    <mergeCell ref="ZZ43:ZZ44"/>
    <mergeCell ref="AAA43:AAA44"/>
    <mergeCell ref="AAB43:AAB44"/>
    <mergeCell ref="AAE41:AAE42"/>
    <mergeCell ref="AAF41:AAF42"/>
    <mergeCell ref="AAG41:AAG42"/>
    <mergeCell ref="AAS33:AAS34"/>
    <mergeCell ref="YV35:YV36"/>
    <mergeCell ref="YW35:YW36"/>
    <mergeCell ref="YX35:YX36"/>
    <mergeCell ref="YY35:YY36"/>
    <mergeCell ref="YZ35:YZ36"/>
    <mergeCell ref="ZA35:ZA36"/>
    <mergeCell ref="ZB35:ZB36"/>
    <mergeCell ref="ZC35:ZC36"/>
    <mergeCell ref="ZD35:ZD36"/>
    <mergeCell ref="ZE35:ZE36"/>
    <mergeCell ref="ZF35:ZF36"/>
    <mergeCell ref="ZG35:ZG36"/>
    <mergeCell ref="ZH35:ZH36"/>
    <mergeCell ref="ZI35:ZI36"/>
    <mergeCell ref="ZJ35:ZJ36"/>
    <mergeCell ref="ZK35:ZK36"/>
    <mergeCell ref="ZL35:ZL36"/>
    <mergeCell ref="ZM35:ZM36"/>
    <mergeCell ref="ZN35:ZN36"/>
    <mergeCell ref="ZO35:ZO36"/>
    <mergeCell ref="ZP35:ZP36"/>
    <mergeCell ref="ZQ35:ZQ36"/>
    <mergeCell ref="ZR35:ZR36"/>
    <mergeCell ref="ZS35:ZS36"/>
    <mergeCell ref="ZT35:ZT36"/>
    <mergeCell ref="ZU35:ZU36"/>
    <mergeCell ref="ZV35:ZV36"/>
    <mergeCell ref="ZW35:ZW36"/>
    <mergeCell ref="ZX35:ZX36"/>
    <mergeCell ref="ZY35:ZY36"/>
    <mergeCell ref="ZZ35:ZZ36"/>
    <mergeCell ref="AAA35:AAA36"/>
    <mergeCell ref="AAB35:AAB36"/>
    <mergeCell ref="AAC35:AAC36"/>
    <mergeCell ref="AAD35:AAD36"/>
    <mergeCell ref="AAE35:AAE36"/>
    <mergeCell ref="AAH41:AAH42"/>
    <mergeCell ref="AAI41:AAI42"/>
    <mergeCell ref="AAS41:AAS42"/>
    <mergeCell ref="AAC43:AAC44"/>
    <mergeCell ref="ZJ41:ZJ42"/>
    <mergeCell ref="ZK41:ZK42"/>
    <mergeCell ref="ZL41:ZL42"/>
    <mergeCell ref="ZM41:ZM42"/>
    <mergeCell ref="ZN41:ZN42"/>
    <mergeCell ref="ZO41:ZO42"/>
    <mergeCell ref="ZP41:ZP42"/>
    <mergeCell ref="ZQ41:ZQ42"/>
    <mergeCell ref="ZR41:ZR42"/>
    <mergeCell ref="ZS41:ZS42"/>
    <mergeCell ref="ZT41:ZT42"/>
    <mergeCell ref="ZU41:ZU42"/>
    <mergeCell ref="ZV41:ZV42"/>
    <mergeCell ref="ZW41:ZW42"/>
    <mergeCell ref="ZX41:ZX42"/>
    <mergeCell ref="ZY41:ZY42"/>
    <mergeCell ref="ZZ41:ZZ42"/>
    <mergeCell ref="AAA41:AAA42"/>
    <mergeCell ref="AAB41:AAB42"/>
    <mergeCell ref="AAO47:AAO48"/>
    <mergeCell ref="AAP47:AAP48"/>
    <mergeCell ref="AAQ47:AAQ48"/>
    <mergeCell ref="AAR47:AAR48"/>
    <mergeCell ref="AAC45:AAC46"/>
    <mergeCell ref="AAD45:AAD46"/>
    <mergeCell ref="AAE45:AAE46"/>
    <mergeCell ref="AAF45:AAF46"/>
    <mergeCell ref="AAG45:AAG46"/>
    <mergeCell ref="AAH45:AAH46"/>
    <mergeCell ref="AAI45:AAI46"/>
    <mergeCell ref="ZR45:ZR46"/>
    <mergeCell ref="ZS45:ZS46"/>
    <mergeCell ref="ZT45:ZT46"/>
    <mergeCell ref="ZU45:ZU46"/>
    <mergeCell ref="ZV45:ZV46"/>
    <mergeCell ref="ZW45:ZW46"/>
    <mergeCell ref="ZX45:ZX46"/>
    <mergeCell ref="ZY45:ZY46"/>
    <mergeCell ref="ZZ45:ZZ46"/>
    <mergeCell ref="AAA45:AAA46"/>
    <mergeCell ref="AAB45:AAB46"/>
    <mergeCell ref="AAS45:AAS46"/>
    <mergeCell ref="AAI43:AAI44"/>
    <mergeCell ref="AAS43:AAS44"/>
    <mergeCell ref="AAE47:AAE48"/>
    <mergeCell ref="AAF47:AAF48"/>
    <mergeCell ref="AAG47:AAG48"/>
    <mergeCell ref="AAH47:AAH48"/>
    <mergeCell ref="AAI47:AAI48"/>
    <mergeCell ref="AAS47:AAS48"/>
    <mergeCell ref="ZR47:ZR48"/>
    <mergeCell ref="ZS47:ZS48"/>
    <mergeCell ref="ZT47:ZT48"/>
    <mergeCell ref="ZU47:ZU48"/>
    <mergeCell ref="ZV47:ZV48"/>
    <mergeCell ref="ZW47:ZW48"/>
    <mergeCell ref="ZX47:ZX48"/>
    <mergeCell ref="ZY47:ZY48"/>
    <mergeCell ref="ZZ47:ZZ48"/>
    <mergeCell ref="AAA47:AAA48"/>
    <mergeCell ref="AAB47:AAB48"/>
    <mergeCell ref="ZF45:ZF46"/>
    <mergeCell ref="ZG45:ZG46"/>
    <mergeCell ref="ZH45:ZH46"/>
    <mergeCell ref="ZI45:ZI46"/>
    <mergeCell ref="ZJ45:ZJ46"/>
    <mergeCell ref="ZK45:ZK46"/>
    <mergeCell ref="ZL45:ZL46"/>
    <mergeCell ref="ZM45:ZM46"/>
    <mergeCell ref="ZN45:ZN46"/>
    <mergeCell ref="ZI47:ZI48"/>
    <mergeCell ref="ZJ47:ZJ48"/>
    <mergeCell ref="ZQ45:ZQ46"/>
    <mergeCell ref="ZO45:ZO46"/>
    <mergeCell ref="ZP45:ZP46"/>
    <mergeCell ref="AAK47:AAK48"/>
    <mergeCell ref="AAL47:AAL48"/>
    <mergeCell ref="AAM47:AAM48"/>
    <mergeCell ref="AAN47:AAN48"/>
    <mergeCell ref="AAJ47:AAJ48"/>
    <mergeCell ref="AAS51:AAS52"/>
    <mergeCell ref="YV49:YV50"/>
    <mergeCell ref="YW49:YW50"/>
    <mergeCell ref="YX49:YX50"/>
    <mergeCell ref="YY49:YY50"/>
    <mergeCell ref="YZ49:YZ50"/>
    <mergeCell ref="ZA49:ZA50"/>
    <mergeCell ref="ZB49:ZB50"/>
    <mergeCell ref="ZC49:ZC50"/>
    <mergeCell ref="ZD49:ZD50"/>
    <mergeCell ref="ZE49:ZE50"/>
    <mergeCell ref="ZF49:ZF50"/>
    <mergeCell ref="ZG49:ZG50"/>
    <mergeCell ref="ZH49:ZH50"/>
    <mergeCell ref="ZI49:ZI50"/>
    <mergeCell ref="ZJ49:ZJ50"/>
    <mergeCell ref="ZK49:ZK50"/>
    <mergeCell ref="ZL49:ZL50"/>
    <mergeCell ref="ZM49:ZM50"/>
    <mergeCell ref="ZN49:ZN50"/>
    <mergeCell ref="ZO49:ZO50"/>
    <mergeCell ref="ZP49:ZP50"/>
    <mergeCell ref="ZQ49:ZQ50"/>
    <mergeCell ref="AAO49:AAO50"/>
    <mergeCell ref="AAP49:AAP50"/>
    <mergeCell ref="AAQ49:AAQ50"/>
    <mergeCell ref="AAR49:AAR50"/>
    <mergeCell ref="AAJ51:AAJ52"/>
    <mergeCell ref="AAK51:AAK52"/>
    <mergeCell ref="AAL51:AAL52"/>
    <mergeCell ref="AAM51:AAM52"/>
    <mergeCell ref="AAN51:AAN52"/>
    <mergeCell ref="AAO51:AAO52"/>
    <mergeCell ref="AAP51:AAP52"/>
    <mergeCell ref="ZR49:ZR50"/>
    <mergeCell ref="ZS49:ZS50"/>
    <mergeCell ref="ZT49:ZT50"/>
    <mergeCell ref="ZU49:ZU50"/>
    <mergeCell ref="ZV49:ZV50"/>
    <mergeCell ref="ZW49:ZW50"/>
    <mergeCell ref="ZX49:ZX50"/>
    <mergeCell ref="AAH49:AAH50"/>
    <mergeCell ref="AAI49:AAI50"/>
    <mergeCell ref="AAJ49:AAJ50"/>
    <mergeCell ref="AAK49:AAK50"/>
    <mergeCell ref="AAL49:AAL50"/>
    <mergeCell ref="AAM49:AAM50"/>
    <mergeCell ref="AAN49:AAN50"/>
    <mergeCell ref="YX51:YX52"/>
    <mergeCell ref="YY51:YY52"/>
    <mergeCell ref="YZ51:YZ52"/>
    <mergeCell ref="ZA51:ZA52"/>
    <mergeCell ref="ZB51:ZB52"/>
    <mergeCell ref="ZC51:ZC52"/>
    <mergeCell ref="ZD51:ZD52"/>
    <mergeCell ref="ZE51:ZE52"/>
    <mergeCell ref="ZF51:ZF52"/>
    <mergeCell ref="ZG51:ZG52"/>
    <mergeCell ref="ZH51:ZH52"/>
    <mergeCell ref="ZI51:ZI52"/>
    <mergeCell ref="ZJ51:ZJ52"/>
    <mergeCell ref="AAS19:AAS20"/>
    <mergeCell ref="AAW17:ABA18"/>
    <mergeCell ref="AAW11:ABA16"/>
    <mergeCell ref="AAJ19:AAJ20"/>
    <mergeCell ref="AAK19:AAK20"/>
    <mergeCell ref="AAL19:AAL20"/>
    <mergeCell ref="AAM19:AAM20"/>
    <mergeCell ref="AAN19:AAN20"/>
    <mergeCell ref="AAO19:AAO20"/>
    <mergeCell ref="AAP19:AAP20"/>
    <mergeCell ref="AAQ19:AAQ20"/>
    <mergeCell ref="AAR19:AAR20"/>
    <mergeCell ref="YV19:YV20"/>
    <mergeCell ref="YW19:YW20"/>
    <mergeCell ref="YX19:YX20"/>
    <mergeCell ref="YY19:YY20"/>
    <mergeCell ref="YZ19:YZ20"/>
    <mergeCell ref="ZA19:ZA20"/>
    <mergeCell ref="ZB19:ZB20"/>
    <mergeCell ref="ZC19:ZC20"/>
    <mergeCell ref="ZD19:ZD20"/>
    <mergeCell ref="ZE19:ZE20"/>
    <mergeCell ref="ZF19:ZF20"/>
    <mergeCell ref="ZG19:ZG20"/>
    <mergeCell ref="ZH19:ZH20"/>
    <mergeCell ref="ZI19:ZI20"/>
    <mergeCell ref="ZJ19:ZJ20"/>
    <mergeCell ref="ZK19:ZK20"/>
    <mergeCell ref="ZL19:ZL20"/>
    <mergeCell ref="ZM19:ZM20"/>
    <mergeCell ref="ZN19:ZN20"/>
    <mergeCell ref="ZO19:ZO20"/>
    <mergeCell ref="ZP19:ZP20"/>
    <mergeCell ref="ZQ19:ZQ20"/>
    <mergeCell ref="ZV19:ZV20"/>
    <mergeCell ref="ZW19:ZW20"/>
    <mergeCell ref="ZX19:ZX20"/>
    <mergeCell ref="ZY19:ZY20"/>
    <mergeCell ref="ZZ19:ZZ20"/>
    <mergeCell ref="AAA19:AAA20"/>
    <mergeCell ref="AAB19:AAB20"/>
    <mergeCell ref="AAE19:AAE20"/>
    <mergeCell ref="AAF19:AAF20"/>
    <mergeCell ref="AAG19:AAG20"/>
    <mergeCell ref="AAH19:AAH20"/>
    <mergeCell ref="AAI19:AAI20"/>
    <mergeCell ref="AAA17:AAA18"/>
    <mergeCell ref="AAB17:AAB18"/>
    <mergeCell ref="AAC17:AAC18"/>
    <mergeCell ref="AAD17:AAD18"/>
    <mergeCell ref="AAD55:AAD56"/>
    <mergeCell ref="YH19:YH20"/>
    <mergeCell ref="YI19:YI20"/>
    <mergeCell ref="YJ19:YJ20"/>
    <mergeCell ref="YK19:YK20"/>
    <mergeCell ref="YL19:YL20"/>
    <mergeCell ref="YM19:YM20"/>
    <mergeCell ref="YN19:YN20"/>
    <mergeCell ref="YO19:YO20"/>
    <mergeCell ref="YP19:YP20"/>
    <mergeCell ref="YQ19:YQ20"/>
    <mergeCell ref="XW19:XW20"/>
    <mergeCell ref="XX19:XX20"/>
    <mergeCell ref="XY19:XY20"/>
    <mergeCell ref="XZ19:XZ20"/>
    <mergeCell ref="YA19:YA20"/>
    <mergeCell ref="YB19:YB20"/>
    <mergeCell ref="YC19:YC20"/>
    <mergeCell ref="YD19:YD20"/>
    <mergeCell ref="YE19:YE20"/>
    <mergeCell ref="YF19:YF20"/>
    <mergeCell ref="YG19:YG20"/>
    <mergeCell ref="WX17:WY18"/>
    <mergeCell ref="WX14:WY14"/>
    <mergeCell ref="ZH17:ZH18"/>
    <mergeCell ref="ZB17:ZB18"/>
    <mergeCell ref="ZC17:ZC18"/>
    <mergeCell ref="ZD17:ZD18"/>
    <mergeCell ref="ZE17:ZE18"/>
    <mergeCell ref="ZF17:ZF18"/>
    <mergeCell ref="ZR19:ZR20"/>
    <mergeCell ref="ZS19:ZS20"/>
    <mergeCell ref="ZT19:ZT20"/>
    <mergeCell ref="ZU19:ZU20"/>
    <mergeCell ref="YS17:YS18"/>
    <mergeCell ref="YT17:YT18"/>
    <mergeCell ref="YU17:YU18"/>
    <mergeCell ref="YV17:YV18"/>
    <mergeCell ref="YW17:YW18"/>
    <mergeCell ref="YX17:YX18"/>
    <mergeCell ref="YY17:YY18"/>
    <mergeCell ref="YZ17:YZ18"/>
    <mergeCell ref="ZA17:ZA18"/>
    <mergeCell ref="YV47:YV48"/>
    <mergeCell ref="YW47:YW48"/>
    <mergeCell ref="YX47:YX48"/>
    <mergeCell ref="YY47:YY48"/>
    <mergeCell ref="YZ47:YZ48"/>
    <mergeCell ref="ZA47:ZA48"/>
    <mergeCell ref="ZB47:ZB48"/>
    <mergeCell ref="ZC47:ZC48"/>
    <mergeCell ref="ZD47:ZD48"/>
    <mergeCell ref="ZE47:ZE48"/>
    <mergeCell ref="ZF47:ZF48"/>
    <mergeCell ref="ZG47:ZG48"/>
    <mergeCell ref="ZH47:ZH48"/>
    <mergeCell ref="AAC47:AAC48"/>
    <mergeCell ref="AAD47:AAD48"/>
    <mergeCell ref="ZW39:ZW40"/>
    <mergeCell ref="ZX39:ZX40"/>
    <mergeCell ref="ZY39:ZY40"/>
    <mergeCell ref="ZZ39:ZZ40"/>
    <mergeCell ref="AAA39:AAA40"/>
    <mergeCell ref="AAB39:AAB40"/>
    <mergeCell ref="AAQ37:AAQ38"/>
    <mergeCell ref="AAR37:AAR38"/>
    <mergeCell ref="AAJ39:AAJ40"/>
    <mergeCell ref="AAK39:AAK40"/>
    <mergeCell ref="AAL39:AAL40"/>
    <mergeCell ref="AAM39:AAM40"/>
    <mergeCell ref="ZK57:ZK58"/>
    <mergeCell ref="ZL57:ZL58"/>
    <mergeCell ref="ZM57:ZM58"/>
    <mergeCell ref="ZN57:ZN58"/>
    <mergeCell ref="ZO57:ZO58"/>
    <mergeCell ref="ZP57:ZP58"/>
    <mergeCell ref="ZQ57:ZQ58"/>
    <mergeCell ref="ZR57:ZR58"/>
    <mergeCell ref="ZS57:ZS58"/>
    <mergeCell ref="ZT57:ZT58"/>
    <mergeCell ref="ZU57:ZU58"/>
    <mergeCell ref="ZV57:ZV58"/>
    <mergeCell ref="ZW57:ZW58"/>
    <mergeCell ref="ZX57:ZX58"/>
    <mergeCell ref="ZY57:ZY58"/>
    <mergeCell ref="ZZ57:ZZ58"/>
    <mergeCell ref="AAA57:AAA58"/>
    <mergeCell ref="AAB57:AAB58"/>
    <mergeCell ref="AAC57:AAC58"/>
    <mergeCell ref="AAD57:AAD58"/>
    <mergeCell ref="AAC19:AAC20"/>
    <mergeCell ref="AAD19:AAD20"/>
    <mergeCell ref="AAC41:AAC42"/>
    <mergeCell ref="AAD41:AAD42"/>
    <mergeCell ref="AAC37:AAC38"/>
    <mergeCell ref="AAD37:AAD38"/>
    <mergeCell ref="ZQ27:ZQ28"/>
    <mergeCell ref="ZR27:ZR28"/>
    <mergeCell ref="ZS27:ZS28"/>
    <mergeCell ref="ZT27:ZT28"/>
    <mergeCell ref="ZU27:ZU28"/>
    <mergeCell ref="ZV27:ZV28"/>
    <mergeCell ref="ZW27:ZW28"/>
    <mergeCell ref="ZX27:ZX28"/>
    <mergeCell ref="ZY27:ZY28"/>
    <mergeCell ref="ZZ27:ZZ28"/>
    <mergeCell ref="AAA27:AAA28"/>
    <mergeCell ref="AAB27:AAB28"/>
    <mergeCell ref="AAC27:AAC28"/>
    <mergeCell ref="AAD27:AAD28"/>
    <mergeCell ref="AAC21:AAC22"/>
    <mergeCell ref="AAD21:AAD22"/>
    <mergeCell ref="ZK47:ZK48"/>
    <mergeCell ref="ZL47:ZL48"/>
    <mergeCell ref="ZM47:ZM48"/>
    <mergeCell ref="ZN47:ZN48"/>
    <mergeCell ref="ZO47:ZO48"/>
    <mergeCell ref="ZP47:ZP48"/>
    <mergeCell ref="ZQ47:ZQ48"/>
    <mergeCell ref="ZQ29:ZQ30"/>
    <mergeCell ref="ZR29:ZR30"/>
    <mergeCell ref="ZS29:ZS30"/>
    <mergeCell ref="ZT29:ZT30"/>
    <mergeCell ref="ZK51:ZK52"/>
    <mergeCell ref="ZL51:ZL52"/>
    <mergeCell ref="ZY49:ZY50"/>
    <mergeCell ref="ZZ49:ZZ50"/>
    <mergeCell ref="AAA49:AAA50"/>
    <mergeCell ref="YT80:YT81"/>
    <mergeCell ref="ZL80:ZL81"/>
    <mergeCell ref="ZM80:ZM81"/>
    <mergeCell ref="ZI57:ZI58"/>
    <mergeCell ref="YV51:YV52"/>
    <mergeCell ref="YW51:YW52"/>
    <mergeCell ref="AAE57:AAE58"/>
    <mergeCell ref="AAF57:AAF58"/>
    <mergeCell ref="AAG57:AAG58"/>
    <mergeCell ref="AAH57:AAH58"/>
    <mergeCell ref="AAI57:AAI58"/>
    <mergeCell ref="ZK55:ZK56"/>
    <mergeCell ref="ZL55:ZL56"/>
    <mergeCell ref="ZM55:ZM56"/>
    <mergeCell ref="ZN55:ZN56"/>
    <mergeCell ref="ZO55:ZO56"/>
    <mergeCell ref="ZP55:ZP56"/>
    <mergeCell ref="ZQ55:ZQ56"/>
    <mergeCell ref="AAJ35:AAJ36"/>
    <mergeCell ref="AAK35:AAK36"/>
    <mergeCell ref="AAL35:AAL36"/>
    <mergeCell ref="AAM35:AAM36"/>
    <mergeCell ref="AAN35:AAN36"/>
    <mergeCell ref="AAO35:AAO36"/>
    <mergeCell ref="AAP35:AAP36"/>
    <mergeCell ref="AAQ35:AAQ36"/>
    <mergeCell ref="AAR35:AAR36"/>
    <mergeCell ref="AAJ41:AAJ42"/>
    <mergeCell ref="AAK41:AAK42"/>
    <mergeCell ref="AAL41:AAL42"/>
    <mergeCell ref="AAM41:AAM42"/>
    <mergeCell ref="AAN41:AAN42"/>
    <mergeCell ref="AAO41:AAO42"/>
    <mergeCell ref="AAP41:AAP42"/>
    <mergeCell ref="AAQ41:AAQ42"/>
    <mergeCell ref="AAR41:AAR42"/>
    <mergeCell ref="AAJ43:AAJ44"/>
    <mergeCell ref="AAK43:AAK44"/>
    <mergeCell ref="AAL43:AAL44"/>
    <mergeCell ref="AAM43:AAM44"/>
    <mergeCell ref="AAN43:AAN44"/>
    <mergeCell ref="AAO43:AAO44"/>
    <mergeCell ref="AAP43:AAP44"/>
    <mergeCell ref="AAQ43:AAQ44"/>
    <mergeCell ref="AAR43:AAR44"/>
    <mergeCell ref="AAJ45:AAJ46"/>
    <mergeCell ref="AAK45:AAK46"/>
    <mergeCell ref="AAL45:AAL46"/>
    <mergeCell ref="AAM45:AAM46"/>
    <mergeCell ref="AAN45:AAN46"/>
    <mergeCell ref="AAO45:AAO46"/>
    <mergeCell ref="AAP45:AAP46"/>
    <mergeCell ref="AAQ45:AAQ46"/>
    <mergeCell ref="AAR45:AAR46"/>
    <mergeCell ref="AAP39:AAP40"/>
    <mergeCell ref="AAQ39:AAQ40"/>
    <mergeCell ref="AAR39:AAR40"/>
    <mergeCell ref="AAJ37:AAJ38"/>
    <mergeCell ref="AAK37:AAK38"/>
    <mergeCell ref="AAL37:AAL38"/>
    <mergeCell ref="AAM37:AAM38"/>
    <mergeCell ref="AAN37:AAN38"/>
    <mergeCell ref="AAO37:AAO38"/>
    <mergeCell ref="AAP37:AAP38"/>
    <mergeCell ref="YR57:YR58"/>
    <mergeCell ref="YS57:YS58"/>
    <mergeCell ref="YT57:YT58"/>
    <mergeCell ref="YU57:YU58"/>
    <mergeCell ref="YX57:YX58"/>
    <mergeCell ref="YY57:YY58"/>
    <mergeCell ref="AAN39:AAN40"/>
    <mergeCell ref="AAO39:AAO40"/>
    <mergeCell ref="AAQ57:AAQ58"/>
    <mergeCell ref="AAR57:AAR58"/>
    <mergeCell ref="XQ57:XQ58"/>
    <mergeCell ref="XR57:XR58"/>
    <mergeCell ref="XS57:XS58"/>
    <mergeCell ref="XT57:XT58"/>
    <mergeCell ref="XU57:XU58"/>
    <mergeCell ref="XV57:XV58"/>
    <mergeCell ref="AAG80:AAG81"/>
    <mergeCell ref="AAH80:AAH81"/>
    <mergeCell ref="AAI80:AAI81"/>
    <mergeCell ref="AAJ80:AAJ81"/>
    <mergeCell ref="AAK80:AAK81"/>
    <mergeCell ref="AAL80:AAL81"/>
    <mergeCell ref="AAM80:AAM81"/>
    <mergeCell ref="AAN80:AAN81"/>
    <mergeCell ref="AAO80:AAO81"/>
    <mergeCell ref="AAP80:AAP81"/>
    <mergeCell ref="AAQ80:AAQ81"/>
    <mergeCell ref="AAR80:AAR81"/>
    <mergeCell ref="ZH88:ZH89"/>
    <mergeCell ref="ZI88:ZI89"/>
    <mergeCell ref="ZY80:ZY81"/>
    <mergeCell ref="ZZ80:ZZ81"/>
    <mergeCell ref="AAA80:AAA81"/>
    <mergeCell ref="AAB80:AAB81"/>
    <mergeCell ref="AAC80:AAC81"/>
    <mergeCell ref="AAD80:AAD81"/>
    <mergeCell ref="AAE80:AAE81"/>
    <mergeCell ref="AAF80:AAF81"/>
    <mergeCell ref="ZI80:ZI81"/>
    <mergeCell ref="ZJ80:ZJ81"/>
    <mergeCell ref="ZK80:ZK81"/>
    <mergeCell ref="ZR80:ZR81"/>
    <mergeCell ref="YF88:YF89"/>
    <mergeCell ref="YG88:YG89"/>
    <mergeCell ref="YH88:YH89"/>
    <mergeCell ref="YI88:YI89"/>
    <mergeCell ref="YJ88:YJ89"/>
    <mergeCell ref="YK88:YK89"/>
    <mergeCell ref="YL88:YL89"/>
    <mergeCell ref="YM88:YM89"/>
    <mergeCell ref="YN88:YN89"/>
    <mergeCell ref="YO88:YO89"/>
    <mergeCell ref="YP88:YP89"/>
    <mergeCell ref="YQ88:YQ89"/>
    <mergeCell ref="YR88:YR89"/>
    <mergeCell ref="YS88:YS89"/>
    <mergeCell ref="YT88:YT89"/>
    <mergeCell ref="YU88:YU89"/>
    <mergeCell ref="ZP88:ZP89"/>
    <mergeCell ref="ZQ88:ZQ89"/>
    <mergeCell ref="AAO88:AAO89"/>
    <mergeCell ref="YQ80:YQ81"/>
    <mergeCell ref="YR80:YR81"/>
    <mergeCell ref="YS80:YS81"/>
    <mergeCell ref="ZS80:ZS81"/>
    <mergeCell ref="ZT80:ZT81"/>
    <mergeCell ref="ZU80:ZU81"/>
    <mergeCell ref="ZV80:ZV81"/>
    <mergeCell ref="ZW80:ZW81"/>
    <mergeCell ref="ZX80:ZX81"/>
    <mergeCell ref="ZN88:ZN89"/>
    <mergeCell ref="ZO88:ZO89"/>
    <mergeCell ref="ZR55:ZR56"/>
    <mergeCell ref="ZS55:ZS56"/>
    <mergeCell ref="ZT55:ZT56"/>
    <mergeCell ref="ZU55:ZU56"/>
    <mergeCell ref="ZV55:ZV56"/>
    <mergeCell ref="ZW55:ZW56"/>
    <mergeCell ref="ZX55:ZX56"/>
    <mergeCell ref="ZY55:ZY56"/>
    <mergeCell ref="ZZ55:ZZ56"/>
    <mergeCell ref="AAA55:AAA56"/>
    <mergeCell ref="AAB55:AAB56"/>
    <mergeCell ref="AAC49:AAC50"/>
    <mergeCell ref="AAD49:AAD50"/>
    <mergeCell ref="AAE49:AAE50"/>
    <mergeCell ref="AAF49:AAF50"/>
    <mergeCell ref="AAG49:AAG50"/>
    <mergeCell ref="ZE80:ZE81"/>
    <mergeCell ref="ZF80:ZF81"/>
    <mergeCell ref="ZG80:ZG81"/>
    <mergeCell ref="ZH80:ZH81"/>
    <mergeCell ref="AAH55:AAH56"/>
    <mergeCell ref="AAI55:AAI56"/>
    <mergeCell ref="AAH51:AAH52"/>
    <mergeCell ref="AAI51:AAI52"/>
    <mergeCell ref="AAH88:AAH89"/>
    <mergeCell ref="AAI88:AAI89"/>
    <mergeCell ref="ZJ55:ZJ56"/>
    <mergeCell ref="AAE55:AAE56"/>
    <mergeCell ref="AAF55:AAF56"/>
    <mergeCell ref="AAG55:AAG56"/>
    <mergeCell ref="ZM51:ZM52"/>
    <mergeCell ref="ZN51:ZN52"/>
    <mergeCell ref="ZO51:ZO52"/>
    <mergeCell ref="ZP51:ZP52"/>
    <mergeCell ref="ZQ51:ZQ52"/>
    <mergeCell ref="ZR51:ZR52"/>
    <mergeCell ref="ZS51:ZS52"/>
    <mergeCell ref="ZT51:ZT52"/>
    <mergeCell ref="ZU51:ZU52"/>
    <mergeCell ref="ZV51:ZV52"/>
    <mergeCell ref="ZW51:ZW52"/>
    <mergeCell ref="ZX51:ZX52"/>
    <mergeCell ref="ZY51:ZY52"/>
    <mergeCell ref="ZZ51:ZZ52"/>
    <mergeCell ref="AAA51:AAA52"/>
    <mergeCell ref="AAB51:AAB52"/>
    <mergeCell ref="AAC51:AAC52"/>
    <mergeCell ref="AAD51:AAD52"/>
    <mergeCell ref="AAE51:AAE52"/>
    <mergeCell ref="AAF51:AAF52"/>
    <mergeCell ref="AAG51:AAG52"/>
    <mergeCell ref="ZG55:ZG56"/>
    <mergeCell ref="ZH55:ZH56"/>
    <mergeCell ref="ZI55:ZI56"/>
    <mergeCell ref="AAB49:AAB50"/>
    <mergeCell ref="AAC55:AAC56"/>
    <mergeCell ref="AAJ88:AAJ89"/>
    <mergeCell ref="AAK88:AAK89"/>
    <mergeCell ref="AAL88:AAL89"/>
    <mergeCell ref="AAM88:AAM89"/>
    <mergeCell ref="YZ57:YZ58"/>
    <mergeCell ref="ZA57:ZA58"/>
    <mergeCell ref="ZB57:ZB58"/>
    <mergeCell ref="ZC57:ZC58"/>
    <mergeCell ref="ZD57:ZD58"/>
    <mergeCell ref="ZE57:ZE58"/>
    <mergeCell ref="ZF57:ZF58"/>
    <mergeCell ref="ZG57:ZG58"/>
    <mergeCell ref="YV57:YV58"/>
    <mergeCell ref="YS101:YS103"/>
    <mergeCell ref="YT101:YT103"/>
    <mergeCell ref="YU101:YU103"/>
    <mergeCell ref="YV101:YV103"/>
    <mergeCell ref="YW101:YW103"/>
    <mergeCell ref="YX101:YX103"/>
    <mergeCell ref="YY101:YY103"/>
    <mergeCell ref="YZ101:YZ103"/>
    <mergeCell ref="ZB98:ZB100"/>
    <mergeCell ref="ZD98:ZD100"/>
    <mergeCell ref="AAW35:ABA36"/>
    <mergeCell ref="AAB88:AAB89"/>
    <mergeCell ref="AAC88:AAC89"/>
    <mergeCell ref="AAD88:AAD89"/>
    <mergeCell ref="AAE88:AAE89"/>
    <mergeCell ref="AAF88:AAF89"/>
    <mergeCell ref="AAQ55:AAQ56"/>
    <mergeCell ref="AAR55:AAR56"/>
    <mergeCell ref="AAJ57:AAJ58"/>
    <mergeCell ref="AAK57:AAK58"/>
    <mergeCell ref="AAL57:AAL58"/>
    <mergeCell ref="AAM57:AAM58"/>
    <mergeCell ref="AAN57:AAN58"/>
    <mergeCell ref="AAO57:AAO58"/>
    <mergeCell ref="ZH98:ZH100"/>
    <mergeCell ref="ZI98:ZI100"/>
    <mergeCell ref="ZJ98:ZJ100"/>
    <mergeCell ref="ZK98:ZK100"/>
    <mergeCell ref="ZL98:ZL100"/>
    <mergeCell ref="ZM98:ZM100"/>
    <mergeCell ref="ZN98:ZN100"/>
    <mergeCell ref="ZO98:ZO100"/>
    <mergeCell ref="ZP98:ZP100"/>
    <mergeCell ref="ZP80:ZP81"/>
    <mergeCell ref="ZQ80:ZQ81"/>
    <mergeCell ref="ZN80:ZN81"/>
    <mergeCell ref="ZO80:ZO81"/>
    <mergeCell ref="ZJ57:ZJ58"/>
    <mergeCell ref="YV55:YV56"/>
    <mergeCell ref="YW55:YW56"/>
    <mergeCell ref="YX55:YX56"/>
    <mergeCell ref="YY55:YY56"/>
    <mergeCell ref="YZ55:YZ56"/>
    <mergeCell ref="ZA55:ZA56"/>
    <mergeCell ref="ZB55:ZB56"/>
    <mergeCell ref="ZC55:ZC56"/>
    <mergeCell ref="ZD55:ZD56"/>
    <mergeCell ref="ZE55:ZE56"/>
    <mergeCell ref="ZF55:ZF56"/>
    <mergeCell ref="ZE101:ZE103"/>
    <mergeCell ref="ZF101:ZF103"/>
    <mergeCell ref="AAG107:AAG108"/>
    <mergeCell ref="AAH107:AAH108"/>
    <mergeCell ref="AAI107:AAI108"/>
    <mergeCell ref="AAC104:AAC106"/>
    <mergeCell ref="AAD104:AAD106"/>
    <mergeCell ref="AAE104:AAE106"/>
    <mergeCell ref="AAI104:AAI106"/>
    <mergeCell ref="ZR107:ZR108"/>
    <mergeCell ref="ZS107:ZS108"/>
    <mergeCell ref="ZT107:ZT108"/>
    <mergeCell ref="ZU107:ZU108"/>
    <mergeCell ref="ZJ107:ZJ108"/>
    <mergeCell ref="ZK107:ZK108"/>
    <mergeCell ref="ZL107:ZL108"/>
    <mergeCell ref="ZM107:ZM108"/>
    <mergeCell ref="ZN107:ZN108"/>
    <mergeCell ref="AAF104:AAF106"/>
    <mergeCell ref="AAG104:AAG106"/>
    <mergeCell ref="AAH104:AAH106"/>
    <mergeCell ref="ZT121:ZT125"/>
    <mergeCell ref="ZU121:ZU125"/>
    <mergeCell ref="ZV121:ZV125"/>
    <mergeCell ref="ZW121:ZW125"/>
    <mergeCell ref="ZX121:ZX125"/>
    <mergeCell ref="ZY121:ZY125"/>
    <mergeCell ref="ZI121:ZI125"/>
    <mergeCell ref="ZJ121:ZJ125"/>
    <mergeCell ref="ZK121:ZK125"/>
    <mergeCell ref="YE119:YE120"/>
    <mergeCell ref="YF119:YF120"/>
    <mergeCell ref="YG119:YG120"/>
    <mergeCell ref="YH119:YH120"/>
    <mergeCell ref="YI119:YI120"/>
    <mergeCell ref="YF104:YF106"/>
    <mergeCell ref="YG104:YG106"/>
    <mergeCell ref="YH104:YH106"/>
    <mergeCell ref="YI104:YI106"/>
    <mergeCell ref="YJ104:YJ106"/>
    <mergeCell ref="YK104:YK106"/>
    <mergeCell ref="YL104:YL106"/>
    <mergeCell ref="YP107:YP108"/>
    <mergeCell ref="YQ107:YQ108"/>
    <mergeCell ref="YR107:YR108"/>
    <mergeCell ref="YS107:YS108"/>
    <mergeCell ref="YT107:YT108"/>
    <mergeCell ref="YU107:YU108"/>
    <mergeCell ref="YV107:YV108"/>
    <mergeCell ref="YW107:YW108"/>
    <mergeCell ref="YX107:YX108"/>
    <mergeCell ref="YY107:YY108"/>
    <mergeCell ref="YZ107:YZ108"/>
    <mergeCell ref="ZA107:ZA108"/>
    <mergeCell ref="ZB107:ZB108"/>
    <mergeCell ref="YZ104:YZ106"/>
    <mergeCell ref="YH107:YH108"/>
    <mergeCell ref="ZE119:ZE120"/>
    <mergeCell ref="ZF119:ZF120"/>
    <mergeCell ref="ZG119:ZG120"/>
    <mergeCell ref="ZC104:ZC106"/>
    <mergeCell ref="ZD104:ZD106"/>
    <mergeCell ref="ZE104:ZE106"/>
    <mergeCell ref="ZF104:ZF106"/>
    <mergeCell ref="ZG104:ZG106"/>
    <mergeCell ref="ZH104:ZH106"/>
    <mergeCell ref="YQ119:YQ120"/>
    <mergeCell ref="YR119:YR120"/>
    <mergeCell ref="YS119:YS120"/>
    <mergeCell ref="YT119:YT120"/>
    <mergeCell ref="YU119:YU120"/>
    <mergeCell ref="YV119:YV120"/>
    <mergeCell ref="YM121:YM125"/>
    <mergeCell ref="YN121:YN125"/>
    <mergeCell ref="YO121:YO125"/>
    <mergeCell ref="YM134:YM136"/>
    <mergeCell ref="YN134:YN136"/>
    <mergeCell ref="YO134:YO136"/>
    <mergeCell ref="YP134:YP136"/>
    <mergeCell ref="YQ134:YQ136"/>
    <mergeCell ref="YR134:YR136"/>
    <mergeCell ref="YS134:YS136"/>
    <mergeCell ref="YT134:YT136"/>
    <mergeCell ref="YU134:YU136"/>
    <mergeCell ref="YV137:YV138"/>
    <mergeCell ref="YV121:YV125"/>
    <mergeCell ref="YW121:YW125"/>
    <mergeCell ref="YX121:YX125"/>
    <mergeCell ref="YY121:YY125"/>
    <mergeCell ref="ZA121:ZA125"/>
    <mergeCell ref="YY134:YY136"/>
    <mergeCell ref="AAF101:AAF103"/>
    <mergeCell ref="ZI104:ZI106"/>
    <mergeCell ref="ZJ104:ZJ106"/>
    <mergeCell ref="AAC121:AAC125"/>
    <mergeCell ref="AAD121:AAD125"/>
    <mergeCell ref="ZV107:ZV108"/>
    <mergeCell ref="ZW107:ZW108"/>
    <mergeCell ref="ZX107:ZX108"/>
    <mergeCell ref="ZY107:ZY108"/>
    <mergeCell ref="ZZ107:ZZ108"/>
    <mergeCell ref="AAA107:AAA108"/>
    <mergeCell ref="AAB107:AAB108"/>
    <mergeCell ref="AAC107:AAC108"/>
    <mergeCell ref="AAD107:AAD108"/>
    <mergeCell ref="AAE107:AAE108"/>
    <mergeCell ref="AAF107:AAF108"/>
    <mergeCell ref="ZA101:ZA103"/>
    <mergeCell ref="ZB101:ZB103"/>
    <mergeCell ref="ZC101:ZC103"/>
    <mergeCell ref="ZD101:ZD103"/>
    <mergeCell ref="ZM101:ZM103"/>
    <mergeCell ref="YN101:YN103"/>
    <mergeCell ref="YO101:YO103"/>
    <mergeCell ref="YW119:YW120"/>
    <mergeCell ref="YX119:YX120"/>
    <mergeCell ref="YY119:YY120"/>
    <mergeCell ref="YZ119:YZ120"/>
    <mergeCell ref="ZA104:ZA106"/>
    <mergeCell ref="ZB104:ZB106"/>
    <mergeCell ref="YP104:YP106"/>
    <mergeCell ref="YQ104:YQ106"/>
    <mergeCell ref="YR104:YR106"/>
    <mergeCell ref="YW134:YW136"/>
    <mergeCell ref="YX134:YX136"/>
    <mergeCell ref="ZO104:ZO106"/>
    <mergeCell ref="ZP104:ZP106"/>
    <mergeCell ref="ZQ104:ZQ106"/>
    <mergeCell ref="ZR104:ZR106"/>
    <mergeCell ref="ZS104:ZS106"/>
    <mergeCell ref="ZZ121:ZZ125"/>
    <mergeCell ref="AAA121:AAA125"/>
    <mergeCell ref="AAB121:AAB125"/>
    <mergeCell ref="ZO137:ZO138"/>
    <mergeCell ref="ZZ129:ZZ130"/>
    <mergeCell ref="ZC166:ZC167"/>
    <mergeCell ref="AAH134:AAH136"/>
    <mergeCell ref="AAI134:AAI136"/>
    <mergeCell ref="ZN134:ZN136"/>
    <mergeCell ref="ZO134:ZO136"/>
    <mergeCell ref="ZP134:ZP136"/>
    <mergeCell ref="ZQ134:ZQ136"/>
    <mergeCell ref="ZR134:ZR136"/>
    <mergeCell ref="ZS134:ZS136"/>
    <mergeCell ref="ZT134:ZT136"/>
    <mergeCell ref="ZU134:ZU136"/>
    <mergeCell ref="ZL139:ZL141"/>
    <mergeCell ref="ZM139:ZM141"/>
    <mergeCell ref="ZN139:ZN141"/>
    <mergeCell ref="ZO139:ZO141"/>
    <mergeCell ref="ZP139:ZP141"/>
    <mergeCell ref="ZQ139:ZQ141"/>
    <mergeCell ref="ZR139:ZR141"/>
    <mergeCell ref="ZS139:ZS141"/>
    <mergeCell ref="YZ121:YZ125"/>
    <mergeCell ref="AAI137:AAI138"/>
    <mergeCell ref="AAF126:AAF128"/>
    <mergeCell ref="AAG126:AAG128"/>
    <mergeCell ref="AAA137:AAA138"/>
    <mergeCell ref="AAB137:AAB138"/>
    <mergeCell ref="YY166:YY167"/>
    <mergeCell ref="YZ166:YZ167"/>
    <mergeCell ref="YY139:YY141"/>
    <mergeCell ref="YZ139:YZ141"/>
    <mergeCell ref="ZA139:ZA141"/>
    <mergeCell ref="ZB139:ZB141"/>
    <mergeCell ref="ZC139:ZC141"/>
    <mergeCell ref="ZD139:ZD141"/>
    <mergeCell ref="ZE139:ZE141"/>
    <mergeCell ref="ZF139:ZF141"/>
    <mergeCell ref="AAE121:AAE125"/>
    <mergeCell ref="AAF121:AAF125"/>
    <mergeCell ref="AAG121:AAG125"/>
    <mergeCell ref="AAG134:AAG136"/>
    <mergeCell ref="AAG129:AAG130"/>
    <mergeCell ref="AAH129:AAH130"/>
    <mergeCell ref="AAI129:AAI130"/>
    <mergeCell ref="ZD134:ZD136"/>
    <mergeCell ref="ZE134:ZE136"/>
    <mergeCell ref="ZF134:ZF136"/>
    <mergeCell ref="ZD121:ZD125"/>
    <mergeCell ref="ZE121:ZE125"/>
    <mergeCell ref="ZF121:ZF125"/>
    <mergeCell ref="YU170:YU171"/>
    <mergeCell ref="YV170:YV171"/>
    <mergeCell ref="YW170:YW171"/>
    <mergeCell ref="YX170:YX171"/>
    <mergeCell ref="YY170:YY171"/>
    <mergeCell ref="YZ170:YZ171"/>
    <mergeCell ref="ZA170:ZA171"/>
    <mergeCell ref="ZB170:ZB171"/>
    <mergeCell ref="ZC170:ZC171"/>
    <mergeCell ref="ZD170:ZD171"/>
    <mergeCell ref="ZE170:ZE171"/>
    <mergeCell ref="ZF170:ZF171"/>
    <mergeCell ref="ZG170:ZG171"/>
    <mergeCell ref="ZF168:ZF169"/>
    <mergeCell ref="ZH170:ZH171"/>
    <mergeCell ref="XX168:XX169"/>
    <mergeCell ref="ZD166:ZD167"/>
    <mergeCell ref="ZE166:ZE167"/>
    <mergeCell ref="ZF166:ZF167"/>
    <mergeCell ref="XY170:XY171"/>
    <mergeCell ref="XZ170:XZ171"/>
    <mergeCell ref="YB168:YB169"/>
    <mergeCell ref="YC168:YC169"/>
    <mergeCell ref="ZE168:ZE169"/>
    <mergeCell ref="YL121:YL125"/>
    <mergeCell ref="YL119:YL120"/>
    <mergeCell ref="YM107:YM108"/>
    <mergeCell ref="YN107:YN108"/>
    <mergeCell ref="YO107:YO108"/>
    <mergeCell ref="ZP121:ZP125"/>
    <mergeCell ref="ZQ121:ZQ125"/>
    <mergeCell ref="ZR121:ZR125"/>
    <mergeCell ref="ZS121:ZS125"/>
    <mergeCell ref="YL107:YL108"/>
    <mergeCell ref="ZB137:ZB138"/>
    <mergeCell ref="ZO107:ZO108"/>
    <mergeCell ref="ZP107:ZP108"/>
    <mergeCell ref="ZQ107:ZQ108"/>
    <mergeCell ref="YL166:YL167"/>
    <mergeCell ref="YU166:YU167"/>
    <mergeCell ref="YL151:YL154"/>
    <mergeCell ref="YO129:YO130"/>
    <mergeCell ref="YP129:YP130"/>
    <mergeCell ref="YQ129:YQ130"/>
    <mergeCell ref="YR129:YR130"/>
    <mergeCell ref="YR121:YR125"/>
    <mergeCell ref="YP126:YP128"/>
    <mergeCell ref="YQ126:YQ128"/>
    <mergeCell ref="YP119:YP120"/>
    <mergeCell ref="YJ119:YJ120"/>
    <mergeCell ref="YK119:YK120"/>
    <mergeCell ref="YH121:YH125"/>
    <mergeCell ref="YI121:YI125"/>
    <mergeCell ref="YJ121:YJ125"/>
    <mergeCell ref="YK121:YK125"/>
    <mergeCell ref="YH134:YH136"/>
    <mergeCell ref="YI134:YI136"/>
    <mergeCell ref="YJ134:YJ136"/>
    <mergeCell ref="YI107:YI108"/>
    <mergeCell ref="YJ107:YJ108"/>
    <mergeCell ref="YK107:YK108"/>
    <mergeCell ref="YM137:YM138"/>
    <mergeCell ref="YN137:YN138"/>
    <mergeCell ref="YO137:YO138"/>
    <mergeCell ref="YC166:YC167"/>
    <mergeCell ref="YD166:YD167"/>
    <mergeCell ref="YE166:YE167"/>
    <mergeCell ref="YF166:YF167"/>
    <mergeCell ref="YG166:YG167"/>
    <mergeCell ref="XM168:XM169"/>
    <mergeCell ref="XN168:XN169"/>
    <mergeCell ref="XO168:XO169"/>
    <mergeCell ref="XP168:XP169"/>
    <mergeCell ref="XQ168:XQ169"/>
    <mergeCell ref="XR168:XR169"/>
    <mergeCell ref="XS168:XS169"/>
    <mergeCell ref="XT168:XT169"/>
    <mergeCell ref="XU168:XU169"/>
    <mergeCell ref="XV168:XV169"/>
    <mergeCell ref="XW168:XW169"/>
    <mergeCell ref="YV166:YV167"/>
    <mergeCell ref="YW166:YW167"/>
    <mergeCell ref="YX166:YX167"/>
    <mergeCell ref="ZA166:ZA167"/>
    <mergeCell ref="ZB166:ZB167"/>
    <mergeCell ref="XL172:XL174"/>
    <mergeCell ref="XM172:XM174"/>
    <mergeCell ref="XN172:XN174"/>
    <mergeCell ref="XO172:XO174"/>
    <mergeCell ref="XP172:XP174"/>
    <mergeCell ref="XQ172:XQ174"/>
    <mergeCell ref="XR172:XR174"/>
    <mergeCell ref="XS172:XS174"/>
    <mergeCell ref="XT172:XT174"/>
    <mergeCell ref="XU172:XU174"/>
    <mergeCell ref="XV172:XV174"/>
    <mergeCell ref="XW172:XW174"/>
    <mergeCell ref="XX172:XX174"/>
    <mergeCell ref="XY172:XY174"/>
    <mergeCell ref="XZ172:XZ174"/>
    <mergeCell ref="YA172:YA174"/>
    <mergeCell ref="YB172:YB174"/>
    <mergeCell ref="YC172:YC174"/>
    <mergeCell ref="YD172:YD174"/>
    <mergeCell ref="YE172:YE174"/>
    <mergeCell ref="YF172:YF174"/>
    <mergeCell ref="YG172:YG174"/>
    <mergeCell ref="YH172:YH174"/>
    <mergeCell ref="YI172:YI174"/>
    <mergeCell ref="YJ172:YJ174"/>
    <mergeCell ref="YK172:YK174"/>
    <mergeCell ref="YL172:YL174"/>
    <mergeCell ref="YM172:YM174"/>
    <mergeCell ref="YN172:YN174"/>
    <mergeCell ref="YO172:YO174"/>
    <mergeCell ref="YP172:YP174"/>
    <mergeCell ref="YQ172:YQ174"/>
    <mergeCell ref="YR172:YR174"/>
    <mergeCell ref="YK170:YK171"/>
    <mergeCell ref="YL170:YL171"/>
    <mergeCell ref="YM170:YM171"/>
    <mergeCell ref="YN170:YN171"/>
    <mergeCell ref="YO170:YO171"/>
    <mergeCell ref="YP170:YP171"/>
    <mergeCell ref="YQ170:YQ171"/>
    <mergeCell ref="YR170:YR171"/>
    <mergeCell ref="YS170:YS171"/>
    <mergeCell ref="YT170:YT171"/>
    <mergeCell ref="ZT170:ZT171"/>
    <mergeCell ref="ZU170:ZU171"/>
    <mergeCell ref="ZV170:ZV171"/>
    <mergeCell ref="ZW170:ZW171"/>
    <mergeCell ref="ZX170:ZX171"/>
    <mergeCell ref="ZY170:ZY171"/>
    <mergeCell ref="ZZ170:ZZ171"/>
    <mergeCell ref="AAA170:AAA171"/>
    <mergeCell ref="AAB170:AAB171"/>
    <mergeCell ref="AAC170:AAC171"/>
    <mergeCell ref="AAD170:AAD171"/>
    <mergeCell ref="ZP168:ZP169"/>
    <mergeCell ref="ZQ168:ZQ169"/>
    <mergeCell ref="ZR168:ZR169"/>
    <mergeCell ref="ZI170:ZI171"/>
    <mergeCell ref="ZJ170:ZJ171"/>
    <mergeCell ref="ZK170:ZK171"/>
    <mergeCell ref="ZL170:ZL171"/>
    <mergeCell ref="ZA172:ZA174"/>
    <mergeCell ref="ZB172:ZB174"/>
    <mergeCell ref="ZC172:ZC174"/>
    <mergeCell ref="ZD172:ZD174"/>
    <mergeCell ref="ZE172:ZE174"/>
    <mergeCell ref="ZF172:ZF174"/>
    <mergeCell ref="ZE175:ZE177"/>
    <mergeCell ref="ZF175:ZF177"/>
    <mergeCell ref="ZG175:ZG177"/>
    <mergeCell ref="ZH175:ZH177"/>
    <mergeCell ref="ZI175:ZI177"/>
    <mergeCell ref="ZJ175:ZJ177"/>
    <mergeCell ref="ZK175:ZK177"/>
    <mergeCell ref="ZL175:ZL177"/>
    <mergeCell ref="XG175:XG177"/>
    <mergeCell ref="XH175:XH177"/>
    <mergeCell ref="XI175:XI177"/>
    <mergeCell ref="XJ175:XJ177"/>
    <mergeCell ref="XK175:XK177"/>
    <mergeCell ref="XL175:XL177"/>
    <mergeCell ref="XM175:XM177"/>
    <mergeCell ref="XN175:XN177"/>
    <mergeCell ref="XO175:XO177"/>
    <mergeCell ref="XP175:XP177"/>
    <mergeCell ref="XQ175:XQ177"/>
    <mergeCell ref="XR175:XR177"/>
    <mergeCell ref="XS175:XS177"/>
    <mergeCell ref="XT175:XT177"/>
    <mergeCell ref="XU175:XU177"/>
    <mergeCell ref="XV175:XV177"/>
    <mergeCell ref="XW175:XW177"/>
    <mergeCell ref="XX175:XX177"/>
    <mergeCell ref="XY175:XY177"/>
    <mergeCell ref="XZ175:XZ177"/>
    <mergeCell ref="YA175:YA177"/>
    <mergeCell ref="YB175:YB177"/>
    <mergeCell ref="YC175:YC177"/>
    <mergeCell ref="YD175:YD177"/>
    <mergeCell ref="YE175:YE177"/>
    <mergeCell ref="YF175:YF177"/>
    <mergeCell ref="YG175:YG177"/>
    <mergeCell ref="YH175:YH177"/>
    <mergeCell ref="YI175:YI177"/>
    <mergeCell ref="YJ175:YJ177"/>
    <mergeCell ref="YK175:YK177"/>
    <mergeCell ref="YL175:YL177"/>
    <mergeCell ref="ZM175:ZM177"/>
    <mergeCell ref="ZN175:ZN177"/>
    <mergeCell ref="ZO175:ZO177"/>
    <mergeCell ref="ZP175:ZP177"/>
    <mergeCell ref="ZQ175:ZQ177"/>
    <mergeCell ref="ZR175:ZR177"/>
    <mergeCell ref="ZS175:ZS177"/>
    <mergeCell ref="ZT175:ZT177"/>
    <mergeCell ref="ZU175:ZU177"/>
    <mergeCell ref="ZV175:ZV177"/>
    <mergeCell ref="ZW175:ZW177"/>
    <mergeCell ref="ZX175:ZX177"/>
    <mergeCell ref="ZY175:ZY177"/>
    <mergeCell ref="ZZ175:ZZ177"/>
    <mergeCell ref="AAA175:AAA177"/>
    <mergeCell ref="AAB175:AAB177"/>
    <mergeCell ref="AAC175:AAC177"/>
    <mergeCell ref="AAD175:AAD177"/>
    <mergeCell ref="AAE175:AAE177"/>
    <mergeCell ref="ZZ172:ZZ174"/>
    <mergeCell ref="AAA172:AAA174"/>
    <mergeCell ref="AAB172:AAB174"/>
    <mergeCell ref="AAC172:AAC174"/>
    <mergeCell ref="AAD172:AAD174"/>
    <mergeCell ref="AAE172:AAE174"/>
    <mergeCell ref="ZG172:ZG174"/>
    <mergeCell ref="ZH172:ZH174"/>
    <mergeCell ref="ZI172:ZI174"/>
    <mergeCell ref="ZJ172:ZJ174"/>
    <mergeCell ref="ZK172:ZK174"/>
    <mergeCell ref="ZL172:ZL174"/>
    <mergeCell ref="ZM172:ZM174"/>
    <mergeCell ref="ZN172:ZN174"/>
    <mergeCell ref="ZO172:ZO174"/>
    <mergeCell ref="ZP172:ZP174"/>
    <mergeCell ref="ZQ172:ZQ174"/>
    <mergeCell ref="ZR172:ZR174"/>
    <mergeCell ref="ZS172:ZS174"/>
    <mergeCell ref="ZT172:ZT174"/>
    <mergeCell ref="ZU172:ZU174"/>
    <mergeCell ref="ZV172:ZV174"/>
    <mergeCell ref="ZW172:ZW174"/>
    <mergeCell ref="ZX172:ZX174"/>
    <mergeCell ref="ZY172:ZY174"/>
    <mergeCell ref="WZ192:XA194"/>
    <mergeCell ref="YL184:YL185"/>
    <mergeCell ref="YM184:YM185"/>
    <mergeCell ref="YN184:YN185"/>
    <mergeCell ref="YV178:YV179"/>
    <mergeCell ref="YU184:YU185"/>
    <mergeCell ref="YV184:YV185"/>
    <mergeCell ref="YZ172:YZ174"/>
    <mergeCell ref="XO178:XO179"/>
    <mergeCell ref="XP178:XP179"/>
    <mergeCell ref="XQ178:XQ179"/>
    <mergeCell ref="XR178:XR179"/>
    <mergeCell ref="XS178:XS179"/>
    <mergeCell ref="XT178:XT179"/>
    <mergeCell ref="XU178:XU179"/>
    <mergeCell ref="XV178:XV179"/>
    <mergeCell ref="XW178:XW179"/>
    <mergeCell ref="XX178:XX179"/>
    <mergeCell ref="XY178:XY179"/>
    <mergeCell ref="XZ178:XZ179"/>
    <mergeCell ref="YA178:YA179"/>
    <mergeCell ref="YB178:YB179"/>
    <mergeCell ref="YC178:YC179"/>
    <mergeCell ref="YD178:YD179"/>
    <mergeCell ref="YE178:YE179"/>
    <mergeCell ref="YF178:YF179"/>
    <mergeCell ref="YG178:YG179"/>
    <mergeCell ref="YH178:YH179"/>
    <mergeCell ref="YI178:YI179"/>
    <mergeCell ref="YJ178:YJ179"/>
    <mergeCell ref="YK178:YK179"/>
    <mergeCell ref="YL178:YL179"/>
    <mergeCell ref="YM178:YM179"/>
    <mergeCell ref="YN178:YN179"/>
    <mergeCell ref="YO178:YO179"/>
    <mergeCell ref="YP178:YP179"/>
    <mergeCell ref="YN180:YN181"/>
    <mergeCell ref="YO180:YO181"/>
    <mergeCell ref="YP180:YP181"/>
    <mergeCell ref="YP182:YP183"/>
    <mergeCell ref="YW178:YW179"/>
    <mergeCell ref="YX178:YX179"/>
    <mergeCell ref="YY178:YY179"/>
    <mergeCell ref="YZ178:YZ179"/>
    <mergeCell ref="YM175:YM177"/>
    <mergeCell ref="YN175:YN177"/>
    <mergeCell ref="YO175:YO177"/>
    <mergeCell ref="YP175:YP177"/>
    <mergeCell ref="YQ175:YQ177"/>
    <mergeCell ref="YR175:YR177"/>
    <mergeCell ref="YS175:YS177"/>
    <mergeCell ref="YT175:YT177"/>
    <mergeCell ref="YU175:YU177"/>
    <mergeCell ref="YV175:YV177"/>
    <mergeCell ref="YW175:YW177"/>
    <mergeCell ref="YX175:YX177"/>
    <mergeCell ref="YS172:YS174"/>
    <mergeCell ref="YT172:YT174"/>
    <mergeCell ref="YU172:YU174"/>
    <mergeCell ref="YV172:YV174"/>
    <mergeCell ref="YW172:YW174"/>
    <mergeCell ref="YX172:YX174"/>
    <mergeCell ref="YY172:YY174"/>
    <mergeCell ref="YT178:YT179"/>
    <mergeCell ref="WZ195:XA196"/>
    <mergeCell ref="WZ197:XA199"/>
    <mergeCell ref="WZ200:XA202"/>
    <mergeCell ref="WZ203:XA205"/>
    <mergeCell ref="WZ206:XA208"/>
    <mergeCell ref="WZ209:XA211"/>
    <mergeCell ref="XG178:XG179"/>
    <mergeCell ref="XG180:XG181"/>
    <mergeCell ref="XG182:XG183"/>
    <mergeCell ref="XG184:XG185"/>
    <mergeCell ref="XG186:XG188"/>
    <mergeCell ref="XG189:XG191"/>
    <mergeCell ref="XG192:XG194"/>
    <mergeCell ref="XG195:XG196"/>
    <mergeCell ref="XG197:XG199"/>
    <mergeCell ref="XG200:XG202"/>
    <mergeCell ref="XG203:XG205"/>
    <mergeCell ref="XG206:XG208"/>
    <mergeCell ref="XG209:XG211"/>
    <mergeCell ref="XH178:XH179"/>
    <mergeCell ref="XI178:XI179"/>
    <mergeCell ref="XJ178:XJ179"/>
    <mergeCell ref="XK178:XK179"/>
    <mergeCell ref="XY180:XY181"/>
    <mergeCell ref="XZ180:XZ181"/>
    <mergeCell ref="YA180:YA181"/>
    <mergeCell ref="YB180:YB181"/>
    <mergeCell ref="YC180:YC181"/>
    <mergeCell ref="YD180:YD181"/>
    <mergeCell ref="YE180:YE181"/>
    <mergeCell ref="YF180:YF181"/>
    <mergeCell ref="YG180:YG181"/>
    <mergeCell ref="WZ186:XA188"/>
    <mergeCell ref="WZ189:XA191"/>
    <mergeCell ref="XL178:XL179"/>
    <mergeCell ref="XM178:XM179"/>
    <mergeCell ref="XN178:XN179"/>
    <mergeCell ref="XN186:XN188"/>
    <mergeCell ref="XH195:XH196"/>
    <mergeCell ref="XI195:XI196"/>
    <mergeCell ref="XJ195:XJ196"/>
    <mergeCell ref="XK195:XK196"/>
    <mergeCell ref="XL195:XL196"/>
    <mergeCell ref="XM195:XM196"/>
    <mergeCell ref="XN195:XN196"/>
    <mergeCell ref="XO195:XO196"/>
    <mergeCell ref="XP195:XP196"/>
    <mergeCell ref="XQ195:XQ196"/>
    <mergeCell ref="XR195:XR196"/>
    <mergeCell ref="XS195:XS196"/>
    <mergeCell ref="XT195:XT196"/>
    <mergeCell ref="XU195:XU196"/>
    <mergeCell ref="XV195:XV196"/>
    <mergeCell ref="XW195:XW196"/>
    <mergeCell ref="XX195:XX196"/>
    <mergeCell ref="XY195:XY196"/>
    <mergeCell ref="XZ195:XZ196"/>
    <mergeCell ref="YA195:YA196"/>
    <mergeCell ref="YB195:YB196"/>
    <mergeCell ref="YC195:YC196"/>
    <mergeCell ref="YD195:YD196"/>
    <mergeCell ref="YE195:YE196"/>
    <mergeCell ref="YF195:YF196"/>
    <mergeCell ref="YG195:YG196"/>
    <mergeCell ref="WI189:WJ189"/>
    <mergeCell ref="WI190:WJ190"/>
    <mergeCell ref="WG203:WJ203"/>
    <mergeCell ref="WK203:WL203"/>
    <mergeCell ref="WG200:WJ200"/>
    <mergeCell ref="WK200:WL200"/>
    <mergeCell ref="WW172:WX172"/>
    <mergeCell ref="WI186:WJ186"/>
    <mergeCell ref="WI187:WJ187"/>
    <mergeCell ref="WM186:WN186"/>
    <mergeCell ref="XH206:XH208"/>
    <mergeCell ref="XI206:XI208"/>
    <mergeCell ref="XJ206:XJ208"/>
    <mergeCell ref="XK206:XK208"/>
    <mergeCell ref="WG172:WJ172"/>
    <mergeCell ref="WM172:WP172"/>
    <mergeCell ref="WS172:WV172"/>
    <mergeCell ref="WZ163:XA163"/>
    <mergeCell ref="WH151:WI151"/>
    <mergeCell ref="WG168:WJ168"/>
    <mergeCell ref="WG170:WJ170"/>
    <mergeCell ref="WZ170:XA171"/>
    <mergeCell ref="WK197:WL197"/>
    <mergeCell ref="XH148:XH150"/>
    <mergeCell ref="XI148:XI150"/>
    <mergeCell ref="XJ148:XJ150"/>
    <mergeCell ref="XK148:XK150"/>
    <mergeCell ref="WZ166:XA167"/>
    <mergeCell ref="WU151:XF154"/>
    <mergeCell ref="WN152:WO152"/>
    <mergeCell ref="XH180:XH181"/>
    <mergeCell ref="XI180:XI181"/>
    <mergeCell ref="XJ180:XJ181"/>
    <mergeCell ref="XK180:XK181"/>
    <mergeCell ref="XG170:XG171"/>
    <mergeCell ref="XG172:XG174"/>
    <mergeCell ref="XH186:XH188"/>
    <mergeCell ref="XH197:XH199"/>
    <mergeCell ref="XI197:XI199"/>
    <mergeCell ref="XJ197:XJ199"/>
    <mergeCell ref="XK197:XK199"/>
    <mergeCell ref="XH203:XH205"/>
    <mergeCell ref="XI203:XI205"/>
    <mergeCell ref="XH200:XH202"/>
    <mergeCell ref="XI200:XI202"/>
    <mergeCell ref="XJ200:XJ202"/>
    <mergeCell ref="XK200:XK202"/>
    <mergeCell ref="XJ203:XJ205"/>
    <mergeCell ref="XK203:XK205"/>
    <mergeCell ref="WG184:WH184"/>
    <mergeCell ref="WI184:WJ184"/>
    <mergeCell ref="WI182:WJ182"/>
    <mergeCell ref="WI178:WJ178"/>
    <mergeCell ref="WG182:WH182"/>
    <mergeCell ref="WG186:WH186"/>
    <mergeCell ref="WG187:WH187"/>
    <mergeCell ref="WG155:WJ155"/>
    <mergeCell ref="WG189:WH189"/>
    <mergeCell ref="WG190:WH190"/>
    <mergeCell ref="WK189:WL189"/>
    <mergeCell ref="WK190:WL190"/>
    <mergeCell ref="WK187:WL187"/>
    <mergeCell ref="WO186:WT188"/>
    <mergeCell ref="WG180:WH180"/>
    <mergeCell ref="AAP180:AAP181"/>
    <mergeCell ref="AAQ180:AAQ181"/>
    <mergeCell ref="AAR180:AAR181"/>
    <mergeCell ref="AAS180:AAS181"/>
    <mergeCell ref="XH182:XH183"/>
    <mergeCell ref="XI182:XI183"/>
    <mergeCell ref="XJ182:XJ183"/>
    <mergeCell ref="XK182:XK183"/>
    <mergeCell ref="XL182:XL183"/>
    <mergeCell ref="XM182:XM183"/>
    <mergeCell ref="XN182:XN183"/>
    <mergeCell ref="XO182:XO183"/>
    <mergeCell ref="XP182:XP183"/>
    <mergeCell ref="XQ182:XQ183"/>
    <mergeCell ref="XR182:XR183"/>
    <mergeCell ref="XS182:XS183"/>
    <mergeCell ref="XT182:XT183"/>
    <mergeCell ref="XU182:XU183"/>
    <mergeCell ref="XV182:XV183"/>
    <mergeCell ref="XW182:XW183"/>
    <mergeCell ref="XX182:XX183"/>
    <mergeCell ref="XY182:XY183"/>
    <mergeCell ref="XZ182:XZ183"/>
    <mergeCell ref="YA182:YA183"/>
    <mergeCell ref="YB182:YB183"/>
    <mergeCell ref="YC182:YC183"/>
    <mergeCell ref="YD182:YD183"/>
    <mergeCell ref="YE182:YE183"/>
    <mergeCell ref="YF182:YF183"/>
    <mergeCell ref="YG182:YG183"/>
    <mergeCell ref="YH182:YH183"/>
    <mergeCell ref="YI182:YI183"/>
    <mergeCell ref="YJ182:YJ183"/>
    <mergeCell ref="YK182:YK183"/>
    <mergeCell ref="YL182:YL183"/>
    <mergeCell ref="YM182:YM183"/>
    <mergeCell ref="YN182:YN183"/>
    <mergeCell ref="YO182:YO183"/>
    <mergeCell ref="YW180:YW181"/>
    <mergeCell ref="YX180:YX181"/>
    <mergeCell ref="YY180:YY181"/>
    <mergeCell ref="YZ180:YZ181"/>
    <mergeCell ref="ZA180:ZA181"/>
    <mergeCell ref="ZB180:ZB181"/>
    <mergeCell ref="ZC180:ZC181"/>
    <mergeCell ref="ZD180:ZD181"/>
    <mergeCell ref="ZE180:ZE181"/>
    <mergeCell ref="ZF180:ZF181"/>
    <mergeCell ref="ZG180:ZG181"/>
    <mergeCell ref="ZH180:ZH181"/>
    <mergeCell ref="ZI180:ZI181"/>
    <mergeCell ref="ZJ180:ZJ181"/>
    <mergeCell ref="ZK180:ZK181"/>
    <mergeCell ref="AAO182:AAO183"/>
    <mergeCell ref="AAP182:AAP183"/>
    <mergeCell ref="AAQ182:AAQ183"/>
    <mergeCell ref="AAR182:AAR183"/>
    <mergeCell ref="AAS182:AAS183"/>
    <mergeCell ref="YH180:YH181"/>
    <mergeCell ref="YI180:YI181"/>
    <mergeCell ref="YJ180:YJ181"/>
    <mergeCell ref="YK180:YK181"/>
    <mergeCell ref="YL180:YL181"/>
    <mergeCell ref="YM180:YM181"/>
    <mergeCell ref="ZU178:ZU179"/>
    <mergeCell ref="ZV178:ZV179"/>
    <mergeCell ref="ZW178:ZW179"/>
    <mergeCell ref="ZX178:ZX179"/>
    <mergeCell ref="ZY178:ZY179"/>
    <mergeCell ref="ZZ178:ZZ179"/>
    <mergeCell ref="AAA178:AAA179"/>
    <mergeCell ref="AAN180:AAN181"/>
    <mergeCell ref="AAO180:AAO181"/>
    <mergeCell ref="AAK178:AAK179"/>
    <mergeCell ref="AAL178:AAL179"/>
    <mergeCell ref="ZW180:ZW181"/>
    <mergeCell ref="ZX180:ZX181"/>
    <mergeCell ref="ZY180:ZY181"/>
    <mergeCell ref="AAB180:AAB181"/>
    <mergeCell ref="AAC180:AAC181"/>
    <mergeCell ref="AAD180:AAD181"/>
    <mergeCell ref="AAE180:AAE181"/>
    <mergeCell ref="AAF180:AAF181"/>
    <mergeCell ref="AAG180:AAG181"/>
    <mergeCell ref="AAH180:AAH181"/>
    <mergeCell ref="AAI180:AAI181"/>
    <mergeCell ref="AAJ180:AAJ181"/>
    <mergeCell ref="AAK180:AAK181"/>
    <mergeCell ref="AAL180:AAL181"/>
    <mergeCell ref="ZL180:ZL181"/>
    <mergeCell ref="ZM180:ZM181"/>
    <mergeCell ref="ZN180:ZN181"/>
    <mergeCell ref="ZO180:ZO181"/>
    <mergeCell ref="ZP180:ZP181"/>
    <mergeCell ref="ZQ180:ZQ181"/>
    <mergeCell ref="ZR180:ZR181"/>
    <mergeCell ref="ZS180:ZS181"/>
    <mergeCell ref="ZT180:ZT181"/>
    <mergeCell ref="ZU180:ZU181"/>
    <mergeCell ref="ZV180:ZV181"/>
    <mergeCell ref="ZZ180:ZZ181"/>
    <mergeCell ref="AAA180:AAA181"/>
    <mergeCell ref="ZO182:ZO183"/>
    <mergeCell ref="ZP182:ZP183"/>
    <mergeCell ref="ZQ182:ZQ183"/>
    <mergeCell ref="ZR182:ZR183"/>
    <mergeCell ref="ZS182:ZS183"/>
    <mergeCell ref="ZT182:ZT183"/>
    <mergeCell ref="ZA178:ZA179"/>
    <mergeCell ref="ZB178:ZB179"/>
    <mergeCell ref="ZC178:ZC179"/>
    <mergeCell ref="ZD178:ZD179"/>
    <mergeCell ref="ZE178:ZE179"/>
    <mergeCell ref="ZF178:ZF179"/>
    <mergeCell ref="ZG178:ZG179"/>
    <mergeCell ref="XP180:XP181"/>
    <mergeCell ref="XQ180:XQ181"/>
    <mergeCell ref="XR180:XR181"/>
    <mergeCell ref="XS180:XS181"/>
    <mergeCell ref="XT180:XT181"/>
    <mergeCell ref="XU180:XU181"/>
    <mergeCell ref="XV180:XV181"/>
    <mergeCell ref="XW180:XW181"/>
    <mergeCell ref="XX180:XX181"/>
    <mergeCell ref="XH184:XH185"/>
    <mergeCell ref="XI184:XI185"/>
    <mergeCell ref="XJ184:XJ185"/>
    <mergeCell ref="XK184:XK185"/>
    <mergeCell ref="XL184:XL185"/>
    <mergeCell ref="XM184:XM185"/>
    <mergeCell ref="XN184:XN185"/>
    <mergeCell ref="XO184:XO185"/>
    <mergeCell ref="XP184:XP185"/>
    <mergeCell ref="XQ184:XQ185"/>
    <mergeCell ref="XR184:XR185"/>
    <mergeCell ref="XS184:XS185"/>
    <mergeCell ref="XT184:XT185"/>
    <mergeCell ref="XU184:XU185"/>
    <mergeCell ref="XV184:XV185"/>
    <mergeCell ref="XW184:XW185"/>
    <mergeCell ref="XX184:XX185"/>
    <mergeCell ref="XY184:XY185"/>
    <mergeCell ref="XZ184:XZ185"/>
    <mergeCell ref="YA184:YA185"/>
    <mergeCell ref="YB184:YB185"/>
    <mergeCell ref="YC184:YC185"/>
    <mergeCell ref="YD184:YD185"/>
    <mergeCell ref="YE184:YE185"/>
    <mergeCell ref="ZL178:ZL179"/>
    <mergeCell ref="ZM178:ZM179"/>
    <mergeCell ref="ZN178:ZN179"/>
    <mergeCell ref="ZO178:ZO179"/>
    <mergeCell ref="ZP178:ZP179"/>
    <mergeCell ref="ZQ178:ZQ179"/>
    <mergeCell ref="ZR178:ZR179"/>
    <mergeCell ref="ZS178:ZS179"/>
    <mergeCell ref="ZT178:ZT179"/>
    <mergeCell ref="YF184:YF185"/>
    <mergeCell ref="YG184:YG185"/>
    <mergeCell ref="YH184:YH185"/>
    <mergeCell ref="YI184:YI185"/>
    <mergeCell ref="YJ184:YJ185"/>
    <mergeCell ref="YK184:YK185"/>
    <mergeCell ref="YU178:YU179"/>
    <mergeCell ref="YZ182:YZ183"/>
    <mergeCell ref="AAF182:AAF183"/>
    <mergeCell ref="AAL182:AAL183"/>
    <mergeCell ref="AAM182:AAM183"/>
    <mergeCell ref="AAM184:AAM185"/>
    <mergeCell ref="AAN184:AAN185"/>
    <mergeCell ref="AAO184:AAO185"/>
    <mergeCell ref="AAG182:AAG183"/>
    <mergeCell ref="YQ180:YQ181"/>
    <mergeCell ref="YR180:YR181"/>
    <mergeCell ref="YS180:YS181"/>
    <mergeCell ref="YN192:YN194"/>
    <mergeCell ref="YY189:YY191"/>
    <mergeCell ref="YZ189:YZ191"/>
    <mergeCell ref="ZA189:ZA191"/>
    <mergeCell ref="ZB189:ZB191"/>
    <mergeCell ref="ZC189:ZC191"/>
    <mergeCell ref="ZM189:ZM191"/>
    <mergeCell ref="ZN189:ZN191"/>
    <mergeCell ref="YS189:YS191"/>
    <mergeCell ref="YT189:YT191"/>
    <mergeCell ref="YU189:YU191"/>
    <mergeCell ref="YV189:YV191"/>
    <mergeCell ref="YW189:YW191"/>
    <mergeCell ref="YX189:YX191"/>
    <mergeCell ref="ZU182:ZU183"/>
    <mergeCell ref="ZV182:ZV183"/>
    <mergeCell ref="ZW182:ZW183"/>
    <mergeCell ref="ZX182:ZX183"/>
    <mergeCell ref="ZY182:ZY183"/>
    <mergeCell ref="ZZ182:ZZ183"/>
    <mergeCell ref="AAA182:AAA183"/>
    <mergeCell ref="AAB182:AAB183"/>
    <mergeCell ref="AAC182:AAC183"/>
    <mergeCell ref="AAD182:AAD183"/>
    <mergeCell ref="AAE182:AAE183"/>
    <mergeCell ref="AAN182:AAN183"/>
    <mergeCell ref="ZR184:ZR185"/>
    <mergeCell ref="YQ182:YQ183"/>
    <mergeCell ref="YR182:YR183"/>
    <mergeCell ref="YS182:YS183"/>
    <mergeCell ref="YT182:YT183"/>
    <mergeCell ref="YU182:YU183"/>
    <mergeCell ref="YV182:YV183"/>
    <mergeCell ref="YW182:YW183"/>
    <mergeCell ref="YX182:YX183"/>
    <mergeCell ref="YY182:YY183"/>
    <mergeCell ref="AAN189:AAN191"/>
    <mergeCell ref="AAO189:AAO191"/>
    <mergeCell ref="YU180:YU181"/>
    <mergeCell ref="YV180:YV181"/>
    <mergeCell ref="ZY192:ZY194"/>
    <mergeCell ref="ZZ192:ZZ194"/>
    <mergeCell ref="AAA192:AAA194"/>
    <mergeCell ref="ZK192:ZK194"/>
    <mergeCell ref="AAK189:AAK191"/>
    <mergeCell ref="ZL192:ZL194"/>
    <mergeCell ref="ZN192:ZN194"/>
    <mergeCell ref="ZO192:ZO194"/>
    <mergeCell ref="ZP184:ZP185"/>
    <mergeCell ref="ZQ184:ZQ185"/>
    <mergeCell ref="ZL189:ZL191"/>
    <mergeCell ref="ZR186:ZR188"/>
    <mergeCell ref="ZP189:ZP191"/>
    <mergeCell ref="ZQ189:ZQ191"/>
    <mergeCell ref="AAP189:AAP191"/>
    <mergeCell ref="AAQ189:AAQ191"/>
    <mergeCell ref="ZS184:ZS185"/>
    <mergeCell ref="ZT184:ZT185"/>
    <mergeCell ref="ZU184:ZU185"/>
    <mergeCell ref="ZV184:ZV185"/>
    <mergeCell ref="ZW184:ZW185"/>
    <mergeCell ref="ZX184:ZX185"/>
    <mergeCell ref="ZY184:ZY185"/>
    <mergeCell ref="ZZ184:ZZ185"/>
    <mergeCell ref="AAA184:AAA185"/>
    <mergeCell ref="AAB184:AAB185"/>
    <mergeCell ref="AAC184:AAC185"/>
    <mergeCell ref="AAL186:AAL188"/>
    <mergeCell ref="AAM186:AAM188"/>
    <mergeCell ref="AAN186:AAN188"/>
    <mergeCell ref="AAO186:AAO188"/>
    <mergeCell ref="AAP186:AAP188"/>
    <mergeCell ref="AAQ186:AAQ188"/>
    <mergeCell ref="AAD186:AAD188"/>
    <mergeCell ref="AAE186:AAE188"/>
    <mergeCell ref="AAF186:AAF188"/>
    <mergeCell ref="AAG186:AAG188"/>
    <mergeCell ref="AAH186:AAH188"/>
    <mergeCell ref="ZY189:ZY191"/>
    <mergeCell ref="ZZ189:ZZ191"/>
    <mergeCell ref="ZU189:ZU191"/>
    <mergeCell ref="YY186:YY188"/>
    <mergeCell ref="YZ186:YZ188"/>
    <mergeCell ref="ZA186:ZA188"/>
    <mergeCell ref="ZB186:ZB188"/>
    <mergeCell ref="ZC186:ZC188"/>
    <mergeCell ref="ZD186:ZD188"/>
    <mergeCell ref="ZE186:ZE188"/>
    <mergeCell ref="ZF186:ZF188"/>
    <mergeCell ref="ZG186:ZG188"/>
    <mergeCell ref="ZH186:ZH188"/>
    <mergeCell ref="ZI186:ZI188"/>
    <mergeCell ref="ZJ186:ZJ188"/>
    <mergeCell ref="ZK186:ZK188"/>
    <mergeCell ref="ZL186:ZL188"/>
    <mergeCell ref="ZM186:ZM188"/>
    <mergeCell ref="ZN186:ZN188"/>
    <mergeCell ref="ZO186:ZO188"/>
    <mergeCell ref="ZP186:ZP188"/>
    <mergeCell ref="ZQ186:ZQ188"/>
    <mergeCell ref="ZO184:ZO185"/>
    <mergeCell ref="ZG184:ZG185"/>
    <mergeCell ref="ZH184:ZH185"/>
    <mergeCell ref="ZI184:ZI185"/>
    <mergeCell ref="ZJ184:ZJ185"/>
    <mergeCell ref="ZK184:ZK185"/>
    <mergeCell ref="ZL184:ZL185"/>
    <mergeCell ref="ZM184:ZM185"/>
    <mergeCell ref="ZN184:ZN185"/>
    <mergeCell ref="AAA186:AAA188"/>
    <mergeCell ref="AAB186:AAB188"/>
    <mergeCell ref="AAC186:AAC188"/>
    <mergeCell ref="AAE189:AAE191"/>
    <mergeCell ref="AAF189:AAF191"/>
    <mergeCell ref="AAG189:AAG191"/>
    <mergeCell ref="AAH189:AAH191"/>
    <mergeCell ref="AAI189:AAI191"/>
    <mergeCell ref="AAJ189:AAJ191"/>
    <mergeCell ref="AAR186:AAR188"/>
    <mergeCell ref="AAS186:AAS188"/>
    <mergeCell ref="XH189:XH191"/>
    <mergeCell ref="XI189:XI191"/>
    <mergeCell ref="XJ189:XJ191"/>
    <mergeCell ref="XK189:XK191"/>
    <mergeCell ref="XL189:XL191"/>
    <mergeCell ref="XM189:XM191"/>
    <mergeCell ref="XN189:XN191"/>
    <mergeCell ref="XO189:XO191"/>
    <mergeCell ref="XP189:XP191"/>
    <mergeCell ref="XQ189:XQ191"/>
    <mergeCell ref="XR189:XR191"/>
    <mergeCell ref="XS189:XS191"/>
    <mergeCell ref="XT189:XT191"/>
    <mergeCell ref="XU189:XU191"/>
    <mergeCell ref="XV189:XV191"/>
    <mergeCell ref="XW189:XW191"/>
    <mergeCell ref="XX189:XX191"/>
    <mergeCell ref="XY189:XY191"/>
    <mergeCell ref="XZ189:XZ191"/>
    <mergeCell ref="YA189:YA191"/>
    <mergeCell ref="YB189:YB191"/>
    <mergeCell ref="YC189:YC191"/>
    <mergeCell ref="YD189:YD191"/>
    <mergeCell ref="YE189:YE191"/>
    <mergeCell ref="YF189:YF191"/>
    <mergeCell ref="YG189:YG191"/>
    <mergeCell ref="YH189:YH191"/>
    <mergeCell ref="YI189:YI191"/>
    <mergeCell ref="YJ189:YJ191"/>
    <mergeCell ref="YK189:YK191"/>
    <mergeCell ref="YL189:YL191"/>
    <mergeCell ref="YM189:YM191"/>
    <mergeCell ref="YN189:YN191"/>
    <mergeCell ref="YO189:YO191"/>
    <mergeCell ref="YP189:YP191"/>
    <mergeCell ref="YQ189:YQ191"/>
    <mergeCell ref="YR189:YR191"/>
    <mergeCell ref="ZG189:ZG191"/>
    <mergeCell ref="ZE189:ZE191"/>
    <mergeCell ref="ZF189:ZF191"/>
    <mergeCell ref="AAA189:AAA191"/>
    <mergeCell ref="AAB189:AAB191"/>
    <mergeCell ref="AAC189:AAC191"/>
    <mergeCell ref="AAD189:AAD191"/>
    <mergeCell ref="ZH189:ZH191"/>
    <mergeCell ref="ZI189:ZI191"/>
    <mergeCell ref="ZJ189:ZJ191"/>
    <mergeCell ref="ZK189:ZK191"/>
    <mergeCell ref="XI186:XI188"/>
    <mergeCell ref="XJ186:XJ188"/>
    <mergeCell ref="XK186:XK188"/>
    <mergeCell ref="XL186:XL188"/>
    <mergeCell ref="XM186:XM188"/>
    <mergeCell ref="ZT189:ZT191"/>
    <mergeCell ref="ZS186:ZS188"/>
    <mergeCell ref="ZT186:ZT188"/>
    <mergeCell ref="ZU186:ZU188"/>
    <mergeCell ref="ZV186:ZV188"/>
    <mergeCell ref="ZW186:ZW188"/>
    <mergeCell ref="ZX186:ZX188"/>
    <mergeCell ref="ZY186:ZY188"/>
    <mergeCell ref="ZZ186:ZZ188"/>
    <mergeCell ref="XH192:XH194"/>
    <mergeCell ref="XI192:XI194"/>
    <mergeCell ref="XJ192:XJ194"/>
    <mergeCell ref="XK192:XK194"/>
    <mergeCell ref="XL192:XL194"/>
    <mergeCell ref="XM192:XM194"/>
    <mergeCell ref="XN192:XN194"/>
    <mergeCell ref="XO192:XO194"/>
    <mergeCell ref="XP192:XP194"/>
    <mergeCell ref="XQ192:XQ194"/>
    <mergeCell ref="XR192:XR194"/>
    <mergeCell ref="XS192:XS194"/>
    <mergeCell ref="YB192:YB194"/>
    <mergeCell ref="YC192:YC194"/>
    <mergeCell ref="YD192:YD194"/>
    <mergeCell ref="XT192:XT194"/>
    <mergeCell ref="XU192:XU194"/>
    <mergeCell ref="XV192:XV194"/>
    <mergeCell ref="XW192:XW194"/>
    <mergeCell ref="XX192:XX194"/>
    <mergeCell ref="XY192:XY194"/>
    <mergeCell ref="XZ192:XZ194"/>
    <mergeCell ref="YA192:YA194"/>
    <mergeCell ref="YJ192:YJ194"/>
    <mergeCell ref="AAO206:AAO208"/>
    <mergeCell ref="AAP206:AAP208"/>
    <mergeCell ref="AAQ206:AAQ208"/>
    <mergeCell ref="ZB200:ZB202"/>
    <mergeCell ref="ZC200:ZC202"/>
    <mergeCell ref="ZR206:ZR208"/>
    <mergeCell ref="ZS206:ZS208"/>
    <mergeCell ref="ZT206:ZT208"/>
    <mergeCell ref="AAE206:AAE208"/>
    <mergeCell ref="AAG200:AAG202"/>
    <mergeCell ref="ZY200:ZY202"/>
    <mergeCell ref="ZZ200:ZZ202"/>
    <mergeCell ref="AAA200:AAA202"/>
    <mergeCell ref="XL200:XL202"/>
    <mergeCell ref="XM200:XM202"/>
    <mergeCell ref="XN200:XN202"/>
    <mergeCell ref="ZB197:ZB199"/>
    <mergeCell ref="ZC197:ZC199"/>
    <mergeCell ref="ZD197:ZD199"/>
    <mergeCell ref="ZE197:ZE199"/>
    <mergeCell ref="ZF197:ZF199"/>
    <mergeCell ref="ZG197:ZG199"/>
    <mergeCell ref="ZH197:ZH199"/>
    <mergeCell ref="ZI197:ZI199"/>
    <mergeCell ref="ZJ197:ZJ199"/>
    <mergeCell ref="ZK197:ZK199"/>
    <mergeCell ref="ZL197:ZL199"/>
    <mergeCell ref="ZM197:ZM199"/>
    <mergeCell ref="AAE197:AAE199"/>
    <mergeCell ref="AAF197:AAF199"/>
    <mergeCell ref="AAG197:AAG199"/>
    <mergeCell ref="AAH197:AAH199"/>
    <mergeCell ref="AAI197:AAI199"/>
    <mergeCell ref="AAJ197:AAJ199"/>
    <mergeCell ref="AAR206:AAR208"/>
    <mergeCell ref="AAS206:AAS208"/>
    <mergeCell ref="ZN197:ZN199"/>
    <mergeCell ref="ZO197:ZO199"/>
    <mergeCell ref="AAN203:AAN205"/>
    <mergeCell ref="AAO203:AAO205"/>
    <mergeCell ref="YE192:YE194"/>
    <mergeCell ref="YF192:YF194"/>
    <mergeCell ref="YG192:YG194"/>
    <mergeCell ref="YH192:YH194"/>
    <mergeCell ref="YI192:YI194"/>
    <mergeCell ref="YR195:YR196"/>
    <mergeCell ref="YS195:YS196"/>
    <mergeCell ref="YT195:YT196"/>
    <mergeCell ref="YU195:YU196"/>
    <mergeCell ref="YV195:YV196"/>
    <mergeCell ref="YW195:YW196"/>
    <mergeCell ref="YX195:YX196"/>
    <mergeCell ref="YY195:YY196"/>
    <mergeCell ref="YZ195:YZ196"/>
    <mergeCell ref="ZA195:ZA196"/>
    <mergeCell ref="AAB192:AAB194"/>
    <mergeCell ref="AAC192:AAC194"/>
    <mergeCell ref="AAD192:AAD194"/>
    <mergeCell ref="AAE192:AAE194"/>
    <mergeCell ref="AAF192:AAF194"/>
    <mergeCell ref="ZX195:ZX196"/>
    <mergeCell ref="ZY195:ZY196"/>
    <mergeCell ref="ZZ195:ZZ196"/>
    <mergeCell ref="AAA195:AAA196"/>
    <mergeCell ref="AAB195:AAB196"/>
    <mergeCell ref="AAC195:AAC196"/>
    <mergeCell ref="AAD195:AAD196"/>
    <mergeCell ref="AAE195:AAE196"/>
    <mergeCell ref="AAF195:AAF196"/>
    <mergeCell ref="YU192:YU194"/>
    <mergeCell ref="YV192:YV194"/>
    <mergeCell ref="YW192:YW194"/>
    <mergeCell ref="YX192:YX194"/>
    <mergeCell ref="YY192:YY194"/>
    <mergeCell ref="ZC192:ZC194"/>
    <mergeCell ref="ZD192:ZD194"/>
    <mergeCell ref="ZE192:ZE194"/>
    <mergeCell ref="ZF192:ZF194"/>
    <mergeCell ref="ZG192:ZG194"/>
    <mergeCell ref="ZH192:ZH194"/>
    <mergeCell ref="ZI192:ZI194"/>
    <mergeCell ref="YO195:YO196"/>
    <mergeCell ref="ZT192:ZT194"/>
    <mergeCell ref="ZU192:ZU194"/>
    <mergeCell ref="ZV192:ZV194"/>
    <mergeCell ref="YF200:YF202"/>
    <mergeCell ref="YG200:YG202"/>
    <mergeCell ref="YH200:YH202"/>
    <mergeCell ref="AAO197:AAO199"/>
    <mergeCell ref="AAP197:AAP199"/>
    <mergeCell ref="AAQ197:AAQ199"/>
    <mergeCell ref="AAR197:AAR199"/>
    <mergeCell ref="AAS197:AAS199"/>
    <mergeCell ref="YW197:YW199"/>
    <mergeCell ref="YX197:YX199"/>
    <mergeCell ref="YY197:YY199"/>
    <mergeCell ref="YZ197:YZ199"/>
    <mergeCell ref="ZA197:ZA199"/>
    <mergeCell ref="YT206:YT208"/>
    <mergeCell ref="YU206:YU208"/>
    <mergeCell ref="YU203:YU205"/>
    <mergeCell ref="YV203:YV205"/>
    <mergeCell ref="YW203:YW205"/>
    <mergeCell ref="YX203:YX205"/>
    <mergeCell ref="YY203:YY205"/>
    <mergeCell ref="YZ203:YZ205"/>
    <mergeCell ref="ZA203:ZA205"/>
    <mergeCell ref="ZB203:ZB205"/>
    <mergeCell ref="ZC203:ZC205"/>
    <mergeCell ref="ZD203:ZD205"/>
    <mergeCell ref="ZE203:ZE205"/>
    <mergeCell ref="ZF203:ZF205"/>
    <mergeCell ref="ZG203:ZG205"/>
    <mergeCell ref="ZH203:ZH205"/>
    <mergeCell ref="ZI203:ZI205"/>
    <mergeCell ref="ZJ203:ZJ205"/>
    <mergeCell ref="ZK203:ZK205"/>
    <mergeCell ref="ZL203:ZL205"/>
    <mergeCell ref="ZM203:ZM205"/>
    <mergeCell ref="ZN203:ZN205"/>
    <mergeCell ref="AAK197:AAK199"/>
    <mergeCell ref="ZP197:ZP199"/>
    <mergeCell ref="ZQ197:ZQ199"/>
    <mergeCell ref="YU200:YU202"/>
    <mergeCell ref="YR200:YR202"/>
    <mergeCell ref="YS200:YS202"/>
    <mergeCell ref="YT200:YT202"/>
    <mergeCell ref="YR197:YR199"/>
    <mergeCell ref="XO197:XO199"/>
    <mergeCell ref="XP197:XP199"/>
    <mergeCell ref="XQ197:XQ199"/>
    <mergeCell ref="XR197:XR199"/>
    <mergeCell ref="XS197:XS199"/>
    <mergeCell ref="XT197:XT199"/>
    <mergeCell ref="XU197:XU199"/>
    <mergeCell ref="XV197:XV199"/>
    <mergeCell ref="XW197:XW199"/>
    <mergeCell ref="XX197:XX199"/>
    <mergeCell ref="XY197:XY199"/>
    <mergeCell ref="XZ197:XZ199"/>
    <mergeCell ref="YA197:YA199"/>
    <mergeCell ref="YB197:YB199"/>
    <mergeCell ref="YC197:YC199"/>
    <mergeCell ref="YD197:YD199"/>
    <mergeCell ref="YE197:YE199"/>
    <mergeCell ref="YF197:YF199"/>
    <mergeCell ref="YG197:YG199"/>
    <mergeCell ref="YH197:YH199"/>
    <mergeCell ref="YI197:YI199"/>
    <mergeCell ref="YJ197:YJ199"/>
    <mergeCell ref="YK197:YK199"/>
    <mergeCell ref="YL197:YL199"/>
    <mergeCell ref="YM197:YM199"/>
    <mergeCell ref="YN197:YN199"/>
    <mergeCell ref="YN200:YN202"/>
    <mergeCell ref="YO200:YO202"/>
    <mergeCell ref="YP200:YP202"/>
    <mergeCell ref="YQ200:YQ202"/>
    <mergeCell ref="YP197:YP199"/>
    <mergeCell ref="YQ197:YQ199"/>
    <mergeCell ref="XO200:XO202"/>
    <mergeCell ref="XP200:XP202"/>
    <mergeCell ref="XH209:XH211"/>
    <mergeCell ref="XI209:XI211"/>
    <mergeCell ref="XJ209:XJ211"/>
    <mergeCell ref="XK209:XK211"/>
    <mergeCell ref="XL209:XL211"/>
    <mergeCell ref="XM209:XM211"/>
    <mergeCell ref="XN209:XN211"/>
    <mergeCell ref="XO209:XO211"/>
    <mergeCell ref="XP209:XP211"/>
    <mergeCell ref="XQ209:XQ211"/>
    <mergeCell ref="XR209:XR211"/>
    <mergeCell ref="XS209:XS211"/>
    <mergeCell ref="XT209:XT211"/>
    <mergeCell ref="XU209:XU211"/>
    <mergeCell ref="XV209:XV211"/>
    <mergeCell ref="XW209:XW211"/>
    <mergeCell ref="XX209:XX211"/>
    <mergeCell ref="AAH200:AAH202"/>
    <mergeCell ref="AAB200:AAB202"/>
    <mergeCell ref="AAC200:AAC202"/>
    <mergeCell ref="YV200:YV202"/>
    <mergeCell ref="YW200:YW202"/>
    <mergeCell ref="YX200:YX202"/>
    <mergeCell ref="AAD200:AAD202"/>
    <mergeCell ref="AAI206:AAI208"/>
    <mergeCell ref="AAJ206:AAJ208"/>
    <mergeCell ref="AAK206:AAK208"/>
    <mergeCell ref="AAL206:AAL208"/>
    <mergeCell ref="AAM206:AAM208"/>
    <mergeCell ref="AAN206:AAN208"/>
    <mergeCell ref="XL206:XL208"/>
    <mergeCell ref="XM206:XM208"/>
    <mergeCell ref="XN206:XN208"/>
    <mergeCell ref="XO206:XO208"/>
    <mergeCell ref="XP206:XP208"/>
    <mergeCell ref="XQ206:XQ208"/>
    <mergeCell ref="XR206:XR208"/>
    <mergeCell ref="XS206:XS208"/>
    <mergeCell ref="XT206:XT208"/>
    <mergeCell ref="XU206:XU208"/>
    <mergeCell ref="XV206:XV208"/>
    <mergeCell ref="XW206:XW208"/>
    <mergeCell ref="XX206:XX208"/>
    <mergeCell ref="XY206:XY208"/>
    <mergeCell ref="XZ206:XZ208"/>
    <mergeCell ref="YA206:YA208"/>
    <mergeCell ref="YB206:YB208"/>
    <mergeCell ref="YC206:YC208"/>
    <mergeCell ref="YD206:YD208"/>
    <mergeCell ref="YE206:YE208"/>
    <mergeCell ref="YF206:YF208"/>
    <mergeCell ref="YG206:YG208"/>
    <mergeCell ref="YH206:YH208"/>
    <mergeCell ref="YI206:YI208"/>
    <mergeCell ref="YJ206:YJ208"/>
    <mergeCell ref="YK206:YK208"/>
    <mergeCell ref="YL206:YL208"/>
    <mergeCell ref="YM206:YM208"/>
    <mergeCell ref="YN206:YN208"/>
    <mergeCell ref="ZO206:ZO208"/>
    <mergeCell ref="YC209:YC211"/>
    <mergeCell ref="YD209:YD211"/>
    <mergeCell ref="AAH209:AAH211"/>
    <mergeCell ref="AAI209:AAI211"/>
    <mergeCell ref="AAN142:AAN144"/>
    <mergeCell ref="YS197:YS199"/>
    <mergeCell ref="YT197:YT199"/>
    <mergeCell ref="YU197:YU199"/>
    <mergeCell ref="YV197:YV199"/>
    <mergeCell ref="ZD200:ZD202"/>
    <mergeCell ref="ZE200:ZE202"/>
    <mergeCell ref="ZF200:ZF202"/>
    <mergeCell ref="ZG200:ZG202"/>
    <mergeCell ref="ZH200:ZH202"/>
    <mergeCell ref="ZI200:ZI202"/>
    <mergeCell ref="ZJ200:ZJ202"/>
    <mergeCell ref="ZK200:ZK202"/>
    <mergeCell ref="ZL200:ZL202"/>
    <mergeCell ref="ZM200:ZM202"/>
    <mergeCell ref="ZN200:ZN202"/>
    <mergeCell ref="ZO200:ZO202"/>
    <mergeCell ref="ZP200:ZP202"/>
    <mergeCell ref="ZQ200:ZQ202"/>
    <mergeCell ref="ZR200:ZR202"/>
    <mergeCell ref="ZS200:ZS202"/>
    <mergeCell ref="ZT200:ZT202"/>
    <mergeCell ref="ZK148:ZK150"/>
    <mergeCell ref="ZM155:ZM157"/>
    <mergeCell ref="ZN155:ZN157"/>
    <mergeCell ref="ZO155:ZO157"/>
    <mergeCell ref="ZP155:ZP157"/>
    <mergeCell ref="ZQ155:ZQ157"/>
    <mergeCell ref="ZR155:ZR157"/>
    <mergeCell ref="ZS155:ZS157"/>
    <mergeCell ref="AAF200:AAF202"/>
    <mergeCell ref="AAF206:AAF208"/>
    <mergeCell ref="AAG206:AAG208"/>
    <mergeCell ref="AAH206:AAH208"/>
    <mergeCell ref="ZP206:ZP208"/>
    <mergeCell ref="ZD206:ZD208"/>
    <mergeCell ref="ZE206:ZE208"/>
    <mergeCell ref="AAI192:AAI194"/>
    <mergeCell ref="AAJ192:AAJ194"/>
    <mergeCell ref="AAK192:AAK194"/>
    <mergeCell ref="AAL192:AAL194"/>
    <mergeCell ref="ZB195:ZB196"/>
    <mergeCell ref="ZC195:ZC196"/>
    <mergeCell ref="ZD195:ZD196"/>
    <mergeCell ref="ZE195:ZE196"/>
    <mergeCell ref="ZF195:ZF196"/>
    <mergeCell ref="YZ192:YZ194"/>
    <mergeCell ref="ZA192:ZA194"/>
    <mergeCell ref="ZB192:ZB194"/>
    <mergeCell ref="AAG195:AAG196"/>
    <mergeCell ref="AAH195:AAH196"/>
    <mergeCell ref="AAI195:AAI196"/>
    <mergeCell ref="AAJ195:AAJ196"/>
    <mergeCell ref="AAK195:AAK196"/>
    <mergeCell ref="AAL195:AAL196"/>
    <mergeCell ref="AAM192:AAM194"/>
    <mergeCell ref="AAN192:AAN194"/>
    <mergeCell ref="ZN151:ZN154"/>
    <mergeCell ref="ZO151:ZO154"/>
    <mergeCell ref="AAN197:AAN199"/>
    <mergeCell ref="ZO189:ZO191"/>
    <mergeCell ref="ZW192:ZW194"/>
    <mergeCell ref="ZX192:ZX194"/>
    <mergeCell ref="YS203:YS205"/>
    <mergeCell ref="YI209:YI211"/>
    <mergeCell ref="YJ209:YJ211"/>
    <mergeCell ref="YK209:YK211"/>
    <mergeCell ref="YL209:YL211"/>
    <mergeCell ref="YM209:YM211"/>
    <mergeCell ref="YN209:YN211"/>
    <mergeCell ref="YO209:YO211"/>
    <mergeCell ref="YP209:YP211"/>
    <mergeCell ref="YS209:YS211"/>
    <mergeCell ref="YT209:YT211"/>
    <mergeCell ref="YU209:YU211"/>
    <mergeCell ref="YV209:YV211"/>
    <mergeCell ref="YW209:YW211"/>
    <mergeCell ref="YX209:YX211"/>
    <mergeCell ref="YY209:YY211"/>
    <mergeCell ref="YZ209:YZ211"/>
    <mergeCell ref="ZA209:ZA211"/>
    <mergeCell ref="ZB209:ZB211"/>
    <mergeCell ref="ZC209:ZC211"/>
    <mergeCell ref="ZD209:ZD211"/>
    <mergeCell ref="ZE209:ZE211"/>
    <mergeCell ref="ZF209:ZF211"/>
    <mergeCell ref="ZG209:ZG211"/>
    <mergeCell ref="ZO209:ZO211"/>
    <mergeCell ref="ZP209:ZP211"/>
    <mergeCell ref="ZQ209:ZQ211"/>
    <mergeCell ref="YQ209:YQ211"/>
    <mergeCell ref="YR209:YR211"/>
    <mergeCell ref="ZK209:ZK211"/>
    <mergeCell ref="ZH209:ZH211"/>
    <mergeCell ref="ZI209:ZI211"/>
    <mergeCell ref="ZJ209:ZJ211"/>
    <mergeCell ref="AAN209:AAN211"/>
    <mergeCell ref="AAG209:AAG211"/>
    <mergeCell ref="XY209:XY211"/>
    <mergeCell ref="XZ209:XZ211"/>
    <mergeCell ref="YA209:YA211"/>
    <mergeCell ref="YB209:YB211"/>
    <mergeCell ref="ZL209:ZL211"/>
    <mergeCell ref="ZM209:ZM211"/>
    <mergeCell ref="ZN209:ZN211"/>
    <mergeCell ref="XR126:XR128"/>
    <mergeCell ref="ZR209:ZR211"/>
    <mergeCell ref="ZS209:ZS211"/>
    <mergeCell ref="ZT209:ZT211"/>
    <mergeCell ref="ZU209:ZU211"/>
    <mergeCell ref="ZV209:ZV211"/>
    <mergeCell ref="ZW209:ZW211"/>
    <mergeCell ref="ZX209:ZX211"/>
    <mergeCell ref="ZY209:ZY211"/>
    <mergeCell ref="ZZ209:ZZ211"/>
    <mergeCell ref="AAA209:AAA211"/>
    <mergeCell ref="AAB209:AAB211"/>
    <mergeCell ref="ZU206:ZU208"/>
    <mergeCell ref="ZB206:ZB208"/>
    <mergeCell ref="ZC206:ZC208"/>
    <mergeCell ref="ZJ206:ZJ208"/>
    <mergeCell ref="ZK206:ZK208"/>
    <mergeCell ref="ZL206:ZL208"/>
    <mergeCell ref="ZM206:ZM208"/>
    <mergeCell ref="ZN206:ZN208"/>
    <mergeCell ref="ZG206:ZG208"/>
    <mergeCell ref="ZH206:ZH208"/>
    <mergeCell ref="ZI206:ZI208"/>
    <mergeCell ref="AAB203:AAB205"/>
    <mergeCell ref="YV206:YV208"/>
    <mergeCell ref="YW206:YW208"/>
    <mergeCell ref="YX206:YX208"/>
    <mergeCell ref="YY206:YY208"/>
    <mergeCell ref="YZ206:YZ208"/>
    <mergeCell ref="ZA206:ZA208"/>
    <mergeCell ref="YY200:YY202"/>
    <mergeCell ref="YZ200:YZ202"/>
    <mergeCell ref="ZA200:ZA202"/>
    <mergeCell ref="ZP192:ZP194"/>
    <mergeCell ref="ZU195:ZU196"/>
    <mergeCell ref="ZV195:ZV196"/>
    <mergeCell ref="AAD206:AAD208"/>
    <mergeCell ref="ZU200:ZU202"/>
    <mergeCell ref="ZV200:ZV202"/>
    <mergeCell ref="ZW200:ZW202"/>
    <mergeCell ref="ZX200:ZX202"/>
    <mergeCell ref="YE126:YE128"/>
    <mergeCell ref="YF126:YF128"/>
    <mergeCell ref="YG126:YG128"/>
    <mergeCell ref="YH126:YH128"/>
    <mergeCell ref="YI126:YI128"/>
    <mergeCell ref="YJ126:YJ128"/>
    <mergeCell ref="YK126:YK128"/>
    <mergeCell ref="YL126:YL128"/>
    <mergeCell ref="YM126:YM128"/>
    <mergeCell ref="YN126:YN128"/>
    <mergeCell ref="ZW137:ZW138"/>
    <mergeCell ref="YE209:YE211"/>
    <mergeCell ref="YF209:YF211"/>
    <mergeCell ref="YG209:YG211"/>
    <mergeCell ref="YH209:YH211"/>
    <mergeCell ref="YE139:YE141"/>
    <mergeCell ref="YF139:YF141"/>
    <mergeCell ref="YG139:YG141"/>
    <mergeCell ref="YH139:YH141"/>
    <mergeCell ref="ZV206:ZV208"/>
    <mergeCell ref="ZW206:ZW208"/>
    <mergeCell ref="ZX206:ZX208"/>
    <mergeCell ref="ZY206:ZY208"/>
    <mergeCell ref="ZZ206:ZZ208"/>
    <mergeCell ref="AAA206:AAA208"/>
    <mergeCell ref="AAB206:AAB208"/>
    <mergeCell ref="ZW195:ZW196"/>
    <mergeCell ref="YI200:YI202"/>
    <mergeCell ref="YJ200:YJ202"/>
    <mergeCell ref="YK200:YK202"/>
    <mergeCell ref="YL200:YL202"/>
    <mergeCell ref="YM200:YM202"/>
    <mergeCell ref="YO197:YO199"/>
    <mergeCell ref="YO192:YO194"/>
    <mergeCell ref="YP192:YP194"/>
    <mergeCell ref="YQ192:YQ194"/>
    <mergeCell ref="YR192:YR194"/>
    <mergeCell ref="YS192:YS194"/>
    <mergeCell ref="YT192:YT194"/>
    <mergeCell ref="YP195:YP196"/>
    <mergeCell ref="YQ195:YQ196"/>
    <mergeCell ref="ZQ192:ZQ194"/>
    <mergeCell ref="ZR192:ZR194"/>
    <mergeCell ref="YK192:YK194"/>
    <mergeCell ref="YL192:YL194"/>
    <mergeCell ref="YM192:YM194"/>
    <mergeCell ref="YN195:YN196"/>
    <mergeCell ref="YE203:YE205"/>
    <mergeCell ref="YF203:YF205"/>
    <mergeCell ref="YG203:YG205"/>
    <mergeCell ref="YH203:YH205"/>
    <mergeCell ref="YX142:YX144"/>
    <mergeCell ref="YY142:YY144"/>
    <mergeCell ref="ZZ142:ZZ144"/>
    <mergeCell ref="AAA142:AAA144"/>
    <mergeCell ref="AAB142:AAB144"/>
    <mergeCell ref="YP139:YP141"/>
    <mergeCell ref="YK139:YK141"/>
    <mergeCell ref="YL139:YL141"/>
    <mergeCell ref="YO148:YO150"/>
    <mergeCell ref="YP148:YP150"/>
    <mergeCell ref="YQ148:YQ150"/>
    <mergeCell ref="YR148:YR150"/>
    <mergeCell ref="YS148:YS150"/>
    <mergeCell ref="YT148:YT150"/>
    <mergeCell ref="YU148:YU150"/>
    <mergeCell ref="YV148:YV150"/>
    <mergeCell ref="YO203:YO205"/>
    <mergeCell ref="YP203:YP205"/>
    <mergeCell ref="YQ203:YQ205"/>
    <mergeCell ref="YR203:YR205"/>
    <mergeCell ref="YT203:YT205"/>
    <mergeCell ref="ZQ206:ZQ208"/>
    <mergeCell ref="ZF206:ZF208"/>
    <mergeCell ref="YO206:YO208"/>
    <mergeCell ref="YP206:YP208"/>
    <mergeCell ref="YQ206:YQ208"/>
    <mergeCell ref="YR206:YR208"/>
    <mergeCell ref="YS206:YS208"/>
    <mergeCell ref="YU126:YU128"/>
    <mergeCell ref="YV126:YV128"/>
    <mergeCell ref="YW126:YW128"/>
    <mergeCell ref="YX126:YX128"/>
    <mergeCell ref="YY126:YY128"/>
    <mergeCell ref="YZ126:YZ128"/>
    <mergeCell ref="ZA126:ZA128"/>
    <mergeCell ref="ZB126:ZB128"/>
    <mergeCell ref="ZC126:ZC128"/>
    <mergeCell ref="ZD126:ZD128"/>
    <mergeCell ref="ZE126:ZE128"/>
    <mergeCell ref="ZF126:ZF128"/>
    <mergeCell ref="ZG126:ZG128"/>
    <mergeCell ref="YY129:YY130"/>
    <mergeCell ref="ZH129:ZH130"/>
    <mergeCell ref="ZI129:ZI130"/>
    <mergeCell ref="ZJ129:ZJ130"/>
    <mergeCell ref="ZK129:ZK130"/>
    <mergeCell ref="ZL129:ZL130"/>
    <mergeCell ref="ZM129:ZM130"/>
    <mergeCell ref="ZN129:ZN130"/>
    <mergeCell ref="YR126:YR128"/>
    <mergeCell ref="ZL121:ZL125"/>
    <mergeCell ref="ZM121:ZM125"/>
    <mergeCell ref="ZN121:ZN125"/>
    <mergeCell ref="ZG134:ZG136"/>
    <mergeCell ref="ZH134:ZH136"/>
    <mergeCell ref="ZI134:ZI136"/>
    <mergeCell ref="ZJ134:ZJ136"/>
    <mergeCell ref="ZK134:ZK136"/>
    <mergeCell ref="ZL134:ZL136"/>
    <mergeCell ref="ZM134:ZM136"/>
    <mergeCell ref="YF137:YF138"/>
    <mergeCell ref="YG137:YG138"/>
    <mergeCell ref="YH137:YH138"/>
    <mergeCell ref="YI137:YI138"/>
    <mergeCell ref="YJ137:YJ138"/>
    <mergeCell ref="YP137:YP138"/>
    <mergeCell ref="YQ137:YQ138"/>
    <mergeCell ref="YR137:YR138"/>
    <mergeCell ref="YS137:YS138"/>
    <mergeCell ref="YT137:YT138"/>
    <mergeCell ref="YU137:YU138"/>
    <mergeCell ref="YS121:YS125"/>
    <mergeCell ref="YT121:YT125"/>
    <mergeCell ref="YU121:YU125"/>
    <mergeCell ref="XW134:XW136"/>
    <mergeCell ref="XX134:XX136"/>
    <mergeCell ref="XY134:XY136"/>
    <mergeCell ref="XZ134:XZ136"/>
    <mergeCell ref="YA134:YA136"/>
    <mergeCell ref="YB134:YB136"/>
    <mergeCell ref="YC134:YC136"/>
    <mergeCell ref="YD134:YD136"/>
    <mergeCell ref="YE134:YE136"/>
    <mergeCell ref="YF134:YF136"/>
    <mergeCell ref="YG134:YG136"/>
    <mergeCell ref="XZ137:XZ138"/>
    <mergeCell ref="YA137:YA138"/>
    <mergeCell ref="YB137:YB138"/>
    <mergeCell ref="YC137:YC138"/>
    <mergeCell ref="YD137:YD138"/>
    <mergeCell ref="YE137:YE138"/>
    <mergeCell ref="XS139:XS141"/>
    <mergeCell ref="XT139:XT141"/>
    <mergeCell ref="XU139:XU141"/>
    <mergeCell ref="XV139:XV141"/>
    <mergeCell ref="YA142:YA144"/>
    <mergeCell ref="YB142:YB144"/>
    <mergeCell ref="YC142:YC144"/>
    <mergeCell ref="YD142:YD144"/>
    <mergeCell ref="AAP151:AAP154"/>
    <mergeCell ref="ZC137:ZC138"/>
    <mergeCell ref="ZD137:ZD138"/>
    <mergeCell ref="ZE137:ZE138"/>
    <mergeCell ref="ZF137:ZF138"/>
    <mergeCell ref="ZG137:ZG138"/>
    <mergeCell ref="ZH137:ZH138"/>
    <mergeCell ref="ZI137:ZI138"/>
    <mergeCell ref="ZJ137:ZJ138"/>
    <mergeCell ref="ZK137:ZK138"/>
    <mergeCell ref="ZL137:ZL138"/>
    <mergeCell ref="ZM137:ZM138"/>
    <mergeCell ref="ZN137:ZN138"/>
    <mergeCell ref="ZP137:ZP138"/>
    <mergeCell ref="ZQ137:ZQ138"/>
    <mergeCell ref="ZR137:ZR138"/>
    <mergeCell ref="ZS137:ZS138"/>
    <mergeCell ref="ZP142:ZP144"/>
    <mergeCell ref="ZQ142:ZQ144"/>
    <mergeCell ref="ZR142:ZR144"/>
    <mergeCell ref="ZS142:ZS144"/>
    <mergeCell ref="YZ142:YZ144"/>
    <mergeCell ref="ZA142:ZA144"/>
    <mergeCell ref="YP142:YP144"/>
    <mergeCell ref="YQ142:YQ144"/>
    <mergeCell ref="ZJ142:ZJ144"/>
    <mergeCell ref="ZK142:ZK144"/>
    <mergeCell ref="ZL142:ZL144"/>
    <mergeCell ref="ZM142:ZM144"/>
    <mergeCell ref="ZN142:ZN144"/>
    <mergeCell ref="ZO142:ZO144"/>
    <mergeCell ref="ZZ137:ZZ138"/>
    <mergeCell ref="YK134:YK136"/>
    <mergeCell ref="YL134:YL136"/>
    <mergeCell ref="YK137:YK138"/>
    <mergeCell ref="ZV142:ZV144"/>
    <mergeCell ref="ZW142:ZW144"/>
    <mergeCell ref="ZX142:ZX144"/>
    <mergeCell ref="ZY142:ZY144"/>
    <mergeCell ref="YM142:YM144"/>
    <mergeCell ref="YN142:YN144"/>
    <mergeCell ref="YO142:YO144"/>
    <mergeCell ref="ZF148:ZF150"/>
    <mergeCell ref="ZG148:ZG150"/>
    <mergeCell ref="ZH148:ZH150"/>
    <mergeCell ref="ZI148:ZI150"/>
    <mergeCell ref="ZC148:ZC150"/>
    <mergeCell ref="XL203:XL205"/>
    <mergeCell ref="XM203:XM205"/>
    <mergeCell ref="XN203:XN205"/>
    <mergeCell ref="XJ151:XJ154"/>
    <mergeCell ref="XK151:XK154"/>
    <mergeCell ref="XL151:XL154"/>
    <mergeCell ref="XM151:XM154"/>
    <mergeCell ref="XN151:XN154"/>
    <mergeCell ref="XP148:XP150"/>
    <mergeCell ref="XQ148:XQ150"/>
    <mergeCell ref="XR148:XR150"/>
    <mergeCell ref="XS148:XS150"/>
    <mergeCell ref="XT148:XT150"/>
    <mergeCell ref="XU148:XU150"/>
    <mergeCell ref="XV148:XV150"/>
    <mergeCell ref="XW148:XW150"/>
    <mergeCell ref="XX148:XX150"/>
    <mergeCell ref="XY148:XY150"/>
    <mergeCell ref="XZ148:XZ150"/>
    <mergeCell ref="YA148:YA150"/>
    <mergeCell ref="YB148:YB150"/>
    <mergeCell ref="YC148:YC150"/>
    <mergeCell ref="YD148:YD150"/>
    <mergeCell ref="YE148:YE150"/>
    <mergeCell ref="YF148:YF150"/>
    <mergeCell ref="YG148:YG150"/>
    <mergeCell ref="YH148:YH150"/>
    <mergeCell ref="YI148:YI150"/>
    <mergeCell ref="YJ148:YJ150"/>
    <mergeCell ref="YK148:YK150"/>
    <mergeCell ref="YL148:YL150"/>
    <mergeCell ref="YM148:YM150"/>
    <mergeCell ref="YN148:YN150"/>
    <mergeCell ref="YA151:YA154"/>
    <mergeCell ref="YB151:YB154"/>
    <mergeCell ref="YC151:YC154"/>
    <mergeCell ref="YD151:YD154"/>
    <mergeCell ref="XQ200:XQ202"/>
    <mergeCell ref="XR200:XR202"/>
    <mergeCell ref="XS200:XS202"/>
    <mergeCell ref="XT200:XT202"/>
    <mergeCell ref="XU200:XU202"/>
    <mergeCell ref="XV200:XV202"/>
    <mergeCell ref="XW200:XW202"/>
    <mergeCell ref="XX200:XX202"/>
    <mergeCell ref="XY200:XY202"/>
    <mergeCell ref="XZ200:XZ202"/>
    <mergeCell ref="YA200:YA202"/>
    <mergeCell ref="YB200:YB202"/>
    <mergeCell ref="YC200:YC202"/>
    <mergeCell ref="YD200:YD202"/>
    <mergeCell ref="YE200:YE202"/>
    <mergeCell ref="YH195:YH196"/>
    <mergeCell ref="YI195:YI196"/>
    <mergeCell ref="YJ195:YJ196"/>
    <mergeCell ref="YK195:YK196"/>
    <mergeCell ref="XO203:XO205"/>
    <mergeCell ref="XP203:XP205"/>
    <mergeCell ref="XQ203:XQ205"/>
    <mergeCell ref="XR203:XR205"/>
    <mergeCell ref="XS203:XS205"/>
    <mergeCell ref="XT203:XT205"/>
    <mergeCell ref="XU203:XU205"/>
    <mergeCell ref="XV203:XV205"/>
    <mergeCell ref="XW203:XW205"/>
    <mergeCell ref="XX203:XX205"/>
    <mergeCell ref="XY203:XY205"/>
    <mergeCell ref="XZ203:XZ205"/>
    <mergeCell ref="YA203:YA205"/>
    <mergeCell ref="YB203:YB205"/>
    <mergeCell ref="YC203:YC205"/>
    <mergeCell ref="YD203:YD205"/>
    <mergeCell ref="YI203:YI205"/>
    <mergeCell ref="YJ203:YJ205"/>
    <mergeCell ref="YK203:YK205"/>
    <mergeCell ref="YL203:YL205"/>
    <mergeCell ref="YM203:YM205"/>
    <mergeCell ref="YN203:YN205"/>
    <mergeCell ref="XL197:XL199"/>
    <mergeCell ref="XM197:XM199"/>
    <mergeCell ref="XN197:XN199"/>
    <mergeCell ref="YF155:YF157"/>
    <mergeCell ref="YG155:YG157"/>
    <mergeCell ref="YH155:YH157"/>
    <mergeCell ref="YI155:YI157"/>
    <mergeCell ref="YJ155:YJ157"/>
    <mergeCell ref="YK155:YK157"/>
    <mergeCell ref="YL155:YL157"/>
    <mergeCell ref="YM155:YM157"/>
    <mergeCell ref="YN155:YN157"/>
    <mergeCell ref="YL195:YL196"/>
    <mergeCell ref="YM195:YM196"/>
    <mergeCell ref="XO186:XO188"/>
    <mergeCell ref="XP186:XP188"/>
    <mergeCell ref="XQ186:XQ188"/>
    <mergeCell ref="XR186:XR188"/>
    <mergeCell ref="XS186:XS188"/>
    <mergeCell ref="XT186:XT188"/>
    <mergeCell ref="XU186:XU188"/>
    <mergeCell ref="XV186:XV188"/>
    <mergeCell ref="XW186:XW188"/>
    <mergeCell ref="XX186:XX188"/>
    <mergeCell ref="XY186:XY188"/>
    <mergeCell ref="XZ186:XZ188"/>
    <mergeCell ref="YA186:YA188"/>
    <mergeCell ref="YB186:YB188"/>
    <mergeCell ref="YC186:YC188"/>
    <mergeCell ref="YD186:YD188"/>
    <mergeCell ref="YE186:YE188"/>
    <mergeCell ref="YF186:YF188"/>
    <mergeCell ref="YG186:YG188"/>
    <mergeCell ref="YH186:YH188"/>
    <mergeCell ref="YI186:YI188"/>
    <mergeCell ref="YJ186:YJ188"/>
    <mergeCell ref="YK186:YK188"/>
    <mergeCell ref="YL186:YL188"/>
    <mergeCell ref="YM186:YM188"/>
    <mergeCell ref="YN186:YN188"/>
    <mergeCell ref="XW170:XW171"/>
    <mergeCell ref="XX170:XX171"/>
    <mergeCell ref="YP155:YP157"/>
    <mergeCell ref="YQ155:YQ157"/>
    <mergeCell ref="YR155:YR157"/>
    <mergeCell ref="YS155:YS157"/>
    <mergeCell ref="YT155:YT157"/>
    <mergeCell ref="YU155:YU157"/>
    <mergeCell ref="YV155:YV157"/>
    <mergeCell ref="YW155:YW157"/>
    <mergeCell ref="YX155:YX157"/>
    <mergeCell ref="YY155:YY157"/>
    <mergeCell ref="YZ155:YZ157"/>
    <mergeCell ref="ZA155:ZA157"/>
    <mergeCell ref="ZB155:ZB157"/>
    <mergeCell ref="ZC155:ZC157"/>
    <mergeCell ref="ZD155:ZD157"/>
    <mergeCell ref="XR155:XR157"/>
    <mergeCell ref="XS155:XS157"/>
    <mergeCell ref="XT151:XT154"/>
    <mergeCell ref="XU151:XU154"/>
    <mergeCell ref="XV151:XV154"/>
    <mergeCell ref="XW151:XW154"/>
    <mergeCell ref="YP151:YP154"/>
    <mergeCell ref="YQ151:YQ154"/>
    <mergeCell ref="XT155:XT157"/>
    <mergeCell ref="XU155:XU157"/>
    <mergeCell ref="XV155:XV157"/>
    <mergeCell ref="XW155:XW157"/>
    <mergeCell ref="XX155:XX157"/>
    <mergeCell ref="XY155:XY157"/>
    <mergeCell ref="XZ155:XZ157"/>
    <mergeCell ref="YA155:YA157"/>
    <mergeCell ref="YB155:YB157"/>
    <mergeCell ref="YC155:YC157"/>
    <mergeCell ref="YD155:YD157"/>
    <mergeCell ref="YE155:YE157"/>
    <mergeCell ref="YO151:YO154"/>
    <mergeCell ref="YR151:YR154"/>
    <mergeCell ref="YO184:YO185"/>
    <mergeCell ref="YP184:YP185"/>
    <mergeCell ref="YQ184:YQ185"/>
    <mergeCell ref="YR184:YR185"/>
    <mergeCell ref="YS184:YS185"/>
    <mergeCell ref="ZX151:ZX154"/>
    <mergeCell ref="ZY151:ZY154"/>
    <mergeCell ref="YR186:YR188"/>
    <mergeCell ref="YS186:YS188"/>
    <mergeCell ref="YT186:YT188"/>
    <mergeCell ref="YU186:YU188"/>
    <mergeCell ref="YV186:YV188"/>
    <mergeCell ref="YW186:YW188"/>
    <mergeCell ref="YX186:YX188"/>
    <mergeCell ref="YP186:YP188"/>
    <mergeCell ref="YQ186:YQ188"/>
    <mergeCell ref="YO186:YO188"/>
    <mergeCell ref="ZA182:ZA183"/>
    <mergeCell ref="ZB182:ZB183"/>
    <mergeCell ref="ZC182:ZC183"/>
    <mergeCell ref="ZD182:ZD183"/>
    <mergeCell ref="ZE182:ZE183"/>
    <mergeCell ref="ZF182:ZF183"/>
    <mergeCell ref="ZG182:ZG183"/>
    <mergeCell ref="ZH182:ZH183"/>
    <mergeCell ref="ZI182:ZI183"/>
    <mergeCell ref="ZJ182:ZJ183"/>
    <mergeCell ref="ZK182:ZK183"/>
    <mergeCell ref="ZL182:ZL183"/>
    <mergeCell ref="ZM182:ZM183"/>
    <mergeCell ref="ZN182:ZN183"/>
    <mergeCell ref="YT180:YT181"/>
    <mergeCell ref="ZJ155:ZJ157"/>
    <mergeCell ref="ZK155:ZK157"/>
    <mergeCell ref="ZA151:ZA154"/>
    <mergeCell ref="ZB151:ZB154"/>
    <mergeCell ref="ZC151:ZC154"/>
    <mergeCell ref="ZD151:ZD154"/>
    <mergeCell ref="ZE151:ZE154"/>
    <mergeCell ref="ZF151:ZF154"/>
    <mergeCell ref="ZG151:ZG154"/>
    <mergeCell ref="ZG155:ZG157"/>
    <mergeCell ref="YW184:YW185"/>
    <mergeCell ref="YX184:YX185"/>
    <mergeCell ref="YY184:YY185"/>
    <mergeCell ref="YZ184:YZ185"/>
    <mergeCell ref="ZA184:ZA185"/>
    <mergeCell ref="ZB184:ZB185"/>
    <mergeCell ref="ZC184:ZC185"/>
    <mergeCell ref="ZD184:ZD185"/>
    <mergeCell ref="ZE184:ZE185"/>
    <mergeCell ref="ZF184:ZF185"/>
    <mergeCell ref="ZH178:ZH179"/>
    <mergeCell ref="ZI178:ZI179"/>
    <mergeCell ref="YY175:YY177"/>
    <mergeCell ref="YZ175:YZ177"/>
    <mergeCell ref="ZA175:ZA177"/>
    <mergeCell ref="ZB175:ZB177"/>
    <mergeCell ref="ZC175:ZC177"/>
    <mergeCell ref="ZD175:ZD177"/>
    <mergeCell ref="YQ178:YQ179"/>
    <mergeCell ref="YR178:YR179"/>
    <mergeCell ref="YS178:YS179"/>
    <mergeCell ref="YO155:YO157"/>
    <mergeCell ref="WK186:WL186"/>
    <mergeCell ref="AFG22:AFH22"/>
    <mergeCell ref="AFA24:AFB24"/>
    <mergeCell ref="AFC23:AFD23"/>
    <mergeCell ref="AFE23:AFF23"/>
    <mergeCell ref="AFG23:AFH23"/>
    <mergeCell ref="AFA23:AFB23"/>
    <mergeCell ref="AFC24:AFD24"/>
    <mergeCell ref="AFE24:AFF24"/>
    <mergeCell ref="AFG24:AFH24"/>
    <mergeCell ref="AFA25:AFB25"/>
    <mergeCell ref="AFC25:AFD25"/>
    <mergeCell ref="AFE25:AFF25"/>
    <mergeCell ref="AFG25:AFH25"/>
    <mergeCell ref="AFA26:AFB26"/>
    <mergeCell ref="AFC26:AFD26"/>
    <mergeCell ref="AFE26:AFF26"/>
    <mergeCell ref="AFG26:AFH26"/>
    <mergeCell ref="AFA27:AFB27"/>
    <mergeCell ref="AFC27:AFD27"/>
    <mergeCell ref="ACR76:ACS76"/>
    <mergeCell ref="ACT76:ACU76"/>
    <mergeCell ref="ACV76:ACW76"/>
    <mergeCell ref="ACX76:ACY76"/>
    <mergeCell ref="AAE155:AAE157"/>
    <mergeCell ref="AAF155:AAF157"/>
    <mergeCell ref="AAG155:AAG157"/>
    <mergeCell ref="AAH155:AAH157"/>
    <mergeCell ref="AAI155:AAI157"/>
    <mergeCell ref="AAJ155:AAJ157"/>
    <mergeCell ref="AAK155:AAK157"/>
    <mergeCell ref="AAL155:AAL157"/>
    <mergeCell ref="AAM155:AAM157"/>
    <mergeCell ref="AAN155:AAN157"/>
    <mergeCell ref="AAO155:AAO157"/>
    <mergeCell ref="AAP155:AAP157"/>
    <mergeCell ref="AAN139:AAN141"/>
    <mergeCell ref="AAO139:AAO141"/>
    <mergeCell ref="AAP139:AAP141"/>
    <mergeCell ref="AAN134:AAN136"/>
    <mergeCell ref="AAO134:AAO136"/>
    <mergeCell ref="AAP134:AAP136"/>
    <mergeCell ref="AAQ134:AAQ136"/>
    <mergeCell ref="AAR134:AAR136"/>
    <mergeCell ref="AAS134:AAS136"/>
    <mergeCell ref="AAS80:AAS81"/>
    <mergeCell ref="AAU145:AAU147"/>
    <mergeCell ref="AAT104:AAT106"/>
    <mergeCell ref="AAT107:AAT108"/>
    <mergeCell ref="AAT109:AAT120"/>
    <mergeCell ref="AAR126:AAR128"/>
    <mergeCell ref="AAS126:AAS128"/>
    <mergeCell ref="AAM23:AAM24"/>
    <mergeCell ref="AAN23:AAN24"/>
    <mergeCell ref="AAO23:AAO24"/>
    <mergeCell ref="AAP23:AAP24"/>
    <mergeCell ref="AAQ23:AAQ24"/>
    <mergeCell ref="AAR23:AAR24"/>
    <mergeCell ref="AAR27:AAR28"/>
    <mergeCell ref="AAJ29:AAJ30"/>
    <mergeCell ref="AAK29:AAK30"/>
    <mergeCell ref="XX151:XX154"/>
    <mergeCell ref="XY151:XY154"/>
    <mergeCell ref="XZ151:XZ154"/>
    <mergeCell ref="AEO123:AEP123"/>
    <mergeCell ref="AEH124:AEI124"/>
    <mergeCell ref="AEJ124:AEK124"/>
    <mergeCell ref="AEM124:AEN124"/>
    <mergeCell ref="AEO124:AEP124"/>
    <mergeCell ref="AEH125:AEI125"/>
    <mergeCell ref="AEJ125:AEK125"/>
    <mergeCell ref="AEM125:AEN125"/>
    <mergeCell ref="ACQ156:ACR156"/>
    <mergeCell ref="ACT156:ACU156"/>
    <mergeCell ref="AAO142:AAO144"/>
    <mergeCell ref="AAP142:AAP144"/>
    <mergeCell ref="ZT139:ZT141"/>
    <mergeCell ref="ZU139:ZU141"/>
    <mergeCell ref="ZV139:ZV141"/>
    <mergeCell ref="ZW139:ZW141"/>
    <mergeCell ref="ZX139:ZX141"/>
    <mergeCell ref="ZY139:ZY141"/>
    <mergeCell ref="ZZ139:ZZ141"/>
    <mergeCell ref="AAA139:AAA141"/>
    <mergeCell ref="AAB139:AAB141"/>
    <mergeCell ref="AAC139:AAC141"/>
    <mergeCell ref="AAD139:AAD141"/>
    <mergeCell ref="AAE139:AAE141"/>
    <mergeCell ref="AAF139:AAF141"/>
    <mergeCell ref="AAQ151:AAQ154"/>
    <mergeCell ref="AAR151:AAR154"/>
    <mergeCell ref="AAP129:AAP130"/>
    <mergeCell ref="AAQ139:AAQ141"/>
    <mergeCell ref="AAR139:AAR141"/>
    <mergeCell ref="AAS139:AAS141"/>
    <mergeCell ref="AEO128:AEP128"/>
    <mergeCell ref="AEO127:AEP127"/>
    <mergeCell ref="ADX123:ADY123"/>
    <mergeCell ref="ADZ123:AEA123"/>
    <mergeCell ref="ADS152:ADT152"/>
    <mergeCell ref="ZX134:ZX136"/>
    <mergeCell ref="ZY134:ZY136"/>
    <mergeCell ref="AAA134:AAA136"/>
    <mergeCell ref="ZZ134:ZZ136"/>
    <mergeCell ref="AAN121:AAN125"/>
    <mergeCell ref="ADA126:ADB126"/>
    <mergeCell ref="ADS124:ADT124"/>
    <mergeCell ref="ACL121:ACM121"/>
    <mergeCell ref="ACO125:ACP125"/>
    <mergeCell ref="ACQ132:ACR132"/>
    <mergeCell ref="ACO129:ACP129"/>
    <mergeCell ref="ACO130:ACP130"/>
    <mergeCell ref="ADF130:ADG130"/>
    <mergeCell ref="ADI130:ADJ130"/>
    <mergeCell ref="ADK130:ADL130"/>
    <mergeCell ref="ACV131:ACW131"/>
    <mergeCell ref="ADA131:ADB131"/>
    <mergeCell ref="ADD131:ADE131"/>
    <mergeCell ref="ADF131:ADG131"/>
    <mergeCell ref="ADI131:ADJ131"/>
    <mergeCell ref="ADK131:ADL131"/>
    <mergeCell ref="ACV127:ACW127"/>
    <mergeCell ref="ADA127:ADB127"/>
    <mergeCell ref="AAL139:AAL141"/>
    <mergeCell ref="ZT142:ZT144"/>
    <mergeCell ref="ZU142:ZU144"/>
    <mergeCell ref="AAG139:AAG141"/>
    <mergeCell ref="AAH139:AAH141"/>
    <mergeCell ref="ABK15:ABL15"/>
    <mergeCell ref="ABM15:ABN15"/>
    <mergeCell ref="ABG15:ABH15"/>
    <mergeCell ref="ABI15:ABJ15"/>
    <mergeCell ref="AFA22:AFB22"/>
    <mergeCell ref="AFC22:AFD22"/>
    <mergeCell ref="AFE22:AFF22"/>
    <mergeCell ref="AAS200:AAS202"/>
    <mergeCell ref="AAI200:AAI202"/>
    <mergeCell ref="AAJ200:AAJ202"/>
    <mergeCell ref="AAK200:AAK202"/>
    <mergeCell ref="AAL200:AAL202"/>
    <mergeCell ref="AAM200:AAM202"/>
    <mergeCell ref="AAN200:AAN202"/>
    <mergeCell ref="AAO200:AAO202"/>
    <mergeCell ref="AAP200:AAP202"/>
    <mergeCell ref="AAQ200:AAQ202"/>
    <mergeCell ref="ZT148:ZT150"/>
    <mergeCell ref="ZU148:ZU150"/>
    <mergeCell ref="ZV148:ZV150"/>
    <mergeCell ref="ZW148:ZW150"/>
    <mergeCell ref="AAC137:AAC138"/>
    <mergeCell ref="AAN137:AAN138"/>
    <mergeCell ref="AAO137:AAO138"/>
    <mergeCell ref="AAP137:AAP138"/>
    <mergeCell ref="AAQ137:AAQ138"/>
    <mergeCell ref="AAR137:AAR138"/>
    <mergeCell ref="AAS137:AAS138"/>
    <mergeCell ref="AAO126:AAO128"/>
    <mergeCell ref="AAP126:AAP128"/>
    <mergeCell ref="AAQ126:AAQ128"/>
    <mergeCell ref="ZX126:ZX128"/>
    <mergeCell ref="ZY126:ZY128"/>
    <mergeCell ref="ZT126:ZT128"/>
    <mergeCell ref="ZU126:ZU128"/>
    <mergeCell ref="ZV126:ZV128"/>
    <mergeCell ref="ZW126:ZW128"/>
    <mergeCell ref="AAP195:AAP196"/>
    <mergeCell ref="AAQ195:AAQ196"/>
    <mergeCell ref="AAR195:AAR196"/>
    <mergeCell ref="AAO192:AAO194"/>
    <mergeCell ref="AAR192:AAR194"/>
    <mergeCell ref="AAP192:AAP194"/>
    <mergeCell ref="AAS192:AAS194"/>
    <mergeCell ref="AAN195:AAN196"/>
    <mergeCell ref="AAM195:AAM196"/>
    <mergeCell ref="AAQ192:AAQ194"/>
    <mergeCell ref="ZV189:ZV191"/>
    <mergeCell ref="AAK186:AAK188"/>
    <mergeCell ref="ZW189:ZW191"/>
    <mergeCell ref="ADK162:ADL162"/>
    <mergeCell ref="ADN162:ADO162"/>
    <mergeCell ref="ADS115:ADT115"/>
    <mergeCell ref="ADU115:ADV115"/>
    <mergeCell ref="ADP119:ADQ119"/>
    <mergeCell ref="AAQ148:AAQ150"/>
    <mergeCell ref="AAR148:AAR150"/>
    <mergeCell ref="AAS148:AAS150"/>
    <mergeCell ref="AEJ123:AEK123"/>
    <mergeCell ref="ADU162:ADV162"/>
    <mergeCell ref="ADX162:ADY162"/>
    <mergeCell ref="ADZ162:AEA162"/>
    <mergeCell ref="AEC162:AED162"/>
    <mergeCell ref="ACT157:ACU157"/>
    <mergeCell ref="AAR142:AAR144"/>
    <mergeCell ref="AAS142:AAS144"/>
    <mergeCell ref="ADZ158:AEA158"/>
    <mergeCell ref="ADA164:ADB164"/>
    <mergeCell ref="ADD164:ADE164"/>
    <mergeCell ref="ADF164:ADG164"/>
    <mergeCell ref="ADI164:ADJ164"/>
    <mergeCell ref="ADK164:ADL164"/>
    <mergeCell ref="ADN164:ADO164"/>
    <mergeCell ref="ADP164:ADQ164"/>
    <mergeCell ref="ADS164:ADT164"/>
    <mergeCell ref="ADF159:ADG159"/>
    <mergeCell ref="ADI159:ADJ159"/>
    <mergeCell ref="ADK159:ADL159"/>
    <mergeCell ref="ADN159:ADO159"/>
    <mergeCell ref="ADP159:ADQ159"/>
    <mergeCell ref="ADS159:ADT159"/>
    <mergeCell ref="ADP163:ADQ163"/>
    <mergeCell ref="ADS163:ADT163"/>
    <mergeCell ref="ADU163:ADV163"/>
    <mergeCell ref="ADX163:ADY163"/>
    <mergeCell ref="ADZ163:AEA163"/>
    <mergeCell ref="AEC163:AED163"/>
    <mergeCell ref="ADZ161:AEA161"/>
    <mergeCell ref="AEC161:AED161"/>
    <mergeCell ref="ACT158:ACU158"/>
    <mergeCell ref="ACV158:ACW158"/>
    <mergeCell ref="ACY158:ACZ158"/>
    <mergeCell ref="ADA158:ADB158"/>
    <mergeCell ref="ADD158:ADE158"/>
    <mergeCell ref="ADF158:ADG158"/>
    <mergeCell ref="ADI158:ADJ158"/>
    <mergeCell ref="ADK163:ADL163"/>
    <mergeCell ref="ADN163:ADO163"/>
    <mergeCell ref="ADU159:ADV159"/>
    <mergeCell ref="ADX159:ADY159"/>
    <mergeCell ref="ADZ159:AEA159"/>
    <mergeCell ref="AEC159:AED159"/>
    <mergeCell ref="ACT161:ACU161"/>
    <mergeCell ref="ACV161:ACW161"/>
    <mergeCell ref="ACY161:ACZ161"/>
    <mergeCell ref="ADA161:ADB161"/>
    <mergeCell ref="ADD161:ADE161"/>
    <mergeCell ref="ADF161:ADG161"/>
    <mergeCell ref="ADI161:ADJ161"/>
    <mergeCell ref="ADK158:ADL158"/>
    <mergeCell ref="ADN158:ADO158"/>
    <mergeCell ref="ADU158:ADV158"/>
    <mergeCell ref="ADX158:ADY158"/>
    <mergeCell ref="ADP154:ADQ154"/>
    <mergeCell ref="ADS154:ADT154"/>
    <mergeCell ref="ACO154:ACP154"/>
    <mergeCell ref="ACQ154:ACR154"/>
    <mergeCell ref="ACT155:ACU155"/>
    <mergeCell ref="ADX113:ADY113"/>
    <mergeCell ref="AEM123:AEN123"/>
    <mergeCell ref="AFA18:AFG21"/>
    <mergeCell ref="AFH18:AFH21"/>
    <mergeCell ref="AEY131:AFE131"/>
    <mergeCell ref="AFE27:AFH27"/>
    <mergeCell ref="ACV80:ACY80"/>
    <mergeCell ref="ACR208:ACX209"/>
    <mergeCell ref="ACY208:ACY209"/>
    <mergeCell ref="AFC144:AFF144"/>
    <mergeCell ref="ADK48:ADL48"/>
    <mergeCell ref="ADI49:ADJ49"/>
    <mergeCell ref="AEM160:AEN160"/>
    <mergeCell ref="AEO160:AEP160"/>
    <mergeCell ref="AEH161:AEI161"/>
    <mergeCell ref="AEJ161:AEK161"/>
    <mergeCell ref="AEM161:AEN161"/>
    <mergeCell ref="AEO161:AEP161"/>
    <mergeCell ref="ADP91:ADQ91"/>
    <mergeCell ref="ADS91:ADT91"/>
    <mergeCell ref="ADU91:ADV91"/>
    <mergeCell ref="ADI92:ADJ92"/>
    <mergeCell ref="ABU180:ACH180"/>
    <mergeCell ref="ADN110:ADO110"/>
    <mergeCell ref="ADI110:ADJ110"/>
    <mergeCell ref="ADP60:ADQ60"/>
    <mergeCell ref="ADN61:ADO61"/>
    <mergeCell ref="ADP61:ADQ61"/>
    <mergeCell ref="ADN62:ADO62"/>
    <mergeCell ref="AAS151:AAS154"/>
    <mergeCell ref="AAQ119:AAQ120"/>
    <mergeCell ref="AAR119:AAR120"/>
    <mergeCell ref="AAS119:AAS120"/>
    <mergeCell ref="AAS55:AAS56"/>
    <mergeCell ref="AAS57:AAS58"/>
    <mergeCell ref="AAQ51:AAQ52"/>
    <mergeCell ref="AAR51:AAR52"/>
    <mergeCell ref="AAS49:AAS50"/>
    <mergeCell ref="ACJ95:ACK95"/>
    <mergeCell ref="AAQ129:AAQ130"/>
    <mergeCell ref="AAR129:AAR130"/>
    <mergeCell ref="AAS129:AAS130"/>
    <mergeCell ref="AEC158:AED158"/>
    <mergeCell ref="AEE158:AEF158"/>
    <mergeCell ref="ACJ159:ACK159"/>
    <mergeCell ref="ACL159:ACM159"/>
    <mergeCell ref="ACO159:ACP159"/>
    <mergeCell ref="ACQ159:ACR159"/>
    <mergeCell ref="ACT159:ACU159"/>
    <mergeCell ref="ACV159:ACW159"/>
    <mergeCell ref="AEM96:AEN96"/>
    <mergeCell ref="ADP122:ADQ122"/>
    <mergeCell ref="ADS122:ADT122"/>
    <mergeCell ref="ADU122:ADV122"/>
    <mergeCell ref="ADP155:ADQ155"/>
    <mergeCell ref="ADS155:ADT155"/>
    <mergeCell ref="ADU155:ADV155"/>
    <mergeCell ref="ADX155:ADY155"/>
    <mergeCell ref="ADZ155:AEA155"/>
    <mergeCell ref="AEC155:AED155"/>
    <mergeCell ref="AEE155:AEF155"/>
    <mergeCell ref="ACJ156:ACK156"/>
    <mergeCell ref="ACL156:ACM156"/>
    <mergeCell ref="ACO156:ACP156"/>
    <mergeCell ref="ADX114:ADY114"/>
    <mergeCell ref="ADZ114:AEA114"/>
    <mergeCell ref="AEC114:AED114"/>
    <mergeCell ref="ADX130:ADY130"/>
    <mergeCell ref="ADZ130:AEA130"/>
    <mergeCell ref="AEC130:AED130"/>
    <mergeCell ref="AEE130:AEF130"/>
    <mergeCell ref="ADX131:ADY131"/>
    <mergeCell ref="ADZ131:AEA131"/>
    <mergeCell ref="AEH120:AEI120"/>
    <mergeCell ref="AEJ120:AEK120"/>
    <mergeCell ref="AEM120:AEN120"/>
    <mergeCell ref="AEJ121:AEK121"/>
    <mergeCell ref="AEM121:AEN121"/>
    <mergeCell ref="AEC119:AED119"/>
    <mergeCell ref="AEE119:AEF119"/>
    <mergeCell ref="ADX120:ADY120"/>
    <mergeCell ref="ADZ120:AEA120"/>
    <mergeCell ref="AEC120:AED120"/>
    <mergeCell ref="AEE120:AEF120"/>
    <mergeCell ref="AEH127:AEI127"/>
    <mergeCell ref="AEJ127:AEK127"/>
    <mergeCell ref="AEM127:AEN127"/>
    <mergeCell ref="AEH117:AEI117"/>
    <mergeCell ref="AEJ117:AEK117"/>
    <mergeCell ref="AEM117:AEN117"/>
    <mergeCell ref="AEH118:AEI118"/>
    <mergeCell ref="AEJ118:AEK118"/>
    <mergeCell ref="ADU124:ADV124"/>
    <mergeCell ref="AEC123:AED123"/>
    <mergeCell ref="ADX124:ADY124"/>
    <mergeCell ref="ADZ124:AEA124"/>
    <mergeCell ref="AEC124:AED124"/>
    <mergeCell ref="ADX125:ADY125"/>
    <mergeCell ref="ADZ125:AEA125"/>
    <mergeCell ref="AEC125:AED125"/>
    <mergeCell ref="ADX126:ADY126"/>
    <mergeCell ref="ADZ126:AEA126"/>
    <mergeCell ref="AEC126:AED126"/>
    <mergeCell ref="ADX127:ADY127"/>
    <mergeCell ref="ADZ127:AEA127"/>
    <mergeCell ref="AEC127:AED127"/>
    <mergeCell ref="ADX128:ADY128"/>
    <mergeCell ref="ADU119:ADV119"/>
    <mergeCell ref="AEM118:AEN118"/>
    <mergeCell ref="AEH119:AEI119"/>
    <mergeCell ref="AEJ119:AEK119"/>
    <mergeCell ref="AEM119:AEN119"/>
    <mergeCell ref="ADX121:ADY121"/>
    <mergeCell ref="ADZ119:AEA119"/>
    <mergeCell ref="ADU118:ADV118"/>
    <mergeCell ref="AAR88:AAR89"/>
    <mergeCell ref="ACQ110:ACR110"/>
    <mergeCell ref="ACQ109:ACR109"/>
    <mergeCell ref="ACQ96:ACR96"/>
    <mergeCell ref="ACQ104:ACR104"/>
    <mergeCell ref="ACO96:ACP96"/>
    <mergeCell ref="ACO97:ACP97"/>
    <mergeCell ref="ACL102:ACM102"/>
    <mergeCell ref="ACJ106:ACK106"/>
    <mergeCell ref="ACO128:ACP128"/>
    <mergeCell ref="ADK118:ADL118"/>
    <mergeCell ref="ADK119:ADL119"/>
    <mergeCell ref="ADN119:ADO119"/>
    <mergeCell ref="ADP120:ADQ120"/>
    <mergeCell ref="ADS120:ADT120"/>
    <mergeCell ref="ADU120:ADV120"/>
    <mergeCell ref="ADX102:ADY102"/>
    <mergeCell ref="AAU87:AAX89"/>
    <mergeCell ref="ACL117:ACM117"/>
    <mergeCell ref="ACL115:ACM115"/>
    <mergeCell ref="ACY129:ACZ129"/>
    <mergeCell ref="ADN133:ADO133"/>
    <mergeCell ref="ADP133:ADQ133"/>
    <mergeCell ref="ADS133:ADT133"/>
    <mergeCell ref="ADX93:ADY93"/>
    <mergeCell ref="ADX94:ADY94"/>
    <mergeCell ref="ADX95:ADY95"/>
    <mergeCell ref="ADN130:ADO130"/>
    <mergeCell ref="ADP130:ADQ130"/>
    <mergeCell ref="ADS130:ADT130"/>
    <mergeCell ref="ADU130:ADV130"/>
    <mergeCell ref="ADN131:ADO131"/>
    <mergeCell ref="ADP131:ADQ131"/>
    <mergeCell ref="ADS131:ADT131"/>
    <mergeCell ref="ADU131:ADV131"/>
    <mergeCell ref="ADN132:ADO132"/>
    <mergeCell ref="ADP132:ADQ132"/>
    <mergeCell ref="ADS132:ADT132"/>
    <mergeCell ref="ADU132:ADV132"/>
    <mergeCell ref="ADU133:ADV133"/>
    <mergeCell ref="ADS119:ADT119"/>
    <mergeCell ref="ACO90:ACP90"/>
    <mergeCell ref="ADK106:ADL106"/>
    <mergeCell ref="ADI112:ADJ112"/>
    <mergeCell ref="ADF112:ADG112"/>
    <mergeCell ref="ADF108:ADG108"/>
    <mergeCell ref="ADI108:ADJ108"/>
    <mergeCell ref="ADN115:ADO115"/>
    <mergeCell ref="ADS118:ADT118"/>
    <mergeCell ref="ADA120:ADB120"/>
    <mergeCell ref="ADD120:ADE120"/>
    <mergeCell ref="ADF120:ADG120"/>
    <mergeCell ref="ACY109:ACZ109"/>
    <mergeCell ref="ACQ92:ACR92"/>
    <mergeCell ref="ACL118:ACM118"/>
    <mergeCell ref="ACL91:ACM91"/>
    <mergeCell ref="ACL96:ACM96"/>
    <mergeCell ref="ACV91:ACW91"/>
    <mergeCell ref="ACV92:ACW92"/>
    <mergeCell ref="ACV96:ACW96"/>
    <mergeCell ref="ACV100:ACW100"/>
    <mergeCell ref="ACV104:ACW104"/>
    <mergeCell ref="ACV108:ACW108"/>
    <mergeCell ref="ACL92:ACM92"/>
    <mergeCell ref="ADI105:ADJ105"/>
    <mergeCell ref="ADP104:ADQ104"/>
    <mergeCell ref="ADU97:ADV97"/>
    <mergeCell ref="ADX99:ADY99"/>
    <mergeCell ref="AAT101:AAT103"/>
    <mergeCell ref="ACJ88:ACK88"/>
    <mergeCell ref="ACJ89:ACK89"/>
    <mergeCell ref="ACJ90:ACK90"/>
    <mergeCell ref="ACO133:ACP133"/>
    <mergeCell ref="ADN49:ADO49"/>
    <mergeCell ref="ADP57:ADQ57"/>
    <mergeCell ref="ADI58:ADJ58"/>
    <mergeCell ref="ACQ112:ACR112"/>
    <mergeCell ref="ACQ84:ACR84"/>
    <mergeCell ref="ACQ85:ACR85"/>
    <mergeCell ref="ACQ86:ACR86"/>
    <mergeCell ref="ACQ89:ACR89"/>
    <mergeCell ref="ACQ90:ACR90"/>
    <mergeCell ref="ACT106:ACU106"/>
    <mergeCell ref="ADI118:ADJ118"/>
    <mergeCell ref="ADI119:ADJ119"/>
    <mergeCell ref="ACV111:ACW111"/>
    <mergeCell ref="ADX119:ADY119"/>
    <mergeCell ref="AAT121:AAT125"/>
    <mergeCell ref="AAU121:ABP125"/>
    <mergeCell ref="AAW53:AAZ54"/>
    <mergeCell ref="ADN134:ADO134"/>
    <mergeCell ref="ADP134:ADQ134"/>
    <mergeCell ref="ADS134:ADT134"/>
    <mergeCell ref="ADU134:ADV134"/>
    <mergeCell ref="ACR77:ACS77"/>
    <mergeCell ref="ACT77:ACU77"/>
    <mergeCell ref="ACV77:ACW77"/>
    <mergeCell ref="ACX77:ACY77"/>
    <mergeCell ref="ACR78:ACS78"/>
    <mergeCell ref="ACT79:ACU79"/>
    <mergeCell ref="ACV79:ACW79"/>
    <mergeCell ref="ADP51:ADQ51"/>
    <mergeCell ref="ADP52:ADQ52"/>
    <mergeCell ref="ACV97:ACW97"/>
    <mergeCell ref="ACV107:ACW107"/>
    <mergeCell ref="ADA104:ADB104"/>
    <mergeCell ref="ADD104:ADE104"/>
    <mergeCell ref="ADK107:ADL107"/>
    <mergeCell ref="ACL104:ACM104"/>
    <mergeCell ref="ABW106:ACG106"/>
    <mergeCell ref="ADD94:ADE94"/>
    <mergeCell ref="ADF94:ADG94"/>
    <mergeCell ref="ADI94:ADJ94"/>
    <mergeCell ref="ADK94:ADL94"/>
    <mergeCell ref="ADN94:ADO94"/>
    <mergeCell ref="ADP94:ADQ94"/>
    <mergeCell ref="ADN125:ADO125"/>
    <mergeCell ref="ADP125:ADQ125"/>
    <mergeCell ref="ADP105:ADQ105"/>
    <mergeCell ref="ADS105:ADT105"/>
    <mergeCell ref="ADP97:ADQ97"/>
    <mergeCell ref="ADS97:ADT97"/>
    <mergeCell ref="ADN95:ADO95"/>
    <mergeCell ref="ADP95:ADQ95"/>
    <mergeCell ref="ACJ93:ACK93"/>
    <mergeCell ref="ACV85:ACW85"/>
    <mergeCell ref="ACT133:ACU133"/>
    <mergeCell ref="ACY134:ACZ134"/>
    <mergeCell ref="AAR101:AAR103"/>
    <mergeCell ref="AAS101:AAS103"/>
    <mergeCell ref="AEC100:AED100"/>
    <mergeCell ref="AEO108:AEP108"/>
    <mergeCell ref="AEO98:AEP98"/>
    <mergeCell ref="AEH99:AEI99"/>
    <mergeCell ref="AEJ99:AEK99"/>
    <mergeCell ref="AEM99:AEN99"/>
    <mergeCell ref="AEE112:AEF112"/>
    <mergeCell ref="ACY155:ACZ155"/>
    <mergeCell ref="ADA155:ADB155"/>
    <mergeCell ref="ADD110:ADE110"/>
    <mergeCell ref="ADF110:ADG110"/>
    <mergeCell ref="ACJ152:ACL152"/>
    <mergeCell ref="ACM152:ACN152"/>
    <mergeCell ref="ACO152:ACP152"/>
    <mergeCell ref="ACQ152:ACR152"/>
    <mergeCell ref="ACL157:ACM157"/>
    <mergeCell ref="ACO157:ACP157"/>
    <mergeCell ref="ACQ157:ACR157"/>
    <mergeCell ref="ADI157:ADJ157"/>
    <mergeCell ref="ADK157:ADL157"/>
    <mergeCell ref="ADN157:ADO157"/>
    <mergeCell ref="ADP157:ADQ157"/>
    <mergeCell ref="ADS157:ADT157"/>
    <mergeCell ref="ADU157:ADV157"/>
    <mergeCell ref="ACT153:ACU153"/>
    <mergeCell ref="ACV153:ACW153"/>
    <mergeCell ref="ACY153:ACZ153"/>
    <mergeCell ref="ADA153:ADB153"/>
    <mergeCell ref="ADU152:ADV152"/>
    <mergeCell ref="ADD155:ADE155"/>
    <mergeCell ref="ADF155:ADG155"/>
    <mergeCell ref="ADI155:ADJ155"/>
    <mergeCell ref="ADX133:ADY133"/>
    <mergeCell ref="ADZ133:AEA133"/>
    <mergeCell ref="AEC133:AED133"/>
    <mergeCell ref="ADX134:ADY134"/>
    <mergeCell ref="ADZ134:AEA134"/>
    <mergeCell ref="AEC134:AED134"/>
    <mergeCell ref="ADZ110:AEA110"/>
    <mergeCell ref="ADX112:ADY112"/>
    <mergeCell ref="ADZ112:AEA112"/>
    <mergeCell ref="AEC112:AED112"/>
    <mergeCell ref="ADZ111:AEA111"/>
    <mergeCell ref="ADZ153:AEA153"/>
    <mergeCell ref="AEC153:AED153"/>
    <mergeCell ref="ADD153:ADE153"/>
    <mergeCell ref="ADF153:ADG153"/>
    <mergeCell ref="ADI153:ADJ153"/>
    <mergeCell ref="ADK153:ADL153"/>
    <mergeCell ref="ADN153:ADO153"/>
    <mergeCell ref="ADP153:ADQ153"/>
    <mergeCell ref="ADS153:ADT153"/>
    <mergeCell ref="ADU153:ADV153"/>
    <mergeCell ref="ADX153:ADY153"/>
    <mergeCell ref="ADN129:ADO129"/>
    <mergeCell ref="ADP129:ADQ129"/>
    <mergeCell ref="ADS129:ADT129"/>
    <mergeCell ref="ADU129:ADV129"/>
    <mergeCell ref="ADS125:ADT125"/>
    <mergeCell ref="ACY108:ACZ108"/>
    <mergeCell ref="ACT112:ACU112"/>
    <mergeCell ref="ACY112:ACZ112"/>
    <mergeCell ref="AEE161:AEF161"/>
    <mergeCell ref="ACL160:ACM160"/>
    <mergeCell ref="ACO160:ACP160"/>
    <mergeCell ref="ACQ160:ACR160"/>
    <mergeCell ref="ACT160:ACU160"/>
    <mergeCell ref="ACV160:ACW160"/>
    <mergeCell ref="ACY160:ACZ160"/>
    <mergeCell ref="ADA160:ADB160"/>
    <mergeCell ref="ADD160:ADE160"/>
    <mergeCell ref="ADF160:ADG160"/>
    <mergeCell ref="ADI160:ADJ160"/>
    <mergeCell ref="ADK160:ADL160"/>
    <mergeCell ref="ADN160:ADO160"/>
    <mergeCell ref="ADP160:ADQ160"/>
    <mergeCell ref="ADS160:ADT160"/>
    <mergeCell ref="ADU160:ADV160"/>
    <mergeCell ref="ADX160:ADY160"/>
    <mergeCell ref="ADZ160:AEA160"/>
    <mergeCell ref="AEC160:AED160"/>
    <mergeCell ref="ACQ162:ACR162"/>
    <mergeCell ref="ACT162:ACU162"/>
    <mergeCell ref="ACV162:ACW162"/>
    <mergeCell ref="ACY162:ACZ162"/>
    <mergeCell ref="ADA162:ADB162"/>
    <mergeCell ref="ADD162:ADE162"/>
    <mergeCell ref="ADP168:ADQ168"/>
    <mergeCell ref="ADS168:ADT168"/>
    <mergeCell ref="ADU168:ADV168"/>
    <mergeCell ref="ADX168:ADY168"/>
    <mergeCell ref="ADZ168:AEA168"/>
    <mergeCell ref="AEC168:AED168"/>
    <mergeCell ref="AEE168:AEF168"/>
    <mergeCell ref="ACL165:ACM165"/>
    <mergeCell ref="ACO165:ACP165"/>
    <mergeCell ref="ACQ165:ACR165"/>
    <mergeCell ref="ACT165:ACU165"/>
    <mergeCell ref="ACV165:ACW165"/>
    <mergeCell ref="ACY165:ACZ165"/>
    <mergeCell ref="ADA165:ADB165"/>
    <mergeCell ref="ADD165:ADE165"/>
    <mergeCell ref="ADF165:ADG165"/>
    <mergeCell ref="ADI165:ADJ165"/>
    <mergeCell ref="ADK165:ADL165"/>
    <mergeCell ref="ADN165:ADO165"/>
    <mergeCell ref="ADP165:ADQ165"/>
    <mergeCell ref="ADS165:ADT165"/>
    <mergeCell ref="ADU165:ADV165"/>
    <mergeCell ref="ADX165:ADY165"/>
    <mergeCell ref="ADZ165:AEA165"/>
    <mergeCell ref="AEC165:AED165"/>
    <mergeCell ref="AEE165:AEF165"/>
    <mergeCell ref="ACL166:ACM166"/>
    <mergeCell ref="AEC167:AED167"/>
    <mergeCell ref="AEE167:AEF167"/>
    <mergeCell ref="ADD166:ADE166"/>
    <mergeCell ref="ADF166:ADG166"/>
    <mergeCell ref="ADI166:ADJ166"/>
    <mergeCell ref="ADK166:ADL166"/>
    <mergeCell ref="AEE159:AEF159"/>
    <mergeCell ref="ACO166:ACP166"/>
    <mergeCell ref="ACQ166:ACR166"/>
    <mergeCell ref="ACT166:ACU166"/>
    <mergeCell ref="ACV166:ACW166"/>
    <mergeCell ref="ACY166:ACZ166"/>
    <mergeCell ref="ADA166:ADB166"/>
    <mergeCell ref="ADZ166:AEA166"/>
    <mergeCell ref="AEC166:AED166"/>
    <mergeCell ref="AEE166:AEF166"/>
    <mergeCell ref="ACQ164:ACR164"/>
    <mergeCell ref="ACT164:ACU164"/>
    <mergeCell ref="ACV164:ACW164"/>
    <mergeCell ref="ACY164:ACZ164"/>
    <mergeCell ref="ADU164:ADV164"/>
    <mergeCell ref="ADX164:ADY164"/>
    <mergeCell ref="ADZ164:AEA164"/>
    <mergeCell ref="AEC164:AED164"/>
    <mergeCell ref="AEE164:AEF164"/>
    <mergeCell ref="ADF169:ADG169"/>
    <mergeCell ref="ADI169:ADJ169"/>
    <mergeCell ref="ADK169:ADL169"/>
    <mergeCell ref="ADN169:ADO169"/>
    <mergeCell ref="ADP169:ADQ169"/>
    <mergeCell ref="ADS169:ADT169"/>
    <mergeCell ref="ADU169:ADV169"/>
    <mergeCell ref="ADX169:ADY169"/>
    <mergeCell ref="ADZ169:AEA169"/>
    <mergeCell ref="AEC169:AED169"/>
    <mergeCell ref="AEE169:AEF169"/>
    <mergeCell ref="ACJ170:ACK170"/>
    <mergeCell ref="ACL170:ACM170"/>
    <mergeCell ref="ACO170:ACP170"/>
    <mergeCell ref="ACQ170:ACR170"/>
    <mergeCell ref="ACT170:ACU170"/>
    <mergeCell ref="ACV170:ACW170"/>
    <mergeCell ref="ACY170:ACZ170"/>
    <mergeCell ref="ADA170:ADB170"/>
    <mergeCell ref="ADD170:ADE170"/>
    <mergeCell ref="ADF170:ADG170"/>
    <mergeCell ref="ADI170:ADJ170"/>
    <mergeCell ref="ADK170:ADL170"/>
    <mergeCell ref="ADN170:ADO170"/>
    <mergeCell ref="ADP170:ADQ170"/>
    <mergeCell ref="ADS170:ADT170"/>
    <mergeCell ref="ADU170:ADV170"/>
    <mergeCell ref="ADX170:ADY170"/>
    <mergeCell ref="ADZ170:AEA170"/>
    <mergeCell ref="AEC170:AED170"/>
    <mergeCell ref="AEE170:AEF170"/>
    <mergeCell ref="ACJ167:ACK167"/>
    <mergeCell ref="ACL167:ACM167"/>
    <mergeCell ref="ACO167:ACP167"/>
    <mergeCell ref="ACQ167:ACR167"/>
    <mergeCell ref="ACT167:ACU167"/>
    <mergeCell ref="ACV167:ACW167"/>
    <mergeCell ref="ACY167:ACZ167"/>
    <mergeCell ref="ADA167:ADB167"/>
    <mergeCell ref="ADD167:ADE167"/>
    <mergeCell ref="ADF167:ADG167"/>
    <mergeCell ref="ADI167:ADJ167"/>
    <mergeCell ref="ADU167:ADV167"/>
    <mergeCell ref="ADX167:ADY167"/>
    <mergeCell ref="ADZ167:AEA167"/>
    <mergeCell ref="ADU171:ADV171"/>
    <mergeCell ref="ADX171:ADY171"/>
    <mergeCell ref="ADZ171:AEA171"/>
    <mergeCell ref="AEC171:AED171"/>
    <mergeCell ref="AEE171:AEF171"/>
    <mergeCell ref="ACJ172:ACK172"/>
    <mergeCell ref="ACL172:ACM172"/>
    <mergeCell ref="ACO172:ACP172"/>
    <mergeCell ref="ACQ172:ACR172"/>
    <mergeCell ref="ACT172:ACU172"/>
    <mergeCell ref="ACV172:ACW172"/>
    <mergeCell ref="ACY172:ACZ172"/>
    <mergeCell ref="ADA172:ADB172"/>
    <mergeCell ref="ADD172:ADE172"/>
    <mergeCell ref="ADF172:ADG172"/>
    <mergeCell ref="ADI172:ADJ172"/>
    <mergeCell ref="ADK172:ADL172"/>
    <mergeCell ref="ADN172:ADO172"/>
    <mergeCell ref="ADP172:ADQ172"/>
    <mergeCell ref="ADS172:ADT172"/>
    <mergeCell ref="ADU172:ADV172"/>
    <mergeCell ref="ADX172:ADY172"/>
    <mergeCell ref="ADZ172:AEA172"/>
    <mergeCell ref="AEC172:AED172"/>
    <mergeCell ref="AEE172:AEF172"/>
    <mergeCell ref="ACQ169:ACR169"/>
    <mergeCell ref="ACT169:ACU169"/>
    <mergeCell ref="ACV169:ACW169"/>
    <mergeCell ref="ACY169:ACZ169"/>
    <mergeCell ref="ADA169:ADB169"/>
    <mergeCell ref="ADD169:ADE169"/>
    <mergeCell ref="ACO169:ACP169"/>
    <mergeCell ref="ACJ171:ACK171"/>
    <mergeCell ref="ACL171:ACM171"/>
    <mergeCell ref="ACO171:ACP171"/>
    <mergeCell ref="ADU173:ADV173"/>
    <mergeCell ref="ADX173:ADY173"/>
    <mergeCell ref="ADZ173:AEA173"/>
    <mergeCell ref="AEC173:AED173"/>
    <mergeCell ref="AEE173:AEF173"/>
    <mergeCell ref="AEC175:AED175"/>
    <mergeCell ref="AEE175:AEF175"/>
    <mergeCell ref="ACJ174:ACK174"/>
    <mergeCell ref="ACL174:ACM174"/>
    <mergeCell ref="ACO174:ACP174"/>
    <mergeCell ref="ACQ174:ACR174"/>
    <mergeCell ref="ACT174:ACU174"/>
    <mergeCell ref="ACV174:ACW174"/>
    <mergeCell ref="ACY174:ACZ174"/>
    <mergeCell ref="ADA174:ADB174"/>
    <mergeCell ref="ADD174:ADE174"/>
    <mergeCell ref="ADF174:ADG174"/>
    <mergeCell ref="ADI174:ADJ174"/>
    <mergeCell ref="ADK174:ADL174"/>
    <mergeCell ref="ADN174:ADO174"/>
    <mergeCell ref="ADP174:ADQ174"/>
    <mergeCell ref="ADS174:ADT174"/>
    <mergeCell ref="ADU174:ADV174"/>
    <mergeCell ref="ADX174:ADY174"/>
    <mergeCell ref="ADZ174:AEA174"/>
    <mergeCell ref="AEC174:AED174"/>
    <mergeCell ref="AEE174:AEF174"/>
    <mergeCell ref="ACO173:ACP173"/>
    <mergeCell ref="ACJ173:ACK173"/>
    <mergeCell ref="ACL173:ACM173"/>
    <mergeCell ref="ACQ179:ACR179"/>
    <mergeCell ref="ACT179:ACU179"/>
    <mergeCell ref="ACV179:ACW179"/>
    <mergeCell ref="ACY179:ACZ179"/>
    <mergeCell ref="ADA179:ADB179"/>
    <mergeCell ref="ADD179:ADE179"/>
    <mergeCell ref="ADF179:ADG179"/>
    <mergeCell ref="ADI179:ADJ179"/>
    <mergeCell ref="ADK179:ADL179"/>
    <mergeCell ref="ADN179:ADO179"/>
    <mergeCell ref="ADP179:ADQ179"/>
    <mergeCell ref="ADS179:ADT179"/>
    <mergeCell ref="ADU179:ADV179"/>
    <mergeCell ref="ADX179:ADY179"/>
    <mergeCell ref="ADZ179:AEA179"/>
    <mergeCell ref="AEC179:AED179"/>
    <mergeCell ref="AEE179:AEF179"/>
    <mergeCell ref="ADA178:ADB178"/>
    <mergeCell ref="ADD178:ADE178"/>
    <mergeCell ref="ADF178:ADG178"/>
    <mergeCell ref="ADI178:ADJ178"/>
    <mergeCell ref="ACL176:ACM176"/>
    <mergeCell ref="ACJ180:ACK180"/>
    <mergeCell ref="ACL180:ACM180"/>
    <mergeCell ref="ACO180:ACP180"/>
    <mergeCell ref="ACQ180:ACR180"/>
    <mergeCell ref="ACT180:ACU180"/>
    <mergeCell ref="ACV180:ACW180"/>
    <mergeCell ref="ACY180:ACZ180"/>
    <mergeCell ref="ADA180:ADB180"/>
    <mergeCell ref="ADD180:ADE180"/>
    <mergeCell ref="ADF180:ADG180"/>
    <mergeCell ref="ADI180:ADJ180"/>
    <mergeCell ref="ADK180:ADL180"/>
    <mergeCell ref="ADN180:ADO180"/>
    <mergeCell ref="ADP180:ADQ180"/>
    <mergeCell ref="ADS180:ADT180"/>
    <mergeCell ref="ADU180:ADV180"/>
    <mergeCell ref="ADX180:ADY180"/>
    <mergeCell ref="ADZ180:AEA180"/>
    <mergeCell ref="AEC180:AED180"/>
    <mergeCell ref="AEE180:AEF180"/>
    <mergeCell ref="ACQ181:ACR181"/>
    <mergeCell ref="ACT181:ACU181"/>
    <mergeCell ref="ACV181:ACW181"/>
    <mergeCell ref="ACY181:ACZ181"/>
    <mergeCell ref="ADA181:ADB181"/>
    <mergeCell ref="ADD181:ADE181"/>
    <mergeCell ref="ADF181:ADG181"/>
    <mergeCell ref="ADI181:ADJ181"/>
    <mergeCell ref="ADK181:ADL181"/>
    <mergeCell ref="ADN181:ADO181"/>
    <mergeCell ref="ADP181:ADQ181"/>
    <mergeCell ref="ADS181:ADT181"/>
    <mergeCell ref="ADU181:ADV181"/>
    <mergeCell ref="ADX181:ADY181"/>
    <mergeCell ref="ADZ181:AEA181"/>
    <mergeCell ref="AEC181:AED181"/>
    <mergeCell ref="AEE181:AEF181"/>
    <mergeCell ref="ACJ182:ACK182"/>
    <mergeCell ref="ACL182:ACM182"/>
    <mergeCell ref="ACO182:ACP182"/>
    <mergeCell ref="ACQ182:ACR182"/>
    <mergeCell ref="ACT182:ACU182"/>
    <mergeCell ref="ACV182:ACW182"/>
    <mergeCell ref="ACY182:ACZ182"/>
    <mergeCell ref="ADA182:ADB182"/>
    <mergeCell ref="ADD182:ADE182"/>
    <mergeCell ref="ADF182:ADG182"/>
    <mergeCell ref="ADI182:ADJ182"/>
    <mergeCell ref="ADK182:ADL182"/>
    <mergeCell ref="ADN182:ADO182"/>
    <mergeCell ref="ADP182:ADQ182"/>
    <mergeCell ref="ADS182:ADT182"/>
    <mergeCell ref="ADU182:ADV182"/>
    <mergeCell ref="ADX182:ADY182"/>
    <mergeCell ref="ADZ182:AEA182"/>
    <mergeCell ref="AEC182:AED182"/>
    <mergeCell ref="AEE182:AEF182"/>
    <mergeCell ref="ACJ181:ACK181"/>
    <mergeCell ref="ACL181:ACM181"/>
    <mergeCell ref="ACO181:ACP181"/>
    <mergeCell ref="ACQ183:ACR183"/>
    <mergeCell ref="ACT183:ACU183"/>
    <mergeCell ref="ACV183:ACW183"/>
    <mergeCell ref="ACY183:ACZ183"/>
    <mergeCell ref="ADA183:ADB183"/>
    <mergeCell ref="ADD183:ADE183"/>
    <mergeCell ref="ADF183:ADG183"/>
    <mergeCell ref="ADI183:ADJ183"/>
    <mergeCell ref="ADK183:ADL183"/>
    <mergeCell ref="ADN183:ADO183"/>
    <mergeCell ref="ADP183:ADQ183"/>
    <mergeCell ref="ADS183:ADT183"/>
    <mergeCell ref="ADU183:ADV183"/>
    <mergeCell ref="ADX183:ADY183"/>
    <mergeCell ref="ADZ183:AEA183"/>
    <mergeCell ref="AEC183:AED183"/>
    <mergeCell ref="AEE183:AEF183"/>
    <mergeCell ref="ACJ184:ACK184"/>
    <mergeCell ref="ACL184:ACM184"/>
    <mergeCell ref="ACO184:ACP184"/>
    <mergeCell ref="ACQ184:ACR184"/>
    <mergeCell ref="ACT184:ACU184"/>
    <mergeCell ref="ACV184:ACW184"/>
    <mergeCell ref="ACY184:ACZ184"/>
    <mergeCell ref="ADA184:ADB184"/>
    <mergeCell ref="ADD184:ADE184"/>
    <mergeCell ref="ADF184:ADG184"/>
    <mergeCell ref="ADI184:ADJ184"/>
    <mergeCell ref="ADK184:ADL184"/>
    <mergeCell ref="ADN184:ADO184"/>
    <mergeCell ref="ADP184:ADQ184"/>
    <mergeCell ref="ADS184:ADT184"/>
    <mergeCell ref="ADU184:ADV184"/>
    <mergeCell ref="ADX184:ADY184"/>
    <mergeCell ref="ADZ184:AEA184"/>
    <mergeCell ref="AEC184:AED184"/>
    <mergeCell ref="AEE184:AEF184"/>
    <mergeCell ref="ACJ183:ACK183"/>
    <mergeCell ref="ACL183:ACM183"/>
    <mergeCell ref="ACO183:ACP183"/>
    <mergeCell ref="ACQ185:ACR185"/>
    <mergeCell ref="ACT185:ACU185"/>
    <mergeCell ref="ACV185:ACW185"/>
    <mergeCell ref="ACY185:ACZ185"/>
    <mergeCell ref="ADA185:ADB185"/>
    <mergeCell ref="ADD185:ADE185"/>
    <mergeCell ref="ADF185:ADG185"/>
    <mergeCell ref="ADI185:ADJ185"/>
    <mergeCell ref="ADK185:ADL185"/>
    <mergeCell ref="ADN185:ADO185"/>
    <mergeCell ref="ADP185:ADQ185"/>
    <mergeCell ref="ADS185:ADT185"/>
    <mergeCell ref="ADU185:ADV185"/>
    <mergeCell ref="ADX185:ADY185"/>
    <mergeCell ref="ADZ185:AEA185"/>
    <mergeCell ref="AEC185:AED185"/>
    <mergeCell ref="AEE185:AEF185"/>
    <mergeCell ref="ACJ186:ACK186"/>
    <mergeCell ref="ACL186:ACM186"/>
    <mergeCell ref="ACO186:ACP186"/>
    <mergeCell ref="ACQ186:ACR186"/>
    <mergeCell ref="ACT186:ACU186"/>
    <mergeCell ref="ACV186:ACW186"/>
    <mergeCell ref="ACY186:ACZ186"/>
    <mergeCell ref="ADA186:ADB186"/>
    <mergeCell ref="ADD186:ADE186"/>
    <mergeCell ref="ADF186:ADG186"/>
    <mergeCell ref="ADI186:ADJ186"/>
    <mergeCell ref="ADK186:ADL186"/>
    <mergeCell ref="ADN186:ADO186"/>
    <mergeCell ref="ADP186:ADQ186"/>
    <mergeCell ref="ADS186:ADT186"/>
    <mergeCell ref="ADU186:ADV186"/>
    <mergeCell ref="ADX186:ADY186"/>
    <mergeCell ref="ADZ186:AEA186"/>
    <mergeCell ref="AEC186:AED186"/>
    <mergeCell ref="AEE186:AEF186"/>
    <mergeCell ref="ACJ185:ACK185"/>
    <mergeCell ref="ACL185:ACM185"/>
    <mergeCell ref="ACO185:ACP185"/>
    <mergeCell ref="ACQ187:ACR187"/>
    <mergeCell ref="ACT187:ACU187"/>
    <mergeCell ref="ACV187:ACW187"/>
    <mergeCell ref="ACY187:ACZ187"/>
    <mergeCell ref="ADA187:ADB187"/>
    <mergeCell ref="ADD187:ADE187"/>
    <mergeCell ref="ADF187:ADG187"/>
    <mergeCell ref="ADI187:ADJ187"/>
    <mergeCell ref="ADK187:ADL187"/>
    <mergeCell ref="ADN187:ADO187"/>
    <mergeCell ref="ADP187:ADQ187"/>
    <mergeCell ref="ADS187:ADT187"/>
    <mergeCell ref="ADU187:ADV187"/>
    <mergeCell ref="ADX187:ADY187"/>
    <mergeCell ref="ADZ187:AEA187"/>
    <mergeCell ref="AEC187:AED187"/>
    <mergeCell ref="AEE187:AEF187"/>
    <mergeCell ref="ACJ188:ACK188"/>
    <mergeCell ref="ACL188:ACM188"/>
    <mergeCell ref="ACO188:ACP188"/>
    <mergeCell ref="ACQ188:ACR188"/>
    <mergeCell ref="ACT188:ACU188"/>
    <mergeCell ref="ACV188:ACW188"/>
    <mergeCell ref="ACY188:ACZ188"/>
    <mergeCell ref="ADA188:ADB188"/>
    <mergeCell ref="ADD188:ADE188"/>
    <mergeCell ref="ADF188:ADG188"/>
    <mergeCell ref="ADI188:ADJ188"/>
    <mergeCell ref="ADK188:ADL188"/>
    <mergeCell ref="ADN188:ADO188"/>
    <mergeCell ref="ADP188:ADQ188"/>
    <mergeCell ref="ADS188:ADT188"/>
    <mergeCell ref="ADU188:ADV188"/>
    <mergeCell ref="ADX188:ADY188"/>
    <mergeCell ref="ADZ188:AEA188"/>
    <mergeCell ref="AEC188:AED188"/>
    <mergeCell ref="AEE188:AEF188"/>
    <mergeCell ref="ACJ187:ACK187"/>
    <mergeCell ref="ACL187:ACM187"/>
    <mergeCell ref="ACO187:ACP187"/>
    <mergeCell ref="ACQ189:ACR189"/>
    <mergeCell ref="ACT189:ACU189"/>
    <mergeCell ref="ACV189:ACW189"/>
    <mergeCell ref="ACY189:ACZ189"/>
    <mergeCell ref="ADA189:ADB189"/>
    <mergeCell ref="ADD189:ADE189"/>
    <mergeCell ref="ADF189:ADG189"/>
    <mergeCell ref="ADI189:ADJ189"/>
    <mergeCell ref="ADK189:ADL189"/>
    <mergeCell ref="ADN189:ADO189"/>
    <mergeCell ref="ADP189:ADQ189"/>
    <mergeCell ref="ADS189:ADT189"/>
    <mergeCell ref="ADU189:ADV189"/>
    <mergeCell ref="ADX189:ADY189"/>
    <mergeCell ref="ADZ189:AEA189"/>
    <mergeCell ref="AEC189:AED189"/>
    <mergeCell ref="AEE189:AEF189"/>
    <mergeCell ref="ACJ190:ACK190"/>
    <mergeCell ref="ACL190:ACM190"/>
    <mergeCell ref="ACO190:ACP190"/>
    <mergeCell ref="ACQ190:ACR190"/>
    <mergeCell ref="ACT190:ACU190"/>
    <mergeCell ref="ACV190:ACW190"/>
    <mergeCell ref="ACY190:ACZ190"/>
    <mergeCell ref="ADA190:ADB190"/>
    <mergeCell ref="ADD190:ADE190"/>
    <mergeCell ref="ADF190:ADG190"/>
    <mergeCell ref="ADI190:ADJ190"/>
    <mergeCell ref="ADK190:ADL190"/>
    <mergeCell ref="ADN190:ADO190"/>
    <mergeCell ref="ADP190:ADQ190"/>
    <mergeCell ref="ADS190:ADT190"/>
    <mergeCell ref="ADU190:ADV190"/>
    <mergeCell ref="ADX190:ADY190"/>
    <mergeCell ref="ADZ190:AEA190"/>
    <mergeCell ref="AEC190:AED190"/>
    <mergeCell ref="AEE190:AEF190"/>
    <mergeCell ref="ACQ191:ACR191"/>
    <mergeCell ref="ACT191:ACU191"/>
    <mergeCell ref="ACV191:ACW191"/>
    <mergeCell ref="ACY191:ACZ191"/>
    <mergeCell ref="ADA191:ADB191"/>
    <mergeCell ref="ADD191:ADE191"/>
    <mergeCell ref="ADF191:ADG191"/>
    <mergeCell ref="ADI191:ADJ191"/>
    <mergeCell ref="ADK191:ADL191"/>
    <mergeCell ref="ADN191:ADO191"/>
    <mergeCell ref="ADP191:ADQ191"/>
    <mergeCell ref="ADS191:ADT191"/>
    <mergeCell ref="ADU191:ADV191"/>
    <mergeCell ref="ADX191:ADY191"/>
    <mergeCell ref="ADZ191:AEA191"/>
    <mergeCell ref="AEC191:AED191"/>
    <mergeCell ref="AEE191:AEF191"/>
    <mergeCell ref="ACJ192:ACK192"/>
    <mergeCell ref="ACL192:ACM192"/>
    <mergeCell ref="ACO192:ACP192"/>
    <mergeCell ref="ACQ192:ACR192"/>
    <mergeCell ref="ACT192:ACU192"/>
    <mergeCell ref="ACV192:ACW192"/>
    <mergeCell ref="ACY192:ACZ192"/>
    <mergeCell ref="ADA192:ADB192"/>
    <mergeCell ref="ADD192:ADE192"/>
    <mergeCell ref="ADF192:ADG192"/>
    <mergeCell ref="ADI192:ADJ192"/>
    <mergeCell ref="ADK192:ADL192"/>
    <mergeCell ref="ADN192:ADO192"/>
    <mergeCell ref="ADP192:ADQ192"/>
    <mergeCell ref="ADS192:ADT192"/>
    <mergeCell ref="ADU192:ADV192"/>
    <mergeCell ref="ADX192:ADY192"/>
    <mergeCell ref="ADZ192:AEA192"/>
    <mergeCell ref="AEC192:AED192"/>
    <mergeCell ref="AEE192:AEF192"/>
    <mergeCell ref="AEC199:AED199"/>
    <mergeCell ref="ACQ193:ACR193"/>
    <mergeCell ref="ACT193:ACU193"/>
    <mergeCell ref="ACV193:ACW193"/>
    <mergeCell ref="ACY193:ACZ193"/>
    <mergeCell ref="ADA193:ADB193"/>
    <mergeCell ref="ADD193:ADE193"/>
    <mergeCell ref="ADF193:ADG193"/>
    <mergeCell ref="ADI193:ADJ193"/>
    <mergeCell ref="ADK193:ADL193"/>
    <mergeCell ref="ADN193:ADO193"/>
    <mergeCell ref="ADP193:ADQ193"/>
    <mergeCell ref="ADS193:ADT193"/>
    <mergeCell ref="ADU193:ADV193"/>
    <mergeCell ref="ADX193:ADY193"/>
    <mergeCell ref="ADZ193:AEA193"/>
    <mergeCell ref="AEC193:AED193"/>
    <mergeCell ref="AEE193:AEF193"/>
    <mergeCell ref="ACJ194:ACK194"/>
    <mergeCell ref="ACL194:ACM194"/>
    <mergeCell ref="ACO194:ACP194"/>
    <mergeCell ref="ACQ194:ACR194"/>
    <mergeCell ref="ACT194:ACU194"/>
    <mergeCell ref="ACV194:ACW194"/>
    <mergeCell ref="ACY194:ACZ194"/>
    <mergeCell ref="ADA194:ADB194"/>
    <mergeCell ref="ADD194:ADE194"/>
    <mergeCell ref="ADF194:ADG194"/>
    <mergeCell ref="ADI194:ADJ194"/>
    <mergeCell ref="ADK194:ADL194"/>
    <mergeCell ref="ADN194:ADO194"/>
    <mergeCell ref="ADP194:ADQ194"/>
    <mergeCell ref="ADS194:ADT194"/>
    <mergeCell ref="ADU194:ADV194"/>
    <mergeCell ref="ADX194:ADY194"/>
    <mergeCell ref="ADZ194:AEA194"/>
    <mergeCell ref="AEC194:AED194"/>
    <mergeCell ref="AEE194:AEF194"/>
    <mergeCell ref="ACQ195:ACR195"/>
    <mergeCell ref="ACT195:ACU195"/>
    <mergeCell ref="ACV195:ACW195"/>
    <mergeCell ref="ACY195:ACZ195"/>
    <mergeCell ref="ADA195:ADB195"/>
    <mergeCell ref="ADD195:ADE195"/>
    <mergeCell ref="ACQ203:ACR203"/>
    <mergeCell ref="ACT203:ACU203"/>
    <mergeCell ref="ACV203:ACW203"/>
    <mergeCell ref="ACY203:ACZ203"/>
    <mergeCell ref="ADA203:ADB203"/>
    <mergeCell ref="ADD203:ADE203"/>
    <mergeCell ref="ADF203:ADG203"/>
    <mergeCell ref="ADI203:ADJ203"/>
    <mergeCell ref="ADK203:ADL203"/>
    <mergeCell ref="ADN203:ADO203"/>
    <mergeCell ref="ADP203:ADQ203"/>
    <mergeCell ref="ADS203:ADT203"/>
    <mergeCell ref="ADU203:ADV203"/>
    <mergeCell ref="ADX203:ADY203"/>
    <mergeCell ref="ADX200:ADY200"/>
    <mergeCell ref="ACJ201:ACK201"/>
    <mergeCell ref="ACL201:ACM201"/>
    <mergeCell ref="ACO201:ACP201"/>
    <mergeCell ref="ACQ201:ACR201"/>
    <mergeCell ref="ACT201:ACU201"/>
    <mergeCell ref="ACV201:ACW201"/>
    <mergeCell ref="ACY201:ACZ201"/>
    <mergeCell ref="ADA201:ADB201"/>
    <mergeCell ref="ADD201:ADE201"/>
    <mergeCell ref="ADF201:ADG201"/>
    <mergeCell ref="ADI201:ADJ201"/>
    <mergeCell ref="ADK201:ADL201"/>
    <mergeCell ref="ADN201:ADO201"/>
    <mergeCell ref="ADP201:ADQ201"/>
    <mergeCell ref="ADS201:ADT201"/>
    <mergeCell ref="ADU201:ADV201"/>
    <mergeCell ref="ADX201:ADY201"/>
    <mergeCell ref="ADU198:ADV198"/>
    <mergeCell ref="ADX198:ADY198"/>
    <mergeCell ref="ACJ199:ACK199"/>
    <mergeCell ref="ACL199:ACM199"/>
    <mergeCell ref="ACO199:ACP199"/>
    <mergeCell ref="ACQ199:ACR199"/>
    <mergeCell ref="ACL198:ACM198"/>
    <mergeCell ref="ACO198:ACP198"/>
    <mergeCell ref="ACQ198:ACR198"/>
    <mergeCell ref="ACT198:ACU198"/>
    <mergeCell ref="ACV198:ACW198"/>
    <mergeCell ref="ACY198:ACZ198"/>
    <mergeCell ref="ACQ202:ACR202"/>
    <mergeCell ref="ACT202:ACU202"/>
    <mergeCell ref="ACV202:ACW202"/>
    <mergeCell ref="ACY202:ACZ202"/>
    <mergeCell ref="ADA202:ADB202"/>
    <mergeCell ref="ADD202:ADE202"/>
    <mergeCell ref="ADF202:ADG202"/>
    <mergeCell ref="ADI202:ADJ202"/>
    <mergeCell ref="ADK202:ADL202"/>
    <mergeCell ref="ADN202:ADO202"/>
    <mergeCell ref="ADP202:ADQ202"/>
    <mergeCell ref="ADS202:ADT202"/>
    <mergeCell ref="ADU202:ADV202"/>
    <mergeCell ref="ADX202:ADY202"/>
    <mergeCell ref="ADZ202:AEA202"/>
    <mergeCell ref="AEC202:AED202"/>
    <mergeCell ref="ADN195:ADO195"/>
    <mergeCell ref="ADP195:ADQ195"/>
    <mergeCell ref="ADS195:ADT195"/>
    <mergeCell ref="ADU195:ADV195"/>
    <mergeCell ref="ADX195:ADY195"/>
    <mergeCell ref="ADZ195:AEA195"/>
    <mergeCell ref="AEC195:AED195"/>
    <mergeCell ref="ACJ196:ACK196"/>
    <mergeCell ref="ACL196:ACM196"/>
    <mergeCell ref="ACO196:ACP196"/>
    <mergeCell ref="ACQ196:ACR196"/>
    <mergeCell ref="ACT196:ACU196"/>
    <mergeCell ref="ACV196:ACW196"/>
    <mergeCell ref="ACY196:ACZ196"/>
    <mergeCell ref="ADA196:ADB196"/>
    <mergeCell ref="ADD196:ADE196"/>
    <mergeCell ref="ADF196:ADG196"/>
    <mergeCell ref="ADI196:ADJ196"/>
    <mergeCell ref="ADK196:ADL196"/>
    <mergeCell ref="ADN196:ADO196"/>
    <mergeCell ref="ADP196:ADQ196"/>
    <mergeCell ref="ADS196:ADT196"/>
    <mergeCell ref="ADU196:ADV196"/>
    <mergeCell ref="ADX196:ADY196"/>
    <mergeCell ref="ADZ196:AEA196"/>
    <mergeCell ref="AEC196:AED196"/>
    <mergeCell ref="ADZ157:AEA157"/>
    <mergeCell ref="AEC157:AED157"/>
    <mergeCell ref="AEE157:AEF157"/>
    <mergeCell ref="AEH162:AEI162"/>
    <mergeCell ref="AEY135:AEZ135"/>
    <mergeCell ref="AEY136:AEZ136"/>
    <mergeCell ref="AEE202:AEF202"/>
    <mergeCell ref="ACJ200:ACK200"/>
    <mergeCell ref="ACL200:ACM200"/>
    <mergeCell ref="ACO200:ACP200"/>
    <mergeCell ref="ACQ200:ACR200"/>
    <mergeCell ref="ACT200:ACU200"/>
    <mergeCell ref="ACV200:ACW200"/>
    <mergeCell ref="ACY200:ACZ200"/>
    <mergeCell ref="ADA200:ADB200"/>
    <mergeCell ref="ADD200:ADE200"/>
    <mergeCell ref="ADF200:ADG200"/>
    <mergeCell ref="ADI200:ADJ200"/>
    <mergeCell ref="ADK200:ADL200"/>
    <mergeCell ref="ADN200:ADO200"/>
    <mergeCell ref="ADP200:ADQ200"/>
    <mergeCell ref="ADS200:ADT200"/>
    <mergeCell ref="ADU200:ADV200"/>
    <mergeCell ref="ACJ197:ACK197"/>
    <mergeCell ref="ACL197:ACM197"/>
    <mergeCell ref="ACO197:ACP197"/>
    <mergeCell ref="ACQ197:ACR197"/>
    <mergeCell ref="ACT197:ACU197"/>
    <mergeCell ref="ACV197:ACW197"/>
    <mergeCell ref="ACY197:ACZ197"/>
    <mergeCell ref="ADA197:ADB197"/>
    <mergeCell ref="ADD197:ADE197"/>
    <mergeCell ref="ADF197:ADG197"/>
    <mergeCell ref="ADI197:ADJ197"/>
    <mergeCell ref="ADK197:ADL197"/>
    <mergeCell ref="ADZ198:AEA198"/>
    <mergeCell ref="AEC198:AED198"/>
    <mergeCell ref="ADN197:ADO197"/>
    <mergeCell ref="ADP197:ADQ197"/>
    <mergeCell ref="ADS197:ADT197"/>
    <mergeCell ref="ADU197:ADV197"/>
    <mergeCell ref="ADX197:ADY197"/>
    <mergeCell ref="ADZ197:AEA197"/>
    <mergeCell ref="ADZ199:AEA199"/>
    <mergeCell ref="ACJ202:ACK202"/>
    <mergeCell ref="ACL202:ACM202"/>
    <mergeCell ref="ACO202:ACP202"/>
    <mergeCell ref="ACT199:ACU199"/>
    <mergeCell ref="ACV199:ACW199"/>
    <mergeCell ref="ACY199:ACZ199"/>
    <mergeCell ref="ADA199:ADB199"/>
    <mergeCell ref="ADD199:ADE199"/>
    <mergeCell ref="ADF199:ADG199"/>
    <mergeCell ref="ADI199:ADJ199"/>
    <mergeCell ref="ADK199:ADL199"/>
    <mergeCell ref="ADN199:ADO199"/>
    <mergeCell ref="ADP199:ADQ199"/>
    <mergeCell ref="ADS199:ADT199"/>
    <mergeCell ref="ADU199:ADV199"/>
    <mergeCell ref="ADX199:ADY199"/>
    <mergeCell ref="AEC197:AED197"/>
    <mergeCell ref="ADZ201:AEA201"/>
    <mergeCell ref="AEC201:AED201"/>
    <mergeCell ref="ACJ198:ACK198"/>
    <mergeCell ref="ADA173:ADB173"/>
    <mergeCell ref="ADD173:ADE173"/>
    <mergeCell ref="ACJ177:ACK177"/>
    <mergeCell ref="ACL177:ACM177"/>
    <mergeCell ref="ACO177:ACP177"/>
    <mergeCell ref="ACJ176:ACK176"/>
    <mergeCell ref="ACR211:ACS211"/>
    <mergeCell ref="ACT211:ACU211"/>
    <mergeCell ref="ACV211:ACW211"/>
    <mergeCell ref="ACX211:ACY211"/>
    <mergeCell ref="AEY133:AEZ133"/>
    <mergeCell ref="AEH201:AEI201"/>
    <mergeCell ref="AEJ201:AEK201"/>
    <mergeCell ref="AEM201:AEN201"/>
    <mergeCell ref="AEO201:AEP201"/>
    <mergeCell ref="AEH202:AEI202"/>
    <mergeCell ref="AEJ202:AEK202"/>
    <mergeCell ref="AEM202:AEN202"/>
    <mergeCell ref="AEO202:AEP202"/>
    <mergeCell ref="AEH199:AEI199"/>
    <mergeCell ref="AEJ199:AEK199"/>
    <mergeCell ref="AEM199:AEN199"/>
    <mergeCell ref="AEO199:AEP199"/>
    <mergeCell ref="AEH200:AEI200"/>
    <mergeCell ref="AEJ200:AEK200"/>
    <mergeCell ref="AEM200:AEN200"/>
    <mergeCell ref="AEO200:AEP200"/>
    <mergeCell ref="AEH198:AEI198"/>
    <mergeCell ref="AEJ198:AEK198"/>
    <mergeCell ref="AEM198:AEN198"/>
    <mergeCell ref="AEO198:AEP198"/>
    <mergeCell ref="AEY142:AEZ142"/>
    <mergeCell ref="AEY143:AEZ143"/>
    <mergeCell ref="AEY144:AEZ144"/>
    <mergeCell ref="ADA134:ADB134"/>
    <mergeCell ref="ADD134:ADE134"/>
    <mergeCell ref="ADF134:ADG134"/>
    <mergeCell ref="ADI134:ADJ134"/>
    <mergeCell ref="ADK134:ADL134"/>
    <mergeCell ref="AEM163:AEN163"/>
    <mergeCell ref="AEO163:AEP163"/>
    <mergeCell ref="AEH164:AEI164"/>
    <mergeCell ref="AEH172:AEI172"/>
    <mergeCell ref="AEJ172:AEK172"/>
    <mergeCell ref="AEM172:AEN172"/>
    <mergeCell ref="AEO172:AEP172"/>
    <mergeCell ref="AEH173:AEI173"/>
    <mergeCell ref="AEJ173:AEK173"/>
    <mergeCell ref="AEM173:AEN173"/>
    <mergeCell ref="AEO173:AEP173"/>
    <mergeCell ref="AEH174:AEI174"/>
    <mergeCell ref="AEJ174:AEK174"/>
    <mergeCell ref="AEM174:AEN174"/>
    <mergeCell ref="ADZ203:AEA203"/>
    <mergeCell ref="AEC203:AED203"/>
    <mergeCell ref="AEE203:AEF203"/>
    <mergeCell ref="AEH203:AEI203"/>
    <mergeCell ref="AEJ203:AEK203"/>
    <mergeCell ref="AEM203:AEN203"/>
    <mergeCell ref="AEO203:AEP203"/>
    <mergeCell ref="ADZ200:AEA200"/>
    <mergeCell ref="AEC200:AED200"/>
    <mergeCell ref="AEE200:AEF200"/>
    <mergeCell ref="ADX157:ADY157"/>
    <mergeCell ref="ADS178:ADT178"/>
    <mergeCell ref="ADU178:ADV178"/>
    <mergeCell ref="ADX178:ADY178"/>
    <mergeCell ref="ADZ178:AEA178"/>
    <mergeCell ref="AEC178:AED178"/>
    <mergeCell ref="AEE178:AEF178"/>
    <mergeCell ref="ACJ175:ACK175"/>
    <mergeCell ref="ACL175:ACM175"/>
    <mergeCell ref="ACO175:ACP175"/>
    <mergeCell ref="ACQ175:ACR175"/>
    <mergeCell ref="ACT175:ACU175"/>
    <mergeCell ref="ACV175:ACW175"/>
    <mergeCell ref="ACY175:ACZ175"/>
    <mergeCell ref="ADA175:ADB175"/>
    <mergeCell ref="ADD175:ADE175"/>
    <mergeCell ref="ADF175:ADG175"/>
    <mergeCell ref="ADI175:ADJ175"/>
    <mergeCell ref="ADK175:ADL175"/>
    <mergeCell ref="ADN175:ADO175"/>
    <mergeCell ref="ADP175:ADQ175"/>
    <mergeCell ref="ADS175:ADT175"/>
    <mergeCell ref="ADU175:ADV175"/>
    <mergeCell ref="ADX175:ADY175"/>
    <mergeCell ref="ADZ175:AEA175"/>
    <mergeCell ref="ACO176:ACP176"/>
    <mergeCell ref="ACQ176:ACR176"/>
    <mergeCell ref="ACT176:ACU176"/>
    <mergeCell ref="ACV176:ACW176"/>
    <mergeCell ref="ACY176:ACZ176"/>
    <mergeCell ref="ADA176:ADB176"/>
    <mergeCell ref="ADD176:ADE176"/>
    <mergeCell ref="ADF176:ADG176"/>
    <mergeCell ref="ADI176:ADJ176"/>
    <mergeCell ref="ADK176:ADL176"/>
    <mergeCell ref="ADN176:ADO176"/>
    <mergeCell ref="ADP176:ADQ176"/>
    <mergeCell ref="ADS176:ADT176"/>
    <mergeCell ref="ADU176:ADV176"/>
    <mergeCell ref="ADX176:ADY176"/>
    <mergeCell ref="ADZ176:AEA176"/>
    <mergeCell ref="AEC176:AED176"/>
    <mergeCell ref="AEE176:AEF176"/>
    <mergeCell ref="AFV154:AFW154"/>
    <mergeCell ref="AFX154:AFY154"/>
    <mergeCell ref="AFV161:AFW161"/>
    <mergeCell ref="AFX161:AFY161"/>
    <mergeCell ref="AFQ167:AFR167"/>
    <mergeCell ref="AFS167:AFT167"/>
    <mergeCell ref="AFI193:AFJ193"/>
    <mergeCell ref="AFA133:AFB133"/>
    <mergeCell ref="AFC133:AFD133"/>
    <mergeCell ref="AFE133:AFF133"/>
    <mergeCell ref="AFA134:AFB134"/>
    <mergeCell ref="AFA135:AFB135"/>
    <mergeCell ref="AFA136:AFB136"/>
    <mergeCell ref="AFA137:AFB137"/>
    <mergeCell ref="AFA138:AFB138"/>
    <mergeCell ref="AFA139:AFB139"/>
    <mergeCell ref="AFA140:AFB140"/>
    <mergeCell ref="AFA141:AFB141"/>
    <mergeCell ref="AFA142:AFB142"/>
    <mergeCell ref="AFA143:AFB143"/>
    <mergeCell ref="AFA144:AFB144"/>
    <mergeCell ref="AFQ172:AFR172"/>
    <mergeCell ref="AFS172:AFT172"/>
    <mergeCell ref="AFL173:AFM173"/>
    <mergeCell ref="AFN173:AFO173"/>
    <mergeCell ref="AFQ173:AFR173"/>
    <mergeCell ref="AFS173:AFT173"/>
    <mergeCell ref="AFL174:AFM174"/>
    <mergeCell ref="AFN174:AFO174"/>
    <mergeCell ref="AFL168:AFM168"/>
    <mergeCell ref="AFQ169:AFR169"/>
    <mergeCell ref="AFS170:AFT170"/>
    <mergeCell ref="AFL171:AFM171"/>
    <mergeCell ref="AFN171:AFO171"/>
    <mergeCell ref="AFQ171:AFR171"/>
    <mergeCell ref="AFS171:AFT171"/>
    <mergeCell ref="AFL172:AFM172"/>
    <mergeCell ref="AFN186:AFO186"/>
    <mergeCell ref="AFQ186:AFR186"/>
    <mergeCell ref="AFI180:AFJ180"/>
    <mergeCell ref="AFD181:AFE181"/>
    <mergeCell ref="AFG181:AFH181"/>
    <mergeCell ref="AFI181:AFJ181"/>
    <mergeCell ref="AFB182:AFC182"/>
    <mergeCell ref="AFD182:AFE182"/>
    <mergeCell ref="AFG182:AFH182"/>
    <mergeCell ref="AFI182:AFJ182"/>
    <mergeCell ref="AFB183:AFC183"/>
    <mergeCell ref="AFD183:AFE183"/>
    <mergeCell ref="AFG183:AFH183"/>
    <mergeCell ref="AFI183:AFJ183"/>
    <mergeCell ref="AFB174:AFC174"/>
    <mergeCell ref="AFD172:AFE172"/>
    <mergeCell ref="AFD188:AFE188"/>
    <mergeCell ref="AFG188:AFH188"/>
    <mergeCell ref="AFB188:AFC188"/>
    <mergeCell ref="AFG193:AFH193"/>
    <mergeCell ref="AFD160:AFE160"/>
    <mergeCell ref="AFG160:AFH160"/>
    <mergeCell ref="AFI160:AFJ160"/>
    <mergeCell ref="AFC142:AFD142"/>
    <mergeCell ref="AFA132:AFB132"/>
    <mergeCell ref="AFC132:AFD132"/>
    <mergeCell ref="AFE132:AFF132"/>
    <mergeCell ref="AEY132:AEZ132"/>
    <mergeCell ref="AEY137:AEZ137"/>
    <mergeCell ref="AEY138:AEZ138"/>
    <mergeCell ref="AEE201:AEF201"/>
    <mergeCell ref="AEE197:AEF197"/>
    <mergeCell ref="AEE198:AEF198"/>
    <mergeCell ref="AEE195:AEF195"/>
    <mergeCell ref="AEE196:AEF196"/>
    <mergeCell ref="AEE132:AEF132"/>
    <mergeCell ref="AEE133:AEF133"/>
    <mergeCell ref="AEE134:AEF134"/>
    <mergeCell ref="AFE152:AFF152"/>
    <mergeCell ref="AER157:AES157"/>
    <mergeCell ref="AET157:AEU157"/>
    <mergeCell ref="AEW157:AEX157"/>
    <mergeCell ref="AEY157:AEZ157"/>
    <mergeCell ref="AEY134:AEZ134"/>
    <mergeCell ref="AEH154:AEI154"/>
    <mergeCell ref="AEJ154:AEK154"/>
    <mergeCell ref="AEM154:AEN154"/>
    <mergeCell ref="AEO154:AEP154"/>
    <mergeCell ref="AEH155:AEI155"/>
    <mergeCell ref="AEJ155:AEK155"/>
    <mergeCell ref="AEM155:AEN155"/>
    <mergeCell ref="AEO155:AEP155"/>
    <mergeCell ref="AEH156:AEI156"/>
    <mergeCell ref="AEJ156:AEK156"/>
    <mergeCell ref="AEM156:AEN156"/>
    <mergeCell ref="AEW173:AEX173"/>
    <mergeCell ref="AEY173:AEZ173"/>
    <mergeCell ref="AER174:AES174"/>
    <mergeCell ref="AET174:AEU174"/>
    <mergeCell ref="AEW174:AEX174"/>
    <mergeCell ref="AEY174:AEZ174"/>
    <mergeCell ref="AER175:AES175"/>
    <mergeCell ref="AET175:AEU175"/>
    <mergeCell ref="AEW175:AEX175"/>
    <mergeCell ref="AEY175:AEZ175"/>
    <mergeCell ref="AER176:AES176"/>
    <mergeCell ref="AEW176:AEX176"/>
    <mergeCell ref="AEY176:AEZ176"/>
    <mergeCell ref="AER168:AES168"/>
    <mergeCell ref="AET168:AEU168"/>
    <mergeCell ref="AET176:AEU176"/>
    <mergeCell ref="AEM175:AEN175"/>
    <mergeCell ref="AEO175:AEP175"/>
    <mergeCell ref="AEH176:AEI176"/>
    <mergeCell ref="AER190:AES190"/>
    <mergeCell ref="AEW177:AEX177"/>
    <mergeCell ref="AEY177:AEZ177"/>
    <mergeCell ref="AEW178:AEX178"/>
    <mergeCell ref="AEY178:AEZ178"/>
    <mergeCell ref="AEW179:AEX179"/>
    <mergeCell ref="AEY179:AEZ179"/>
    <mergeCell ref="AEW180:AEX180"/>
    <mergeCell ref="AEY180:AEZ180"/>
    <mergeCell ref="AEW181:AEX181"/>
    <mergeCell ref="AFB181:AFC181"/>
    <mergeCell ref="AEJ171:AEK171"/>
    <mergeCell ref="AEM171:AEN171"/>
    <mergeCell ref="AGL249:AGL252"/>
    <mergeCell ref="AGO254:AGP254"/>
    <mergeCell ref="AGO218:AGP218"/>
    <mergeCell ref="AGM219:AGN219"/>
    <mergeCell ref="AFN195:AFO195"/>
    <mergeCell ref="AFQ195:AFR195"/>
    <mergeCell ref="AFS195:AFT195"/>
    <mergeCell ref="AFQ184:AFR184"/>
    <mergeCell ref="AFS184:AFT184"/>
    <mergeCell ref="AFQ197:AFR197"/>
    <mergeCell ref="AFS197:AFT197"/>
    <mergeCell ref="AFL198:AFM198"/>
    <mergeCell ref="AFN198:AFO198"/>
    <mergeCell ref="AFQ198:AFR198"/>
    <mergeCell ref="AFS198:AFT198"/>
    <mergeCell ref="AFL199:AFM199"/>
    <mergeCell ref="AFN199:AFO199"/>
    <mergeCell ref="AFQ199:AFR199"/>
    <mergeCell ref="AFS199:AFT199"/>
    <mergeCell ref="AFL194:AFM194"/>
    <mergeCell ref="AFL200:AFM200"/>
    <mergeCell ref="AFN200:AFO200"/>
    <mergeCell ref="AFQ200:AFR200"/>
    <mergeCell ref="AFS200:AFT200"/>
    <mergeCell ref="AFL201:AFM201"/>
    <mergeCell ref="AFN201:AFO201"/>
    <mergeCell ref="AFQ201:AFR201"/>
    <mergeCell ref="AFN168:AFO168"/>
    <mergeCell ref="AFQ168:AFR168"/>
    <mergeCell ref="AFS168:AFT168"/>
    <mergeCell ref="AFL169:AFM169"/>
    <mergeCell ref="AFN169:AFO169"/>
    <mergeCell ref="AFN172:AFO172"/>
    <mergeCell ref="AGC184:AGD184"/>
    <mergeCell ref="AFV200:AFW200"/>
    <mergeCell ref="AFX200:AFY200"/>
    <mergeCell ref="AGA200:AGB200"/>
    <mergeCell ref="AGA169:AGB169"/>
    <mergeCell ref="AFX194:AFY194"/>
    <mergeCell ref="AGA194:AGB194"/>
    <mergeCell ref="AGC194:AGD194"/>
    <mergeCell ref="AFN194:AFO194"/>
    <mergeCell ref="AFQ194:AFR194"/>
    <mergeCell ref="AFS194:AFT194"/>
    <mergeCell ref="AFS201:AFT201"/>
    <mergeCell ref="AFL202:AFM202"/>
    <mergeCell ref="AFN202:AFO202"/>
    <mergeCell ref="AFQ202:AFR202"/>
    <mergeCell ref="AFS202:AFT202"/>
    <mergeCell ref="AGP188:AGZ189"/>
    <mergeCell ref="AGC186:AGD186"/>
    <mergeCell ref="AFV187:AFW187"/>
    <mergeCell ref="AGC175:AGD175"/>
    <mergeCell ref="AFV176:AFW176"/>
    <mergeCell ref="AFX176:AFY176"/>
    <mergeCell ref="AGA176:AGB176"/>
    <mergeCell ref="AFV185:AFW185"/>
    <mergeCell ref="AFN180:AFO180"/>
    <mergeCell ref="AFV197:AFW197"/>
    <mergeCell ref="AGM218:AGN218"/>
    <mergeCell ref="AGR215:AHB215"/>
    <mergeCell ref="AFL187:AFM187"/>
    <mergeCell ref="AFN187:AFO187"/>
    <mergeCell ref="AFQ187:AFR187"/>
    <mergeCell ref="AFS187:AFT187"/>
    <mergeCell ref="AFL188:AFM188"/>
    <mergeCell ref="AFN188:AFO188"/>
    <mergeCell ref="AFQ188:AFR188"/>
    <mergeCell ref="AGY187:AGZ187"/>
    <mergeCell ref="AET190:AEU190"/>
    <mergeCell ref="AER191:AES191"/>
    <mergeCell ref="AET191:AEU191"/>
    <mergeCell ref="AER177:AES177"/>
    <mergeCell ref="AET177:AEU177"/>
    <mergeCell ref="AEM193:AEN193"/>
    <mergeCell ref="AEO193:AEP193"/>
    <mergeCell ref="AEM187:AEN187"/>
    <mergeCell ref="AEO187:AEP187"/>
    <mergeCell ref="AEH188:AEI188"/>
    <mergeCell ref="AEJ188:AEK188"/>
    <mergeCell ref="AEM188:AEN188"/>
    <mergeCell ref="AEO188:AEP188"/>
    <mergeCell ref="AEH189:AEI189"/>
    <mergeCell ref="AEJ189:AEK189"/>
    <mergeCell ref="AEM189:AEN189"/>
    <mergeCell ref="AEM184:AEN184"/>
    <mergeCell ref="AEO184:AEP184"/>
    <mergeCell ref="AEH185:AEI185"/>
    <mergeCell ref="AEJ185:AEK185"/>
    <mergeCell ref="AEM185:AEN185"/>
    <mergeCell ref="AEO185:AEP185"/>
    <mergeCell ref="AEH186:AEI186"/>
    <mergeCell ref="AEJ186:AEK186"/>
    <mergeCell ref="AEW183:AEX183"/>
    <mergeCell ref="AEY183:AEZ183"/>
    <mergeCell ref="AEW184:AEX184"/>
    <mergeCell ref="AEY184:AEZ184"/>
    <mergeCell ref="AEW187:AEX187"/>
    <mergeCell ref="AEY187:AEZ187"/>
    <mergeCell ref="AEW188:AEX188"/>
    <mergeCell ref="AEY188:AEZ188"/>
    <mergeCell ref="AEW189:AEX189"/>
    <mergeCell ref="AEY189:AEZ189"/>
    <mergeCell ref="AEW190:AEX190"/>
    <mergeCell ref="AEY190:AEZ190"/>
    <mergeCell ref="AEW191:AEX191"/>
    <mergeCell ref="AEY191:AEZ191"/>
    <mergeCell ref="AEW192:AEX192"/>
    <mergeCell ref="AEY192:AEZ192"/>
    <mergeCell ref="AEW193:AEX193"/>
    <mergeCell ref="AEY193:AEZ193"/>
    <mergeCell ref="AEM181:AEN181"/>
    <mergeCell ref="AEH194:AEI194"/>
    <mergeCell ref="AEJ194:AEK194"/>
    <mergeCell ref="AEO181:AEP181"/>
    <mergeCell ref="AEH182:AEI182"/>
    <mergeCell ref="AEJ182:AEK182"/>
    <mergeCell ref="AEM182:AEN182"/>
    <mergeCell ref="AEO182:AEP182"/>
    <mergeCell ref="AEH183:AEI183"/>
    <mergeCell ref="AEJ183:AEK183"/>
    <mergeCell ref="AEM183:AEN183"/>
    <mergeCell ref="AEO183:AEP183"/>
    <mergeCell ref="AEH184:AEI184"/>
    <mergeCell ref="AFX167:AFY167"/>
    <mergeCell ref="AET187:AEU187"/>
    <mergeCell ref="AER189:AES189"/>
    <mergeCell ref="AET189:AEU189"/>
    <mergeCell ref="AER182:AES182"/>
    <mergeCell ref="AET182:AEU182"/>
    <mergeCell ref="AER183:AES183"/>
    <mergeCell ref="AET183:AEU183"/>
    <mergeCell ref="AER184:AES184"/>
    <mergeCell ref="AET184:AEU184"/>
    <mergeCell ref="AEM186:AEN186"/>
    <mergeCell ref="AEO186:AEP186"/>
    <mergeCell ref="AEH187:AEI187"/>
    <mergeCell ref="AEO189:AEP189"/>
    <mergeCell ref="AEJ187:AEK187"/>
    <mergeCell ref="AEW182:AEX182"/>
    <mergeCell ref="AFG152:AFH152"/>
    <mergeCell ref="AFI152:AFJ152"/>
    <mergeCell ref="AFB153:AFC153"/>
    <mergeCell ref="AFD153:AFE153"/>
    <mergeCell ref="AFG153:AFH153"/>
    <mergeCell ref="AFI153:AFJ153"/>
    <mergeCell ref="AFB154:AFC154"/>
    <mergeCell ref="AFD154:AFE154"/>
    <mergeCell ref="AFG154:AFH154"/>
    <mergeCell ref="AFI154:AFJ154"/>
    <mergeCell ref="AFB155:AFC155"/>
    <mergeCell ref="AFD155:AFE155"/>
    <mergeCell ref="AFG155:AFH155"/>
    <mergeCell ref="AFI155:AFJ155"/>
    <mergeCell ref="AFB156:AFC156"/>
    <mergeCell ref="AEW159:AEX159"/>
    <mergeCell ref="AEY159:AEZ159"/>
    <mergeCell ref="AFB152:AFD152"/>
    <mergeCell ref="AEW168:AEX168"/>
    <mergeCell ref="AEY168:AEZ168"/>
    <mergeCell ref="AER169:AES169"/>
    <mergeCell ref="AET169:AEU169"/>
    <mergeCell ref="AEW169:AEX169"/>
    <mergeCell ref="AEY169:AEZ169"/>
    <mergeCell ref="AEW170:AEX170"/>
    <mergeCell ref="AEY170:AEZ170"/>
    <mergeCell ref="AER171:AES171"/>
    <mergeCell ref="AET171:AEU171"/>
    <mergeCell ref="AEW171:AEX171"/>
    <mergeCell ref="AEY171:AEZ171"/>
    <mergeCell ref="AER172:AES172"/>
    <mergeCell ref="AET172:AEU172"/>
    <mergeCell ref="AEW172:AEX172"/>
    <mergeCell ref="AEY172:AEZ172"/>
    <mergeCell ref="AEY155:AEZ155"/>
    <mergeCell ref="AER156:AES156"/>
    <mergeCell ref="AET156:AEU156"/>
    <mergeCell ref="AEW156:AEX156"/>
    <mergeCell ref="AEY164:AEZ164"/>
    <mergeCell ref="AER165:AES165"/>
    <mergeCell ref="AET165:AEU165"/>
    <mergeCell ref="AEW165:AEX165"/>
    <mergeCell ref="AEY165:AEZ165"/>
    <mergeCell ref="AER166:AES166"/>
    <mergeCell ref="AET166:AEU166"/>
    <mergeCell ref="AEW166:AEX166"/>
    <mergeCell ref="AEY166:AEZ166"/>
    <mergeCell ref="AER167:AES167"/>
    <mergeCell ref="AFS160:AFT160"/>
    <mergeCell ref="AFL161:AFM161"/>
    <mergeCell ref="AFN161:AFO161"/>
    <mergeCell ref="AFQ161:AFR161"/>
    <mergeCell ref="AFS161:AFT161"/>
    <mergeCell ref="AFL162:AFM162"/>
    <mergeCell ref="AFN162:AFO162"/>
    <mergeCell ref="AFQ162:AFR162"/>
    <mergeCell ref="AFS162:AFT162"/>
    <mergeCell ref="AFL163:AFM163"/>
    <mergeCell ref="AFN163:AFO163"/>
    <mergeCell ref="AFQ163:AFR163"/>
    <mergeCell ref="AFS163:AFT163"/>
    <mergeCell ref="AFL164:AFM164"/>
    <mergeCell ref="AFN164:AFO164"/>
    <mergeCell ref="AFQ164:AFR164"/>
    <mergeCell ref="AFS164:AFT164"/>
    <mergeCell ref="AEW161:AEX161"/>
    <mergeCell ref="AEY161:AEZ161"/>
    <mergeCell ref="AER162:AES162"/>
    <mergeCell ref="AET162:AEU162"/>
    <mergeCell ref="AEW162:AEX162"/>
    <mergeCell ref="AEY162:AEZ162"/>
    <mergeCell ref="AER163:AES163"/>
    <mergeCell ref="AET163:AEU163"/>
    <mergeCell ref="AEW163:AEX163"/>
    <mergeCell ref="AEY163:AEZ163"/>
    <mergeCell ref="AER164:AES164"/>
    <mergeCell ref="AET164:AEU164"/>
    <mergeCell ref="AEW164:AEX164"/>
    <mergeCell ref="AFX166:AFY166"/>
    <mergeCell ref="AGA166:AGB166"/>
    <mergeCell ref="AGC166:AGD166"/>
    <mergeCell ref="AFQ165:AFR165"/>
    <mergeCell ref="AFS165:AFT165"/>
    <mergeCell ref="AFQ166:AFR166"/>
    <mergeCell ref="AFS166:AFT166"/>
    <mergeCell ref="AEW185:AEX185"/>
    <mergeCell ref="AEY185:AEZ185"/>
    <mergeCell ref="AER186:AES186"/>
    <mergeCell ref="AET186:AEU186"/>
    <mergeCell ref="AEW186:AEX186"/>
    <mergeCell ref="AEY186:AEZ186"/>
    <mergeCell ref="AER187:AES187"/>
    <mergeCell ref="AFI188:AFJ188"/>
    <mergeCell ref="AEW200:AEX200"/>
    <mergeCell ref="AEY200:AEZ200"/>
    <mergeCell ref="AER201:AES201"/>
    <mergeCell ref="AET201:AEU201"/>
    <mergeCell ref="AEW201:AEX201"/>
    <mergeCell ref="AEY201:AEZ201"/>
    <mergeCell ref="AFD156:AFE156"/>
    <mergeCell ref="AFG156:AFH156"/>
    <mergeCell ref="AFI156:AFJ156"/>
    <mergeCell ref="AFB157:AFC157"/>
    <mergeCell ref="AFD157:AFE157"/>
    <mergeCell ref="AFG157:AFH157"/>
    <mergeCell ref="AFI157:AFJ157"/>
    <mergeCell ref="AFB158:AFC158"/>
    <mergeCell ref="AFD158:AFE158"/>
    <mergeCell ref="AFG158:AFH158"/>
    <mergeCell ref="AFI158:AFJ158"/>
    <mergeCell ref="AFB159:AFC159"/>
    <mergeCell ref="AET159:AEU159"/>
    <mergeCell ref="AER194:AES194"/>
    <mergeCell ref="AER160:AES160"/>
    <mergeCell ref="AEW167:AEX167"/>
    <mergeCell ref="AEY167:AEZ167"/>
    <mergeCell ref="AEJ157:AEK157"/>
    <mergeCell ref="AEM157:AEN157"/>
    <mergeCell ref="AEO157:AEP157"/>
    <mergeCell ref="AEJ158:AEK158"/>
    <mergeCell ref="AEM158:AEN158"/>
    <mergeCell ref="AEO158:AEP158"/>
    <mergeCell ref="AEW160:AEX160"/>
    <mergeCell ref="AEY160:AEZ160"/>
    <mergeCell ref="AEO156:AEP156"/>
    <mergeCell ref="AEO159:AEP159"/>
    <mergeCell ref="AEJ160:AEK160"/>
    <mergeCell ref="AET167:AEU167"/>
    <mergeCell ref="AEY181:AEZ181"/>
    <mergeCell ref="AEY182:AEZ182"/>
    <mergeCell ref="AEO171:AEP171"/>
    <mergeCell ref="AEJ169:AEK169"/>
    <mergeCell ref="AEM169:AEN169"/>
    <mergeCell ref="AEO174:AEP174"/>
    <mergeCell ref="AEJ175:AEK175"/>
    <mergeCell ref="AFB175:AFC175"/>
    <mergeCell ref="AFD175:AFE175"/>
    <mergeCell ref="AFG175:AFH175"/>
    <mergeCell ref="AFI175:AFJ175"/>
    <mergeCell ref="AFB176:AFC176"/>
    <mergeCell ref="AFD176:AFE176"/>
    <mergeCell ref="AFG176:AFH176"/>
    <mergeCell ref="AFI176:AFJ176"/>
    <mergeCell ref="AFB177:AFC177"/>
    <mergeCell ref="AFD177:AFE177"/>
    <mergeCell ref="AFG177:AFH177"/>
    <mergeCell ref="AFI177:AFJ177"/>
    <mergeCell ref="AFB165:AFC165"/>
    <mergeCell ref="AFD165:AFE165"/>
    <mergeCell ref="AFG165:AFH165"/>
    <mergeCell ref="AFI165:AFJ165"/>
    <mergeCell ref="AFB166:AFC166"/>
    <mergeCell ref="AFD166:AFE166"/>
    <mergeCell ref="AFG166:AFH166"/>
    <mergeCell ref="AFI166:AFJ166"/>
    <mergeCell ref="AFB167:AFC167"/>
    <mergeCell ref="AFD167:AFE167"/>
    <mergeCell ref="AFG167:AFH167"/>
    <mergeCell ref="AER178:AES178"/>
    <mergeCell ref="AET178:AEU178"/>
    <mergeCell ref="AER180:AES180"/>
    <mergeCell ref="AGM328:AGO328"/>
    <mergeCell ref="AFG200:AFH200"/>
    <mergeCell ref="AFI200:AFJ200"/>
    <mergeCell ref="AFB201:AFC201"/>
    <mergeCell ref="AER203:AES203"/>
    <mergeCell ref="AET203:AEU203"/>
    <mergeCell ref="AEW203:AEX203"/>
    <mergeCell ref="AEY203:AEZ203"/>
    <mergeCell ref="AFI192:AFJ192"/>
    <mergeCell ref="AFB193:AFC193"/>
    <mergeCell ref="AFD193:AFE193"/>
    <mergeCell ref="AFB194:AFC194"/>
    <mergeCell ref="AFD194:AFE194"/>
    <mergeCell ref="AFG194:AFH194"/>
    <mergeCell ref="AFI194:AFJ194"/>
    <mergeCell ref="AFB195:AFC195"/>
    <mergeCell ref="AFD195:AFE195"/>
    <mergeCell ref="AFG195:AFH195"/>
    <mergeCell ref="AFI195:AFJ195"/>
    <mergeCell ref="AFB196:AFC196"/>
    <mergeCell ref="AFD196:AFE196"/>
    <mergeCell ref="AFG196:AFH196"/>
    <mergeCell ref="AFI196:AFJ196"/>
    <mergeCell ref="AFB197:AFC197"/>
    <mergeCell ref="AFD197:AFE197"/>
    <mergeCell ref="AFG197:AFH197"/>
    <mergeCell ref="AFI197:AFJ197"/>
    <mergeCell ref="AFB198:AFC198"/>
    <mergeCell ref="AFD198:AFE198"/>
    <mergeCell ref="AFG198:AFH198"/>
    <mergeCell ref="AFI198:AFJ198"/>
    <mergeCell ref="AFB199:AFC199"/>
    <mergeCell ref="AFI167:AFJ167"/>
    <mergeCell ref="AFB168:AFC168"/>
    <mergeCell ref="AFD168:AFE168"/>
    <mergeCell ref="AFG168:AFH168"/>
    <mergeCell ref="AFI168:AFJ168"/>
    <mergeCell ref="AFB169:AFC169"/>
    <mergeCell ref="AGP328:AGQ328"/>
    <mergeCell ref="AGR321:AGY323"/>
    <mergeCell ref="AGM327:AGO327"/>
    <mergeCell ref="AGP327:AGQ327"/>
    <mergeCell ref="AGP275:AGQ275"/>
    <mergeCell ref="AGX261:AGY261"/>
    <mergeCell ref="AGM289:AGN289"/>
    <mergeCell ref="AEY246:AEZ246"/>
    <mergeCell ref="AER247:AES247"/>
    <mergeCell ref="AET247:AEU247"/>
    <mergeCell ref="AEW247:AEX247"/>
    <mergeCell ref="AER256:AES256"/>
    <mergeCell ref="AET256:AEU256"/>
    <mergeCell ref="AEW256:AEX256"/>
    <mergeCell ref="AEY255:AEZ255"/>
    <mergeCell ref="AER254:AES254"/>
    <mergeCell ref="AER240:AES240"/>
    <mergeCell ref="AET240:AEU240"/>
    <mergeCell ref="AEW240:AEX240"/>
    <mergeCell ref="AEY240:AEZ240"/>
    <mergeCell ref="AER271:AES271"/>
    <mergeCell ref="AET271:AEU271"/>
    <mergeCell ref="AEW271:AEX271"/>
    <mergeCell ref="AEY271:AEZ271"/>
    <mergeCell ref="AET272:AEU272"/>
    <mergeCell ref="AEW272:AEX272"/>
    <mergeCell ref="AEY272:AEZ272"/>
    <mergeCell ref="AER273:AES273"/>
    <mergeCell ref="AET273:AEU273"/>
    <mergeCell ref="AEW273:AEX273"/>
    <mergeCell ref="AEY273:AEZ273"/>
    <mergeCell ref="AER272:AES272"/>
    <mergeCell ref="AEY256:AEZ256"/>
    <mergeCell ref="AGP326:AGQ326"/>
    <mergeCell ref="AGM326:AGO326"/>
    <mergeCell ref="AGR326:AGY328"/>
    <mergeCell ref="AGX320:AGY320"/>
    <mergeCell ref="AEW261:AEX261"/>
    <mergeCell ref="AEY261:AEZ261"/>
    <mergeCell ref="AER262:AES262"/>
    <mergeCell ref="AET262:AEU262"/>
    <mergeCell ref="AEW262:AEX262"/>
    <mergeCell ref="AEY262:AEZ262"/>
    <mergeCell ref="AET263:AEU263"/>
    <mergeCell ref="AEW263:AEX263"/>
    <mergeCell ref="AEY263:AEZ263"/>
    <mergeCell ref="AER264:AES264"/>
    <mergeCell ref="AET264:AEU264"/>
    <mergeCell ref="AEW264:AEX264"/>
    <mergeCell ref="AEY264:AEZ264"/>
    <mergeCell ref="AER263:AES263"/>
    <mergeCell ref="AET260:AEU260"/>
    <mergeCell ref="AEW260:AEX260"/>
    <mergeCell ref="AEY260:AEZ260"/>
    <mergeCell ref="AER274:AES274"/>
    <mergeCell ref="AET274:AEU274"/>
    <mergeCell ref="AEW274:AEX274"/>
    <mergeCell ref="AEY274:AEZ274"/>
    <mergeCell ref="AER275:AES275"/>
    <mergeCell ref="AET275:AEU275"/>
    <mergeCell ref="AEW275:AEX275"/>
    <mergeCell ref="AGM313:AGN313"/>
    <mergeCell ref="AGM320:AGN320"/>
    <mergeCell ref="AGP282:AGR282"/>
    <mergeCell ref="AFB203:AFC203"/>
    <mergeCell ref="AFD203:AFE203"/>
    <mergeCell ref="AFG203:AFH203"/>
    <mergeCell ref="AFI203:AFJ203"/>
    <mergeCell ref="AEW194:AEX194"/>
    <mergeCell ref="AEY194:AEZ194"/>
    <mergeCell ref="AER195:AES195"/>
    <mergeCell ref="AET195:AEU195"/>
    <mergeCell ref="AEW195:AEX195"/>
    <mergeCell ref="AEY195:AEZ195"/>
    <mergeCell ref="AER196:AES196"/>
    <mergeCell ref="AET196:AEU196"/>
    <mergeCell ref="AEW196:AEX196"/>
    <mergeCell ref="AEY196:AEZ196"/>
    <mergeCell ref="AEW197:AEX197"/>
    <mergeCell ref="AEY197:AEZ197"/>
    <mergeCell ref="AER198:AES198"/>
    <mergeCell ref="AET198:AEU198"/>
    <mergeCell ref="AEW198:AEX198"/>
    <mergeCell ref="AEY198:AEZ198"/>
    <mergeCell ref="AER199:AES199"/>
    <mergeCell ref="AET199:AEU199"/>
    <mergeCell ref="AEW199:AEX199"/>
    <mergeCell ref="AEY199:AEZ199"/>
    <mergeCell ref="AER200:AES200"/>
    <mergeCell ref="AET200:AEU200"/>
    <mergeCell ref="AFD201:AFE201"/>
    <mergeCell ref="AER202:AES202"/>
    <mergeCell ref="AET202:AEU202"/>
    <mergeCell ref="AEW202:AEX202"/>
    <mergeCell ref="AFG201:AFH201"/>
    <mergeCell ref="AFI201:AFJ201"/>
    <mergeCell ref="AFB202:AFC202"/>
    <mergeCell ref="AEY202:AEZ202"/>
    <mergeCell ref="AFD202:AFE202"/>
    <mergeCell ref="AFG202:AFH202"/>
    <mergeCell ref="AFI202:AFJ202"/>
    <mergeCell ref="AFB184:AFC184"/>
    <mergeCell ref="AFD184:AFE184"/>
    <mergeCell ref="AFG184:AFH184"/>
    <mergeCell ref="AFI184:AFJ184"/>
    <mergeCell ref="AFB185:AFC185"/>
    <mergeCell ref="AFD185:AFE185"/>
    <mergeCell ref="AFG185:AFH185"/>
    <mergeCell ref="AFI185:AFJ185"/>
    <mergeCell ref="AFB186:AFC186"/>
    <mergeCell ref="AFD186:AFE186"/>
    <mergeCell ref="AFG186:AFH186"/>
    <mergeCell ref="AFI186:AFJ186"/>
    <mergeCell ref="AFB187:AFC187"/>
    <mergeCell ref="AFD187:AFE187"/>
    <mergeCell ref="AFG187:AFH187"/>
    <mergeCell ref="AFI187:AFJ187"/>
    <mergeCell ref="AFB189:AFC189"/>
    <mergeCell ref="AFD189:AFE189"/>
    <mergeCell ref="AFG189:AFH189"/>
    <mergeCell ref="AFI189:AFJ189"/>
    <mergeCell ref="AFB190:AFC190"/>
    <mergeCell ref="AFD190:AFE190"/>
    <mergeCell ref="AFG190:AFH190"/>
    <mergeCell ref="AFI190:AFJ190"/>
    <mergeCell ref="AFB191:AFC191"/>
    <mergeCell ref="AFD191:AFE191"/>
    <mergeCell ref="AFG191:AFH191"/>
    <mergeCell ref="AFI191:AFJ191"/>
    <mergeCell ref="AFB192:AFC192"/>
    <mergeCell ref="AFD192:AFE192"/>
    <mergeCell ref="AFG192:AFH192"/>
    <mergeCell ref="AFB200:AFC200"/>
    <mergeCell ref="AFD200:AFE200"/>
    <mergeCell ref="AFD199:AFE199"/>
    <mergeCell ref="AFG199:AFH199"/>
    <mergeCell ref="AFI199:AFJ199"/>
    <mergeCell ref="ADX116:ADY116"/>
    <mergeCell ref="ADZ116:AEA116"/>
    <mergeCell ref="AEC116:AED116"/>
    <mergeCell ref="AEE116:AEF116"/>
    <mergeCell ref="AFG161:AFH161"/>
    <mergeCell ref="AFI161:AFJ161"/>
    <mergeCell ref="AFB162:AFC162"/>
    <mergeCell ref="AFD162:AFE162"/>
    <mergeCell ref="AEH108:AEI108"/>
    <mergeCell ref="ADZ99:AEA99"/>
    <mergeCell ref="AEC99:AED99"/>
    <mergeCell ref="AFB173:AFC173"/>
    <mergeCell ref="AFD173:AFE173"/>
    <mergeCell ref="AFG173:AFH173"/>
    <mergeCell ref="AFI173:AFJ173"/>
    <mergeCell ref="AFD174:AFE174"/>
    <mergeCell ref="AFG174:AFH174"/>
    <mergeCell ref="AFI174:AFJ174"/>
    <mergeCell ref="AFG163:AFH163"/>
    <mergeCell ref="AFI163:AFJ163"/>
    <mergeCell ref="AFB164:AFC164"/>
    <mergeCell ref="AFD164:AFE164"/>
    <mergeCell ref="AFG164:AFH164"/>
    <mergeCell ref="AFI164:AFJ164"/>
    <mergeCell ref="AFS159:AFT159"/>
    <mergeCell ref="AFL160:AFM160"/>
    <mergeCell ref="AFN160:AFO160"/>
    <mergeCell ref="AFQ160:AFR160"/>
    <mergeCell ref="AFS169:AFT169"/>
    <mergeCell ref="AFL170:AFM170"/>
    <mergeCell ref="AFN170:AFO170"/>
    <mergeCell ref="AFQ170:AFR170"/>
    <mergeCell ref="AFD159:AFE159"/>
    <mergeCell ref="AFG159:AFH159"/>
    <mergeCell ref="AFI159:AFJ159"/>
    <mergeCell ref="AFB160:AFC160"/>
    <mergeCell ref="AFB163:AFC163"/>
    <mergeCell ref="AFD163:AFE163"/>
    <mergeCell ref="AFD169:AFE169"/>
    <mergeCell ref="AFG169:AFH169"/>
    <mergeCell ref="AFI169:AFJ169"/>
    <mergeCell ref="AFB170:AFC170"/>
    <mergeCell ref="AFD170:AFE170"/>
    <mergeCell ref="AFG170:AFH170"/>
    <mergeCell ref="AFI170:AFJ170"/>
    <mergeCell ref="AFB171:AFC171"/>
    <mergeCell ref="AFD171:AFE171"/>
    <mergeCell ref="AFG171:AFH171"/>
    <mergeCell ref="AFI171:AFJ171"/>
    <mergeCell ref="AFB172:AFC172"/>
    <mergeCell ref="AFG172:AFH172"/>
    <mergeCell ref="AFI172:AFJ172"/>
    <mergeCell ref="AEW154:AEX154"/>
    <mergeCell ref="AEY154:AEZ154"/>
    <mergeCell ref="AER158:AES158"/>
    <mergeCell ref="AEH158:AEI158"/>
    <mergeCell ref="AFL165:AFM165"/>
    <mergeCell ref="AFN165:AFO165"/>
    <mergeCell ref="AFL166:AFM166"/>
    <mergeCell ref="AFN166:AFO166"/>
    <mergeCell ref="AFL167:AFM167"/>
    <mergeCell ref="AFN167:AFO167"/>
    <mergeCell ref="AET154:AEU154"/>
    <mergeCell ref="AEH157:AEI157"/>
    <mergeCell ref="ADX97:ADY97"/>
    <mergeCell ref="ADZ97:AEA97"/>
    <mergeCell ref="AEC97:AED97"/>
    <mergeCell ref="AEE97:AEF97"/>
    <mergeCell ref="ADX98:ADY98"/>
    <mergeCell ref="ADZ98:AEA98"/>
    <mergeCell ref="AEC111:AED111"/>
    <mergeCell ref="AEE111:AEF111"/>
    <mergeCell ref="AEE105:AEF105"/>
    <mergeCell ref="ADX106:ADY106"/>
    <mergeCell ref="ADZ106:AEA106"/>
    <mergeCell ref="AEC106:AED106"/>
    <mergeCell ref="AEE106:AEF106"/>
    <mergeCell ref="AEO104:AEP104"/>
    <mergeCell ref="ADX107:ADY107"/>
    <mergeCell ref="ADZ107:AEA107"/>
    <mergeCell ref="AEC107:AED107"/>
    <mergeCell ref="AEE107:AEF107"/>
    <mergeCell ref="ADX108:ADY108"/>
    <mergeCell ref="ADZ108:AEA108"/>
    <mergeCell ref="AEC108:AED108"/>
    <mergeCell ref="AEE108:AEF108"/>
    <mergeCell ref="AEO96:AEP96"/>
    <mergeCell ref="AEO99:AEP99"/>
    <mergeCell ref="AEH100:AEI100"/>
    <mergeCell ref="AEJ100:AEK100"/>
    <mergeCell ref="AEM100:AEN100"/>
    <mergeCell ref="AEO100:AEP100"/>
    <mergeCell ref="AEH101:AEI101"/>
    <mergeCell ref="AEJ101:AEK101"/>
    <mergeCell ref="AEH109:AEI109"/>
    <mergeCell ref="AEJ109:AEK109"/>
    <mergeCell ref="AEM109:AEN109"/>
    <mergeCell ref="AEO109:AEP109"/>
    <mergeCell ref="AEH110:AEI110"/>
    <mergeCell ref="AEJ110:AEK110"/>
    <mergeCell ref="AEM110:AEN110"/>
    <mergeCell ref="AEO110:AEP110"/>
    <mergeCell ref="AEH111:AEI111"/>
    <mergeCell ref="AHU18:AHV18"/>
    <mergeCell ref="AFV202:AFW202"/>
    <mergeCell ref="AFX202:AFY202"/>
    <mergeCell ref="AGA202:AGB202"/>
    <mergeCell ref="AGC202:AGD202"/>
    <mergeCell ref="AGC176:AGD176"/>
    <mergeCell ref="AFV177:AFW177"/>
    <mergeCell ref="AFX177:AFY177"/>
    <mergeCell ref="AGA177:AGB177"/>
    <mergeCell ref="AGC177:AGD177"/>
    <mergeCell ref="AFV178:AFW178"/>
    <mergeCell ref="AFX178:AFY178"/>
    <mergeCell ref="AGA178:AGB178"/>
    <mergeCell ref="AGC178:AGD178"/>
    <mergeCell ref="AFV179:AFW179"/>
    <mergeCell ref="AFX179:AFY179"/>
    <mergeCell ref="AGA179:AGB179"/>
    <mergeCell ref="AGC179:AGD179"/>
    <mergeCell ref="AFV180:AFW180"/>
    <mergeCell ref="AFX180:AFY180"/>
    <mergeCell ref="AGA180:AGB180"/>
    <mergeCell ref="AGC180:AGD180"/>
    <mergeCell ref="AFV181:AFW181"/>
    <mergeCell ref="AFX181:AFY181"/>
    <mergeCell ref="AGA181:AGB181"/>
    <mergeCell ref="AGC181:AGD181"/>
    <mergeCell ref="AFV182:AFW182"/>
    <mergeCell ref="AFX182:AFY182"/>
    <mergeCell ref="AGA182:AGB182"/>
    <mergeCell ref="AGC182:AGD182"/>
    <mergeCell ref="AFV183:AFW183"/>
    <mergeCell ref="AFX183:AFY183"/>
    <mergeCell ref="AGA183:AGB183"/>
    <mergeCell ref="AGA167:AGB167"/>
    <mergeCell ref="AGC167:AGD167"/>
    <mergeCell ref="AFV168:AFW168"/>
    <mergeCell ref="AFX168:AFY168"/>
    <mergeCell ref="AFV164:AFW164"/>
    <mergeCell ref="AFX164:AFY164"/>
    <mergeCell ref="AGA164:AGB164"/>
    <mergeCell ref="AGC164:AGD164"/>
    <mergeCell ref="AFV165:AFW165"/>
    <mergeCell ref="AFX165:AFY165"/>
    <mergeCell ref="AFV199:AFW199"/>
    <mergeCell ref="AFX199:AFY199"/>
    <mergeCell ref="AFV195:AFW195"/>
    <mergeCell ref="AFX195:AFY195"/>
    <mergeCell ref="AGA195:AGB195"/>
    <mergeCell ref="AGC195:AGD195"/>
    <mergeCell ref="AFV196:AFW196"/>
    <mergeCell ref="AFX196:AFY196"/>
    <mergeCell ref="AGA196:AGB196"/>
    <mergeCell ref="AGC196:AGD196"/>
    <mergeCell ref="AGA152:AGB152"/>
    <mergeCell ref="AGC152:AGD152"/>
    <mergeCell ref="AFV153:AFW153"/>
    <mergeCell ref="AFX153:AFY153"/>
    <mergeCell ref="AGA153:AGB153"/>
    <mergeCell ref="AGC153:AGD153"/>
    <mergeCell ref="AFV152:AFX152"/>
    <mergeCell ref="AFY152:AFZ152"/>
    <mergeCell ref="AGM142:AGO142"/>
    <mergeCell ref="AGM143:AGO143"/>
    <mergeCell ref="AFV167:AFW167"/>
    <mergeCell ref="AFV193:AFW193"/>
    <mergeCell ref="AFQ192:AFR192"/>
    <mergeCell ref="AFS192:AFT192"/>
    <mergeCell ref="AFX174:AFY174"/>
    <mergeCell ref="AGA174:AGB174"/>
    <mergeCell ref="AGC174:AGD174"/>
    <mergeCell ref="AGC185:AGD185"/>
    <mergeCell ref="AGC183:AGD183"/>
    <mergeCell ref="AGA189:AGB189"/>
    <mergeCell ref="AGC189:AGD189"/>
    <mergeCell ref="AFX187:AFY187"/>
    <mergeCell ref="AGA187:AGB187"/>
    <mergeCell ref="AGC187:AGD187"/>
    <mergeCell ref="AFV188:AFW188"/>
    <mergeCell ref="AFL178:AFM178"/>
    <mergeCell ref="AFN178:AFO178"/>
    <mergeCell ref="AFQ178:AFR178"/>
    <mergeCell ref="AFS178:AFT178"/>
    <mergeCell ref="AFQ180:AFR180"/>
    <mergeCell ref="AFS180:AFT180"/>
    <mergeCell ref="AFV191:AFW191"/>
    <mergeCell ref="AFV184:AFW184"/>
    <mergeCell ref="AGA184:AGB184"/>
    <mergeCell ref="AFL193:AFM193"/>
    <mergeCell ref="AFN193:AFO193"/>
    <mergeCell ref="AFQ193:AFR193"/>
    <mergeCell ref="AFS193:AFT193"/>
    <mergeCell ref="AFL175:AFM175"/>
    <mergeCell ref="AFN175:AFO175"/>
    <mergeCell ref="AFQ175:AFR175"/>
    <mergeCell ref="AFS175:AFT175"/>
    <mergeCell ref="AFL176:AFM176"/>
    <mergeCell ref="AFN176:AFO176"/>
    <mergeCell ref="AFQ176:AFR176"/>
    <mergeCell ref="AFS176:AFT176"/>
    <mergeCell ref="AFL177:AFM177"/>
    <mergeCell ref="AFN177:AFO177"/>
    <mergeCell ref="AFQ177:AFR177"/>
    <mergeCell ref="AFS177:AFT177"/>
    <mergeCell ref="AFS188:AFT188"/>
    <mergeCell ref="AFL181:AFM181"/>
    <mergeCell ref="AFN181:AFO181"/>
    <mergeCell ref="AFQ181:AFR181"/>
    <mergeCell ref="AFS181:AFT181"/>
    <mergeCell ref="AFL185:AFM185"/>
    <mergeCell ref="AFN185:AFO185"/>
    <mergeCell ref="AFQ185:AFR185"/>
    <mergeCell ref="AFS185:AFT185"/>
    <mergeCell ref="AFL186:AFM186"/>
    <mergeCell ref="AFV186:AFW186"/>
    <mergeCell ref="AFX186:AFY186"/>
    <mergeCell ref="AGA186:AGB186"/>
    <mergeCell ref="AGA191:AGB191"/>
    <mergeCell ref="AGC191:AGD191"/>
    <mergeCell ref="AFV192:AFW192"/>
    <mergeCell ref="AFX192:AFY192"/>
    <mergeCell ref="AGA192:AGB192"/>
    <mergeCell ref="AGC192:AGD192"/>
    <mergeCell ref="AGA172:AGB172"/>
    <mergeCell ref="AGC172:AGD172"/>
    <mergeCell ref="AFV173:AFW173"/>
    <mergeCell ref="AFX173:AFY173"/>
    <mergeCell ref="AGA168:AGB168"/>
    <mergeCell ref="AGC168:AGD168"/>
    <mergeCell ref="AFV169:AFW169"/>
    <mergeCell ref="AFX169:AFY169"/>
    <mergeCell ref="AEC132:AED132"/>
    <mergeCell ref="ADX117:ADY117"/>
    <mergeCell ref="ADZ117:AEA117"/>
    <mergeCell ref="AEH128:AEI128"/>
    <mergeCell ref="AEJ128:AEK128"/>
    <mergeCell ref="AEM128:AEN128"/>
    <mergeCell ref="AFV175:AFW175"/>
    <mergeCell ref="AFX175:AFY175"/>
    <mergeCell ref="AFL152:AFN152"/>
    <mergeCell ref="AFO152:AFP152"/>
    <mergeCell ref="AFQ152:AFR152"/>
    <mergeCell ref="AFS152:AFT152"/>
    <mergeCell ref="AFL153:AFM153"/>
    <mergeCell ref="AFN153:AFO153"/>
    <mergeCell ref="AFQ153:AFR153"/>
    <mergeCell ref="AFS153:AFT153"/>
    <mergeCell ref="AFS157:AFT157"/>
    <mergeCell ref="AFL158:AFM158"/>
    <mergeCell ref="AFN158:AFO158"/>
    <mergeCell ref="AFQ158:AFR158"/>
    <mergeCell ref="AFS158:AFT158"/>
    <mergeCell ref="AFL159:AFM159"/>
    <mergeCell ref="AFN159:AFO159"/>
    <mergeCell ref="AFQ159:AFR159"/>
    <mergeCell ref="ADZ128:AEA128"/>
    <mergeCell ref="AEC128:AED128"/>
    <mergeCell ref="AEH121:AEI121"/>
    <mergeCell ref="AFB161:AFC161"/>
    <mergeCell ref="AFD161:AFE161"/>
    <mergeCell ref="ADX132:ADY132"/>
    <mergeCell ref="ADZ132:AEA132"/>
    <mergeCell ref="AFV159:AFW159"/>
    <mergeCell ref="AFX159:AFY159"/>
    <mergeCell ref="AGA159:AGB159"/>
    <mergeCell ref="AGC159:AGD159"/>
    <mergeCell ref="AGC165:AGD165"/>
    <mergeCell ref="AFV166:AFW166"/>
    <mergeCell ref="AFB178:AFC178"/>
    <mergeCell ref="AFD178:AFE178"/>
    <mergeCell ref="AFG178:AFH178"/>
    <mergeCell ref="AFI178:AFJ178"/>
    <mergeCell ref="AFB179:AFC179"/>
    <mergeCell ref="AFD179:AFE179"/>
    <mergeCell ref="AFG179:AFH179"/>
    <mergeCell ref="AFI179:AFJ179"/>
    <mergeCell ref="AFB180:AFC180"/>
    <mergeCell ref="AFD180:AFE180"/>
    <mergeCell ref="AFG180:AFH180"/>
    <mergeCell ref="AGA175:AGB175"/>
    <mergeCell ref="AFL155:AFM155"/>
    <mergeCell ref="AFV160:AFW160"/>
    <mergeCell ref="AFX160:AFY160"/>
    <mergeCell ref="AFQ157:AFR157"/>
    <mergeCell ref="ADX122:ADY122"/>
    <mergeCell ref="ADZ122:AEA122"/>
    <mergeCell ref="AEE117:AEF117"/>
    <mergeCell ref="AEE118:AEF118"/>
    <mergeCell ref="AEE123:AEF123"/>
    <mergeCell ref="AEE124:AEF124"/>
    <mergeCell ref="AEE125:AEF125"/>
    <mergeCell ref="AEE126:AEF126"/>
    <mergeCell ref="AEE127:AEF127"/>
    <mergeCell ref="AEE128:AEF128"/>
    <mergeCell ref="AEH123:AEI123"/>
    <mergeCell ref="AGA173:AGB173"/>
    <mergeCell ref="AGC173:AGD173"/>
    <mergeCell ref="AFV174:AFW174"/>
    <mergeCell ref="AGA165:AGB165"/>
    <mergeCell ref="AFL154:AFM154"/>
    <mergeCell ref="AFN154:AFO154"/>
    <mergeCell ref="AFQ154:AFR154"/>
    <mergeCell ref="AFS154:AFT154"/>
    <mergeCell ref="AEM92:AEN92"/>
    <mergeCell ref="AEO92:AEP92"/>
    <mergeCell ref="AEH93:AEI93"/>
    <mergeCell ref="AEJ93:AEK93"/>
    <mergeCell ref="AEM93:AEN93"/>
    <mergeCell ref="AEO93:AEP93"/>
    <mergeCell ref="AEH94:AEI94"/>
    <mergeCell ref="AEH97:AEI97"/>
    <mergeCell ref="AEJ97:AEK97"/>
    <mergeCell ref="AEM97:AEN97"/>
    <mergeCell ref="AEO97:AEP97"/>
    <mergeCell ref="AEH98:AEI98"/>
    <mergeCell ref="AEJ98:AEK98"/>
    <mergeCell ref="AEM98:AEN98"/>
    <mergeCell ref="ADX105:ADY105"/>
    <mergeCell ref="AGA154:AGB154"/>
    <mergeCell ref="AGC154:AGD154"/>
    <mergeCell ref="AFV155:AFW155"/>
    <mergeCell ref="AFX155:AFY155"/>
    <mergeCell ref="AGA155:AGB155"/>
    <mergeCell ref="AGC155:AGD155"/>
    <mergeCell ref="AFV156:AFW156"/>
    <mergeCell ref="AFX156:AFY156"/>
    <mergeCell ref="AGA156:AGB156"/>
    <mergeCell ref="AGC156:AGD156"/>
    <mergeCell ref="AFV157:AFW157"/>
    <mergeCell ref="AFQ174:AFR174"/>
    <mergeCell ref="AFS174:AFT174"/>
    <mergeCell ref="AFN155:AFO155"/>
    <mergeCell ref="AFQ155:AFR155"/>
    <mergeCell ref="AFS155:AFT155"/>
    <mergeCell ref="AFL156:AFM156"/>
    <mergeCell ref="AFN156:AFO156"/>
    <mergeCell ref="AFQ156:AFR156"/>
    <mergeCell ref="AFS156:AFT156"/>
    <mergeCell ref="AFL157:AFM157"/>
    <mergeCell ref="AFN157:AFO157"/>
    <mergeCell ref="AEE99:AEF99"/>
    <mergeCell ref="AFG162:AFH162"/>
    <mergeCell ref="AFI162:AFJ162"/>
    <mergeCell ref="ADX96:ADY96"/>
    <mergeCell ref="ADZ96:AEA96"/>
    <mergeCell ref="AEJ115:AEK115"/>
    <mergeCell ref="AEM115:AEN115"/>
    <mergeCell ref="AEO115:AEP115"/>
    <mergeCell ref="AEH116:AEI116"/>
    <mergeCell ref="AEJ116:AEK116"/>
    <mergeCell ref="AEM116:AEN116"/>
    <mergeCell ref="AEO116:AEP116"/>
    <mergeCell ref="ADZ121:AEA121"/>
    <mergeCell ref="AEC121:AED121"/>
    <mergeCell ref="AEE121:AEF121"/>
    <mergeCell ref="AEC95:AED95"/>
    <mergeCell ref="AEE95:AEF95"/>
    <mergeCell ref="AEO95:AEP95"/>
    <mergeCell ref="AEO120:AEP120"/>
    <mergeCell ref="AEO121:AEP121"/>
    <mergeCell ref="AEO117:AEP117"/>
    <mergeCell ref="AEO118:AEP118"/>
    <mergeCell ref="AEO119:AEP119"/>
    <mergeCell ref="AEC110:AED110"/>
    <mergeCell ref="ADZ113:AEA113"/>
    <mergeCell ref="ADZ84:AEA84"/>
    <mergeCell ref="ADZ85:AEA85"/>
    <mergeCell ref="AEJ60:AEK60"/>
    <mergeCell ref="AEM60:AEN60"/>
    <mergeCell ref="AEO60:AEP60"/>
    <mergeCell ref="AEH61:AEI61"/>
    <mergeCell ref="AEJ61:AEK61"/>
    <mergeCell ref="AEM61:AEN61"/>
    <mergeCell ref="AEC83:AED83"/>
    <mergeCell ref="AEE83:AEF83"/>
    <mergeCell ref="AEC84:AED84"/>
    <mergeCell ref="AEE84:AEF84"/>
    <mergeCell ref="AEC85:AED85"/>
    <mergeCell ref="AEE85:AEF85"/>
    <mergeCell ref="AEC86:AED86"/>
    <mergeCell ref="AEE114:AEF114"/>
    <mergeCell ref="AEJ111:AEK111"/>
    <mergeCell ref="AEM111:AEN111"/>
    <mergeCell ref="AEO111:AEP111"/>
    <mergeCell ref="AEJ107:AEK107"/>
    <mergeCell ref="AEM107:AEN107"/>
    <mergeCell ref="AEO107:AEP107"/>
    <mergeCell ref="AEH102:AEI102"/>
    <mergeCell ref="AEJ102:AEK102"/>
    <mergeCell ref="AEJ95:AEK95"/>
    <mergeCell ref="ADZ105:AEA105"/>
    <mergeCell ref="AEC105:AED105"/>
    <mergeCell ref="AEC96:AED96"/>
    <mergeCell ref="AEE96:AEF96"/>
    <mergeCell ref="AEC113:AED113"/>
    <mergeCell ref="AEE113:AEF113"/>
    <mergeCell ref="ACJ11:ACL11"/>
    <mergeCell ref="ACM11:ACN11"/>
    <mergeCell ref="ACO11:ACP11"/>
    <mergeCell ref="ACQ11:ACR11"/>
    <mergeCell ref="ACJ12:ACK12"/>
    <mergeCell ref="ACL12:ACM12"/>
    <mergeCell ref="ACO12:ACP12"/>
    <mergeCell ref="ACQ12:ACR12"/>
    <mergeCell ref="ACJ13:ACK13"/>
    <mergeCell ref="ACL13:ACM13"/>
    <mergeCell ref="ACO13:ACP13"/>
    <mergeCell ref="ACQ13:ACR13"/>
    <mergeCell ref="ACJ14:ACK14"/>
    <mergeCell ref="ACL14:ACM14"/>
    <mergeCell ref="ACO14:ACP14"/>
    <mergeCell ref="ACQ14:ACR14"/>
    <mergeCell ref="ACJ15:ACK15"/>
    <mergeCell ref="ACL15:ACM15"/>
    <mergeCell ref="ACO15:ACP15"/>
    <mergeCell ref="ACQ15:ACR15"/>
    <mergeCell ref="ACJ16:ACK16"/>
    <mergeCell ref="ACL16:ACM16"/>
    <mergeCell ref="ACO16:ACP16"/>
    <mergeCell ref="ACQ16:ACR16"/>
    <mergeCell ref="ACJ17:ACK17"/>
    <mergeCell ref="ACL17:ACM17"/>
    <mergeCell ref="ACO17:ACP17"/>
    <mergeCell ref="ACQ17:ACR17"/>
    <mergeCell ref="ACJ18:ACK18"/>
    <mergeCell ref="ACL18:ACM18"/>
    <mergeCell ref="ACO18:ACP18"/>
    <mergeCell ref="ACQ18:ACR18"/>
    <mergeCell ref="ACJ19:ACK19"/>
    <mergeCell ref="ACL19:ACM19"/>
    <mergeCell ref="ACO19:ACP19"/>
    <mergeCell ref="ACQ19:ACR19"/>
    <mergeCell ref="ACJ20:ACK20"/>
    <mergeCell ref="ACL20:ACM20"/>
    <mergeCell ref="ACO20:ACP20"/>
    <mergeCell ref="ACQ20:ACR20"/>
    <mergeCell ref="ACJ21:ACK21"/>
    <mergeCell ref="ACL21:ACM21"/>
    <mergeCell ref="ACO21:ACP21"/>
    <mergeCell ref="ACQ21:ACR21"/>
    <mergeCell ref="ACJ22:ACK22"/>
    <mergeCell ref="ACL22:ACM22"/>
    <mergeCell ref="ACO22:ACP22"/>
    <mergeCell ref="ACQ22:ACR22"/>
    <mergeCell ref="ACJ23:ACK23"/>
    <mergeCell ref="ACL23:ACM23"/>
    <mergeCell ref="ACO23:ACP23"/>
    <mergeCell ref="ACQ23:ACR23"/>
    <mergeCell ref="ACJ24:ACK24"/>
    <mergeCell ref="AEH92:AEI92"/>
    <mergeCell ref="AEJ92:AEK92"/>
    <mergeCell ref="ACT11:ACV11"/>
    <mergeCell ref="ACW11:ACX11"/>
    <mergeCell ref="ADD11:ADF11"/>
    <mergeCell ref="ACL24:ACM24"/>
    <mergeCell ref="AEM37:AEN37"/>
    <mergeCell ref="AEO37:AEP37"/>
    <mergeCell ref="AEH38:AEI38"/>
    <mergeCell ref="AEJ38:AEK38"/>
    <mergeCell ref="AEM38:AEN38"/>
    <mergeCell ref="AEO38:AEP38"/>
    <mergeCell ref="ACO24:ACP24"/>
    <mergeCell ref="ACQ24:ACR24"/>
    <mergeCell ref="ACQ26:ACR26"/>
    <mergeCell ref="ACJ27:ACK27"/>
    <mergeCell ref="ACL27:ACM27"/>
    <mergeCell ref="ACO27:ACP27"/>
    <mergeCell ref="ACQ27:ACR27"/>
    <mergeCell ref="ACY60:ACZ60"/>
    <mergeCell ref="ADA59:ADB59"/>
    <mergeCell ref="ACJ46:ACK46"/>
    <mergeCell ref="ACL46:ACM46"/>
    <mergeCell ref="ACO46:ACP46"/>
    <mergeCell ref="ACQ46:ACR46"/>
    <mergeCell ref="AEH57:AEI57"/>
    <mergeCell ref="AEJ57:AEK57"/>
    <mergeCell ref="ACJ47:ACK47"/>
    <mergeCell ref="ACL47:ACM47"/>
    <mergeCell ref="ACO47:ACP47"/>
    <mergeCell ref="ACQ47:ACR47"/>
    <mergeCell ref="ACJ48:ACK48"/>
    <mergeCell ref="ACL48:ACM48"/>
    <mergeCell ref="ACO48:ACP48"/>
    <mergeCell ref="ACQ48:ACR48"/>
    <mergeCell ref="ACJ28:ACK28"/>
    <mergeCell ref="ACL28:ACM28"/>
    <mergeCell ref="ACO28:ACP28"/>
    <mergeCell ref="ACQ28:ACR28"/>
    <mergeCell ref="ACJ29:ACK29"/>
    <mergeCell ref="ACL29:ACM29"/>
    <mergeCell ref="ACO29:ACP29"/>
    <mergeCell ref="ACQ29:ACR29"/>
    <mergeCell ref="ACJ30:ACK30"/>
    <mergeCell ref="ACL30:ACM30"/>
    <mergeCell ref="ACO30:ACP30"/>
    <mergeCell ref="ACQ30:ACR30"/>
    <mergeCell ref="ACJ31:ACK31"/>
    <mergeCell ref="ACL31:ACM31"/>
    <mergeCell ref="ACO31:ACP31"/>
    <mergeCell ref="ACQ31:ACR31"/>
    <mergeCell ref="ACJ32:ACK32"/>
    <mergeCell ref="ACL32:ACM32"/>
    <mergeCell ref="ACO32:ACP32"/>
    <mergeCell ref="ACQ32:ACR32"/>
    <mergeCell ref="ACJ33:ACK33"/>
    <mergeCell ref="ACL33:ACM33"/>
    <mergeCell ref="ACO33:ACP33"/>
    <mergeCell ref="ACQ33:ACR33"/>
    <mergeCell ref="ACJ34:ACK34"/>
    <mergeCell ref="ACL34:ACM34"/>
    <mergeCell ref="ACO34:ACP34"/>
    <mergeCell ref="ACQ34:ACR34"/>
    <mergeCell ref="ACJ35:ACK35"/>
    <mergeCell ref="ACL35:ACM35"/>
    <mergeCell ref="ACO35:ACP35"/>
    <mergeCell ref="ACQ35:ACR35"/>
    <mergeCell ref="ACJ36:ACK36"/>
    <mergeCell ref="ACL36:ACM36"/>
    <mergeCell ref="ACO36:ACP36"/>
    <mergeCell ref="ACQ36:ACR36"/>
    <mergeCell ref="ACY54:ACZ54"/>
    <mergeCell ref="ACY50:ACZ50"/>
    <mergeCell ref="ACY41:ACZ41"/>
    <mergeCell ref="ADN53:ADO53"/>
    <mergeCell ref="ADA55:ADB55"/>
    <mergeCell ref="ADA56:ADB56"/>
    <mergeCell ref="ADA57:ADB57"/>
    <mergeCell ref="ADS90:ADT90"/>
    <mergeCell ref="ADU90:ADV90"/>
    <mergeCell ref="ADP43:ADQ43"/>
    <mergeCell ref="ACO50:ACP50"/>
    <mergeCell ref="ACQ50:ACR50"/>
    <mergeCell ref="ACJ51:ACK51"/>
    <mergeCell ref="ACL51:ACM51"/>
    <mergeCell ref="ACO51:ACP51"/>
    <mergeCell ref="ACQ51:ACR51"/>
    <mergeCell ref="ACJ52:ACK52"/>
    <mergeCell ref="ACL52:ACM52"/>
    <mergeCell ref="ADS56:ADT56"/>
    <mergeCell ref="ACT90:ACU90"/>
    <mergeCell ref="ADF42:ADG42"/>
    <mergeCell ref="ADF60:ADG60"/>
    <mergeCell ref="ADD35:ADE35"/>
    <mergeCell ref="ADA83:ADB83"/>
    <mergeCell ref="ADD85:ADE85"/>
    <mergeCell ref="ADU83:ADV83"/>
    <mergeCell ref="ADD84:ADE84"/>
    <mergeCell ref="ADN54:ADO54"/>
    <mergeCell ref="ADH226:ADJ226"/>
    <mergeCell ref="ADK226:ADL226"/>
    <mergeCell ref="ADN226:ADO226"/>
    <mergeCell ref="ADP226:ADQ226"/>
    <mergeCell ref="ACK77:ACM78"/>
    <mergeCell ref="ADA91:ADB91"/>
    <mergeCell ref="ADD91:ADE91"/>
    <mergeCell ref="ADF91:ADG91"/>
    <mergeCell ref="ADI91:ADJ91"/>
    <mergeCell ref="ADK91:ADL91"/>
    <mergeCell ref="ADN91:ADO91"/>
    <mergeCell ref="ADA86:ADB86"/>
    <mergeCell ref="ACV87:ACW87"/>
    <mergeCell ref="ACJ37:ACK37"/>
    <mergeCell ref="ACL37:ACM37"/>
    <mergeCell ref="ACO37:ACP37"/>
    <mergeCell ref="ACQ37:ACR37"/>
    <mergeCell ref="ACJ38:ACK38"/>
    <mergeCell ref="ACL38:ACM38"/>
    <mergeCell ref="ACO38:ACP38"/>
    <mergeCell ref="ACQ38:ACR38"/>
    <mergeCell ref="ACJ39:ACK39"/>
    <mergeCell ref="ACL39:ACM39"/>
    <mergeCell ref="ACO39:ACP39"/>
    <mergeCell ref="ACQ39:ACR39"/>
    <mergeCell ref="ACJ40:ACK40"/>
    <mergeCell ref="ACL40:ACM40"/>
    <mergeCell ref="ACO40:ACP40"/>
    <mergeCell ref="ACQ40:ACR40"/>
    <mergeCell ref="ACJ41:ACK41"/>
    <mergeCell ref="ACL41:ACM41"/>
    <mergeCell ref="ACO41:ACP41"/>
    <mergeCell ref="ACQ41:ACR41"/>
    <mergeCell ref="ACJ42:ACK42"/>
    <mergeCell ref="ACL42:ACM42"/>
    <mergeCell ref="ACO42:ACP42"/>
    <mergeCell ref="ACQ42:ACR42"/>
    <mergeCell ref="ACJ43:ACK43"/>
    <mergeCell ref="ACL43:ACM43"/>
    <mergeCell ref="ACO43:ACP43"/>
    <mergeCell ref="ACQ43:ACR43"/>
    <mergeCell ref="ACO44:ACP44"/>
    <mergeCell ref="ACQ44:ACR44"/>
    <mergeCell ref="ACJ45:ACK45"/>
    <mergeCell ref="ACL45:ACM45"/>
    <mergeCell ref="ACO45:ACP45"/>
    <mergeCell ref="ACQ45:ACR45"/>
    <mergeCell ref="ADA87:ADB87"/>
    <mergeCell ref="ACQ53:ACR53"/>
    <mergeCell ref="ACT40:ACU40"/>
    <mergeCell ref="ACV40:ACW40"/>
    <mergeCell ref="ADA85:ADB85"/>
    <mergeCell ref="ACY85:ACZ85"/>
    <mergeCell ref="ACV86:ACW86"/>
    <mergeCell ref="ACL90:ACM90"/>
    <mergeCell ref="ACX79:ACY79"/>
    <mergeCell ref="ACR80:ACS80"/>
    <mergeCell ref="ADK178:ADL178"/>
    <mergeCell ref="ADN178:ADO178"/>
    <mergeCell ref="ADP178:ADQ178"/>
    <mergeCell ref="ACQ173:ACR173"/>
    <mergeCell ref="ACT173:ACU173"/>
    <mergeCell ref="ACV173:ACW173"/>
    <mergeCell ref="ACY173:ACZ173"/>
    <mergeCell ref="XW139:XW141"/>
    <mergeCell ref="XX139:XX141"/>
    <mergeCell ref="XY139:XY141"/>
    <mergeCell ref="ACO134:ACP134"/>
    <mergeCell ref="YK129:YK130"/>
    <mergeCell ref="AEV226:AEX226"/>
    <mergeCell ref="AEY226:AEZ226"/>
    <mergeCell ref="AFB226:AFC226"/>
    <mergeCell ref="AFD226:AFE226"/>
    <mergeCell ref="AFF226:AFH226"/>
    <mergeCell ref="AFI226:AFJ226"/>
    <mergeCell ref="AEH63:AEI63"/>
    <mergeCell ref="AEJ63:AEK63"/>
    <mergeCell ref="AEM63:AEN63"/>
    <mergeCell ref="AEO63:AEP63"/>
    <mergeCell ref="ACJ56:ACK56"/>
    <mergeCell ref="ACL56:ACM56"/>
    <mergeCell ref="ACO56:ACP56"/>
    <mergeCell ref="ACQ56:ACR56"/>
    <mergeCell ref="ACJ57:ACK57"/>
    <mergeCell ref="ACL57:ACM57"/>
    <mergeCell ref="ACO57:ACP57"/>
    <mergeCell ref="ACQ57:ACR57"/>
    <mergeCell ref="ACJ58:ACK58"/>
    <mergeCell ref="ACL58:ACM58"/>
    <mergeCell ref="ACO58:ACP58"/>
    <mergeCell ref="ACQ58:ACR58"/>
    <mergeCell ref="ACJ59:ACK59"/>
    <mergeCell ref="ACL59:ACM59"/>
    <mergeCell ref="ACO59:ACP59"/>
    <mergeCell ref="ACQ59:ACR59"/>
    <mergeCell ref="ACJ60:ACK60"/>
    <mergeCell ref="ACL60:ACM60"/>
    <mergeCell ref="ACO60:ACP60"/>
    <mergeCell ref="ACQ60:ACR60"/>
    <mergeCell ref="ACJ61:ACK61"/>
    <mergeCell ref="ACL61:ACM61"/>
    <mergeCell ref="ACO61:ACP61"/>
    <mergeCell ref="ACQ61:ACR61"/>
    <mergeCell ref="ACJ62:ACK62"/>
    <mergeCell ref="ACL62:ACM62"/>
    <mergeCell ref="ACO62:ACP62"/>
    <mergeCell ref="ACQ62:ACR62"/>
    <mergeCell ref="AEM56:AEN56"/>
    <mergeCell ref="AEO56:AEP56"/>
    <mergeCell ref="ADX89:ADY89"/>
    <mergeCell ref="ADZ89:AEA89"/>
    <mergeCell ref="AEC89:AED89"/>
    <mergeCell ref="AEE89:AEF89"/>
    <mergeCell ref="ADX90:ADY90"/>
    <mergeCell ref="AEC122:AED122"/>
    <mergeCell ref="AEE122:AEF122"/>
    <mergeCell ref="AEH122:AEI122"/>
    <mergeCell ref="AEJ122:AEK122"/>
    <mergeCell ref="AEM122:AEN122"/>
    <mergeCell ref="AEO122:AEP122"/>
    <mergeCell ref="ADX115:ADY115"/>
    <mergeCell ref="ADZ115:AEA115"/>
    <mergeCell ref="AEC115:AED115"/>
    <mergeCell ref="AEE115:AEF115"/>
    <mergeCell ref="ACX226:ACZ226"/>
    <mergeCell ref="ADA226:ADB226"/>
    <mergeCell ref="ADD226:ADE226"/>
    <mergeCell ref="ADF226:ADG226"/>
    <mergeCell ref="ACO178:ACP178"/>
    <mergeCell ref="ACQ178:ACR178"/>
    <mergeCell ref="ACT178:ACU178"/>
    <mergeCell ref="ACV178:ACW178"/>
    <mergeCell ref="ACY178:ACZ178"/>
    <mergeCell ref="XW129:XW130"/>
    <mergeCell ref="XX129:XX130"/>
    <mergeCell ref="XY129:XY130"/>
    <mergeCell ref="XZ129:XZ130"/>
    <mergeCell ref="YA129:YA130"/>
    <mergeCell ref="YB129:YB130"/>
    <mergeCell ref="YC129:YC130"/>
    <mergeCell ref="YD129:YD130"/>
    <mergeCell ref="XQ151:XQ154"/>
    <mergeCell ref="AEJ184:AEK184"/>
    <mergeCell ref="AEM178:AEN178"/>
    <mergeCell ref="AEO178:AEP178"/>
    <mergeCell ref="AEH179:AEI179"/>
    <mergeCell ref="AEJ179:AEK179"/>
    <mergeCell ref="AEH197:AEI197"/>
    <mergeCell ref="AEJ197:AEK197"/>
    <mergeCell ref="AEM197:AEN197"/>
    <mergeCell ref="AEO197:AEP197"/>
    <mergeCell ref="AEH163:AEI163"/>
    <mergeCell ref="AEJ163:AEK163"/>
    <mergeCell ref="AEH171:AEI171"/>
    <mergeCell ref="AEC131:AED131"/>
    <mergeCell ref="AEE131:AEF131"/>
    <mergeCell ref="ADX129:ADY129"/>
    <mergeCell ref="ADZ129:AEA129"/>
    <mergeCell ref="AEC129:AED129"/>
    <mergeCell ref="AEE129:AEF129"/>
    <mergeCell ref="AEE160:AEF160"/>
    <mergeCell ref="ADX152:ADZ152"/>
    <mergeCell ref="AEA152:AEB152"/>
    <mergeCell ref="AEC152:AED152"/>
    <mergeCell ref="AEE152:AEF152"/>
    <mergeCell ref="AEH152:AEJ152"/>
    <mergeCell ref="ACQ163:ACR163"/>
    <mergeCell ref="ACT163:ACU163"/>
    <mergeCell ref="ACV163:ACW163"/>
    <mergeCell ref="ACY163:ACZ163"/>
    <mergeCell ref="ADA163:ADB163"/>
    <mergeCell ref="ADD163:ADE163"/>
    <mergeCell ref="ADF163:ADG163"/>
    <mergeCell ref="ADI163:ADJ163"/>
    <mergeCell ref="ZI155:ZI157"/>
    <mergeCell ref="AEM176:AEN176"/>
    <mergeCell ref="AEO176:AEP176"/>
    <mergeCell ref="AEH177:AEI177"/>
    <mergeCell ref="AEJ177:AEK177"/>
    <mergeCell ref="AEJ176:AEK176"/>
    <mergeCell ref="AEM194:AEN194"/>
    <mergeCell ref="AEO194:AEP194"/>
    <mergeCell ref="AEK152:AEL152"/>
    <mergeCell ref="AEM152:AEN152"/>
    <mergeCell ref="AEO152:AEP152"/>
    <mergeCell ref="AEE153:AEF153"/>
    <mergeCell ref="AEE156:AEF156"/>
    <mergeCell ref="AEH196:AEI196"/>
    <mergeCell ref="AEJ196:AEK196"/>
    <mergeCell ref="AEM196:AEN196"/>
    <mergeCell ref="AEO196:AEP196"/>
    <mergeCell ref="ACQ177:ACR177"/>
    <mergeCell ref="YF129:YF130"/>
    <mergeCell ref="YG129:YG130"/>
    <mergeCell ref="YH129:YH130"/>
    <mergeCell ref="YI129:YI130"/>
    <mergeCell ref="YJ129:YJ130"/>
    <mergeCell ref="AER179:AES179"/>
    <mergeCell ref="AET179:AEU179"/>
    <mergeCell ref="AER188:AES188"/>
    <mergeCell ref="AET188:AEU188"/>
    <mergeCell ref="AER197:AES197"/>
    <mergeCell ref="AET197:AEU197"/>
    <mergeCell ref="AEJ164:AEK164"/>
    <mergeCell ref="AEM164:AEN164"/>
    <mergeCell ref="AEO164:AEP164"/>
    <mergeCell ref="AEM179:AEN179"/>
    <mergeCell ref="AEO179:AEP179"/>
    <mergeCell ref="AEH180:AEI180"/>
    <mergeCell ref="AEJ180:AEK180"/>
    <mergeCell ref="AEM180:AEN180"/>
    <mergeCell ref="AEO180:AEP180"/>
    <mergeCell ref="AEH181:AEI181"/>
    <mergeCell ref="ADU226:ADV226"/>
    <mergeCell ref="AEH226:AEI226"/>
    <mergeCell ref="AEJ226:AEK226"/>
    <mergeCell ref="AEL226:AEN226"/>
    <mergeCell ref="AEO226:AEP226"/>
    <mergeCell ref="ADQ152:ADR152"/>
    <mergeCell ref="XO151:XO154"/>
    <mergeCell ref="XP151:XP154"/>
    <mergeCell ref="XH155:XH157"/>
    <mergeCell ref="XI155:XI157"/>
    <mergeCell ref="XJ155:XJ157"/>
    <mergeCell ref="XK155:XK157"/>
    <mergeCell ref="XL155:XL157"/>
    <mergeCell ref="XM155:XM157"/>
    <mergeCell ref="XN155:XN157"/>
    <mergeCell ref="XO155:XO157"/>
    <mergeCell ref="XP155:XP157"/>
    <mergeCell ref="ACQ226:ACR226"/>
    <mergeCell ref="ACT226:ACU226"/>
    <mergeCell ref="AET180:AEU180"/>
    <mergeCell ref="AER181:AES181"/>
    <mergeCell ref="AET181:AEU181"/>
    <mergeCell ref="AET158:AEU158"/>
    <mergeCell ref="AER173:AES173"/>
    <mergeCell ref="AET173:AEU173"/>
    <mergeCell ref="ACT177:ACU177"/>
    <mergeCell ref="ACV177:ACW177"/>
    <mergeCell ref="ACY177:ACZ177"/>
    <mergeCell ref="ADA177:ADB177"/>
    <mergeCell ref="ADD177:ADE177"/>
    <mergeCell ref="ADF177:ADG177"/>
    <mergeCell ref="ADI177:ADJ177"/>
    <mergeCell ref="ADK177:ADL177"/>
    <mergeCell ref="ADN177:ADO177"/>
    <mergeCell ref="ADP177:ADQ177"/>
    <mergeCell ref="ADS177:ADT177"/>
    <mergeCell ref="ADU177:ADV177"/>
    <mergeCell ref="ADX177:ADY177"/>
    <mergeCell ref="ADZ177:AEA177"/>
    <mergeCell ref="AEC177:AED177"/>
    <mergeCell ref="AEE177:AEF177"/>
    <mergeCell ref="ACJ178:ACK178"/>
    <mergeCell ref="ACL178:ACM178"/>
    <mergeCell ref="AER226:AES226"/>
    <mergeCell ref="AET226:AEU226"/>
    <mergeCell ref="AEH129:AEI129"/>
    <mergeCell ref="AEJ129:AEK129"/>
    <mergeCell ref="AEM129:AEN129"/>
    <mergeCell ref="AEO129:AEP129"/>
    <mergeCell ref="AEH130:AEI130"/>
    <mergeCell ref="AEJ130:AEK130"/>
    <mergeCell ref="AEM130:AEN130"/>
    <mergeCell ref="AEO130:AEP130"/>
    <mergeCell ref="AEH131:AEI131"/>
    <mergeCell ref="AEJ131:AEK131"/>
    <mergeCell ref="AEM131:AEN131"/>
    <mergeCell ref="AEO131:AEP131"/>
    <mergeCell ref="AEH132:AEI132"/>
    <mergeCell ref="AEJ132:AEK132"/>
    <mergeCell ref="AEM132:AEN132"/>
    <mergeCell ref="AEO132:AEP132"/>
    <mergeCell ref="AEH133:AEI133"/>
    <mergeCell ref="AEJ133:AEK133"/>
    <mergeCell ref="AEM133:AEN133"/>
    <mergeCell ref="AEO133:AEP133"/>
    <mergeCell ref="AEH134:AEI134"/>
    <mergeCell ref="AEJ134:AEK134"/>
    <mergeCell ref="AEM134:AEN134"/>
    <mergeCell ref="AEO134:AEP134"/>
    <mergeCell ref="AEH190:AEI190"/>
    <mergeCell ref="AEJ190:AEK190"/>
    <mergeCell ref="AEM190:AEN190"/>
    <mergeCell ref="AEO190:AEP190"/>
    <mergeCell ref="AEH191:AEI191"/>
    <mergeCell ref="AEJ191:AEK191"/>
    <mergeCell ref="AEM191:AEN191"/>
    <mergeCell ref="AEO191:AEP191"/>
    <mergeCell ref="AEH192:AEI192"/>
    <mergeCell ref="AEJ192:AEK192"/>
    <mergeCell ref="AEM192:AEN192"/>
    <mergeCell ref="AEO192:AEP192"/>
    <mergeCell ref="AEH193:AEI193"/>
    <mergeCell ref="AEJ193:AEK193"/>
    <mergeCell ref="AEM195:AEN195"/>
    <mergeCell ref="AEO195:AEP195"/>
    <mergeCell ref="AET194:AEU194"/>
    <mergeCell ref="AET160:AEU160"/>
    <mergeCell ref="AER161:AES161"/>
    <mergeCell ref="AET161:AEU161"/>
    <mergeCell ref="AER170:AES170"/>
    <mergeCell ref="AET170:AEU170"/>
    <mergeCell ref="AER192:AES192"/>
    <mergeCell ref="AET192:AEU192"/>
    <mergeCell ref="AER193:AES193"/>
    <mergeCell ref="AET193:AEU193"/>
    <mergeCell ref="AEJ181:AEK181"/>
    <mergeCell ref="AER185:AES185"/>
    <mergeCell ref="AET185:AEU185"/>
    <mergeCell ref="AEJ153:AEK153"/>
    <mergeCell ref="AEM153:AEN153"/>
    <mergeCell ref="AEO153:AEP153"/>
    <mergeCell ref="AEH153:AEI153"/>
    <mergeCell ref="AEH160:AEI160"/>
    <mergeCell ref="AEH169:AEI169"/>
    <mergeCell ref="AEH175:AEI175"/>
    <mergeCell ref="XU126:XU128"/>
    <mergeCell ref="XV126:XV128"/>
    <mergeCell ref="XW126:XW128"/>
    <mergeCell ref="XX126:XX128"/>
    <mergeCell ref="XY126:XY128"/>
    <mergeCell ref="XZ126:XZ128"/>
    <mergeCell ref="YA126:YA128"/>
    <mergeCell ref="YN104:YN106"/>
    <mergeCell ref="YO104:YO106"/>
    <mergeCell ref="ZP151:ZP154"/>
    <mergeCell ref="ZQ151:ZQ154"/>
    <mergeCell ref="ZR151:ZR154"/>
    <mergeCell ref="ZS151:ZS154"/>
    <mergeCell ref="ZT151:ZT154"/>
    <mergeCell ref="ZU151:ZU154"/>
    <mergeCell ref="ZV151:ZV154"/>
    <mergeCell ref="ZW151:ZW154"/>
    <mergeCell ref="XW142:XW144"/>
    <mergeCell ref="XX142:XX144"/>
    <mergeCell ref="XY142:XY144"/>
    <mergeCell ref="XZ142:XZ144"/>
    <mergeCell ref="XZ139:XZ141"/>
    <mergeCell ref="YA139:YA141"/>
    <mergeCell ref="YB139:YB141"/>
    <mergeCell ref="YC139:YC141"/>
    <mergeCell ref="ZG139:ZG141"/>
    <mergeCell ref="ZH139:ZH141"/>
    <mergeCell ref="ZI139:ZI141"/>
    <mergeCell ref="ZJ139:ZJ141"/>
    <mergeCell ref="ZK139:ZK141"/>
    <mergeCell ref="YH142:YH144"/>
    <mergeCell ref="YI142:YI144"/>
    <mergeCell ref="YJ142:YJ144"/>
    <mergeCell ref="YK142:YK144"/>
    <mergeCell ref="YL142:YL144"/>
    <mergeCell ref="YI139:YI141"/>
    <mergeCell ref="YJ139:YJ141"/>
    <mergeCell ref="YM139:YM141"/>
    <mergeCell ref="YN139:YN141"/>
    <mergeCell ref="YO139:YO141"/>
    <mergeCell ref="YS139:YS141"/>
    <mergeCell ref="YT139:YT141"/>
    <mergeCell ref="YU139:YU141"/>
    <mergeCell ref="YV139:YV141"/>
    <mergeCell ref="YW139:YW141"/>
    <mergeCell ref="YX139:YX141"/>
    <mergeCell ref="YR142:YR144"/>
    <mergeCell ref="YS142:YS144"/>
    <mergeCell ref="YT142:YT144"/>
    <mergeCell ref="YU142:YU144"/>
    <mergeCell ref="YV142:YV144"/>
    <mergeCell ref="YW142:YW144"/>
    <mergeCell ref="XU107:XU108"/>
    <mergeCell ref="XV107:XV108"/>
    <mergeCell ref="XU121:XU125"/>
    <mergeCell ref="XX121:XX125"/>
    <mergeCell ref="XY121:XY125"/>
    <mergeCell ref="XZ121:XZ125"/>
    <mergeCell ref="YA121:YA125"/>
    <mergeCell ref="YB121:YB125"/>
    <mergeCell ref="YC121:YC125"/>
    <mergeCell ref="YD121:YD125"/>
    <mergeCell ref="YE121:YE125"/>
    <mergeCell ref="YF121:YF125"/>
    <mergeCell ref="XG137:XG138"/>
    <mergeCell ref="XH107:XH108"/>
    <mergeCell ref="XI107:XI108"/>
    <mergeCell ref="XJ134:XJ136"/>
    <mergeCell ref="ACJ44:ACK44"/>
    <mergeCell ref="ACL44:ACM44"/>
    <mergeCell ref="AR9:AS9"/>
    <mergeCell ref="WE98:WF100"/>
    <mergeCell ref="WE101:WF103"/>
    <mergeCell ref="WE104:WF106"/>
    <mergeCell ref="WE107:WF108"/>
    <mergeCell ref="WE109:WF120"/>
    <mergeCell ref="WE126:WF128"/>
    <mergeCell ref="WE129:WF130"/>
    <mergeCell ref="WE131:WF133"/>
    <mergeCell ref="WE134:WF136"/>
    <mergeCell ref="WE137:WF138"/>
    <mergeCell ref="CQ98:CR98"/>
    <mergeCell ref="CW98:CZ98"/>
    <mergeCell ref="XH129:XH130"/>
    <mergeCell ref="XI129:XI130"/>
    <mergeCell ref="XJ129:XJ130"/>
    <mergeCell ref="XK129:XK130"/>
    <mergeCell ref="XL129:XL130"/>
    <mergeCell ref="XM129:XM130"/>
    <mergeCell ref="XN129:XN130"/>
    <mergeCell ref="XO129:XO130"/>
    <mergeCell ref="XP129:XP130"/>
    <mergeCell ref="WZ84:XA84"/>
    <mergeCell ref="XJ119:XJ120"/>
    <mergeCell ref="XK119:XK120"/>
    <mergeCell ref="XL119:XL120"/>
    <mergeCell ref="XM119:XM120"/>
    <mergeCell ref="XN119:XN120"/>
    <mergeCell ref="XO119:XO120"/>
    <mergeCell ref="XP119:XP120"/>
    <mergeCell ref="XJ126:XJ128"/>
    <mergeCell ref="XK126:XK128"/>
    <mergeCell ref="XL126:XL128"/>
    <mergeCell ref="XM126:XM128"/>
    <mergeCell ref="XN126:XN128"/>
    <mergeCell ref="XO126:XO128"/>
    <mergeCell ref="XP126:XP128"/>
    <mergeCell ref="AU9:AV9"/>
    <mergeCell ref="WK53:WM53"/>
    <mergeCell ref="WN53:WP53"/>
    <mergeCell ref="XL134:XL136"/>
    <mergeCell ref="XM134:XM136"/>
    <mergeCell ref="XN134:XN136"/>
    <mergeCell ref="XO134:XO136"/>
    <mergeCell ref="BH134:BJ135"/>
    <mergeCell ref="AAU90:ABH95"/>
    <mergeCell ref="XQ126:XQ128"/>
    <mergeCell ref="XQ129:XQ130"/>
    <mergeCell ref="YN119:YN120"/>
    <mergeCell ref="YO119:YO120"/>
    <mergeCell ref="YE129:YE130"/>
    <mergeCell ref="XM33:XM34"/>
    <mergeCell ref="YL129:YL130"/>
    <mergeCell ref="YM129:YM130"/>
    <mergeCell ref="YN129:YN130"/>
    <mergeCell ref="YO126:YO128"/>
    <mergeCell ref="XS126:XS128"/>
    <mergeCell ref="XT126:XT128"/>
    <mergeCell ref="XG21:XG22"/>
    <mergeCell ref="XH21:XH22"/>
    <mergeCell ref="XI21:XI22"/>
    <mergeCell ref="XJ21:XJ22"/>
    <mergeCell ref="XK21:XK22"/>
    <mergeCell ref="RZ30:RZ32"/>
    <mergeCell ref="XK134:XK136"/>
    <mergeCell ref="EL87:EM87"/>
    <mergeCell ref="EN109:EN110"/>
    <mergeCell ref="GM111:GN112"/>
    <mergeCell ref="KP104:KT104"/>
    <mergeCell ref="KQ105:KS106"/>
    <mergeCell ref="KL107:KT107"/>
    <mergeCell ref="EW79:FB79"/>
    <mergeCell ref="NH128:NL128"/>
    <mergeCell ref="KN86:KO86"/>
    <mergeCell ref="IU100:IV100"/>
    <mergeCell ref="IU99:IV99"/>
    <mergeCell ref="IT84:IU84"/>
    <mergeCell ref="KA84:KB84"/>
    <mergeCell ref="XG119:XG120"/>
    <mergeCell ref="XH119:XH120"/>
    <mergeCell ref="XG98:XG100"/>
    <mergeCell ref="XG104:XG106"/>
    <mergeCell ref="XG101:XG103"/>
    <mergeCell ref="WO101:WP101"/>
    <mergeCell ref="XH104:XH106"/>
    <mergeCell ref="XI104:XI106"/>
    <mergeCell ref="GF102:GF104"/>
    <mergeCell ref="XL41:XL42"/>
    <mergeCell ref="XM41:XM42"/>
    <mergeCell ref="XN41:XN42"/>
    <mergeCell ref="XO41:XO42"/>
    <mergeCell ref="IV57:JC58"/>
    <mergeCell ref="XH98:XH100"/>
    <mergeCell ref="XI98:XI100"/>
    <mergeCell ref="XJ98:XJ100"/>
    <mergeCell ref="XK98:XK100"/>
    <mergeCell ref="XG134:XG136"/>
    <mergeCell ref="XG47:XG48"/>
    <mergeCell ref="XH47:XH48"/>
    <mergeCell ref="XI47:XI48"/>
    <mergeCell ref="XJ47:XJ48"/>
    <mergeCell ref="XK47:XK48"/>
    <mergeCell ref="XL47:XL48"/>
    <mergeCell ref="XM47:XM48"/>
    <mergeCell ref="XN47:XN48"/>
    <mergeCell ref="XO47:XO48"/>
    <mergeCell ref="XG49:XG50"/>
    <mergeCell ref="KF104:KG104"/>
    <mergeCell ref="KC98:KD98"/>
    <mergeCell ref="JZ99:KA99"/>
    <mergeCell ref="JZ100:KA100"/>
    <mergeCell ref="KC99:KD99"/>
    <mergeCell ref="KC100:KD100"/>
    <mergeCell ref="IU101:IV101"/>
    <mergeCell ref="GO106:GP106"/>
    <mergeCell ref="GJ102:GK102"/>
    <mergeCell ref="GG88:GH88"/>
    <mergeCell ref="JI94:JJ94"/>
    <mergeCell ref="KD96:KN96"/>
    <mergeCell ref="JA98:JB98"/>
    <mergeCell ref="ME95:MF95"/>
    <mergeCell ref="ME101:MF101"/>
    <mergeCell ref="KB34:KH36"/>
    <mergeCell ref="GG124:GJ124"/>
    <mergeCell ref="XG37:XG38"/>
    <mergeCell ref="XH37:XH38"/>
    <mergeCell ref="XI37:XI38"/>
    <mergeCell ref="XJ37:XJ38"/>
    <mergeCell ref="XN35:XN36"/>
    <mergeCell ref="XO35:XO36"/>
    <mergeCell ref="XP35:XP36"/>
    <mergeCell ref="MJ108:ML108"/>
    <mergeCell ref="GU114:GX114"/>
    <mergeCell ref="HA102:HC102"/>
    <mergeCell ref="GR97:GS97"/>
    <mergeCell ref="MT86:MT87"/>
    <mergeCell ref="MG87:MH87"/>
    <mergeCell ref="MR85:MS85"/>
    <mergeCell ref="MC98:MD98"/>
    <mergeCell ref="KT98:KX98"/>
    <mergeCell ref="KT99:KX100"/>
    <mergeCell ref="JN84:JR86"/>
    <mergeCell ref="JX92:JX94"/>
    <mergeCell ref="JE98:JF98"/>
    <mergeCell ref="MH95:MR95"/>
    <mergeCell ref="MD86:ME86"/>
    <mergeCell ref="ME89:MF89"/>
    <mergeCell ref="KS93:KS94"/>
    <mergeCell ref="BH133:BJ133"/>
    <mergeCell ref="CQ99:CR100"/>
    <mergeCell ref="MG100:MJ102"/>
    <mergeCell ref="WM101:WN101"/>
    <mergeCell ref="MU123:MW124"/>
    <mergeCell ref="MC91:MD91"/>
    <mergeCell ref="XK37:XK38"/>
    <mergeCell ref="XL37:XL38"/>
    <mergeCell ref="XM37:XM38"/>
    <mergeCell ref="XN37:XN38"/>
    <mergeCell ref="XO37:XO38"/>
    <mergeCell ref="XP37:XP38"/>
    <mergeCell ref="XM39:XM40"/>
    <mergeCell ref="MT73:MU73"/>
    <mergeCell ref="MS78:MT78"/>
    <mergeCell ref="WZ87:XA87"/>
    <mergeCell ref="XG41:XG42"/>
    <mergeCell ref="XH41:XH42"/>
    <mergeCell ref="XI41:XI42"/>
    <mergeCell ref="XJ41:XJ42"/>
    <mergeCell ref="XK41:XK42"/>
    <mergeCell ref="XG121:XG125"/>
    <mergeCell ref="XH121:XH125"/>
    <mergeCell ref="XI121:XI125"/>
    <mergeCell ref="XJ121:XJ125"/>
    <mergeCell ref="XK121:XK125"/>
    <mergeCell ref="XL121:XL125"/>
    <mergeCell ref="XM121:XM125"/>
    <mergeCell ref="XN121:XN125"/>
    <mergeCell ref="XO121:XO125"/>
    <mergeCell ref="XP121:XP125"/>
    <mergeCell ref="BT115:BV115"/>
    <mergeCell ref="CG118:CI118"/>
    <mergeCell ref="CD119:CN120"/>
    <mergeCell ref="CG122:CI122"/>
    <mergeCell ref="CG126:CI126"/>
    <mergeCell ref="CD123:CN124"/>
    <mergeCell ref="XP45:XP46"/>
    <mergeCell ref="XJ107:XJ108"/>
    <mergeCell ref="XK107:XK108"/>
    <mergeCell ref="XL107:XL108"/>
    <mergeCell ref="XM107:XM108"/>
    <mergeCell ref="XN107:XN108"/>
    <mergeCell ref="XO107:XO108"/>
    <mergeCell ref="XP107:XP108"/>
    <mergeCell ref="XQ107:XQ108"/>
    <mergeCell ref="XO104:XO106"/>
    <mergeCell ref="XP104:XP106"/>
    <mergeCell ref="XQ104:XQ106"/>
    <mergeCell ref="XQ119:XQ120"/>
    <mergeCell ref="XJ101:XJ103"/>
    <mergeCell ref="XK101:XK103"/>
    <mergeCell ref="XL101:XL103"/>
    <mergeCell ref="XM101:XM103"/>
    <mergeCell ref="XN101:XN103"/>
    <mergeCell ref="XR45:XR46"/>
    <mergeCell ref="XS45:XS46"/>
    <mergeCell ref="XT45:XT46"/>
    <mergeCell ref="XU45:XU46"/>
    <mergeCell ref="XV45:XV46"/>
    <mergeCell ref="XW45:XW46"/>
    <mergeCell ref="XX45:XX46"/>
    <mergeCell ref="XY45:XY46"/>
    <mergeCell ref="XZ45:XZ46"/>
    <mergeCell ref="YA45:YA46"/>
    <mergeCell ref="YB45:YB46"/>
    <mergeCell ref="YC45:YC46"/>
    <mergeCell ref="YD45:YD46"/>
    <mergeCell ref="PL80:PL82"/>
    <mergeCell ref="WX53:WY54"/>
    <mergeCell ref="WZ53:XA54"/>
    <mergeCell ref="WK54:WM54"/>
    <mergeCell ref="XB53:XF54"/>
    <mergeCell ref="XQ45:XQ46"/>
    <mergeCell ref="XW57:XW58"/>
    <mergeCell ref="XX57:XX58"/>
    <mergeCell ref="XY57:XY58"/>
    <mergeCell ref="XT107:XT108"/>
    <mergeCell ref="XS107:XS108"/>
    <mergeCell ref="XP47:XP48"/>
    <mergeCell ref="XQ47:XQ48"/>
    <mergeCell ref="XR47:XR48"/>
    <mergeCell ref="XS47:XS48"/>
    <mergeCell ref="XT47:XT48"/>
    <mergeCell ref="XU47:XU48"/>
    <mergeCell ref="XV47:XV48"/>
    <mergeCell ref="XW47:XW48"/>
    <mergeCell ref="XX47:XX48"/>
    <mergeCell ref="XY47:XY48"/>
    <mergeCell ref="XZ47:XZ48"/>
    <mergeCell ref="YA47:YA48"/>
    <mergeCell ref="YB47:YB48"/>
    <mergeCell ref="YC47:YC48"/>
    <mergeCell ref="YD47:YD48"/>
    <mergeCell ref="PM98:PN98"/>
    <mergeCell ref="WH82:WI82"/>
    <mergeCell ref="WR80:WS80"/>
    <mergeCell ref="WE79:WF79"/>
    <mergeCell ref="WZ112:XA112"/>
    <mergeCell ref="CE58:CG58"/>
    <mergeCell ref="CB59:CL60"/>
    <mergeCell ref="MX92:NB93"/>
    <mergeCell ref="PP104:PV106"/>
    <mergeCell ref="YA43:YA44"/>
    <mergeCell ref="YC43:YC44"/>
    <mergeCell ref="YD43:YD44"/>
    <mergeCell ref="XM96:XM97"/>
    <mergeCell ref="XS96:XS97"/>
    <mergeCell ref="XT96:XT97"/>
    <mergeCell ref="XU96:XU97"/>
    <mergeCell ref="XV96:XV97"/>
    <mergeCell ref="XW96:XW97"/>
    <mergeCell ref="XX96:XX97"/>
    <mergeCell ref="GK84:GP86"/>
    <mergeCell ref="XF64:XF78"/>
    <mergeCell ref="IT61:IU61"/>
    <mergeCell ref="IT62:IU62"/>
    <mergeCell ref="IV61:IX62"/>
    <mergeCell ref="YG41:YG42"/>
    <mergeCell ref="YH41:YH42"/>
    <mergeCell ref="YI41:YI42"/>
    <mergeCell ref="KT93:KV94"/>
    <mergeCell ref="ME83:MF83"/>
    <mergeCell ref="JN83:JR83"/>
    <mergeCell ref="XI49:XI50"/>
    <mergeCell ref="XJ49:XJ50"/>
    <mergeCell ref="XK49:XK50"/>
    <mergeCell ref="XL49:XL50"/>
    <mergeCell ref="XM49:XM50"/>
    <mergeCell ref="XN49:XN50"/>
    <mergeCell ref="XO49:XO50"/>
    <mergeCell ref="XP49:XP50"/>
    <mergeCell ref="YE45:YE46"/>
    <mergeCell ref="YF45:YF46"/>
    <mergeCell ref="YG45:YG46"/>
    <mergeCell ref="XZ80:XZ81"/>
    <mergeCell ref="YA80:YA81"/>
    <mergeCell ref="YB80:YB81"/>
    <mergeCell ref="YC80:YC81"/>
    <mergeCell ref="YD80:YD81"/>
    <mergeCell ref="YE80:YE81"/>
    <mergeCell ref="YF80:YF81"/>
    <mergeCell ref="XG80:XG81"/>
    <mergeCell ref="XH80:XH81"/>
    <mergeCell ref="XI80:XI81"/>
    <mergeCell ref="XJ80:XJ81"/>
    <mergeCell ref="XK80:XK81"/>
    <mergeCell ref="XL80:XL81"/>
    <mergeCell ref="XM80:XM81"/>
    <mergeCell ref="XJ104:XJ106"/>
    <mergeCell ref="XK104:XK106"/>
    <mergeCell ref="IY41:JA41"/>
    <mergeCell ref="XZ88:XZ89"/>
    <mergeCell ref="YA49:YA50"/>
    <mergeCell ref="HC73:HO75"/>
    <mergeCell ref="QA53:QB54"/>
    <mergeCell ref="MB72:MD73"/>
    <mergeCell ref="XQ41:XQ42"/>
    <mergeCell ref="XR41:XR42"/>
    <mergeCell ref="XS41:XS42"/>
    <mergeCell ref="XT41:XT42"/>
    <mergeCell ref="XU41:XU42"/>
    <mergeCell ref="XV41:XV42"/>
    <mergeCell ref="XU88:XU89"/>
    <mergeCell ref="XU101:XU103"/>
    <mergeCell ref="XV101:XV103"/>
    <mergeCell ref="XW101:XW103"/>
    <mergeCell ref="XR119:XR120"/>
    <mergeCell ref="XR107:XR108"/>
    <mergeCell ref="XR98:XR100"/>
    <mergeCell ref="XS98:XS100"/>
    <mergeCell ref="XT98:XT100"/>
    <mergeCell ref="XL104:XL106"/>
    <mergeCell ref="XM104:XM106"/>
    <mergeCell ref="XN104:XN106"/>
    <mergeCell ref="XO98:XO100"/>
    <mergeCell ref="XP98:XP100"/>
    <mergeCell ref="XQ98:XQ100"/>
    <mergeCell ref="XS119:XS120"/>
    <mergeCell ref="XT119:XT120"/>
    <mergeCell ref="XU119:XU120"/>
    <mergeCell ref="XV119:XV120"/>
    <mergeCell ref="XV88:XV89"/>
    <mergeCell ref="XW88:XW89"/>
    <mergeCell ref="XX88:XX89"/>
    <mergeCell ref="XW121:XW125"/>
    <mergeCell ref="XL96:XL97"/>
    <mergeCell ref="YP101:YP103"/>
    <mergeCell ref="YJ31:YJ32"/>
    <mergeCell ref="YK31:YK32"/>
    <mergeCell ref="YL31:YL32"/>
    <mergeCell ref="YM31:YM32"/>
    <mergeCell ref="YN31:YN32"/>
    <mergeCell ref="YO31:YO32"/>
    <mergeCell ref="YB49:YB50"/>
    <mergeCell ref="YC49:YC50"/>
    <mergeCell ref="YO57:YO58"/>
    <mergeCell ref="YP57:YP58"/>
    <mergeCell ref="XZ57:XZ58"/>
    <mergeCell ref="YA57:YA58"/>
    <mergeCell ref="YB57:YB58"/>
    <mergeCell ref="YF96:YF97"/>
    <mergeCell ref="YG96:YG97"/>
    <mergeCell ref="XX43:XX44"/>
    <mergeCell ref="YH80:YH81"/>
    <mergeCell ref="YI80:YI81"/>
    <mergeCell ref="XU104:XU106"/>
    <mergeCell ref="XV104:XV106"/>
    <mergeCell ref="XQ37:XQ38"/>
    <mergeCell ref="YH37:YH38"/>
    <mergeCell ref="YI37:YI38"/>
    <mergeCell ref="XW41:XW42"/>
    <mergeCell ref="XX41:XX42"/>
    <mergeCell ref="XY41:XY42"/>
    <mergeCell ref="XZ41:XZ42"/>
    <mergeCell ref="YA41:YA42"/>
    <mergeCell ref="YB41:YB42"/>
    <mergeCell ref="YC41:YC42"/>
    <mergeCell ref="YD41:YD42"/>
    <mergeCell ref="YE41:YE42"/>
    <mergeCell ref="YF41:YF42"/>
    <mergeCell ref="XO43:XO44"/>
    <mergeCell ref="XP41:XP42"/>
    <mergeCell ref="XS121:XS125"/>
    <mergeCell ref="XT121:XT125"/>
    <mergeCell ref="YG121:YG125"/>
    <mergeCell ref="YM119:YM120"/>
    <mergeCell ref="AAN17:AAN18"/>
    <mergeCell ref="AAO17:AAO18"/>
    <mergeCell ref="YK17:YK18"/>
    <mergeCell ref="YQ57:YQ58"/>
    <mergeCell ref="YR17:YR18"/>
    <mergeCell ref="YB126:YB128"/>
    <mergeCell ref="YC126:YC128"/>
    <mergeCell ref="YD126:YD128"/>
    <mergeCell ref="XY119:XY120"/>
    <mergeCell ref="XZ119:XZ120"/>
    <mergeCell ref="YA119:YA120"/>
    <mergeCell ref="YB119:YB120"/>
    <mergeCell ref="YC119:YC120"/>
    <mergeCell ref="YD119:YD120"/>
    <mergeCell ref="XW104:XW106"/>
    <mergeCell ref="XX104:XX106"/>
    <mergeCell ref="XY104:XY106"/>
    <mergeCell ref="XZ104:XZ106"/>
    <mergeCell ref="YA104:YA106"/>
    <mergeCell ref="YB104:YB106"/>
    <mergeCell ref="YC104:YC106"/>
    <mergeCell ref="YD104:YD106"/>
    <mergeCell ref="YE104:YE106"/>
    <mergeCell ref="YN98:YN100"/>
    <mergeCell ref="YO98:YO100"/>
    <mergeCell ref="YE29:YE30"/>
    <mergeCell ref="YJ80:YJ81"/>
    <mergeCell ref="YK80:YK81"/>
    <mergeCell ref="YI57:YI58"/>
    <mergeCell ref="YQ101:YQ103"/>
    <mergeCell ref="YR101:YR103"/>
    <mergeCell ref="YR39:YR40"/>
    <mergeCell ref="XW27:XW28"/>
    <mergeCell ref="XX27:XX28"/>
    <mergeCell ref="YR33:YR34"/>
    <mergeCell ref="YP17:YP18"/>
    <mergeCell ref="YQ17:YQ18"/>
    <mergeCell ref="YN33:YN34"/>
    <mergeCell ref="YO33:YO34"/>
    <mergeCell ref="YH45:YH46"/>
    <mergeCell ref="YI45:YI46"/>
    <mergeCell ref="YJ45:YJ46"/>
    <mergeCell ref="YK45:YK46"/>
    <mergeCell ref="YL45:YL46"/>
    <mergeCell ref="YM45:YM46"/>
    <mergeCell ref="YM57:YM58"/>
    <mergeCell ref="YM104:YM106"/>
    <mergeCell ref="YG80:YG81"/>
    <mergeCell ref="XY88:XY89"/>
    <mergeCell ref="YP121:YP125"/>
    <mergeCell ref="XW119:XW120"/>
    <mergeCell ref="XX119:XX120"/>
    <mergeCell ref="YQ121:YQ125"/>
    <mergeCell ref="ZO119:ZO120"/>
    <mergeCell ref="ZO121:ZO125"/>
    <mergeCell ref="ZH119:ZH120"/>
    <mergeCell ref="ZI119:ZI120"/>
    <mergeCell ref="ZJ119:ZJ120"/>
    <mergeCell ref="ZK119:ZK120"/>
    <mergeCell ref="ZL119:ZL120"/>
    <mergeCell ref="ZM119:ZM120"/>
    <mergeCell ref="ZN119:ZN120"/>
    <mergeCell ref="ZC119:ZC120"/>
    <mergeCell ref="ZD119:ZD120"/>
    <mergeCell ref="AAQ101:AAQ103"/>
    <mergeCell ref="WJ192:WK192"/>
    <mergeCell ref="AAQ155:AAQ157"/>
    <mergeCell ref="WG192:WI192"/>
    <mergeCell ref="ZO212:ZO214"/>
    <mergeCell ref="YX151:YX154"/>
    <mergeCell ref="YY151:YY154"/>
    <mergeCell ref="AAI172:AAI174"/>
    <mergeCell ref="AAJ172:AAJ174"/>
    <mergeCell ref="ZB121:ZB125"/>
    <mergeCell ref="ZC121:ZC125"/>
    <mergeCell ref="ACJ226:ACK226"/>
    <mergeCell ref="ACL226:ACM226"/>
    <mergeCell ref="ACN226:ACP226"/>
    <mergeCell ref="AAQ142:AAQ144"/>
    <mergeCell ref="ABU166:ABV166"/>
    <mergeCell ref="ZA98:ZA100"/>
    <mergeCell ref="YP33:YP34"/>
    <mergeCell ref="YQ33:YQ34"/>
    <mergeCell ref="YG51:YG52"/>
    <mergeCell ref="YH51:YH52"/>
    <mergeCell ref="YI51:YI52"/>
    <mergeCell ref="YJ51:YJ52"/>
    <mergeCell ref="YK51:YK52"/>
    <mergeCell ref="YL51:YL52"/>
    <mergeCell ref="YL17:YL18"/>
    <mergeCell ref="YM17:YM18"/>
    <mergeCell ref="XX101:XX103"/>
    <mergeCell ref="XY101:XY103"/>
    <mergeCell ref="XZ101:XZ103"/>
    <mergeCell ref="YA101:YA103"/>
    <mergeCell ref="YB101:YB103"/>
    <mergeCell ref="YC101:YC103"/>
    <mergeCell ref="YD101:YD103"/>
    <mergeCell ref="YE101:YE103"/>
    <mergeCell ref="YF101:YF103"/>
    <mergeCell ref="YG101:YG103"/>
    <mergeCell ref="YH101:YH103"/>
    <mergeCell ref="YI101:YI103"/>
    <mergeCell ref="YJ101:YJ103"/>
    <mergeCell ref="YK101:YK103"/>
    <mergeCell ref="YL101:YL103"/>
    <mergeCell ref="YM101:YM103"/>
    <mergeCell ref="YL80:YL81"/>
    <mergeCell ref="YM80:YM81"/>
    <mergeCell ref="YN80:YN81"/>
    <mergeCell ref="YO80:YO81"/>
    <mergeCell ref="YN35:YN36"/>
    <mergeCell ref="YO35:YO36"/>
    <mergeCell ref="YP35:YP36"/>
    <mergeCell ref="YQ35:YQ36"/>
    <mergeCell ref="YA31:YA32"/>
    <mergeCell ref="YB31:YB32"/>
    <mergeCell ref="YC31:YC32"/>
    <mergeCell ref="YD31:YD32"/>
    <mergeCell ref="YE31:YE32"/>
    <mergeCell ref="YF31:YF32"/>
    <mergeCell ref="YG31:YG32"/>
    <mergeCell ref="YH31:YH32"/>
    <mergeCell ref="YI31:YI32"/>
    <mergeCell ref="ACO191:ACP191"/>
    <mergeCell ref="ACJ189:ACK189"/>
    <mergeCell ref="ACL189:ACM189"/>
    <mergeCell ref="ACO189:ACP189"/>
    <mergeCell ref="AAQ209:AAQ211"/>
    <mergeCell ref="AAC206:AAC208"/>
    <mergeCell ref="ZT212:ZT214"/>
    <mergeCell ref="AGM284:AGP285"/>
    <mergeCell ref="WG209:WH209"/>
    <mergeCell ref="WI209:WJ209"/>
    <mergeCell ref="XG17:XG18"/>
    <mergeCell ref="XH17:XH18"/>
    <mergeCell ref="XI17:XI18"/>
    <mergeCell ref="XJ17:XJ18"/>
    <mergeCell ref="XK17:XK18"/>
    <mergeCell ref="XL17:XL18"/>
    <mergeCell ref="XM17:XM18"/>
    <mergeCell ref="XN17:XN18"/>
    <mergeCell ref="XO17:XO18"/>
    <mergeCell ref="XP17:XP18"/>
    <mergeCell ref="XQ17:XQ18"/>
    <mergeCell ref="XR17:XR18"/>
    <mergeCell ref="XS17:XS18"/>
    <mergeCell ref="XT17:XT18"/>
    <mergeCell ref="XU17:XU18"/>
    <mergeCell ref="XV17:XV18"/>
    <mergeCell ref="XW17:XW18"/>
    <mergeCell ref="XX17:XX18"/>
    <mergeCell ref="XY17:XY18"/>
    <mergeCell ref="XZ17:XZ18"/>
    <mergeCell ref="YA17:YA18"/>
    <mergeCell ref="YB17:YB18"/>
    <mergeCell ref="YC17:YC18"/>
    <mergeCell ref="YD17:YD18"/>
    <mergeCell ref="YE17:YE18"/>
    <mergeCell ref="YF17:YF18"/>
    <mergeCell ref="YG17:YG18"/>
    <mergeCell ref="YH17:YH18"/>
    <mergeCell ref="YI17:YI18"/>
    <mergeCell ref="YJ17:YJ18"/>
    <mergeCell ref="YN17:YN18"/>
    <mergeCell ref="YO17:YO18"/>
    <mergeCell ref="AAT215:AAT229"/>
    <mergeCell ref="AAK212:AAK214"/>
    <mergeCell ref="AAL212:AAL214"/>
    <mergeCell ref="ZM212:ZM214"/>
    <mergeCell ref="ZN212:ZN214"/>
    <mergeCell ref="ZI17:ZI18"/>
    <mergeCell ref="ZJ17:ZJ18"/>
    <mergeCell ref="ZK17:ZK18"/>
    <mergeCell ref="ZL17:ZL18"/>
    <mergeCell ref="ZM17:ZM18"/>
    <mergeCell ref="ZN17:ZN18"/>
    <mergeCell ref="ZO17:ZO18"/>
    <mergeCell ref="ZP17:ZP18"/>
    <mergeCell ref="ZQ17:ZQ18"/>
    <mergeCell ref="ZR17:ZR18"/>
    <mergeCell ref="ZS17:ZS18"/>
    <mergeCell ref="ZL151:ZL154"/>
    <mergeCell ref="ZM151:ZM154"/>
    <mergeCell ref="AAG137:AAG138"/>
    <mergeCell ref="AAH137:AAH138"/>
    <mergeCell ref="ZP212:ZP214"/>
    <mergeCell ref="ZQ212:ZQ214"/>
    <mergeCell ref="ZR212:ZR214"/>
    <mergeCell ref="ZS212:ZS214"/>
    <mergeCell ref="AAT51:AAT52"/>
    <mergeCell ref="AAT55:AAT56"/>
    <mergeCell ref="ZO203:ZO205"/>
    <mergeCell ref="ZP203:ZP205"/>
    <mergeCell ref="ZQ203:ZQ205"/>
    <mergeCell ref="ZR203:ZR205"/>
    <mergeCell ref="ZS203:ZS205"/>
    <mergeCell ref="ZT203:ZT205"/>
    <mergeCell ref="ZU203:ZU205"/>
    <mergeCell ref="ZV203:ZV205"/>
    <mergeCell ref="ZW203:ZW205"/>
    <mergeCell ref="ZX203:ZX205"/>
    <mergeCell ref="ZY203:ZY205"/>
    <mergeCell ref="ZZ203:ZZ205"/>
    <mergeCell ref="AAA203:AAA205"/>
    <mergeCell ref="AAN148:AAN150"/>
    <mergeCell ref="AAO148:AAO150"/>
    <mergeCell ref="AAP148:AAP150"/>
    <mergeCell ref="AAM139:AAM141"/>
    <mergeCell ref="ZH212:ZH214"/>
    <mergeCell ref="ZI212:ZI214"/>
    <mergeCell ref="ZJ212:ZJ214"/>
    <mergeCell ref="ZK212:ZK214"/>
    <mergeCell ref="AAC142:AAC144"/>
    <mergeCell ref="AAD142:AAD144"/>
    <mergeCell ref="AAE142:AAE144"/>
    <mergeCell ref="AAF142:AAF144"/>
    <mergeCell ref="AAG142:AAG144"/>
    <mergeCell ref="AAH142:AAH144"/>
    <mergeCell ref="AAL203:AAL205"/>
    <mergeCell ref="AAM203:AAM205"/>
    <mergeCell ref="AAE151:AAE154"/>
    <mergeCell ref="AAF151:AAF154"/>
    <mergeCell ref="AAG151:AAG154"/>
    <mergeCell ref="AAH151:AAH154"/>
    <mergeCell ref="AAI151:AAI154"/>
    <mergeCell ref="AAJ151:AAJ154"/>
    <mergeCell ref="AAK151:AAK154"/>
    <mergeCell ref="AAL151:AAL154"/>
    <mergeCell ref="AAM151:AAM154"/>
    <mergeCell ref="AAB148:AAB150"/>
    <mergeCell ref="AAC148:AAC150"/>
    <mergeCell ref="AAD148:AAD150"/>
    <mergeCell ref="AAM148:AAM150"/>
    <mergeCell ref="AAH170:AAH171"/>
    <mergeCell ref="AAI170:AAI171"/>
    <mergeCell ref="AAJ170:AAJ171"/>
    <mergeCell ref="AAK170:AAK171"/>
    <mergeCell ref="AAL170:AAL171"/>
    <mergeCell ref="AAM170:AAM171"/>
    <mergeCell ref="ZR189:ZR191"/>
    <mergeCell ref="ZS189:ZS191"/>
    <mergeCell ref="AAI139:AAI141"/>
    <mergeCell ref="AAJ139:AAJ141"/>
    <mergeCell ref="AAK139:AAK141"/>
    <mergeCell ref="AAO209:AAO211"/>
    <mergeCell ref="AAP209:AAP211"/>
    <mergeCell ref="ZL148:ZL150"/>
    <mergeCell ref="ZM148:ZM150"/>
    <mergeCell ref="ZN148:ZN150"/>
    <mergeCell ref="ZO148:ZO150"/>
    <mergeCell ref="ZP148:ZP150"/>
    <mergeCell ref="ZQ148:ZQ150"/>
    <mergeCell ref="ZR148:ZR150"/>
    <mergeCell ref="ZS148:ZS150"/>
    <mergeCell ref="ZJ148:ZJ150"/>
    <mergeCell ref="AAE134:AAE136"/>
    <mergeCell ref="AAE200:AAE202"/>
    <mergeCell ref="ACJ162:ACK162"/>
    <mergeCell ref="ACL162:ACM162"/>
    <mergeCell ref="ACO162:ACP162"/>
    <mergeCell ref="ACJ160:ACK160"/>
    <mergeCell ref="AAR200:AAR202"/>
    <mergeCell ref="AAR209:AAR211"/>
    <mergeCell ref="AAS209:AAS211"/>
    <mergeCell ref="AAS195:AAS196"/>
    <mergeCell ref="ACJ154:ACK154"/>
    <mergeCell ref="ACL154:ACM154"/>
    <mergeCell ref="ACJ155:ACK155"/>
    <mergeCell ref="ACL155:ACM155"/>
    <mergeCell ref="ACO155:ACP155"/>
    <mergeCell ref="ABU181:ACH191"/>
    <mergeCell ref="AAI212:AAI214"/>
    <mergeCell ref="AAN212:AAN214"/>
    <mergeCell ref="ACJ164:ACK164"/>
    <mergeCell ref="ACL164:ACM164"/>
    <mergeCell ref="ACO164:ACP164"/>
    <mergeCell ref="ACJ179:ACK179"/>
    <mergeCell ref="ACL179:ACM179"/>
    <mergeCell ref="ACO179:ACP179"/>
    <mergeCell ref="AAG192:AAG194"/>
    <mergeCell ref="AAH192:AAH194"/>
    <mergeCell ref="ACL168:ACM168"/>
    <mergeCell ref="ACO168:ACP168"/>
    <mergeCell ref="ACJ161:ACK161"/>
    <mergeCell ref="ABS166:ABT166"/>
    <mergeCell ref="ABW166:ABX166"/>
    <mergeCell ref="ACJ203:ACK203"/>
    <mergeCell ref="ACL203:ACM203"/>
    <mergeCell ref="ACO203:ACP203"/>
    <mergeCell ref="ACJ195:ACK195"/>
    <mergeCell ref="ACL195:ACM195"/>
    <mergeCell ref="ACO195:ACP195"/>
    <mergeCell ref="ACJ193:ACK193"/>
    <mergeCell ref="ACL193:ACM193"/>
    <mergeCell ref="ACO193:ACP193"/>
    <mergeCell ref="ACJ191:ACK191"/>
    <mergeCell ref="ACL191:ACM191"/>
    <mergeCell ref="AAL197:AAL199"/>
    <mergeCell ref="AAI186:AAI188"/>
    <mergeCell ref="AAJ186:AAJ188"/>
    <mergeCell ref="AAI182:AAI183"/>
    <mergeCell ref="AAJ182:AAJ183"/>
    <mergeCell ref="AAK182:AAK183"/>
    <mergeCell ref="AAH175:AAH177"/>
    <mergeCell ref="AAI175:AAI177"/>
    <mergeCell ref="AAJ175:AAJ177"/>
    <mergeCell ref="AAO212:AAO214"/>
    <mergeCell ref="AAP212:AAP214"/>
    <mergeCell ref="AAQ212:AAQ214"/>
    <mergeCell ref="AAR212:AAR214"/>
    <mergeCell ref="ACJ163:ACK163"/>
    <mergeCell ref="ACL163:ACM163"/>
    <mergeCell ref="ACO163:ACP163"/>
    <mergeCell ref="AAR155:AAR157"/>
    <mergeCell ref="AAS155:AAS157"/>
    <mergeCell ref="AAP203:AAP205"/>
    <mergeCell ref="AAQ203:AAQ205"/>
    <mergeCell ref="AAR203:AAR205"/>
    <mergeCell ref="AAS203:AAS205"/>
    <mergeCell ref="ZU212:ZU214"/>
    <mergeCell ref="ZV212:ZV214"/>
    <mergeCell ref="ZW212:ZW214"/>
    <mergeCell ref="ZX212:ZX214"/>
    <mergeCell ref="ZY212:ZY214"/>
    <mergeCell ref="ZZ212:ZZ214"/>
    <mergeCell ref="AAA212:AAA214"/>
    <mergeCell ref="AAB212:AAB214"/>
    <mergeCell ref="AAC212:AAC214"/>
    <mergeCell ref="AAD212:AAD214"/>
    <mergeCell ref="AAE212:AAE214"/>
    <mergeCell ref="AAF212:AAF214"/>
    <mergeCell ref="AAG212:AAG214"/>
    <mergeCell ref="AAH212:AAH214"/>
    <mergeCell ref="AAH182:AAH183"/>
    <mergeCell ref="AAK175:AAK177"/>
    <mergeCell ref="AAL175:AAL177"/>
    <mergeCell ref="AAM175:AAM177"/>
    <mergeCell ref="AAF172:AAF174"/>
    <mergeCell ref="AAG172:AAG174"/>
    <mergeCell ref="AAH172:AAH174"/>
    <mergeCell ref="AAC151:AAC154"/>
    <mergeCell ref="AAD151:AAD154"/>
    <mergeCell ref="AAJ209:AAJ211"/>
    <mergeCell ref="AAK209:AAK211"/>
    <mergeCell ref="AAL209:AAL211"/>
    <mergeCell ref="AAM209:AAM211"/>
    <mergeCell ref="AAL189:AAL191"/>
    <mergeCell ref="ZV166:ZV167"/>
    <mergeCell ref="ZW166:ZW167"/>
    <mergeCell ref="ZX166:ZX167"/>
    <mergeCell ref="ZY166:ZY167"/>
    <mergeCell ref="ZZ166:ZZ167"/>
    <mergeCell ref="AAA166:AAA167"/>
    <mergeCell ref="AAB166:AAB167"/>
    <mergeCell ref="AAC166:AAC167"/>
    <mergeCell ref="AAD166:AAD167"/>
    <mergeCell ref="AAD155:AAD157"/>
    <mergeCell ref="AAK172:AAK174"/>
    <mergeCell ref="AAL172:AAL174"/>
    <mergeCell ref="AAM172:AAM174"/>
    <mergeCell ref="AAM212:AAM214"/>
    <mergeCell ref="AAC203:AAC205"/>
    <mergeCell ref="AAD203:AAD205"/>
    <mergeCell ref="AAE203:AAE205"/>
    <mergeCell ref="AAF203:AAF205"/>
    <mergeCell ref="AAG203:AAG205"/>
    <mergeCell ref="AAH203:AAH205"/>
    <mergeCell ref="AAI203:AAI205"/>
    <mergeCell ref="AAJ203:AAJ205"/>
    <mergeCell ref="AAK203:AAK205"/>
    <mergeCell ref="AAM189:AAM191"/>
    <mergeCell ref="AAE170:AAE171"/>
    <mergeCell ref="AAF170:AAF171"/>
    <mergeCell ref="AAG170:AAG171"/>
    <mergeCell ref="ZZ197:ZZ199"/>
    <mergeCell ref="AAA197:AAA199"/>
    <mergeCell ref="AAB197:AAB199"/>
    <mergeCell ref="AAC197:AAC199"/>
    <mergeCell ref="AAD197:AAD199"/>
    <mergeCell ref="AAC209:AAC211"/>
    <mergeCell ref="AAD209:AAD211"/>
    <mergeCell ref="AAE209:AAE211"/>
    <mergeCell ref="AAF209:AAF211"/>
    <mergeCell ref="AAH121:AAH125"/>
    <mergeCell ref="AAI121:AAI125"/>
    <mergeCell ref="AAJ121:AAJ125"/>
    <mergeCell ref="AAK121:AAK125"/>
    <mergeCell ref="AAL121:AAL125"/>
    <mergeCell ref="AAM121:AAM125"/>
    <mergeCell ref="ZR197:ZR199"/>
    <mergeCell ref="ZP126:ZP128"/>
    <mergeCell ref="ZQ126:ZQ128"/>
    <mergeCell ref="ZR126:ZR128"/>
    <mergeCell ref="ZS126:ZS128"/>
    <mergeCell ref="ZX189:ZX191"/>
    <mergeCell ref="AAD184:AAD185"/>
    <mergeCell ref="AAE184:AAE185"/>
    <mergeCell ref="AAF184:AAF185"/>
    <mergeCell ref="AAG184:AAG185"/>
    <mergeCell ref="AAH184:AAH185"/>
    <mergeCell ref="AAI184:AAI185"/>
    <mergeCell ref="AAJ184:AAJ185"/>
    <mergeCell ref="AAM180:AAM181"/>
    <mergeCell ref="AAB178:AAB179"/>
    <mergeCell ref="AAC178:AAC179"/>
    <mergeCell ref="AAD178:AAD179"/>
    <mergeCell ref="AAE178:AAE179"/>
    <mergeCell ref="AAF178:AAF179"/>
    <mergeCell ref="AAG178:AAG179"/>
    <mergeCell ref="AAH178:AAH179"/>
    <mergeCell ref="AAI178:AAI179"/>
    <mergeCell ref="AAJ178:AAJ179"/>
    <mergeCell ref="ZQ129:ZQ130"/>
    <mergeCell ref="ZR129:ZR130"/>
    <mergeCell ref="ZO129:ZO130"/>
    <mergeCell ref="ZP129:ZP130"/>
    <mergeCell ref="ZO126:ZO128"/>
    <mergeCell ref="AAM197:AAM199"/>
    <mergeCell ref="ZS192:ZS194"/>
    <mergeCell ref="AAJ134:AAJ136"/>
    <mergeCell ref="AAK134:AAK136"/>
    <mergeCell ref="AAL134:AAL136"/>
    <mergeCell ref="AAM134:AAM136"/>
    <mergeCell ref="AAE148:AAE150"/>
    <mergeCell ref="AAF148:AAF150"/>
    <mergeCell ref="AAG148:AAG150"/>
    <mergeCell ref="AAH148:AAH150"/>
    <mergeCell ref="AAI148:AAI150"/>
    <mergeCell ref="AAJ148:AAJ150"/>
    <mergeCell ref="AAK148:AAK150"/>
    <mergeCell ref="AAL148:AAL150"/>
    <mergeCell ref="AAD126:AAD128"/>
    <mergeCell ref="AAE126:AAE128"/>
    <mergeCell ref="ZV134:ZV136"/>
    <mergeCell ref="ZS197:ZS199"/>
    <mergeCell ref="ZT197:ZT199"/>
    <mergeCell ref="ZU197:ZU199"/>
    <mergeCell ref="ZV197:ZV199"/>
    <mergeCell ref="ZW197:ZW199"/>
    <mergeCell ref="ZX197:ZX199"/>
    <mergeCell ref="ZY197:ZY199"/>
    <mergeCell ref="AAD137:AAD138"/>
    <mergeCell ref="AAE137:AAE138"/>
    <mergeCell ref="AAF137:AAF138"/>
    <mergeCell ref="AAB134:AAB136"/>
    <mergeCell ref="AAC134:AAC136"/>
    <mergeCell ref="AAD134:AAD136"/>
    <mergeCell ref="AAM55:AAM56"/>
    <mergeCell ref="ZJ178:ZJ179"/>
    <mergeCell ref="ZK178:ZK179"/>
    <mergeCell ref="ZD212:ZD214"/>
    <mergeCell ref="ZE212:ZE214"/>
    <mergeCell ref="ZF212:ZF214"/>
    <mergeCell ref="ZG212:ZG214"/>
    <mergeCell ref="ZL212:ZL214"/>
    <mergeCell ref="ZZ151:ZZ154"/>
    <mergeCell ref="AAA151:AAA154"/>
    <mergeCell ref="AAB151:AAB154"/>
    <mergeCell ref="ZX148:ZX150"/>
    <mergeCell ref="ZY148:ZY150"/>
    <mergeCell ref="ZZ148:ZZ150"/>
    <mergeCell ref="ZF155:ZF157"/>
    <mergeCell ref="ZT155:ZT157"/>
    <mergeCell ref="ZU155:ZU157"/>
    <mergeCell ref="ZV155:ZV157"/>
    <mergeCell ref="ZW155:ZW157"/>
    <mergeCell ref="ZX155:ZX157"/>
    <mergeCell ref="ZY155:ZY157"/>
    <mergeCell ref="AAL142:AAL144"/>
    <mergeCell ref="AAM142:AAM144"/>
    <mergeCell ref="ZE142:ZE144"/>
    <mergeCell ref="ZF142:ZF144"/>
    <mergeCell ref="ZG142:ZG144"/>
    <mergeCell ref="ZH142:ZH144"/>
    <mergeCell ref="ZI142:ZI144"/>
    <mergeCell ref="AAI142:AAI144"/>
    <mergeCell ref="AAJ142:AAJ144"/>
    <mergeCell ref="AAK142:AAK144"/>
    <mergeCell ref="ZE148:ZE150"/>
    <mergeCell ref="AAK119:AAK120"/>
    <mergeCell ref="ZQ119:ZQ120"/>
    <mergeCell ref="ZR119:ZR120"/>
    <mergeCell ref="ZS119:ZS120"/>
    <mergeCell ref="ZT119:ZT120"/>
    <mergeCell ref="ZU119:ZU120"/>
    <mergeCell ref="ZV119:ZV120"/>
    <mergeCell ref="ZW119:ZW120"/>
    <mergeCell ref="ZX119:ZX120"/>
    <mergeCell ref="ZY119:ZY120"/>
    <mergeCell ref="ZZ119:ZZ120"/>
    <mergeCell ref="AAA119:AAA120"/>
    <mergeCell ref="AAB119:AAB120"/>
    <mergeCell ref="AAC119:AAC120"/>
    <mergeCell ref="AAD119:AAD120"/>
    <mergeCell ref="AAE119:AAE120"/>
    <mergeCell ref="AAF119:AAF120"/>
    <mergeCell ref="AAG119:AAG120"/>
    <mergeCell ref="AAH119:AAH120"/>
    <mergeCell ref="AAJ137:AAJ138"/>
    <mergeCell ref="AAK137:AAK138"/>
    <mergeCell ref="AAL137:AAL138"/>
    <mergeCell ref="AAM137:AAM138"/>
    <mergeCell ref="AAI119:AAI120"/>
    <mergeCell ref="AAJ119:AAJ120"/>
    <mergeCell ref="AAF134:AAF136"/>
    <mergeCell ref="AAE129:AAE130"/>
    <mergeCell ref="AAF129:AAF130"/>
    <mergeCell ref="ZZ126:ZZ128"/>
    <mergeCell ref="AAA126:AAA128"/>
    <mergeCell ref="AAB126:AAB128"/>
    <mergeCell ref="AAC126:AAC128"/>
    <mergeCell ref="ZG195:ZG196"/>
    <mergeCell ref="ZH195:ZH196"/>
    <mergeCell ref="ZI195:ZI196"/>
    <mergeCell ref="ZJ195:ZJ196"/>
    <mergeCell ref="ZK195:ZK196"/>
    <mergeCell ref="ZL195:ZL196"/>
    <mergeCell ref="ZM195:ZM196"/>
    <mergeCell ref="ZN195:ZN196"/>
    <mergeCell ref="ZO195:ZO196"/>
    <mergeCell ref="ZP195:ZP196"/>
    <mergeCell ref="ZQ195:ZQ196"/>
    <mergeCell ref="ZR195:ZR196"/>
    <mergeCell ref="ZS195:ZS196"/>
    <mergeCell ref="ZT195:ZT196"/>
    <mergeCell ref="ZG17:ZG18"/>
    <mergeCell ref="YS151:YS154"/>
    <mergeCell ref="YT151:YT154"/>
    <mergeCell ref="YU151:YU154"/>
    <mergeCell ref="YV151:YV154"/>
    <mergeCell ref="YW151:YW154"/>
    <mergeCell ref="AAA129:AAA130"/>
    <mergeCell ref="AAB129:AAB130"/>
    <mergeCell ref="AAC129:AAC130"/>
    <mergeCell ref="AAD129:AAD130"/>
    <mergeCell ref="YW137:YW138"/>
    <mergeCell ref="YX137:YX138"/>
    <mergeCell ref="YY137:YY138"/>
    <mergeCell ref="ZE155:ZE157"/>
    <mergeCell ref="AAA148:AAA150"/>
    <mergeCell ref="YZ129:YZ130"/>
    <mergeCell ref="ZA129:ZA130"/>
    <mergeCell ref="ZB129:ZB130"/>
    <mergeCell ref="ZC129:ZC130"/>
    <mergeCell ref="ZD129:ZD130"/>
    <mergeCell ref="ZE129:ZE130"/>
    <mergeCell ref="ZF129:ZF130"/>
    <mergeCell ref="ZG129:ZG130"/>
    <mergeCell ref="ZP119:ZP120"/>
    <mergeCell ref="ZT129:ZT130"/>
    <mergeCell ref="ZU129:ZU130"/>
    <mergeCell ref="ZV129:ZV130"/>
    <mergeCell ref="ZW134:ZW136"/>
    <mergeCell ref="YT184:YT185"/>
    <mergeCell ref="ZH151:ZH154"/>
    <mergeCell ref="ZI151:ZI154"/>
    <mergeCell ref="ZJ151:ZJ154"/>
    <mergeCell ref="ZK151:ZK154"/>
    <mergeCell ref="ZJ192:ZJ194"/>
    <mergeCell ref="ZM192:ZM194"/>
    <mergeCell ref="ZD189:ZD191"/>
    <mergeCell ref="YW148:YW150"/>
    <mergeCell ref="YX148:YX150"/>
    <mergeCell ref="YY148:YY150"/>
    <mergeCell ref="YZ148:YZ150"/>
    <mergeCell ref="ZA148:ZA150"/>
    <mergeCell ref="ZB148:ZB150"/>
    <mergeCell ref="ZB142:ZB144"/>
    <mergeCell ref="ZC142:ZC144"/>
    <mergeCell ref="ZD142:ZD144"/>
    <mergeCell ref="ZD148:ZD150"/>
    <mergeCell ref="ZA119:ZA120"/>
    <mergeCell ref="ZB119:ZB120"/>
    <mergeCell ref="YS126:YS128"/>
    <mergeCell ref="YT126:YT128"/>
    <mergeCell ref="XG212:XG214"/>
    <mergeCell ref="XH212:XH214"/>
    <mergeCell ref="XI212:XI214"/>
    <mergeCell ref="XJ212:XJ214"/>
    <mergeCell ref="XK212:XK214"/>
    <mergeCell ref="XL212:XL214"/>
    <mergeCell ref="XM212:XM214"/>
    <mergeCell ref="XN212:XN214"/>
    <mergeCell ref="XO212:XO214"/>
    <mergeCell ref="XP212:XP214"/>
    <mergeCell ref="XQ212:XQ214"/>
    <mergeCell ref="XR212:XR214"/>
    <mergeCell ref="XS212:XS214"/>
    <mergeCell ref="XT212:XT214"/>
    <mergeCell ref="XU212:XU214"/>
    <mergeCell ref="XV212:XV214"/>
    <mergeCell ref="XW212:XW214"/>
    <mergeCell ref="XX212:XX214"/>
    <mergeCell ref="XY212:XY214"/>
    <mergeCell ref="XZ212:XZ214"/>
    <mergeCell ref="YA212:YA214"/>
    <mergeCell ref="YB212:YB214"/>
    <mergeCell ref="YC212:YC214"/>
    <mergeCell ref="YD212:YD214"/>
    <mergeCell ref="YE212:YE214"/>
    <mergeCell ref="YF212:YF214"/>
    <mergeCell ref="YG212:YG214"/>
    <mergeCell ref="YH212:YH214"/>
    <mergeCell ref="YI212:YI214"/>
    <mergeCell ref="YJ212:YJ214"/>
    <mergeCell ref="YK212:YK214"/>
    <mergeCell ref="YL212:YL214"/>
    <mergeCell ref="YM212:YM214"/>
    <mergeCell ref="YN212:YN214"/>
    <mergeCell ref="YO212:YO214"/>
    <mergeCell ref="YP212:YP214"/>
    <mergeCell ref="YQ212:YQ214"/>
    <mergeCell ref="YR212:YR214"/>
    <mergeCell ref="YS212:YS214"/>
    <mergeCell ref="YT212:YT214"/>
    <mergeCell ref="YU212:YU214"/>
    <mergeCell ref="YV212:YV214"/>
    <mergeCell ref="YW212:YW214"/>
    <mergeCell ref="YX212:YX214"/>
    <mergeCell ref="YY212:YY214"/>
    <mergeCell ref="YZ212:YZ214"/>
    <mergeCell ref="ZA212:ZA214"/>
    <mergeCell ref="ZB212:ZB214"/>
    <mergeCell ref="ZC212:ZC214"/>
    <mergeCell ref="AAQ121:AAQ125"/>
    <mergeCell ref="AAR121:AAR125"/>
    <mergeCell ref="ZW129:ZW130"/>
    <mergeCell ref="ZX129:ZX130"/>
    <mergeCell ref="ZY129:ZY130"/>
    <mergeCell ref="ZH126:ZH128"/>
    <mergeCell ref="ZI126:ZI128"/>
    <mergeCell ref="ZJ126:ZJ128"/>
    <mergeCell ref="ZK126:ZK128"/>
    <mergeCell ref="ZL126:ZL128"/>
    <mergeCell ref="ZM126:ZM128"/>
    <mergeCell ref="ZN126:ZN128"/>
    <mergeCell ref="YZ137:YZ138"/>
    <mergeCell ref="ZA137:ZA138"/>
    <mergeCell ref="AST62:AST63"/>
    <mergeCell ref="AEE98:AEF98"/>
    <mergeCell ref="AEJ86:AEK86"/>
    <mergeCell ref="AEH87:AEI87"/>
    <mergeCell ref="AEJ87:AEK87"/>
    <mergeCell ref="AEH88:AEI88"/>
    <mergeCell ref="AEJ88:AEK88"/>
    <mergeCell ref="AEH89:AEI89"/>
    <mergeCell ref="AEE110:AEF110"/>
    <mergeCell ref="ADX111:ADY111"/>
    <mergeCell ref="AEH83:AEJ83"/>
    <mergeCell ref="AEK83:AEL83"/>
    <mergeCell ref="AEM83:AEN83"/>
    <mergeCell ref="ARE153:ARF154"/>
    <mergeCell ref="ARG153:ARG154"/>
    <mergeCell ref="ARH153:ARI154"/>
    <mergeCell ref="ARJ153:ARJ154"/>
    <mergeCell ref="AQO156:AQO158"/>
    <mergeCell ref="AQP156:AQQ156"/>
    <mergeCell ref="ARA156:ARB156"/>
    <mergeCell ref="ARC156:ARD156"/>
    <mergeCell ref="ARE156:ARF156"/>
    <mergeCell ref="ARG156:ARJ156"/>
    <mergeCell ref="AQP157:ARB158"/>
    <mergeCell ref="ARC157:ARD158"/>
    <mergeCell ref="ARE157:ARF158"/>
    <mergeCell ref="ARG157:ARG158"/>
    <mergeCell ref="ARH157:ARI158"/>
    <mergeCell ref="ARJ157:ARJ158"/>
    <mergeCell ref="AFX189:AFY189"/>
    <mergeCell ref="AFV190:AFW190"/>
    <mergeCell ref="AFX190:AFY190"/>
    <mergeCell ref="AGA190:AGB190"/>
    <mergeCell ref="AGC190:AGD190"/>
    <mergeCell ref="WE212:WF214"/>
    <mergeCell ref="WZ212:XA214"/>
    <mergeCell ref="WG212:WH212"/>
    <mergeCell ref="WI212:WJ212"/>
    <mergeCell ref="WH90:WI90"/>
    <mergeCell ref="AAS212:AAS214"/>
    <mergeCell ref="AAT212:AAT214"/>
    <mergeCell ref="AAJ212:AAJ214"/>
    <mergeCell ref="AAK184:AAK185"/>
    <mergeCell ref="AAL184:AAL185"/>
    <mergeCell ref="AGA160:AGB160"/>
    <mergeCell ref="AGC160:AGD160"/>
    <mergeCell ref="AGA161:AGB161"/>
    <mergeCell ref="AGC161:AGD161"/>
    <mergeCell ref="AFV162:AFW162"/>
    <mergeCell ref="AFX162:AFY162"/>
    <mergeCell ref="AGA162:AGB162"/>
    <mergeCell ref="AGC162:AGD162"/>
    <mergeCell ref="AFV163:AFW163"/>
    <mergeCell ref="AFX163:AFY163"/>
    <mergeCell ref="AGA163:AGB163"/>
    <mergeCell ref="AGC163:AGD163"/>
    <mergeCell ref="AFL203:AFM203"/>
    <mergeCell ref="AFN203:AFO203"/>
    <mergeCell ref="AFQ203:AFR203"/>
    <mergeCell ref="AFS203:AFT203"/>
    <mergeCell ref="AGO175:AGP175"/>
    <mergeCell ref="AEE86:AEF86"/>
    <mergeCell ref="AEM102:AEN102"/>
    <mergeCell ref="AEO102:AEP102"/>
    <mergeCell ref="AEH103:AEI103"/>
    <mergeCell ref="AEJ103:AEK103"/>
    <mergeCell ref="AEM103:AEN103"/>
    <mergeCell ref="AEO103:AEP103"/>
    <mergeCell ref="AEH104:AEI104"/>
    <mergeCell ref="AEJ104:AEK104"/>
    <mergeCell ref="AEM104:AEN104"/>
    <mergeCell ref="AEH96:AEI96"/>
    <mergeCell ref="AEJ96:AEK96"/>
    <mergeCell ref="AEH105:AEI105"/>
    <mergeCell ref="AEJ105:AEK105"/>
    <mergeCell ref="AEM105:AEN105"/>
    <mergeCell ref="AEO105:AEP105"/>
    <mergeCell ref="AEH106:AEI106"/>
    <mergeCell ref="AEJ106:AEK106"/>
    <mergeCell ref="AEM106:AEN106"/>
    <mergeCell ref="AEO106:AEP106"/>
    <mergeCell ref="AEH107:AEI107"/>
    <mergeCell ref="AFL189:AFM189"/>
    <mergeCell ref="AFN189:AFO189"/>
    <mergeCell ref="AFQ189:AFR189"/>
    <mergeCell ref="AFQ179:AFR179"/>
    <mergeCell ref="AFS179:AFT179"/>
    <mergeCell ref="AFL180:AFM180"/>
    <mergeCell ref="AFV203:AFW203"/>
    <mergeCell ref="AFX203:AFY203"/>
    <mergeCell ref="AGA203:AGB203"/>
    <mergeCell ref="AGC203:AGD203"/>
    <mergeCell ref="AFL197:AFM197"/>
    <mergeCell ref="AFN197:AFO197"/>
    <mergeCell ref="AFX188:AFY188"/>
    <mergeCell ref="AGA188:AGB188"/>
    <mergeCell ref="AGC188:AGD188"/>
    <mergeCell ref="AFV189:AFW189"/>
    <mergeCell ref="ACJ25:ACK25"/>
    <mergeCell ref="ACL25:ACM25"/>
    <mergeCell ref="ACO25:ACP25"/>
    <mergeCell ref="ACQ25:ACR25"/>
    <mergeCell ref="ACJ26:ACK26"/>
    <mergeCell ref="ACL26:ACM26"/>
    <mergeCell ref="ACO26:ACP26"/>
    <mergeCell ref="ACR71:ACX74"/>
    <mergeCell ref="ARE116:ARF116"/>
    <mergeCell ref="ARG116:ARJ116"/>
    <mergeCell ref="AQP117:ARB118"/>
    <mergeCell ref="ARC117:ARD118"/>
    <mergeCell ref="ARE117:ARF118"/>
    <mergeCell ref="ARG117:ARG118"/>
    <mergeCell ref="ARH117:ARI118"/>
    <mergeCell ref="ARJ117:ARJ118"/>
    <mergeCell ref="AQO104:AQO106"/>
    <mergeCell ref="AQP104:AQQ104"/>
    <mergeCell ref="ARA104:ARB104"/>
    <mergeCell ref="ARC104:ARD104"/>
    <mergeCell ref="AQP105:ARB106"/>
    <mergeCell ref="ARC105:ARD106"/>
    <mergeCell ref="AEJ62:AEK62"/>
    <mergeCell ref="AEM62:AEN62"/>
    <mergeCell ref="AEO62:AEP62"/>
    <mergeCell ref="AEJ94:AEK94"/>
    <mergeCell ref="AEM94:AEN94"/>
    <mergeCell ref="AEO94:AEP94"/>
    <mergeCell ref="AEH95:AEI95"/>
    <mergeCell ref="ADX83:ADZ83"/>
    <mergeCell ref="AEA83:AEB83"/>
    <mergeCell ref="AEH91:AEI91"/>
    <mergeCell ref="AEJ91:AEK91"/>
    <mergeCell ref="AEM91:AEN91"/>
    <mergeCell ref="AEO91:AEP91"/>
    <mergeCell ref="ADZ101:AEA101"/>
    <mergeCell ref="AEC101:AED101"/>
    <mergeCell ref="AEC117:AED117"/>
    <mergeCell ref="ADX118:ADY118"/>
    <mergeCell ref="ADZ118:AEA118"/>
    <mergeCell ref="AEC118:AED118"/>
    <mergeCell ref="AES80:AEU80"/>
    <mergeCell ref="AES81:AEU81"/>
    <mergeCell ref="AEV76:AEW76"/>
    <mergeCell ref="AEV77:AEW77"/>
    <mergeCell ref="AEV78:AEW78"/>
    <mergeCell ref="AEV79:AEW79"/>
    <mergeCell ref="AEV80:AEW80"/>
    <mergeCell ref="AEV81:AEW81"/>
    <mergeCell ref="AEY76:AEZ76"/>
    <mergeCell ref="AEY77:AEZ77"/>
    <mergeCell ref="AEY78:AEZ78"/>
    <mergeCell ref="AEX79:AEZ79"/>
    <mergeCell ref="ADX88:ADY88"/>
    <mergeCell ref="ADZ88:AEA88"/>
    <mergeCell ref="AEC88:AED88"/>
    <mergeCell ref="ADN92:ADO92"/>
    <mergeCell ref="ADP92:ADQ92"/>
    <mergeCell ref="ADX100:ADY100"/>
    <mergeCell ref="ADZ100:AEA100"/>
    <mergeCell ref="ACO93:ACP93"/>
    <mergeCell ref="ADU109:ADV109"/>
    <mergeCell ref="AEO61:AEP61"/>
    <mergeCell ref="AEH62:AEI62"/>
    <mergeCell ref="AEH59:AEI59"/>
    <mergeCell ref="AEJ59:AEK59"/>
    <mergeCell ref="AEM59:AEN59"/>
    <mergeCell ref="ACY71:ACY74"/>
    <mergeCell ref="ADP86:ADQ86"/>
    <mergeCell ref="AEH84:AEI84"/>
    <mergeCell ref="ACO52:ACP52"/>
    <mergeCell ref="ACQ52:ACR52"/>
    <mergeCell ref="ACJ53:ACK53"/>
    <mergeCell ref="ACL53:ACM53"/>
    <mergeCell ref="ACO53:ACP53"/>
    <mergeCell ref="AAU57:AAV58"/>
    <mergeCell ref="AEM53:AEN53"/>
    <mergeCell ref="AEO53:AEP53"/>
    <mergeCell ref="AEH54:AEI54"/>
    <mergeCell ref="AEJ54:AEK54"/>
    <mergeCell ref="AEM54:AEN54"/>
    <mergeCell ref="AEO54:AEP54"/>
    <mergeCell ref="AEJ84:AEK84"/>
    <mergeCell ref="AEH85:AEI85"/>
    <mergeCell ref="AEJ85:AEK85"/>
    <mergeCell ref="ARC153:ARD154"/>
    <mergeCell ref="AFX157:AFY157"/>
    <mergeCell ref="AGA157:AGB157"/>
    <mergeCell ref="AGC157:AGD157"/>
    <mergeCell ref="AFV158:AFW158"/>
    <mergeCell ref="AFX158:AFY158"/>
    <mergeCell ref="AGA158:AGB158"/>
    <mergeCell ref="AGC158:AGD158"/>
    <mergeCell ref="AGZ153:AHH153"/>
    <mergeCell ref="ADX86:ADY86"/>
    <mergeCell ref="ADZ86:AEA86"/>
    <mergeCell ref="ADK109:ADL109"/>
    <mergeCell ref="ADN109:ADO109"/>
    <mergeCell ref="ADP109:ADQ109"/>
    <mergeCell ref="ADS109:ADT109"/>
    <mergeCell ref="ACT152:ACV152"/>
    <mergeCell ref="ACW152:ACX152"/>
    <mergeCell ref="ACY152:ACZ152"/>
    <mergeCell ref="ADA152:ADB152"/>
    <mergeCell ref="ADD152:ADF152"/>
    <mergeCell ref="ADG152:ADH152"/>
    <mergeCell ref="ADI152:ADJ152"/>
    <mergeCell ref="ADK152:ADL152"/>
    <mergeCell ref="ADN152:ADP152"/>
    <mergeCell ref="ADX92:ADY92"/>
    <mergeCell ref="ADX87:ADY87"/>
    <mergeCell ref="ADZ87:AEA87"/>
    <mergeCell ref="AEC87:AED87"/>
    <mergeCell ref="ADZ90:AEA90"/>
    <mergeCell ref="ADK92:ADL92"/>
    <mergeCell ref="ADS92:ADT92"/>
    <mergeCell ref="ADX91:ADY91"/>
    <mergeCell ref="AEO112:AEP112"/>
    <mergeCell ref="AEH113:AEI113"/>
    <mergeCell ref="AEM101:AEN101"/>
    <mergeCell ref="AEO101:AEP101"/>
    <mergeCell ref="ACN77:ACO78"/>
    <mergeCell ref="AEO83:AEP83"/>
    <mergeCell ref="AEE88:AEF88"/>
    <mergeCell ref="AEE90:AEF90"/>
    <mergeCell ref="AEE87:AEF87"/>
    <mergeCell ref="ADZ92:AEA92"/>
    <mergeCell ref="AEH115:AEI115"/>
    <mergeCell ref="AEH195:AEI195"/>
    <mergeCell ref="AEJ195:AEK195"/>
    <mergeCell ref="AGC169:AGD169"/>
    <mergeCell ref="AFV170:AFW170"/>
    <mergeCell ref="AFX170:AFY170"/>
    <mergeCell ref="AGA170:AGB170"/>
    <mergeCell ref="AGC170:AGD170"/>
    <mergeCell ref="AFV171:AFW171"/>
    <mergeCell ref="AFX171:AFY171"/>
    <mergeCell ref="AGA171:AGB171"/>
    <mergeCell ref="AGC171:AGD171"/>
    <mergeCell ref="AFV172:AFW172"/>
    <mergeCell ref="AFX172:AFY172"/>
    <mergeCell ref="AFX197:AFY197"/>
    <mergeCell ref="AGA197:AGB197"/>
    <mergeCell ref="AGC197:AGD197"/>
    <mergeCell ref="AFV198:AFW198"/>
    <mergeCell ref="AFX198:AFY198"/>
    <mergeCell ref="AGA198:AGB198"/>
    <mergeCell ref="AGC198:AGD198"/>
    <mergeCell ref="AFX184:AFY184"/>
    <mergeCell ref="AGC200:AGD200"/>
    <mergeCell ref="AFV201:AFW201"/>
    <mergeCell ref="AFX201:AFY201"/>
    <mergeCell ref="AGA201:AGB201"/>
    <mergeCell ref="AGC201:AGD201"/>
    <mergeCell ref="AFN196:AFO196"/>
    <mergeCell ref="AFQ196:AFR196"/>
    <mergeCell ref="AFS196:AFT196"/>
    <mergeCell ref="AGA199:AGB199"/>
    <mergeCell ref="AGC199:AGD199"/>
    <mergeCell ref="AFL196:AFM196"/>
    <mergeCell ref="AFL195:AFM195"/>
    <mergeCell ref="AFS182:AFT182"/>
    <mergeCell ref="AFL183:AFM183"/>
    <mergeCell ref="AFN183:AFO183"/>
    <mergeCell ref="AFQ183:AFR183"/>
    <mergeCell ref="AFX191:AFY191"/>
    <mergeCell ref="AFX185:AFY185"/>
    <mergeCell ref="AGA185:AGB185"/>
    <mergeCell ref="AFS189:AFT189"/>
    <mergeCell ref="AFL190:AFM190"/>
    <mergeCell ref="AFS186:AFT186"/>
    <mergeCell ref="AFS183:AFT183"/>
    <mergeCell ref="AFL184:AFM184"/>
    <mergeCell ref="AFN184:AFO184"/>
    <mergeCell ref="AFL191:AFM191"/>
    <mergeCell ref="AFN191:AFO191"/>
    <mergeCell ref="AFQ191:AFR191"/>
    <mergeCell ref="AFS191:AFT191"/>
    <mergeCell ref="AFL192:AFM192"/>
    <mergeCell ref="AFN192:AFO192"/>
    <mergeCell ref="AFL179:AFM179"/>
    <mergeCell ref="AFL182:AFM182"/>
    <mergeCell ref="AFN182:AFO182"/>
    <mergeCell ref="AFQ182:AFR182"/>
    <mergeCell ref="AFN179:AFO179"/>
    <mergeCell ref="AFN190:AFO190"/>
    <mergeCell ref="AFQ190:AFR190"/>
    <mergeCell ref="AFS190:AFT190"/>
    <mergeCell ref="AFX193:AFY193"/>
    <mergeCell ref="AGA193:AGB193"/>
    <mergeCell ref="AGC193:AGD193"/>
    <mergeCell ref="AFV194:AFW194"/>
    <mergeCell ref="XF215:XF229"/>
    <mergeCell ref="VC56:VO56"/>
    <mergeCell ref="ZT17:ZT18"/>
    <mergeCell ref="ZU17:ZU18"/>
    <mergeCell ref="ZV17:ZV18"/>
    <mergeCell ref="ZW17:ZW18"/>
    <mergeCell ref="ZZ17:ZZ18"/>
    <mergeCell ref="ARG136:ARJ136"/>
    <mergeCell ref="ARJ133:ARJ134"/>
    <mergeCell ref="MF170:MG170"/>
    <mergeCell ref="WX19:WY20"/>
    <mergeCell ref="WX21:WY22"/>
    <mergeCell ref="WX23:WY24"/>
    <mergeCell ref="WX25:WY26"/>
    <mergeCell ref="WX27:WY28"/>
    <mergeCell ref="WX29:WY30"/>
    <mergeCell ref="WX31:WY32"/>
    <mergeCell ref="WX33:WY34"/>
    <mergeCell ref="WX35:WY36"/>
    <mergeCell ref="WX37:WY38"/>
    <mergeCell ref="WX39:WY40"/>
    <mergeCell ref="WX41:WY42"/>
    <mergeCell ref="WX43:WY44"/>
    <mergeCell ref="WX45:WY46"/>
    <mergeCell ref="WX47:WY48"/>
    <mergeCell ref="WX49:WY50"/>
    <mergeCell ref="WX51:WY52"/>
    <mergeCell ref="WX55:WY56"/>
    <mergeCell ref="WX57:WY58"/>
    <mergeCell ref="AQO148:AQO150"/>
    <mergeCell ref="AQP148:AQQ148"/>
    <mergeCell ref="ARA148:ARB148"/>
    <mergeCell ref="ARC148:ARD148"/>
    <mergeCell ref="ARE148:ARF148"/>
    <mergeCell ref="ARG148:ARJ148"/>
    <mergeCell ref="AQP149:ARB150"/>
    <mergeCell ref="ARC149:ARD150"/>
    <mergeCell ref="ARE149:ARF150"/>
    <mergeCell ref="ARG149:ARG150"/>
    <mergeCell ref="ARH149:ARI150"/>
    <mergeCell ref="ARJ149:ARJ150"/>
    <mergeCell ref="AQO152:AQO154"/>
    <mergeCell ref="AQP152:AQQ152"/>
    <mergeCell ref="ARA152:ARB152"/>
    <mergeCell ref="ARC152:ARD152"/>
    <mergeCell ref="ARE152:ARF152"/>
    <mergeCell ref="ARG152:ARJ152"/>
    <mergeCell ref="AQP153:ARB154"/>
    <mergeCell ref="AAU19:AAV20"/>
    <mergeCell ref="ARE136:ARF136"/>
    <mergeCell ref="AAU51:AAV52"/>
    <mergeCell ref="AAU53:AAV54"/>
    <mergeCell ref="ARE137:ARF138"/>
    <mergeCell ref="ARG137:ARG138"/>
    <mergeCell ref="ARH137:ARI138"/>
    <mergeCell ref="ARJ137:ARJ138"/>
    <mergeCell ref="AQO140:AQO142"/>
    <mergeCell ref="AQP140:AQQ140"/>
    <mergeCell ref="ARA140:ARB140"/>
    <mergeCell ref="ARC140:ARD140"/>
    <mergeCell ref="ARE140:ARF140"/>
    <mergeCell ref="MG27:ML28"/>
    <mergeCell ref="ARG140:ARJ140"/>
    <mergeCell ref="AGS187:AGU187"/>
    <mergeCell ref="MI241:ML243"/>
    <mergeCell ref="MF229:MH231"/>
    <mergeCell ref="MF225:MK226"/>
    <mergeCell ref="MB224:MD226"/>
    <mergeCell ref="MG248:MK250"/>
    <mergeCell ref="MC248:MD248"/>
    <mergeCell ref="MC249:MD249"/>
    <mergeCell ref="MB247:MB250"/>
    <mergeCell ref="ML250:MS250"/>
    <mergeCell ref="MT247:MY247"/>
    <mergeCell ref="MT248:MY250"/>
    <mergeCell ref="MF216:MM218"/>
    <mergeCell ref="WL57:WM57"/>
    <mergeCell ref="GG127:GL128"/>
    <mergeCell ref="AAU17:AAV18"/>
    <mergeCell ref="AAU11:AAV16"/>
    <mergeCell ref="AAT17:AAT18"/>
    <mergeCell ref="IN79:IO79"/>
    <mergeCell ref="IP79:IQ79"/>
    <mergeCell ref="IR79:IS79"/>
    <mergeCell ref="IT79:IU79"/>
    <mergeCell ref="IV79:IW79"/>
    <mergeCell ref="IX79:IY79"/>
    <mergeCell ref="IZ79:JA79"/>
    <mergeCell ref="JB79:JC79"/>
    <mergeCell ref="JD79:JE79"/>
    <mergeCell ref="JF79:JG79"/>
    <mergeCell ref="JH79:JI79"/>
    <mergeCell ref="JJ79:JK79"/>
    <mergeCell ref="JL79:JM79"/>
    <mergeCell ref="JN79:JO79"/>
    <mergeCell ref="JP79:JQ79"/>
    <mergeCell ref="JR79:JS79"/>
    <mergeCell ref="ZX17:ZX18"/>
    <mergeCell ref="ZY17:ZY18"/>
    <mergeCell ref="AAP17:AAP18"/>
    <mergeCell ref="AAQ17:AAQ18"/>
    <mergeCell ref="AAR17:AAR18"/>
    <mergeCell ref="AAS17:AAS18"/>
    <mergeCell ref="AAE17:AAE18"/>
    <mergeCell ref="AAF17:AAF18"/>
    <mergeCell ref="AAG17:AAG18"/>
    <mergeCell ref="AAH17:AAH18"/>
    <mergeCell ref="AAI17:AAI18"/>
    <mergeCell ref="AAJ17:AAJ18"/>
    <mergeCell ref="AAK17:AAK18"/>
    <mergeCell ref="AAL17:AAL18"/>
    <mergeCell ref="AAM17:AAM18"/>
    <mergeCell ref="AAJ55:AAJ56"/>
    <mergeCell ref="AAK55:AAK56"/>
    <mergeCell ref="AAL55:AAL56"/>
    <mergeCell ref="IY89:JA89"/>
    <mergeCell ref="IV90:JF91"/>
    <mergeCell ref="IY94:JA94"/>
    <mergeCell ref="IV95:JF96"/>
    <mergeCell ref="IS72:JB73"/>
    <mergeCell ref="IS76:IX77"/>
    <mergeCell ref="KE64:KH65"/>
    <mergeCell ref="MI46:MK46"/>
    <mergeCell ref="PQ184:PV186"/>
    <mergeCell ref="PP85:PU86"/>
    <mergeCell ref="GK107:GP108"/>
    <mergeCell ref="GG111:GL112"/>
    <mergeCell ref="GK123:GL124"/>
    <mergeCell ref="AP77:AR77"/>
    <mergeCell ref="AK87:AP88"/>
    <mergeCell ref="AM78:AW79"/>
    <mergeCell ref="AP30:AZ31"/>
    <mergeCell ref="AN57:AU59"/>
    <mergeCell ref="MK150:ML150"/>
    <mergeCell ref="EN88:EO89"/>
    <mergeCell ref="CC104:CD104"/>
    <mergeCell ref="CE102:CF102"/>
    <mergeCell ref="CH102:CI102"/>
    <mergeCell ref="EB119:EC119"/>
    <mergeCell ref="EB120:EC120"/>
    <mergeCell ref="EB121:EC121"/>
    <mergeCell ref="EA118:EB118"/>
    <mergeCell ref="CJ94:CK94"/>
    <mergeCell ref="CB95:CK96"/>
    <mergeCell ref="LY106:LZ106"/>
    <mergeCell ref="EU119:EU120"/>
    <mergeCell ref="EV119:EW120"/>
    <mergeCell ref="IR89:IT91"/>
    <mergeCell ref="MC97:MD97"/>
    <mergeCell ref="MF92:MO93"/>
    <mergeCell ref="MD87:ME87"/>
    <mergeCell ref="JY92:JZ92"/>
    <mergeCell ref="MB85:MB87"/>
    <mergeCell ref="JK89:JN89"/>
    <mergeCell ref="MG98:MH98"/>
    <mergeCell ref="MA106:MB106"/>
    <mergeCell ref="KT92:KV92"/>
    <mergeCell ref="IV67:JB69"/>
    <mergeCell ref="MI64:MK64"/>
    <mergeCell ref="MF65:MP66"/>
    <mergeCell ref="MF46:MG46"/>
    <mergeCell ref="MN68:MO68"/>
    <mergeCell ref="MG68:MI68"/>
    <mergeCell ref="MG78:MI78"/>
    <mergeCell ref="GJ65:GV66"/>
    <mergeCell ref="GM69:GS70"/>
    <mergeCell ref="KN98:KO98"/>
    <mergeCell ref="KS68:KT69"/>
    <mergeCell ref="KQ72:KR73"/>
    <mergeCell ref="KS72:KS73"/>
    <mergeCell ref="JF84:JG85"/>
    <mergeCell ref="HD89:HD90"/>
    <mergeCell ref="GX88:GY88"/>
    <mergeCell ref="MC81:MD81"/>
    <mergeCell ref="JD56:JE56"/>
    <mergeCell ref="JA60:JB60"/>
    <mergeCell ref="GG126:GH126"/>
    <mergeCell ref="CC103:CD103"/>
    <mergeCell ref="MN91:MO91"/>
    <mergeCell ref="MP97:MQ97"/>
    <mergeCell ref="MP118:MQ118"/>
    <mergeCell ref="GG130:GH130"/>
    <mergeCell ref="KF92:KG92"/>
    <mergeCell ref="GV98:GW99"/>
    <mergeCell ref="EO84:EO85"/>
    <mergeCell ref="ES93:ES94"/>
    <mergeCell ref="KN99:KO100"/>
    <mergeCell ref="KN104:KO104"/>
    <mergeCell ref="GG100:GH100"/>
    <mergeCell ref="KA90:KB90"/>
    <mergeCell ref="GG103:GH103"/>
    <mergeCell ref="GG80:GH80"/>
    <mergeCell ref="ASG145:ASN145"/>
    <mergeCell ref="AGS44:AGU44"/>
    <mergeCell ref="AGP45:AGZ46"/>
    <mergeCell ref="AGS40:AGU40"/>
    <mergeCell ref="AGP41:AGZ42"/>
    <mergeCell ref="AGS103:AGU103"/>
    <mergeCell ref="AGP104:AGZ105"/>
    <mergeCell ref="EE84:EJ85"/>
    <mergeCell ref="MF47:MP48"/>
    <mergeCell ref="ASB19:ASD19"/>
    <mergeCell ref="ARY20:ASI21"/>
    <mergeCell ref="ASD110:ASF110"/>
    <mergeCell ref="ARZ119:ASB119"/>
    <mergeCell ref="ARZ120:ASB120"/>
    <mergeCell ref="ASC115:ASH116"/>
    <mergeCell ref="ARZ115:ASB115"/>
    <mergeCell ref="ARZ116:ASB116"/>
    <mergeCell ref="ASC119:ASH120"/>
    <mergeCell ref="ARY142:ASA142"/>
    <mergeCell ref="ARV143:ASF145"/>
    <mergeCell ref="ARU142:ARU145"/>
    <mergeCell ref="PS52:PU52"/>
    <mergeCell ref="PS56:PU56"/>
    <mergeCell ref="PP53:PZ54"/>
    <mergeCell ref="PP57:PZ58"/>
    <mergeCell ref="PS88:PU88"/>
    <mergeCell ref="PP89:PZ90"/>
    <mergeCell ref="PR99:PV101"/>
    <mergeCell ref="PR120:PV121"/>
    <mergeCell ref="ARC141:ARD142"/>
    <mergeCell ref="ARE141:ARF142"/>
    <mergeCell ref="ARG141:ARG142"/>
    <mergeCell ref="ARH141:ARI142"/>
    <mergeCell ref="ARJ141:ARJ142"/>
    <mergeCell ref="AQO144:AQO146"/>
    <mergeCell ref="AQP144:AQQ144"/>
    <mergeCell ref="ARA144:ARB144"/>
    <mergeCell ref="AQP145:ARB146"/>
    <mergeCell ref="ARC145:ARD146"/>
    <mergeCell ref="ARE145:ARF146"/>
    <mergeCell ref="ARG145:ARG146"/>
    <mergeCell ref="ARH145:ARI146"/>
    <mergeCell ref="ARJ145:ARJ146"/>
    <mergeCell ref="GG131:GL132"/>
    <mergeCell ref="AAO121:AAO125"/>
    <mergeCell ref="AAP121:AAP125"/>
    <mergeCell ref="AQP141:ARB142"/>
    <mergeCell ref="AAU21:AAV22"/>
    <mergeCell ref="AAU23:AAV24"/>
    <mergeCell ref="AAU25:AAV26"/>
    <mergeCell ref="GM31:GO31"/>
    <mergeCell ref="GJ32:GT33"/>
    <mergeCell ref="MI97:MJ97"/>
    <mergeCell ref="GQ77:GR77"/>
    <mergeCell ref="GS77:GT77"/>
    <mergeCell ref="GJ91:GK91"/>
    <mergeCell ref="IT57:IU57"/>
    <mergeCell ref="AAU55:AAV56"/>
    <mergeCell ref="AEM57:AEN57"/>
    <mergeCell ref="AEO57:AEP57"/>
    <mergeCell ref="AEH58:AEI58"/>
    <mergeCell ref="AEJ58:AEK58"/>
    <mergeCell ref="AEM58:AEN58"/>
    <mergeCell ref="AEO58:AEP58"/>
    <mergeCell ref="AAU27:AAV28"/>
    <mergeCell ref="AAU29:AAV30"/>
    <mergeCell ref="AAU31:AAV32"/>
    <mergeCell ref="AAU33:AAV34"/>
    <mergeCell ref="AAU35:AAV36"/>
    <mergeCell ref="AAU37:AAV38"/>
    <mergeCell ref="AAU39:AAV40"/>
    <mergeCell ref="AAU41:AAV42"/>
    <mergeCell ref="AAU43:AAV44"/>
    <mergeCell ref="AAU45:AAV46"/>
    <mergeCell ref="AAU47:AAV48"/>
    <mergeCell ref="AAU49:AAV50"/>
    <mergeCell ref="AEO59:AEP59"/>
    <mergeCell ref="AEH60:AEI60"/>
    <mergeCell ref="AK100:AL100"/>
    <mergeCell ref="AM100:AT101"/>
    <mergeCell ref="CB111:CC111"/>
    <mergeCell ref="CB112:CC112"/>
    <mergeCell ref="CD111:CJ112"/>
    <mergeCell ref="CE12:CL13"/>
    <mergeCell ref="CB79:CH80"/>
    <mergeCell ref="BZ80:CA80"/>
    <mergeCell ref="IV42:JF43"/>
    <mergeCell ref="AM99:AO99"/>
    <mergeCell ref="E25:G27"/>
    <mergeCell ref="ED20:EN21"/>
    <mergeCell ref="ED24:EN25"/>
    <mergeCell ref="ED16:EN17"/>
    <mergeCell ref="GG107:GH107"/>
    <mergeCell ref="GI107:GJ107"/>
    <mergeCell ref="GG108:GH108"/>
    <mergeCell ref="GI108:GJ108"/>
    <mergeCell ref="GK103:GQ104"/>
    <mergeCell ref="GM43:GO43"/>
    <mergeCell ref="GJ44:GT45"/>
    <mergeCell ref="CC36:CH37"/>
    <mergeCell ref="F31:G31"/>
    <mergeCell ref="J31:Q31"/>
    <mergeCell ref="I26:I27"/>
    <mergeCell ref="J26:R27"/>
    <mergeCell ref="E29:F29"/>
    <mergeCell ref="J29:T29"/>
    <mergeCell ref="F34:F35"/>
    <mergeCell ref="J38:S38"/>
    <mergeCell ref="GM15:GO15"/>
    <mergeCell ref="GJ16:GT17"/>
    <mergeCell ref="E73:L74"/>
    <mergeCell ref="E67:L68"/>
    <mergeCell ref="AS29:AU29"/>
    <mergeCell ref="AP24:AR24"/>
    <mergeCell ref="AM25:AW26"/>
    <mergeCell ref="AP61:AR61"/>
    <mergeCell ref="AP65:AR65"/>
    <mergeCell ref="AP69:AR69"/>
    <mergeCell ref="AM62:AW63"/>
    <mergeCell ref="AM66:AW67"/>
    <mergeCell ref="AK17:AL17"/>
    <mergeCell ref="AM16:AO17"/>
    <mergeCell ref="AJ20:AO21"/>
    <mergeCell ref="BY75:CD76"/>
    <mergeCell ref="CD63:CH64"/>
    <mergeCell ref="AM70:AW71"/>
    <mergeCell ref="AP73:AR73"/>
    <mergeCell ref="AM74:AX75"/>
  </mergeCells>
  <conditionalFormatting sqref="PV144 PV133 QB22 QA15">
    <cfRule type="containsText" dxfId="5" priority="9" operator="containsText" text="Данная переменная не используется в расчете">
      <formula>NOT(ISERROR(SEARCH("Данная переменная не используется в расчете",PV15)))</formula>
    </cfRule>
  </conditionalFormatting>
  <conditionalFormatting sqref="QB22 QA15 PV133 PV144">
    <cfRule type="containsText" dxfId="4" priority="8" operator="containsText" text="Расчет по формуле данной последовательности">
      <formula>NOT(ISERROR(SEARCH("Расчет по формуле данной последовательности",PV15)))</formula>
    </cfRule>
  </conditionalFormatting>
  <hyperlinks>
    <hyperlink ref="U6" r:id="rId1"/>
    <hyperlink ref="BT6" r:id="rId2"/>
    <hyperlink ref="V6" r:id="rId3"/>
    <hyperlink ref="AU61" location="'Описание компонентов'!A1" display=""/>
    <hyperlink ref="AU65" location="'Описание компонентов'!A1" display=""/>
    <hyperlink ref="AU69" location="'Описание компонентов'!A1" display=""/>
    <hyperlink ref="AS56" location="'Описание компонентов'!A1" display=""/>
    <hyperlink ref="AV73" location="'Описание компонентов'!A1" display=""/>
    <hyperlink ref="AU77" location="'Описание компонентов'!A1" display=""/>
    <hyperlink ref="AW81" location="'Описание компонентов'!A1" display=""/>
    <hyperlink ref="AN86" location="'Описание компонентов'!A1" display=""/>
    <hyperlink ref="AQ90" location="'Описание компонентов'!A1" display=""/>
    <hyperlink ref="AT94" location="'Описание компонентов'!A1" display=""/>
    <hyperlink ref="W4" r:id="rId4"/>
    <hyperlink ref="AS69" location="'Программные таблицы'!O38:S44" display=""/>
    <hyperlink ref="AR99" location="'Описание компонентов'!A1" display=""/>
    <hyperlink ref="CJ82" location="'Описание компонентов'!A1" display=""/>
    <hyperlink ref="CI39" location="'Описание компонентов'!A1" display=""/>
    <hyperlink ref="CK53" location="'Описание компонентов'!A1" display=""/>
    <hyperlink ref="CI48" location="'Описание компонентов'!A1" display=""/>
    <hyperlink ref="AS77" location="'Программные таблицы'!CJ14:CQ25" display=""/>
    <hyperlink ref="BT2" r:id="rId5"/>
    <hyperlink ref="BT3" r:id="rId6"/>
    <hyperlink ref="BT5" r:id="rId7"/>
    <hyperlink ref="DV3" r:id="rId8"/>
    <hyperlink ref="DV4" r:id="rId9"/>
    <hyperlink ref="DV5" r:id="rId10"/>
    <hyperlink ref="DV6" r:id="rId11"/>
    <hyperlink ref="CJ58" location="'Описание компонентов'!A1" display=""/>
    <hyperlink ref="CF62" location="'Описание компонентов'!A1" display=""/>
    <hyperlink ref="CE66" location="'Описание компонентов'!A1" display=""/>
    <hyperlink ref="CI70" location="'Описание компонентов'!A1" display=""/>
    <hyperlink ref="CB74" location="'Описание компонентов'!A1" display=""/>
    <hyperlink ref="CF78" location="'Описание компонентов'!A1" display=""/>
    <hyperlink ref="CH58" location="'Программные таблицы'!AJ50" display=""/>
    <hyperlink ref="CI86" location="'Описание компонентов'!A1" display=""/>
    <hyperlink ref="CI94" location="'Описание компонентов'!A1" display=""/>
    <hyperlink ref="CI90" location="'Описание компонентов'!A1" display=""/>
    <hyperlink ref="AS61" location="'Программные таблицы'!AE58:AN70" display=""/>
    <hyperlink ref="CH82" location="'Программные таблицы'!H48" display=""/>
    <hyperlink ref="CK98" location="'Описание компонентов'!A1" display=""/>
    <hyperlink ref="BE133" location="'Описание компонентов'!A1" display=""/>
    <hyperlink ref="CH110" location="'Описание компонентов'!A1" display=""/>
    <hyperlink ref="CK106" location="'Описание компонентов'!A1" display=""/>
    <hyperlink ref="CL118" location="'Описание компонентов'!A1" display=""/>
    <hyperlink ref="CG130" location="'Описание компонентов'!A1" display=""/>
    <hyperlink ref="BC133" location="'Программные таблицы'!AX55:BP77" display=""/>
    <hyperlink ref="CK102" location="'Описание компонентов'!A1" display=""/>
    <hyperlink ref="CJ118" location="'Программные таблицы'!B60:U81" display=""/>
    <hyperlink ref="EN40" location="'Описание компонентов'!A1" display=""/>
    <hyperlink ref="EN44" location="'Описание компонентов'!A1" display=""/>
    <hyperlink ref="CL44" location="'Описание компонентов'!A1" display=""/>
    <hyperlink ref="EH48" location="'Описание компонентов'!A1" display=""/>
    <hyperlink ref="EK61" location="'Описание компонентов'!A1" display=""/>
    <hyperlink ref="EK66" location="'Описание компонентов'!A1" display=""/>
    <hyperlink ref="EI70" location="'Описание компонентов'!A1" display=""/>
    <hyperlink ref="EH75" location="'Описание компонентов'!A1" display=""/>
    <hyperlink ref="EK79" location="'Описание компонентов'!A1" display=""/>
    <hyperlink ref="EH83" location="'Описание компонентов'!A1" display=""/>
    <hyperlink ref="EK87" location="'Описание компонентов'!A1" display=""/>
    <hyperlink ref="EI92" location="'Описание компонентов'!A1" display=""/>
    <hyperlink ref="ED108" location="'Описание компонентов'!A1" display=""/>
    <hyperlink ref="EN118" location="'Описание компонентов'!AD20" display=""/>
    <hyperlink ref="EG53" location="'Описание компонентов'!A1" display=""/>
    <hyperlink ref="EG57" location="'Описание компонентов'!A1" display=""/>
    <hyperlink ref="GD3" r:id="rId12"/>
    <hyperlink ref="GD4" r:id="rId13"/>
    <hyperlink ref="GD6" r:id="rId14"/>
    <hyperlink ref="IP3" r:id="rId15"/>
    <hyperlink ref="IP4" r:id="rId16"/>
    <hyperlink ref="IP5" r:id="rId17"/>
    <hyperlink ref="IP6" r:id="rId18"/>
    <hyperlink ref="LZ3" r:id="rId19"/>
    <hyperlink ref="LZ4" r:id="rId20"/>
    <hyperlink ref="LZ5" r:id="rId21"/>
    <hyperlink ref="LZ6" r:id="rId22"/>
    <hyperlink ref="PF3" r:id="rId23"/>
    <hyperlink ref="PF4" r:id="rId24"/>
    <hyperlink ref="PF5" r:id="rId25"/>
    <hyperlink ref="PF6" r:id="rId26"/>
    <hyperlink ref="ST3" r:id="rId27"/>
    <hyperlink ref="ST4" r:id="rId28"/>
    <hyperlink ref="ST5" r:id="rId29"/>
    <hyperlink ref="ST6" r:id="rId30"/>
    <hyperlink ref="GN35" location="'Описание компонентов'!A1" display=""/>
    <hyperlink ref="GR31" location="'Описание компонентов'!A1" display=""/>
    <hyperlink ref="MM58" location="'Описание компонентов'!A1" display=""/>
    <hyperlink ref="MM52" location="'Описание компонентов'!A1" display=""/>
    <hyperlink ref="PS84" location="'Описание компонентов'!A1" display=""/>
    <hyperlink ref="SK42" location="'Описание компонентов'!A1" display=""/>
    <hyperlink ref="BK2" r:id="rId31"/>
    <hyperlink ref="DM3" r:id="rId32"/>
    <hyperlink ref="FU4" r:id="rId33"/>
    <hyperlink ref="IG4" r:id="rId34"/>
    <hyperlink ref="LQ4" r:id="rId35"/>
    <hyperlink ref="OW4" r:id="rId36"/>
    <hyperlink ref="RR3" r:id="rId37"/>
    <hyperlink ref="AGW50" location="'Описание компонентов'!A1" display=""/>
    <hyperlink ref="ATH49" location="'Описание компонентов'!A1" display=""/>
    <hyperlink ref="AQY59" location="'Описание компонентов'!A1" display=""/>
    <hyperlink ref="J66" location="'Описание компонентов'!AD25:AO39" display=""/>
    <hyperlink ref="AGT3" r:id="rId38"/>
    <hyperlink ref="AGT4" r:id="rId39"/>
    <hyperlink ref="AGT5" r:id="rId40"/>
    <hyperlink ref="AGT6" r:id="rId41"/>
    <hyperlink ref="AGK4" r:id="rId42"/>
    <hyperlink ref="ALP3" r:id="rId43"/>
    <hyperlink ref="ALP4" r:id="rId44"/>
    <hyperlink ref="ALP5" r:id="rId45"/>
    <hyperlink ref="ALP6" r:id="rId46"/>
    <hyperlink ref="ALG4" r:id="rId47"/>
    <hyperlink ref="AVR4" r:id="rId48"/>
    <hyperlink ref="AVR5" r:id="rId49"/>
    <hyperlink ref="AVR6" r:id="rId50"/>
    <hyperlink ref="AVR7" r:id="rId51"/>
    <hyperlink ref="AVI5" r:id="rId52"/>
    <hyperlink ref="GQ39" location="'Описание компонентов'!A1" display=""/>
    <hyperlink ref="GR43" location="'Описание компонентов'!A1" display=""/>
    <hyperlink ref="GM56" location="'Описание компонентов'!A1" display=""/>
    <hyperlink ref="GM52" location="'Описание компонентов'!A1" display=""/>
    <hyperlink ref="GJ47" location="'Описание компонентов'!A1" display=""/>
    <hyperlink ref="GT60" location="'Описание компонентов'!A1" display=""/>
    <hyperlink ref="GT64" location="'Описание компонентов'!A1" display=""/>
    <hyperlink ref="GQ72" location="'Описание компонентов'!A1" display=""/>
    <hyperlink ref="GQ68" location="'Описание компонентов'!A1" display=""/>
    <hyperlink ref="GN77" location="'Описание компонентов'!A1" display=""/>
    <hyperlink ref="GN83" location="'Описание компонентов'!A1" display=""/>
    <hyperlink ref="GO102" location="'Описание компонентов'!A1" display=""/>
    <hyperlink ref="GQ97" location="'Описание компонентов'!A1" display=""/>
    <hyperlink ref="GS88" location="'Описание компонентов'!A1" display=""/>
    <hyperlink ref="GN106" location="'Описание компонентов'!A1" display=""/>
    <hyperlink ref="GJ110" location="'Описание компонентов'!A1" display=""/>
    <hyperlink ref="GJ122" location="'Описание компонентов'!A1" display=""/>
    <hyperlink ref="GJ118" location="'Описание компонентов'!A1" display=""/>
    <hyperlink ref="GJ114" location="'Описание компонентов'!A1" display=""/>
    <hyperlink ref="GJ126" location="'Описание компонентов'!A1" display=""/>
    <hyperlink ref="GJ130" location="'Описание компонентов'!A1" display=""/>
    <hyperlink ref="MM68" location="'Описание компонентов'!A1" display=""/>
    <hyperlink ref="MM78" location="'Описание компонентов'!A1" display=""/>
    <hyperlink ref="MM91" location="'Описание компонентов'!A1" display=""/>
    <hyperlink ref="MM85" location="'Описание компонентов'!A1" display=""/>
    <hyperlink ref="PW30" location="'Описание компонентов'!A1" display=""/>
    <hyperlink ref="MJ220" location="'Описание компонентов'!A1" display=""/>
    <hyperlink ref="MM97" location="'Описание компонентов'!A1" display=""/>
    <hyperlink ref="NX118" location="'Описание компонентов'!A1" display=""/>
    <hyperlink ref="MM122" location="'Описание компонентов'!A1" display=""/>
    <hyperlink ref="MM118" location="'Описание компонентов'!A1" display=""/>
    <hyperlink ref="NX122" location="'Описание компонентов'!A1" display=""/>
    <hyperlink ref="MN136" location="'Описание компонентов'!A1" display=""/>
    <hyperlink ref="NA128" location="'Описание компонентов'!A1" display=""/>
    <hyperlink ref="MI110" location="'Описание компонентов'!A1" display=""/>
    <hyperlink ref="PX88" location="'Описание компонентов'!A1" display=""/>
    <hyperlink ref="PT98" location="'Описание компонентов'!A1" display=""/>
    <hyperlink ref="PT103" location="'Описание компонентов'!A1" display=""/>
    <hyperlink ref="PW108" location="'Описание компонентов'!A1" display=""/>
    <hyperlink ref="PT119" location="'Описание компонентов'!A1" display=""/>
    <hyperlink ref="PT134" location="'Описание компонентов'!A1" display=""/>
    <hyperlink ref="PW125" location="'Описание компонентов'!A1" display=""/>
    <hyperlink ref="ASF51" location="'Описание компонентов'!A1" display=""/>
    <hyperlink ref="ASF55" location="'Описание компонентов'!A1" display=""/>
    <hyperlink ref="AQV84" location="'Описание компонентов'!A1" display=""/>
    <hyperlink ref="AQV88" location="'Описание компонентов'!A1" display=""/>
    <hyperlink ref="ASF82" location="'Описание компонентов'!A1" display=""/>
    <hyperlink ref="AQZ100" location="'Описание компонентов'!A1" display=""/>
    <hyperlink ref="ASF102" location="'Описание компонентов'!A1" display=""/>
    <hyperlink ref="ASF98" location="'Описание компонентов'!A1" display=""/>
    <hyperlink ref="ASF106" location="'Описание компонентов'!A1" display=""/>
    <hyperlink ref="ASI110" location="'Описание компонентов'!A1" display=""/>
    <hyperlink ref="ASF114" location="'Описание компонентов'!A1" display=""/>
    <hyperlink ref="ASF118" location="'Описание компонентов'!A1" display=""/>
    <hyperlink ref="ATT124" location="'Описание компонентов'!A1" display=""/>
    <hyperlink ref="ATT130" location="'Описание компонентов'!A1" display=""/>
    <hyperlink ref="ASJ65" location="'Описание компонентов'!A1" display=""/>
    <hyperlink ref="ASJ61" location="'Описание компонентов'!A1" display=""/>
    <hyperlink ref="AGY56" location="'Описание компонентов'!A1" display=""/>
    <hyperlink ref="AGY61" location="'Описание компонентов'!A1" display=""/>
    <hyperlink ref="AGV66" location="'Описание компонентов'!A1" display=""/>
    <hyperlink ref="AGY71" location="'Описание компонентов'!A1" display=""/>
    <hyperlink ref="AGW77" location="'Описание компонентов'!A1" display=""/>
    <hyperlink ref="AGW85" location="'Описание компонентов'!A1" display=""/>
    <hyperlink ref="AGW108" location="'Описание компонентов'!A1" display=""/>
    <hyperlink ref="AGW92" location="'Описание компонентов'!A1" display=""/>
    <hyperlink ref="AGW114" location="'Описание компонентов'!A1" display=""/>
    <hyperlink ref="AGW121" location="'Описание компонентов'!A1" display=""/>
    <hyperlink ref="AIY208" location="'Описание компонентов'!A1" display=""/>
    <hyperlink ref="AGX167" location="'Описание компонентов'!A1" display=""/>
    <hyperlink ref="AGZ161" location="'Описание компонентов'!A1" display=""/>
    <hyperlink ref="AGW179" location="'Описание компонентов'!A1" display=""/>
    <hyperlink ref="AGW174" location="'Описание компонентов'!A1" display=""/>
    <hyperlink ref="AGX187" location="'Описание компонентов'!A1" display=""/>
    <hyperlink ref="AGW191" location="'Описание компонентов'!A1" display=""/>
    <hyperlink ref="AGW197" location="'Описание компонентов'!A1" display=""/>
    <hyperlink ref="AGW211" location="'Описание компонентов'!A1" display=""/>
    <hyperlink ref="AGW222" location="'Описание компонентов'!A1" display=""/>
    <hyperlink ref="AGW217" location="'Описание компонентов'!A1" display=""/>
    <hyperlink ref="AGW236" location="'Описание компонентов'!A1" display=""/>
    <hyperlink ref="AGW232" location="'Описание компонентов'!A1" display=""/>
    <hyperlink ref="AGW226" location="'Описание компонентов'!A1" display=""/>
    <hyperlink ref="AGW243" location="'Описание компонентов'!A1" display=""/>
    <hyperlink ref="AGW249" location="'Описание компонентов'!A1" display=""/>
    <hyperlink ref="AGW125" location="'Описание компонентов'!A1" display=""/>
    <hyperlink ref="AGW256" location="'Описание компонентов'!A1" display=""/>
    <hyperlink ref="AGW261" location="'Описание компонентов'!A1" display=""/>
    <hyperlink ref="AGW273" location="'Описание компонентов'!A1" display=""/>
    <hyperlink ref="AGW268" location="'Описание компонентов'!A1" display=""/>
    <hyperlink ref="AGW277" location="'Описание компонентов'!A1" display=""/>
    <hyperlink ref="AGW289" location="'Описание компонентов'!A1" display=""/>
    <hyperlink ref="AGW299" location="'Описание компонентов'!A1" display=""/>
    <hyperlink ref="AGW304" location="'Описание компонентов'!A1" display=""/>
    <hyperlink ref="AGW320" location="'Описание компонентов'!A1" display=""/>
    <hyperlink ref="ASK129" location="'Описание компонентов'!A1" display=""/>
    <hyperlink ref="ASF212" location="'Описание компонентов'!A1" display=""/>
    <hyperlink ref="ASF208" location="'Описание компонентов'!A1" display=""/>
    <hyperlink ref="ASF216" location="'Описание компонентов'!A1" display=""/>
    <hyperlink ref="ASI220" location="'Описание компонентов'!A1" display=""/>
    <hyperlink ref="ATO234" location="'Описание компонентов'!A1" display=""/>
    <hyperlink ref="ATO238" location="'Описание компонентов'!A1" display=""/>
    <hyperlink ref="ATO242" location="'Описание компонентов'!A1" display=""/>
    <hyperlink ref="ATO246" location="'Описание компонентов'!A1" display=""/>
    <hyperlink ref="ATP220" location="'Описание компонентов'!A1" display=""/>
    <hyperlink ref="ASD142" location="'Описание компонентов'!A1" display=""/>
    <hyperlink ref="ATP224" location="'Описание компонентов'!A1" display=""/>
    <hyperlink ref="ASJ194" location="'Описание компонентов'!A1" display=""/>
    <hyperlink ref="ASJ198" location="'Описание компонентов'!A1" display=""/>
    <hyperlink ref="ATO161" location="'Описание компонентов'!A1" display=""/>
    <hyperlink ref="ASF165" location="'Описание компонентов'!A1" display=""/>
    <hyperlink ref="ASF169" location="'Описание компонентов'!A1" display=""/>
    <hyperlink ref="ASF177" location="'Описание компонентов'!A1" display=""/>
    <hyperlink ref="ASK125" location="'Описание компонентов'!A1" display=""/>
    <hyperlink ref="ASF186" location="'Описание компонентов'!A1" display=""/>
    <hyperlink ref="MP170" location="'Описание компонентов'!A1" display=""/>
    <hyperlink ref="MM141" location="'Описание компонентов'!A1" display=""/>
    <hyperlink ref="MO156" location="'Описание компонентов'!A1" display=""/>
    <hyperlink ref="MP150" location="'Описание компонентов'!A1" display=""/>
    <hyperlink ref="MN176" location="'Описание компонентов'!A1" display=""/>
    <hyperlink ref="MH161" location="'Описание компонентов'!A1" display=""/>
    <hyperlink ref="MN180" location="'Описание компонентов'!A1" display=""/>
    <hyperlink ref="MN184" location="'Описание компонентов'!A1" display=""/>
    <hyperlink ref="MJ199" location="'Описание компонентов'!A1" display=""/>
    <hyperlink ref="MN193" location="'Описание компонентов'!A1" display=""/>
    <hyperlink ref="MN211" location="'Описание компонентов'!A1" display=""/>
    <hyperlink ref="MM205" location="'Описание компонентов'!A1" display=""/>
    <hyperlink ref="MF228" location="'Описание компонентов'!A1" display=""/>
    <hyperlink ref="MK215" location="'Описание компонентов'!A1" display=""/>
    <hyperlink ref="MJ240" location="'Описание компонентов'!A1" display=""/>
    <hyperlink ref="MM233" location="'Описание компонентов'!A1" display=""/>
    <hyperlink ref="PW145" location="'Описание компонентов'!A1" display=""/>
    <hyperlink ref="MI247" location="'Описание компонентов'!A1" display=""/>
    <hyperlink ref="PW140" location="'Описание компонентов'!A1" display=""/>
    <hyperlink ref="PW172" location="'Описание компонентов'!A1" display=""/>
    <hyperlink ref="PT179" location="'Описание компонентов'!A1" display=""/>
    <hyperlink ref="PT183" location="'Описание компонентов'!A1" display=""/>
    <hyperlink ref="PW188" location="'Описание компонентов'!A1" display=""/>
    <hyperlink ref="PT194" location="'Описание компонентов'!A1" display=""/>
    <hyperlink ref="PX56" location="'Описание компонентов'!A1" display=""/>
    <hyperlink ref="PX52" location="'Описание компонентов'!A1" display=""/>
    <hyperlink ref="PT36" location="'Описание компонентов'!A1" display=""/>
    <hyperlink ref="QN36" location="'Описание компонентов'!A1" display=""/>
    <hyperlink ref="PQ40" location="'Описание компонентов'!A1" display=""/>
    <hyperlink ref="PZ60" location="'Описание компонентов'!A1" display=""/>
    <hyperlink ref="ASK133" location="'Описание компонентов'!A1" display=""/>
    <hyperlink ref="ATO252" location="'Описание компонентов'!A1" display=""/>
    <hyperlink ref="KI104" location="'Описание компонентов'!A1" display=""/>
    <hyperlink ref="KI86" location="'Описание компонентов'!A1" display=""/>
    <hyperlink ref="KI92" location="'Описание компонентов'!A1" display=""/>
    <hyperlink ref="KI98" location="'Описание компонентов'!A1" display=""/>
    <hyperlink ref="IZ98" location="'Описание компонентов'!A1" display=""/>
    <hyperlink ref="IV75" location="'Описание компонентов'!A1" display=""/>
    <hyperlink ref="IZ71" location="'Описание компонентов'!A1" display=""/>
    <hyperlink ref="IZ66" location="'Описание компонентов'!A1" display=""/>
    <hyperlink ref="IV60" location="'Описание компонентов'!A1" display=""/>
    <hyperlink ref="KF33" location="'Описание компонентов'!A1" display=""/>
    <hyperlink ref="JD89" location="'Описание компонентов'!A1" display=""/>
    <hyperlink ref="JD94" location="'Описание компонентов'!A1" display=""/>
    <hyperlink ref="JC83" location="'Описание компонентов'!A1" display=""/>
    <hyperlink ref="KF29" location="'Описание компонентов'!A1" display=""/>
    <hyperlink ref="KI48" location="'Описание компонентов'!A1" display=""/>
    <hyperlink ref="IZ37" location="'Описание компонентов'!A1" display=""/>
    <hyperlink ref="JD41" location="'Описание компонентов'!A1" display=""/>
    <hyperlink ref="KI75" location="'Описание компонентов'!A1" display=""/>
    <hyperlink ref="JC13" location="'Описание компонентов'!A1" display=""/>
    <hyperlink ref="JD18" location="'Описание компонентов'!A1" display=""/>
    <hyperlink ref="KF63" location="'Описание компонентов'!A1" display=""/>
    <hyperlink ref="KI71" location="'Описание компонентов'!A1" display=""/>
    <hyperlink ref="ASJ202" location="'Описание компонентов'!A1" display=""/>
    <hyperlink ref="ASF173" location="'Описание компонентов'!A1" display=""/>
    <hyperlink ref="ASJ69" location="'Описание компонентов'!A1" display=""/>
    <hyperlink ref="ASI23" location="'Описание компонентов'!A1" display=""/>
    <hyperlink ref="ASI182" location="'Описание компонентов'!A1" display=""/>
    <hyperlink ref="ASB142" location="'Вывод расчетов (1-11)'!TI56:UC97" display=""/>
    <hyperlink ref="JB89" location="'Программные таблицы'!N279:X302" display=""/>
    <hyperlink ref="JB94" location="'Программные таблицы'!N279:X302" display=""/>
    <hyperlink ref="JB41" location="'Программные таблицы'!Z279:AJ302" display=""/>
    <hyperlink ref="JB18" location="'Программные таблицы'!Z279:AJ302" display=""/>
    <hyperlink ref="CL122" location="'Описание компонентов'!A1" display=""/>
    <hyperlink ref="CL126" location="'Описание компонентов'!A1" display=""/>
    <hyperlink ref="H72" location="'Описание компонентов'!AD25:AO39" display=""/>
    <hyperlink ref="H66" location="'Описание компонентов'!AD25:AO39" display=""/>
    <hyperlink ref="J72" location="'Описание компонентов'!AD25:AO39" display=""/>
    <hyperlink ref="K4" r:id="rId53"/>
    <hyperlink ref="K5" r:id="rId54"/>
    <hyperlink ref="K7" r:id="rId55"/>
    <hyperlink ref="MN18" location="'Программные таблицы'!B417:J430" display=""/>
    <hyperlink ref="ML64" location="'Программные таблицы'!B417:J430" display=""/>
    <hyperlink ref="ML74" location="'Программные таблицы'!B417:J430" display=""/>
    <hyperlink ref="ML176" location="'Программные таблицы'!BG302:BP330" display=""/>
    <hyperlink ref="ML184" location="'Программные таблицы'!BG302:BP330" display=""/>
    <hyperlink ref="ML180" location="'Программные таблицы'!BG302:BP330" display=""/>
    <hyperlink ref="ML193" location="'Программные таблицы'!BG302:BP330" display=""/>
    <hyperlink ref="AGW99" location="'Описание компонентов'!A1" display=""/>
    <hyperlink ref="PP164" location="'Описание компонентов'!A1" display=""/>
    <hyperlink ref="PW159" location="'Описание компонентов'!A1" display=""/>
    <hyperlink ref="AGX103" location="'Описание компонентов'!A1" display=""/>
    <hyperlink ref="AGV103" location="'Программные таблицы'!AQ419:AU426" display=""/>
    <hyperlink ref="AGT309" location="'Описание компонентов'!A1" display=""/>
    <hyperlink ref="AGU313" location="'Описание компонентов'!A1" display=""/>
    <hyperlink ref="AGW293" location="'Описание компонентов'!A1" display=""/>
    <hyperlink ref="AGW136" location="'Описание компонентов'!A1" display=""/>
    <hyperlink ref="AGW131" location="'Описание компонентов'!A1" display=""/>
    <hyperlink ref="AGW140" location="'Описание компонентов'!A1" display=""/>
    <hyperlink ref="AGW145" location="'Описание компонентов'!A1" display=""/>
    <hyperlink ref="AGW150" location="'Описание компонентов'!A1" display=""/>
    <hyperlink ref="AGW282" location="'Описание компонентов'!A1" display=""/>
    <hyperlink ref="AGW202" location="'Описание компонентов'!A1" display=""/>
    <hyperlink ref="DV7" r:id="rId56"/>
    <hyperlink ref="GD7" r:id="rId57"/>
    <hyperlink ref="IP7" r:id="rId58"/>
    <hyperlink ref="LZ7" r:id="rId59"/>
    <hyperlink ref="PF7" r:id="rId60"/>
    <hyperlink ref="ST7" r:id="rId61"/>
    <hyperlink ref="AGT7" r:id="rId62"/>
    <hyperlink ref="ALP7" r:id="rId63"/>
    <hyperlink ref="PW150" location="'Описание компонентов'!A1" display=""/>
    <hyperlink ref="PT154" location="'Описание компонентов'!A1" display=""/>
    <hyperlink ref="PV52" location="'Программные таблицы'!L416:Q420" display=""/>
    <hyperlink ref="PV56" location="'Программные таблицы'!L416:Q420" display=""/>
    <hyperlink ref="PW199" location="'Описание компонентов'!A1" display=""/>
    <hyperlink ref="AP99" location="'Программные таблицы'!AR34:AY42" display=""/>
    <hyperlink ref="CJ122" location="'Программные таблицы'!B60:U81" display=""/>
    <hyperlink ref="CJ126" location="'Программные таблицы'!B60:U81" display=""/>
    <hyperlink ref="BT4" r:id="rId64"/>
    <hyperlink ref="K6" r:id="rId65"/>
    <hyperlink ref="GD5" r:id="rId66"/>
    <hyperlink ref="AS65" location="'Программные таблицы'!AE58:AN70" display=""/>
    <hyperlink ref="AT73" location="'Программные таблицы'!CJ14:CQ25" display=""/>
    <hyperlink ref="AT37" location="'Программные таблицы'!B38:L46" display=""/>
    <hyperlink ref="CH11" location="'Программные таблицы'!AP49:AV59" display=""/>
    <hyperlink ref="CH15" location="'Программные таблицы'!AP49:AV59" display=""/>
    <hyperlink ref="GP11" location="'Программные таблицы'!AI174:AM182" display=""/>
    <hyperlink ref="ML46" location="'Программные таблицы'!B306:J313" display=""/>
    <hyperlink ref="GP31" location="'Программные таблицы'!B245:I248" display=""/>
    <hyperlink ref="GP43" location="'Программные таблицы'!W188:AB195" display=""/>
    <hyperlink ref="GP15" location="'Программные таблицы'!B220:R241" display=""/>
    <hyperlink ref="AS24" location="'Программные таблицы'!B2:R5" display=""/>
    <hyperlink ref="AV29" location="'Программные таблицы'!B2:R5" display=""/>
    <hyperlink ref="ASE19" location="'Программные таблицы'!L422:S426" display=""/>
    <hyperlink ref="PV88" location="'Программные таблицы'!Y171" display=""/>
    <hyperlink ref="EJ11" location="'Программные таблицы'!B85:Q103" display=""/>
    <hyperlink ref="EJ15" location="'Программные таблицы'!B85:Q103" display=""/>
    <hyperlink ref="EJ19" location="'Программные таблицы'!B85:Q103" display=""/>
    <hyperlink ref="EJ23" location="'Программные таблицы'!B85:Q103" display=""/>
    <hyperlink ref="AQZ104" location="'Описание компонентов'!A1" display=""/>
    <hyperlink ref="AQZ108" location="'Описание компонентов'!A1" display=""/>
    <hyperlink ref="AQZ112" location="'Описание компонентов'!A1" display=""/>
    <hyperlink ref="AQZ116" location="'Описание компонентов'!A1" display=""/>
    <hyperlink ref="AQZ120" location="'Описание компонентов'!A1" display=""/>
    <hyperlink ref="AQZ124" location="'Описание компонентов'!A1" display=""/>
    <hyperlink ref="AQZ128" location="'Описание компонентов'!A1" display=""/>
    <hyperlink ref="AQZ132" location="'Описание компонентов'!A1" display=""/>
    <hyperlink ref="AQZ136" location="'Описание компонентов'!A1" display=""/>
    <hyperlink ref="AQZ140" location="'Описание компонентов'!A1" display=""/>
    <hyperlink ref="AQZ144" location="'Описание компонентов'!A1" display=""/>
    <hyperlink ref="AQZ148" location="'Описание компонентов'!A1" display=""/>
    <hyperlink ref="AQZ152" location="'Описание компонентов'!A1" display=""/>
    <hyperlink ref="AQZ156" location="'Описание компонентов'!A1" display=""/>
    <hyperlink ref="EI100" location="'Описание компонентов'!A1" display=""/>
    <hyperlink ref="EI104" location="'Описание компонентов'!A1" display=""/>
    <hyperlink ref="BW115" location="'Программные таблицы'!CJ14:CQ25" display=""/>
  </hyperlinks>
  <pageMargins left="0.7" right="0.7" top="0.75" bottom="0.75" header="0.3" footer="0.3"/>
  <pageSetup paperSize="9" orientation="landscape" r:id="rId67"/>
  <drawing r:id="rId68"/>
  <legacyDrawing r:id="rId69"/>
  <oleObjects>
    <mc:AlternateContent xmlns:mc="http://schemas.openxmlformats.org/markup-compatibility/2006">
      <mc:Choice Requires="x14">
        <oleObject progId="Equation.DSMT4" shapeId="1172" r:id="rId70">
          <objectPr defaultSize="0" autoPict="0" r:id="rId71">
            <anchor moveWithCells="1">
              <from>
                <xdr:col>208</xdr:col>
                <xdr:colOff>304800</xdr:colOff>
                <xdr:row>102</xdr:row>
                <xdr:rowOff>161925</xdr:rowOff>
              </from>
              <to>
                <xdr:col>210</xdr:col>
                <xdr:colOff>133350</xdr:colOff>
                <xdr:row>103</xdr:row>
                <xdr:rowOff>428625</xdr:rowOff>
              </to>
            </anchor>
          </objectPr>
        </oleObject>
      </mc:Choice>
      <mc:Fallback>
        <oleObject progId="Equation.DSMT4" shapeId="1172" r:id="rId70"/>
      </mc:Fallback>
    </mc:AlternateContent>
    <mc:AlternateContent xmlns:mc="http://schemas.openxmlformats.org/markup-compatibility/2006">
      <mc:Choice Requires="x14">
        <oleObject progId="Equation.DSMT4" shapeId="1173" r:id="rId72">
          <objectPr defaultSize="0" autoPict="0" r:id="rId73">
            <anchor moveWithCells="1">
              <from>
                <xdr:col>206</xdr:col>
                <xdr:colOff>171450</xdr:colOff>
                <xdr:row>106</xdr:row>
                <xdr:rowOff>171450</xdr:rowOff>
              </from>
              <to>
                <xdr:col>208</xdr:col>
                <xdr:colOff>152400</xdr:colOff>
                <xdr:row>107</xdr:row>
                <xdr:rowOff>342900</xdr:rowOff>
              </to>
            </anchor>
          </objectPr>
        </oleObject>
      </mc:Choice>
      <mc:Fallback>
        <oleObject progId="Equation.DSMT4" shapeId="1173" r:id="rId72"/>
      </mc:Fallback>
    </mc:AlternateContent>
    <mc:AlternateContent xmlns:mc="http://schemas.openxmlformats.org/markup-compatibility/2006">
      <mc:Choice Requires="x14">
        <oleObject progId="Equation.DSMT4" shapeId="1184" r:id="rId74">
          <objectPr defaultSize="0" autoPict="0" r:id="rId75">
            <anchor moveWithCells="1">
              <from>
                <xdr:col>90</xdr:col>
                <xdr:colOff>276225</xdr:colOff>
                <xdr:row>19</xdr:row>
                <xdr:rowOff>95250</xdr:rowOff>
              </from>
              <to>
                <xdr:col>93</xdr:col>
                <xdr:colOff>9525</xdr:colOff>
                <xdr:row>20</xdr:row>
                <xdr:rowOff>361950</xdr:rowOff>
              </to>
            </anchor>
          </objectPr>
        </oleObject>
      </mc:Choice>
      <mc:Fallback>
        <oleObject progId="Equation.DSMT4" shapeId="1184" r:id="rId74"/>
      </mc:Fallback>
    </mc:AlternateContent>
    <mc:AlternateContent xmlns:mc="http://schemas.openxmlformats.org/markup-compatibility/2006">
      <mc:Choice Requires="x14">
        <oleObject progId="Equation.DSMT4" shapeId="1188" r:id="rId76">
          <objectPr defaultSize="0" autoPict="0" r:id="rId77">
            <anchor moveWithCells="1">
              <from>
                <xdr:col>97</xdr:col>
                <xdr:colOff>276225</xdr:colOff>
                <xdr:row>39</xdr:row>
                <xdr:rowOff>123825</xdr:rowOff>
              </from>
              <to>
                <xdr:col>100</xdr:col>
                <xdr:colOff>28575</xdr:colOff>
                <xdr:row>40</xdr:row>
                <xdr:rowOff>352425</xdr:rowOff>
              </to>
            </anchor>
          </objectPr>
        </oleObject>
      </mc:Choice>
      <mc:Fallback>
        <oleObject progId="Equation.DSMT4" shapeId="1188" r:id="rId76"/>
      </mc:Fallback>
    </mc:AlternateContent>
    <mc:AlternateContent xmlns:mc="http://schemas.openxmlformats.org/markup-compatibility/2006">
      <mc:Choice Requires="x14">
        <oleObject progId="Equation.DSMT4" shapeId="1191" r:id="rId78">
          <objectPr defaultSize="0" autoPict="0" r:id="rId79">
            <anchor moveWithCells="1">
              <from>
                <xdr:col>97</xdr:col>
                <xdr:colOff>95250</xdr:colOff>
                <xdr:row>70</xdr:row>
                <xdr:rowOff>190500</xdr:rowOff>
              </from>
              <to>
                <xdr:col>99</xdr:col>
                <xdr:colOff>266700</xdr:colOff>
                <xdr:row>71</xdr:row>
                <xdr:rowOff>390525</xdr:rowOff>
              </to>
            </anchor>
          </objectPr>
        </oleObject>
      </mc:Choice>
      <mc:Fallback>
        <oleObject progId="Equation.DSMT4" shapeId="1191" r:id="rId78"/>
      </mc:Fallback>
    </mc:AlternateContent>
    <mc:AlternateContent xmlns:mc="http://schemas.openxmlformats.org/markup-compatibility/2006">
      <mc:Choice Requires="x14">
        <oleObject progId="Equation.DSMT4" shapeId="1192" r:id="rId80">
          <objectPr defaultSize="0" autoPict="0" r:id="rId81">
            <anchor moveWithCells="1">
              <from>
                <xdr:col>90</xdr:col>
                <xdr:colOff>95250</xdr:colOff>
                <xdr:row>74</xdr:row>
                <xdr:rowOff>142875</xdr:rowOff>
              </from>
              <to>
                <xdr:col>93</xdr:col>
                <xdr:colOff>209550</xdr:colOff>
                <xdr:row>75</xdr:row>
                <xdr:rowOff>371475</xdr:rowOff>
              </to>
            </anchor>
          </objectPr>
        </oleObject>
      </mc:Choice>
      <mc:Fallback>
        <oleObject progId="Equation.DSMT4" shapeId="1192" r:id="rId80"/>
      </mc:Fallback>
    </mc:AlternateContent>
    <mc:AlternateContent xmlns:mc="http://schemas.openxmlformats.org/markup-compatibility/2006">
      <mc:Choice Requires="x14">
        <oleObject progId="Equation.DSMT4" shapeId="1195" r:id="rId82">
          <objectPr defaultSize="0" autoPict="0" r:id="rId83">
            <anchor moveWithCells="1">
              <from>
                <xdr:col>97</xdr:col>
                <xdr:colOff>209550</xdr:colOff>
                <xdr:row>94</xdr:row>
                <xdr:rowOff>180975</xdr:rowOff>
              </from>
              <to>
                <xdr:col>99</xdr:col>
                <xdr:colOff>38100</xdr:colOff>
                <xdr:row>95</xdr:row>
                <xdr:rowOff>314325</xdr:rowOff>
              </to>
            </anchor>
          </objectPr>
        </oleObject>
      </mc:Choice>
      <mc:Fallback>
        <oleObject progId="Equation.DSMT4" shapeId="1195" r:id="rId82"/>
      </mc:Fallback>
    </mc:AlternateContent>
    <mc:AlternateContent xmlns:mc="http://schemas.openxmlformats.org/markup-compatibility/2006">
      <mc:Choice Requires="x14">
        <oleObject progId="Equation.DSMT4" shapeId="1196" r:id="rId84">
          <objectPr defaultSize="0" autoPict="0" r:id="rId85">
            <anchor moveWithCells="1">
              <from>
                <xdr:col>100</xdr:col>
                <xdr:colOff>304800</xdr:colOff>
                <xdr:row>98</xdr:row>
                <xdr:rowOff>161925</xdr:rowOff>
              </from>
              <to>
                <xdr:col>102</xdr:col>
                <xdr:colOff>581025</xdr:colOff>
                <xdr:row>99</xdr:row>
                <xdr:rowOff>304800</xdr:rowOff>
              </to>
            </anchor>
          </objectPr>
        </oleObject>
      </mc:Choice>
      <mc:Fallback>
        <oleObject progId="Equation.DSMT4" shapeId="1196" r:id="rId84"/>
      </mc:Fallback>
    </mc:AlternateContent>
    <mc:AlternateContent xmlns:mc="http://schemas.openxmlformats.org/markup-compatibility/2006">
      <mc:Choice Requires="x14">
        <oleObject progId="Equation.DSMT4" shapeId="1199" r:id="rId86">
          <objectPr defaultSize="0" autoPict="0" r:id="rId87">
            <anchor moveWithCells="1">
              <from>
                <xdr:col>100</xdr:col>
                <xdr:colOff>161925</xdr:colOff>
                <xdr:row>102</xdr:row>
                <xdr:rowOff>142875</xdr:rowOff>
              </from>
              <to>
                <xdr:col>103</xdr:col>
                <xdr:colOff>171450</xdr:colOff>
                <xdr:row>103</xdr:row>
                <xdr:rowOff>438150</xdr:rowOff>
              </to>
            </anchor>
          </objectPr>
        </oleObject>
      </mc:Choice>
      <mc:Fallback>
        <oleObject progId="Equation.DSMT4" shapeId="1199" r:id="rId86"/>
      </mc:Fallback>
    </mc:AlternateContent>
    <mc:AlternateContent xmlns:mc="http://schemas.openxmlformats.org/markup-compatibility/2006">
      <mc:Choice Requires="x14">
        <oleObject progId="Equation.DSMT4" shapeId="1203" r:id="rId88">
          <objectPr defaultSize="0" autoPict="0" r:id="rId89">
            <anchor moveWithCells="1">
              <from>
                <xdr:col>202</xdr:col>
                <xdr:colOff>219075</xdr:colOff>
                <xdr:row>110</xdr:row>
                <xdr:rowOff>123825</xdr:rowOff>
              </from>
              <to>
                <xdr:col>204</xdr:col>
                <xdr:colOff>104775</xdr:colOff>
                <xdr:row>111</xdr:row>
                <xdr:rowOff>295275</xdr:rowOff>
              </to>
            </anchor>
          </objectPr>
        </oleObject>
      </mc:Choice>
      <mc:Fallback>
        <oleObject progId="Equation.DSMT4" shapeId="1203" r:id="rId88"/>
      </mc:Fallback>
    </mc:AlternateContent>
    <mc:AlternateContent xmlns:mc="http://schemas.openxmlformats.org/markup-compatibility/2006">
      <mc:Choice Requires="x14">
        <oleObject progId="Equation.DSMT4" shapeId="1204" r:id="rId90">
          <objectPr defaultSize="0" autoPict="0" r:id="rId91">
            <anchor moveWithCells="1">
              <from>
                <xdr:col>202</xdr:col>
                <xdr:colOff>400050</xdr:colOff>
                <xdr:row>114</xdr:row>
                <xdr:rowOff>180975</xdr:rowOff>
              </from>
              <to>
                <xdr:col>205</xdr:col>
                <xdr:colOff>66675</xdr:colOff>
                <xdr:row>115</xdr:row>
                <xdr:rowOff>342900</xdr:rowOff>
              </to>
            </anchor>
          </objectPr>
        </oleObject>
      </mc:Choice>
      <mc:Fallback>
        <oleObject progId="Equation.DSMT4" shapeId="1204" r:id="rId90"/>
      </mc:Fallback>
    </mc:AlternateContent>
    <mc:AlternateContent xmlns:mc="http://schemas.openxmlformats.org/markup-compatibility/2006">
      <mc:Choice Requires="x14">
        <oleObject progId="Equation.DSMT4" shapeId="1208" r:id="rId92">
          <objectPr defaultSize="0" autoPict="0" r:id="rId93">
            <anchor moveWithCells="1">
              <from>
                <xdr:col>202</xdr:col>
                <xdr:colOff>304800</xdr:colOff>
                <xdr:row>19</xdr:row>
                <xdr:rowOff>342900</xdr:rowOff>
              </from>
              <to>
                <xdr:col>205</xdr:col>
                <xdr:colOff>47625</xdr:colOff>
                <xdr:row>20</xdr:row>
                <xdr:rowOff>171450</xdr:rowOff>
              </to>
            </anchor>
          </objectPr>
        </oleObject>
      </mc:Choice>
      <mc:Fallback>
        <oleObject progId="Equation.DSMT4" shapeId="1208" r:id="rId92"/>
      </mc:Fallback>
    </mc:AlternateContent>
    <mc:AlternateContent xmlns:mc="http://schemas.openxmlformats.org/markup-compatibility/2006">
      <mc:Choice Requires="x14">
        <oleObject progId="Equation.DSMT4" shapeId="1209" r:id="rId94">
          <objectPr defaultSize="0" autoPict="0" r:id="rId95">
            <anchor moveWithCells="1">
              <from>
                <xdr:col>202</xdr:col>
                <xdr:colOff>200025</xdr:colOff>
                <xdr:row>23</xdr:row>
                <xdr:rowOff>133350</xdr:rowOff>
              </from>
              <to>
                <xdr:col>204</xdr:col>
                <xdr:colOff>276225</xdr:colOff>
                <xdr:row>24</xdr:row>
                <xdr:rowOff>438150</xdr:rowOff>
              </to>
            </anchor>
          </objectPr>
        </oleObject>
      </mc:Choice>
      <mc:Fallback>
        <oleObject progId="Equation.DSMT4" shapeId="1209" r:id="rId94"/>
      </mc:Fallback>
    </mc:AlternateContent>
    <mc:AlternateContent xmlns:mc="http://schemas.openxmlformats.org/markup-compatibility/2006">
      <mc:Choice Requires="x14">
        <oleObject progId="Equation.DSMT4" shapeId="1218" r:id="rId96">
          <objectPr defaultSize="0" autoPict="0" r:id="rId97">
            <anchor moveWithCells="1">
              <from>
                <xdr:col>305</xdr:col>
                <xdr:colOff>266700</xdr:colOff>
                <xdr:row>19</xdr:row>
                <xdr:rowOff>238125</xdr:rowOff>
              </from>
              <to>
                <xdr:col>308</xdr:col>
                <xdr:colOff>133350</xdr:colOff>
                <xdr:row>20</xdr:row>
                <xdr:rowOff>304800</xdr:rowOff>
              </to>
            </anchor>
          </objectPr>
        </oleObject>
      </mc:Choice>
      <mc:Fallback>
        <oleObject progId="Equation.DSMT4" shapeId="1218" r:id="rId96"/>
      </mc:Fallback>
    </mc:AlternateContent>
    <mc:AlternateContent xmlns:mc="http://schemas.openxmlformats.org/markup-compatibility/2006">
      <mc:Choice Requires="x14">
        <oleObject progId="Equation.DSMT4" shapeId="1219" r:id="rId98">
          <objectPr defaultSize="0" autoPict="0" r:id="rId99">
            <anchor moveWithCells="1">
              <from>
                <xdr:col>305</xdr:col>
                <xdr:colOff>200025</xdr:colOff>
                <xdr:row>44</xdr:row>
                <xdr:rowOff>190500</xdr:rowOff>
              </from>
              <to>
                <xdr:col>308</xdr:col>
                <xdr:colOff>76200</xdr:colOff>
                <xdr:row>45</xdr:row>
                <xdr:rowOff>314325</xdr:rowOff>
              </to>
            </anchor>
          </objectPr>
        </oleObject>
      </mc:Choice>
      <mc:Fallback>
        <oleObject progId="Equation.DSMT4" shapeId="1219" r:id="rId98"/>
      </mc:Fallback>
    </mc:AlternateContent>
    <mc:AlternateContent xmlns:mc="http://schemas.openxmlformats.org/markup-compatibility/2006">
      <mc:Choice Requires="x14">
        <oleObject progId="Equation.DSMT4" shapeId="1221" r:id="rId100">
          <objectPr defaultSize="0" autoPict="0" r:id="rId101">
            <anchor moveWithCells="1">
              <from>
                <xdr:col>302</xdr:col>
                <xdr:colOff>238125</xdr:colOff>
                <xdr:row>63</xdr:row>
                <xdr:rowOff>85725</xdr:rowOff>
              </from>
              <to>
                <xdr:col>306</xdr:col>
                <xdr:colOff>114300</xdr:colOff>
                <xdr:row>64</xdr:row>
                <xdr:rowOff>419100</xdr:rowOff>
              </to>
            </anchor>
          </objectPr>
        </oleObject>
      </mc:Choice>
      <mc:Fallback>
        <oleObject progId="Equation.DSMT4" shapeId="1221" r:id="rId100"/>
      </mc:Fallback>
    </mc:AlternateContent>
    <mc:AlternateContent xmlns:mc="http://schemas.openxmlformats.org/markup-compatibility/2006">
      <mc:Choice Requires="x14">
        <oleObject progId="Equation.DSMT4" shapeId="1222" r:id="rId102">
          <objectPr defaultSize="0" autoPict="0" r:id="rId103">
            <anchor moveWithCells="1">
              <from>
                <xdr:col>305</xdr:col>
                <xdr:colOff>190500</xdr:colOff>
                <xdr:row>71</xdr:row>
                <xdr:rowOff>104775</xdr:rowOff>
              </from>
              <to>
                <xdr:col>308</xdr:col>
                <xdr:colOff>152400</xdr:colOff>
                <xdr:row>72</xdr:row>
                <xdr:rowOff>447675</xdr:rowOff>
              </to>
            </anchor>
          </objectPr>
        </oleObject>
      </mc:Choice>
      <mc:Fallback>
        <oleObject progId="Equation.DSMT4" shapeId="1222" r:id="rId102"/>
      </mc:Fallback>
    </mc:AlternateContent>
    <mc:AlternateContent xmlns:mc="http://schemas.openxmlformats.org/markup-compatibility/2006">
      <mc:Choice Requires="x14">
        <oleObject progId="Equation.DSMT4" shapeId="1224" r:id="rId104">
          <objectPr defaultSize="0" autoPict="0" r:id="rId105">
            <anchor moveWithCells="1">
              <from>
                <xdr:col>273</xdr:col>
                <xdr:colOff>142875</xdr:colOff>
                <xdr:row>13</xdr:row>
                <xdr:rowOff>257175</xdr:rowOff>
              </from>
              <to>
                <xdr:col>277</xdr:col>
                <xdr:colOff>0</xdr:colOff>
                <xdr:row>14</xdr:row>
                <xdr:rowOff>152400</xdr:rowOff>
              </to>
            </anchor>
          </objectPr>
        </oleObject>
      </mc:Choice>
      <mc:Fallback>
        <oleObject progId="Equation.DSMT4" shapeId="1224" r:id="rId104"/>
      </mc:Fallback>
    </mc:AlternateContent>
    <mc:AlternateContent xmlns:mc="http://schemas.openxmlformats.org/markup-compatibility/2006">
      <mc:Choice Requires="x14">
        <oleObject progId="Equation.DSMT4" shapeId="1227" r:id="rId106">
          <objectPr defaultSize="0" autoPict="0" r:id="rId107">
            <anchor moveWithCells="1">
              <from>
                <xdr:col>270</xdr:col>
                <xdr:colOff>200025</xdr:colOff>
                <xdr:row>37</xdr:row>
                <xdr:rowOff>361950</xdr:rowOff>
              </from>
              <to>
                <xdr:col>274</xdr:col>
                <xdr:colOff>85725</xdr:colOff>
                <xdr:row>38</xdr:row>
                <xdr:rowOff>200025</xdr:rowOff>
              </to>
            </anchor>
          </objectPr>
        </oleObject>
      </mc:Choice>
      <mc:Fallback>
        <oleObject progId="Equation.DSMT4" shapeId="1227" r:id="rId106"/>
      </mc:Fallback>
    </mc:AlternateContent>
    <mc:AlternateContent xmlns:mc="http://schemas.openxmlformats.org/markup-compatibility/2006">
      <mc:Choice Requires="x14">
        <oleObject progId="Equation.DSMT4" shapeId="1229" r:id="rId108">
          <objectPr defaultSize="0" autoPict="0" r:id="rId109">
            <anchor moveWithCells="1">
              <from>
                <xdr:col>273</xdr:col>
                <xdr:colOff>247650</xdr:colOff>
                <xdr:row>83</xdr:row>
                <xdr:rowOff>457200</xdr:rowOff>
              </from>
              <to>
                <xdr:col>277</xdr:col>
                <xdr:colOff>200025</xdr:colOff>
                <xdr:row>85</xdr:row>
                <xdr:rowOff>219075</xdr:rowOff>
              </to>
            </anchor>
          </objectPr>
        </oleObject>
      </mc:Choice>
      <mc:Fallback>
        <oleObject progId="Equation.DSMT4" shapeId="1229" r:id="rId108"/>
      </mc:Fallback>
    </mc:AlternateContent>
    <mc:AlternateContent xmlns:mc="http://schemas.openxmlformats.org/markup-compatibility/2006">
      <mc:Choice Requires="x14">
        <oleObject progId="Equation.DSMT4" shapeId="1230" r:id="rId110">
          <objectPr defaultSize="0" autoPict="0" r:id="rId111">
            <anchor moveWithCells="1">
              <from>
                <xdr:col>302</xdr:col>
                <xdr:colOff>285750</xdr:colOff>
                <xdr:row>29</xdr:row>
                <xdr:rowOff>238125</xdr:rowOff>
              </from>
              <to>
                <xdr:col>305</xdr:col>
                <xdr:colOff>76200</xdr:colOff>
                <xdr:row>30</xdr:row>
                <xdr:rowOff>123825</xdr:rowOff>
              </to>
            </anchor>
          </objectPr>
        </oleObject>
      </mc:Choice>
      <mc:Fallback>
        <oleObject progId="Equation.DSMT4" shapeId="1230" r:id="rId110"/>
      </mc:Fallback>
    </mc:AlternateContent>
    <mc:AlternateContent xmlns:mc="http://schemas.openxmlformats.org/markup-compatibility/2006">
      <mc:Choice Requires="x14">
        <oleObject progId="Equation.DSMT4" shapeId="1232" r:id="rId112">
          <objectPr defaultSize="0" autoPict="0" r:id="rId113">
            <anchor moveWithCells="1">
              <from>
                <xdr:col>266</xdr:col>
                <xdr:colOff>295275</xdr:colOff>
                <xdr:row>60</xdr:row>
                <xdr:rowOff>285750</xdr:rowOff>
              </from>
              <to>
                <xdr:col>269</xdr:col>
                <xdr:colOff>133350</xdr:colOff>
                <xdr:row>61</xdr:row>
                <xdr:rowOff>190500</xdr:rowOff>
              </to>
            </anchor>
          </objectPr>
        </oleObject>
      </mc:Choice>
      <mc:Fallback>
        <oleObject progId="Equation.DSMT4" shapeId="1232" r:id="rId112"/>
      </mc:Fallback>
    </mc:AlternateContent>
    <mc:AlternateContent xmlns:mc="http://schemas.openxmlformats.org/markup-compatibility/2006">
      <mc:Choice Requires="x14">
        <oleObject progId="Equation.DSMT4" shapeId="1234" r:id="rId114">
          <objectPr defaultSize="0" autoPict="0" r:id="rId115">
            <anchor moveWithCells="1">
              <from>
                <xdr:col>270</xdr:col>
                <xdr:colOff>238125</xdr:colOff>
                <xdr:row>71</xdr:row>
                <xdr:rowOff>371475</xdr:rowOff>
              </from>
              <to>
                <xdr:col>272</xdr:col>
                <xdr:colOff>228600</xdr:colOff>
                <xdr:row>72</xdr:row>
                <xdr:rowOff>295275</xdr:rowOff>
              </to>
            </anchor>
          </objectPr>
        </oleObject>
      </mc:Choice>
      <mc:Fallback>
        <oleObject progId="Equation.DSMT4" shapeId="1234" r:id="rId114"/>
      </mc:Fallback>
    </mc:AlternateContent>
    <mc:AlternateContent xmlns:mc="http://schemas.openxmlformats.org/markup-compatibility/2006">
      <mc:Choice Requires="x14">
        <oleObject progId="Equation.DSMT4" shapeId="1237" r:id="rId116">
          <objectPr defaultSize="0" autoPict="0" r:id="rId117">
            <anchor moveWithCells="1">
              <from>
                <xdr:col>305</xdr:col>
                <xdr:colOff>342900</xdr:colOff>
                <xdr:row>92</xdr:row>
                <xdr:rowOff>95250</xdr:rowOff>
              </from>
              <to>
                <xdr:col>307</xdr:col>
                <xdr:colOff>228600</xdr:colOff>
                <xdr:row>93</xdr:row>
                <xdr:rowOff>400050</xdr:rowOff>
              </to>
            </anchor>
          </objectPr>
        </oleObject>
      </mc:Choice>
      <mc:Fallback>
        <oleObject progId="Equation.DSMT4" shapeId="1237" r:id="rId116"/>
      </mc:Fallback>
    </mc:AlternateContent>
    <mc:AlternateContent xmlns:mc="http://schemas.openxmlformats.org/markup-compatibility/2006">
      <mc:Choice Requires="x14">
        <oleObject progId="Equation.DSMT4" shapeId="1242" r:id="rId118">
          <objectPr defaultSize="0" autoPict="0" r:id="rId119">
            <anchor moveWithCells="1">
              <from>
                <xdr:col>358</xdr:col>
                <xdr:colOff>219075</xdr:colOff>
                <xdr:row>26</xdr:row>
                <xdr:rowOff>314325</xdr:rowOff>
              </from>
              <to>
                <xdr:col>361</xdr:col>
                <xdr:colOff>0</xdr:colOff>
                <xdr:row>27</xdr:row>
                <xdr:rowOff>190500</xdr:rowOff>
              </to>
            </anchor>
          </objectPr>
        </oleObject>
      </mc:Choice>
      <mc:Fallback>
        <oleObject progId="Equation.DSMT4" shapeId="1242" r:id="rId118"/>
      </mc:Fallback>
    </mc:AlternateContent>
    <mc:AlternateContent xmlns:mc="http://schemas.openxmlformats.org/markup-compatibility/2006">
      <mc:Choice Requires="x14">
        <oleObject progId="Equation.DSMT4" shapeId="1249" r:id="rId120">
          <objectPr defaultSize="0" autoPict="0" r:id="rId121">
            <anchor moveWithCells="1">
              <from>
                <xdr:col>361</xdr:col>
                <xdr:colOff>190500</xdr:colOff>
                <xdr:row>58</xdr:row>
                <xdr:rowOff>123825</xdr:rowOff>
              </from>
              <to>
                <xdr:col>364</xdr:col>
                <xdr:colOff>28575</xdr:colOff>
                <xdr:row>59</xdr:row>
                <xdr:rowOff>352425</xdr:rowOff>
              </to>
            </anchor>
          </objectPr>
        </oleObject>
      </mc:Choice>
      <mc:Fallback>
        <oleObject progId="Equation.DSMT4" shapeId="1249" r:id="rId120"/>
      </mc:Fallback>
    </mc:AlternateContent>
    <mc:AlternateContent xmlns:mc="http://schemas.openxmlformats.org/markup-compatibility/2006">
      <mc:Choice Requires="x14">
        <oleObject progId="Equation.DSMT4" shapeId="1251" r:id="rId122">
          <objectPr defaultSize="0" autoPict="0" r:id="rId123">
            <anchor moveWithCells="1">
              <from>
                <xdr:col>362</xdr:col>
                <xdr:colOff>285750</xdr:colOff>
                <xdr:row>78</xdr:row>
                <xdr:rowOff>409575</xdr:rowOff>
              </from>
              <to>
                <xdr:col>366</xdr:col>
                <xdr:colOff>76200</xdr:colOff>
                <xdr:row>80</xdr:row>
                <xdr:rowOff>190500</xdr:rowOff>
              </to>
            </anchor>
          </objectPr>
        </oleObject>
      </mc:Choice>
      <mc:Fallback>
        <oleObject progId="Equation.DSMT4" shapeId="1251" r:id="rId122"/>
      </mc:Fallback>
    </mc:AlternateContent>
    <mc:AlternateContent xmlns:mc="http://schemas.openxmlformats.org/markup-compatibility/2006">
      <mc:Choice Requires="x14">
        <oleObject progId="Equation.DSMT4" shapeId="1256" r:id="rId124">
          <objectPr defaultSize="0" autoPict="0" r:id="rId125">
            <anchor moveWithCells="1">
              <from>
                <xdr:col>148</xdr:col>
                <xdr:colOff>228600</xdr:colOff>
                <xdr:row>32</xdr:row>
                <xdr:rowOff>152400</xdr:rowOff>
              </from>
              <to>
                <xdr:col>152</xdr:col>
                <xdr:colOff>19050</xdr:colOff>
                <xdr:row>33</xdr:row>
                <xdr:rowOff>457200</xdr:rowOff>
              </to>
            </anchor>
          </objectPr>
        </oleObject>
      </mc:Choice>
      <mc:Fallback>
        <oleObject progId="Equation.DSMT4" shapeId="1256" r:id="rId124"/>
      </mc:Fallback>
    </mc:AlternateContent>
    <mc:AlternateContent xmlns:mc="http://schemas.openxmlformats.org/markup-compatibility/2006">
      <mc:Choice Requires="x14">
        <oleObject progId="Equation.DSMT4" shapeId="1268" r:id="rId126">
          <objectPr defaultSize="0" autoPict="0" r:id="rId127">
            <anchor moveWithCells="1">
              <from>
                <xdr:col>100</xdr:col>
                <xdr:colOff>314325</xdr:colOff>
                <xdr:row>82</xdr:row>
                <xdr:rowOff>47625</xdr:rowOff>
              </from>
              <to>
                <xdr:col>103</xdr:col>
                <xdr:colOff>0</xdr:colOff>
                <xdr:row>83</xdr:row>
                <xdr:rowOff>152400</xdr:rowOff>
              </to>
            </anchor>
          </objectPr>
        </oleObject>
      </mc:Choice>
      <mc:Fallback>
        <oleObject progId="Equation.DSMT4" shapeId="1268" r:id="rId126"/>
      </mc:Fallback>
    </mc:AlternateContent>
    <mc:AlternateContent xmlns:mc="http://schemas.openxmlformats.org/markup-compatibility/2006">
      <mc:Choice Requires="x14">
        <oleObject progId="Equation.DSMT4" shapeId="1270" r:id="rId128">
          <objectPr defaultSize="0" autoPict="0" r:id="rId129">
            <anchor moveWithCells="1">
              <from>
                <xdr:col>103</xdr:col>
                <xdr:colOff>428625</xdr:colOff>
                <xdr:row>82</xdr:row>
                <xdr:rowOff>95250</xdr:rowOff>
              </from>
              <to>
                <xdr:col>107</xdr:col>
                <xdr:colOff>142875</xdr:colOff>
                <xdr:row>83</xdr:row>
                <xdr:rowOff>447675</xdr:rowOff>
              </to>
            </anchor>
          </objectPr>
        </oleObject>
      </mc:Choice>
      <mc:Fallback>
        <oleObject progId="Equation.DSMT4" shapeId="1270" r:id="rId128"/>
      </mc:Fallback>
    </mc:AlternateContent>
    <mc:AlternateContent xmlns:mc="http://schemas.openxmlformats.org/markup-compatibility/2006">
      <mc:Choice Requires="x14">
        <oleObject progId="Equation.DSMT4" shapeId="1345" r:id="rId130">
          <objectPr defaultSize="0" autoPict="0" r:id="rId131">
            <anchor moveWithCells="1">
              <from>
                <xdr:col>446</xdr:col>
                <xdr:colOff>238125</xdr:colOff>
                <xdr:row>179</xdr:row>
                <xdr:rowOff>200025</xdr:rowOff>
              </from>
              <to>
                <xdr:col>450</xdr:col>
                <xdr:colOff>66675</xdr:colOff>
                <xdr:row>180</xdr:row>
                <xdr:rowOff>333375</xdr:rowOff>
              </to>
            </anchor>
          </objectPr>
        </oleObject>
      </mc:Choice>
      <mc:Fallback>
        <oleObject progId="Equation.DSMT4" shapeId="1345" r:id="rId130"/>
      </mc:Fallback>
    </mc:AlternateContent>
    <mc:AlternateContent xmlns:mc="http://schemas.openxmlformats.org/markup-compatibility/2006">
      <mc:Choice Requires="x14">
        <oleObject progId="Equation.DSMT4" shapeId="1346" r:id="rId132">
          <objectPr defaultSize="0" autoPict="0" r:id="rId133">
            <anchor moveWithCells="1">
              <from>
                <xdr:col>446</xdr:col>
                <xdr:colOff>400050</xdr:colOff>
                <xdr:row>183</xdr:row>
                <xdr:rowOff>276225</xdr:rowOff>
              </from>
              <to>
                <xdr:col>452</xdr:col>
                <xdr:colOff>495300</xdr:colOff>
                <xdr:row>185</xdr:row>
                <xdr:rowOff>190500</xdr:rowOff>
              </to>
            </anchor>
          </objectPr>
        </oleObject>
      </mc:Choice>
      <mc:Fallback>
        <oleObject progId="Equation.DSMT4" shapeId="1346" r:id="rId132"/>
      </mc:Fallback>
    </mc:AlternateContent>
    <mc:AlternateContent xmlns:mc="http://schemas.openxmlformats.org/markup-compatibility/2006">
      <mc:Choice Requires="x14">
        <oleObject progId="Equation.DSMT4" shapeId="1347" r:id="rId134">
          <objectPr defaultSize="0" autoPict="0" r:id="rId135">
            <anchor moveWithCells="1">
              <from>
                <xdr:col>449</xdr:col>
                <xdr:colOff>228600</xdr:colOff>
                <xdr:row>188</xdr:row>
                <xdr:rowOff>209550</xdr:rowOff>
              </from>
              <to>
                <xdr:col>453</xdr:col>
                <xdr:colOff>552450</xdr:colOff>
                <xdr:row>189</xdr:row>
                <xdr:rowOff>276225</xdr:rowOff>
              </to>
            </anchor>
          </objectPr>
        </oleObject>
      </mc:Choice>
      <mc:Fallback>
        <oleObject progId="Equation.DSMT4" shapeId="1347" r:id="rId134"/>
      </mc:Fallback>
    </mc:AlternateContent>
    <mc:AlternateContent xmlns:mc="http://schemas.openxmlformats.org/markup-compatibility/2006">
      <mc:Choice Requires="x14">
        <oleObject progId="Equation.DSMT4" shapeId="1350" r:id="rId136">
          <objectPr defaultSize="0" autoPict="0" r:id="rId137">
            <anchor moveWithCells="1">
              <from>
                <xdr:col>515</xdr:col>
                <xdr:colOff>561975</xdr:colOff>
                <xdr:row>17</xdr:row>
                <xdr:rowOff>123825</xdr:rowOff>
              </from>
              <to>
                <xdr:col>517</xdr:col>
                <xdr:colOff>428625</xdr:colOff>
                <xdr:row>18</xdr:row>
                <xdr:rowOff>400050</xdr:rowOff>
              </to>
            </anchor>
          </objectPr>
        </oleObject>
      </mc:Choice>
      <mc:Fallback>
        <oleObject progId="Equation.DSMT4" shapeId="1350" r:id="rId136"/>
      </mc:Fallback>
    </mc:AlternateContent>
    <mc:AlternateContent xmlns:mc="http://schemas.openxmlformats.org/markup-compatibility/2006">
      <mc:Choice Requires="x14">
        <oleObject progId="Equation.DSMT4" shapeId="1351" r:id="rId138">
          <objectPr defaultSize="0" autoPict="0" r:id="rId139">
            <anchor moveWithCells="1">
              <from>
                <xdr:col>515</xdr:col>
                <xdr:colOff>371475</xdr:colOff>
                <xdr:row>21</xdr:row>
                <xdr:rowOff>95250</xdr:rowOff>
              </from>
              <to>
                <xdr:col>517</xdr:col>
                <xdr:colOff>419100</xdr:colOff>
                <xdr:row>22</xdr:row>
                <xdr:rowOff>381000</xdr:rowOff>
              </to>
            </anchor>
          </objectPr>
        </oleObject>
      </mc:Choice>
      <mc:Fallback>
        <oleObject progId="Equation.DSMT4" shapeId="1351" r:id="rId138"/>
      </mc:Fallback>
    </mc:AlternateContent>
    <mc:AlternateContent xmlns:mc="http://schemas.openxmlformats.org/markup-compatibility/2006">
      <mc:Choice Requires="x14">
        <oleObject progId="Equation.DSMT4" shapeId="1374" r:id="rId140">
          <objectPr defaultSize="0" autoPict="0" r:id="rId141">
            <anchor moveWithCells="1">
              <from>
                <xdr:col>892</xdr:col>
                <xdr:colOff>0</xdr:colOff>
                <xdr:row>179</xdr:row>
                <xdr:rowOff>200025</xdr:rowOff>
              </from>
              <to>
                <xdr:col>897</xdr:col>
                <xdr:colOff>552450</xdr:colOff>
                <xdr:row>181</xdr:row>
                <xdr:rowOff>209550</xdr:rowOff>
              </to>
            </anchor>
          </objectPr>
        </oleObject>
      </mc:Choice>
      <mc:Fallback>
        <oleObject progId="Equation.DSMT4" shapeId="1374" r:id="rId140"/>
      </mc:Fallback>
    </mc:AlternateContent>
    <mc:AlternateContent xmlns:mc="http://schemas.openxmlformats.org/markup-compatibility/2006">
      <mc:Choice Requires="x14">
        <oleObject progId="Equation.DSMT4" shapeId="1398" r:id="rId142">
          <objectPr defaultSize="0" autoPict="0" r:id="rId143">
            <anchor moveWithCells="1">
              <from>
                <xdr:col>1186</xdr:col>
                <xdr:colOff>285750</xdr:colOff>
                <xdr:row>14</xdr:row>
                <xdr:rowOff>152400</xdr:rowOff>
              </from>
              <to>
                <xdr:col>1191</xdr:col>
                <xdr:colOff>476250</xdr:colOff>
                <xdr:row>15</xdr:row>
                <xdr:rowOff>428625</xdr:rowOff>
              </to>
            </anchor>
          </objectPr>
        </oleObject>
      </mc:Choice>
      <mc:Fallback>
        <oleObject progId="Equation.DSMT4" shapeId="1398" r:id="rId142"/>
      </mc:Fallback>
    </mc:AlternateContent>
    <mc:AlternateContent xmlns:mc="http://schemas.openxmlformats.org/markup-compatibility/2006">
      <mc:Choice Requires="x14">
        <oleObject progId="Equation.DSMT4" shapeId="1400" r:id="rId144">
          <objectPr defaultSize="0" autoPict="0" r:id="rId145">
            <anchor moveWithCells="1">
              <from>
                <xdr:col>1153</xdr:col>
                <xdr:colOff>247650</xdr:colOff>
                <xdr:row>55</xdr:row>
                <xdr:rowOff>161925</xdr:rowOff>
              </from>
              <to>
                <xdr:col>1157</xdr:col>
                <xdr:colOff>114300</xdr:colOff>
                <xdr:row>56</xdr:row>
                <xdr:rowOff>152400</xdr:rowOff>
              </to>
            </anchor>
          </objectPr>
        </oleObject>
      </mc:Choice>
      <mc:Fallback>
        <oleObject progId="Equation.DSMT4" shapeId="1400" r:id="rId144"/>
      </mc:Fallback>
    </mc:AlternateContent>
    <mc:AlternateContent xmlns:mc="http://schemas.openxmlformats.org/markup-compatibility/2006">
      <mc:Choice Requires="x14">
        <oleObject progId="Equation.DSMT4" shapeId="1403" r:id="rId146">
          <objectPr defaultSize="0" autoPict="0" r:id="rId147">
            <anchor moveWithCells="1">
              <from>
                <xdr:col>1186</xdr:col>
                <xdr:colOff>285750</xdr:colOff>
                <xdr:row>56</xdr:row>
                <xdr:rowOff>314325</xdr:rowOff>
              </from>
              <to>
                <xdr:col>1191</xdr:col>
                <xdr:colOff>0</xdr:colOff>
                <xdr:row>57</xdr:row>
                <xdr:rowOff>219075</xdr:rowOff>
              </to>
            </anchor>
          </objectPr>
        </oleObject>
      </mc:Choice>
      <mc:Fallback>
        <oleObject progId="Equation.DSMT4" shapeId="1403" r:id="rId146"/>
      </mc:Fallback>
    </mc:AlternateContent>
    <mc:AlternateContent xmlns:mc="http://schemas.openxmlformats.org/markup-compatibility/2006">
      <mc:Choice Requires="x14">
        <oleObject progId="Equation.DSMT4" shapeId="1404" r:id="rId148">
          <objectPr defaultSize="0" autoPict="0" r:id="rId149">
            <anchor moveWithCells="1">
              <from>
                <xdr:col>1187</xdr:col>
                <xdr:colOff>0</xdr:colOff>
                <xdr:row>82</xdr:row>
                <xdr:rowOff>257175</xdr:rowOff>
              </from>
              <to>
                <xdr:col>1197</xdr:col>
                <xdr:colOff>0</xdr:colOff>
                <xdr:row>84</xdr:row>
                <xdr:rowOff>266700</xdr:rowOff>
              </to>
            </anchor>
          </objectPr>
        </oleObject>
      </mc:Choice>
      <mc:Fallback>
        <oleObject progId="Equation.DSMT4" shapeId="1404" r:id="rId148"/>
      </mc:Fallback>
    </mc:AlternateContent>
    <mc:AlternateContent xmlns:mc="http://schemas.openxmlformats.org/markup-compatibility/2006">
      <mc:Choice Requires="x14">
        <oleObject progId="Equation.DSMT4" shapeId="1408" r:id="rId150">
          <objectPr defaultSize="0" autoPict="0" r:id="rId151">
            <anchor moveWithCells="1">
              <from>
                <xdr:col>1186</xdr:col>
                <xdr:colOff>295275</xdr:colOff>
                <xdr:row>97</xdr:row>
                <xdr:rowOff>200025</xdr:rowOff>
              </from>
              <to>
                <xdr:col>1194</xdr:col>
                <xdr:colOff>38100</xdr:colOff>
                <xdr:row>99</xdr:row>
                <xdr:rowOff>295275</xdr:rowOff>
              </to>
            </anchor>
          </objectPr>
        </oleObject>
      </mc:Choice>
      <mc:Fallback>
        <oleObject progId="Equation.DSMT4" shapeId="1408" r:id="rId150"/>
      </mc:Fallback>
    </mc:AlternateContent>
    <mc:AlternateContent xmlns:mc="http://schemas.openxmlformats.org/markup-compatibility/2006">
      <mc:Choice Requires="x14">
        <oleObject progId="Equation.DSMT4" shapeId="1409" r:id="rId152">
          <objectPr defaultSize="0" autoPict="0" r:id="rId153">
            <anchor moveWithCells="1">
              <from>
                <xdr:col>1191</xdr:col>
                <xdr:colOff>457200</xdr:colOff>
                <xdr:row>116</xdr:row>
                <xdr:rowOff>66675</xdr:rowOff>
              </from>
              <to>
                <xdr:col>1205</xdr:col>
                <xdr:colOff>133350</xdr:colOff>
                <xdr:row>118</xdr:row>
                <xdr:rowOff>19050</xdr:rowOff>
              </to>
            </anchor>
          </objectPr>
        </oleObject>
      </mc:Choice>
      <mc:Fallback>
        <oleObject progId="Equation.DSMT4" shapeId="1409" r:id="rId152"/>
      </mc:Fallback>
    </mc:AlternateContent>
    <mc:AlternateContent xmlns:mc="http://schemas.openxmlformats.org/markup-compatibility/2006">
      <mc:Choice Requires="x14">
        <oleObject progId="Equation.DSMT4" shapeId="1410" r:id="rId154">
          <objectPr defaultSize="0" autoPict="0" r:id="rId155">
            <anchor moveWithCells="1">
              <from>
                <xdr:col>1226</xdr:col>
                <xdr:colOff>285750</xdr:colOff>
                <xdr:row>130</xdr:row>
                <xdr:rowOff>95250</xdr:rowOff>
              </from>
              <to>
                <xdr:col>1229</xdr:col>
                <xdr:colOff>76200</xdr:colOff>
                <xdr:row>131</xdr:row>
                <xdr:rowOff>409575</xdr:rowOff>
              </to>
            </anchor>
          </objectPr>
        </oleObject>
      </mc:Choice>
      <mc:Fallback>
        <oleObject progId="Equation.DSMT4" shapeId="1410" r:id="rId154"/>
      </mc:Fallback>
    </mc:AlternateContent>
    <mc:AlternateContent xmlns:mc="http://schemas.openxmlformats.org/markup-compatibility/2006">
      <mc:Choice Requires="x14">
        <oleObject progId="Equation.DSMT4" shapeId="1411" r:id="rId156">
          <objectPr defaultSize="0" autoPict="0" r:id="rId157">
            <anchor moveWithCells="1">
              <from>
                <xdr:col>1190</xdr:col>
                <xdr:colOff>400050</xdr:colOff>
                <xdr:row>61</xdr:row>
                <xdr:rowOff>238125</xdr:rowOff>
              </from>
              <to>
                <xdr:col>1199</xdr:col>
                <xdr:colOff>276225</xdr:colOff>
                <xdr:row>62</xdr:row>
                <xdr:rowOff>228600</xdr:rowOff>
              </to>
            </anchor>
          </objectPr>
        </oleObject>
      </mc:Choice>
      <mc:Fallback>
        <oleObject progId="Equation.DSMT4" shapeId="1411" r:id="rId156"/>
      </mc:Fallback>
    </mc:AlternateContent>
    <mc:AlternateContent xmlns:mc="http://schemas.openxmlformats.org/markup-compatibility/2006">
      <mc:Choice Requires="x14">
        <oleObject progId="Equation.DSMT4" shapeId="1412" r:id="rId158">
          <objectPr defaultSize="0" autoPict="0" r:id="rId159">
            <anchor moveWithCells="1">
              <from>
                <xdr:col>1190</xdr:col>
                <xdr:colOff>314325</xdr:colOff>
                <xdr:row>65</xdr:row>
                <xdr:rowOff>219075</xdr:rowOff>
              </from>
              <to>
                <xdr:col>1200</xdr:col>
                <xdr:colOff>104775</xdr:colOff>
                <xdr:row>66</xdr:row>
                <xdr:rowOff>152400</xdr:rowOff>
              </to>
            </anchor>
          </objectPr>
        </oleObject>
      </mc:Choice>
      <mc:Fallback>
        <oleObject progId="Equation.DSMT4" shapeId="1412" r:id="rId158"/>
      </mc:Fallback>
    </mc:AlternateContent>
    <mc:AlternateContent xmlns:mc="http://schemas.openxmlformats.org/markup-compatibility/2006">
      <mc:Choice Requires="x14">
        <oleObject progId="Equation.DSMT4" shapeId="1413" r:id="rId160">
          <objectPr defaultSize="0" autoPict="0" r:id="rId161">
            <anchor moveWithCells="1">
              <from>
                <xdr:col>1189</xdr:col>
                <xdr:colOff>266700</xdr:colOff>
                <xdr:row>142</xdr:row>
                <xdr:rowOff>390525</xdr:rowOff>
              </from>
              <to>
                <xdr:col>1196</xdr:col>
                <xdr:colOff>504825</xdr:colOff>
                <xdr:row>143</xdr:row>
                <xdr:rowOff>400050</xdr:rowOff>
              </to>
            </anchor>
          </objectPr>
        </oleObject>
      </mc:Choice>
      <mc:Fallback>
        <oleObject progId="Equation.DSMT4" shapeId="1413" r:id="rId160"/>
      </mc:Fallback>
    </mc:AlternateContent>
    <mc:AlternateContent xmlns:mc="http://schemas.openxmlformats.org/markup-compatibility/2006">
      <mc:Choice Requires="x14">
        <oleObject progId="Equation.DSMT4" shapeId="1414" r:id="rId162">
          <objectPr defaultSize="0" autoPict="0" r:id="rId163">
            <anchor moveWithCells="1">
              <from>
                <xdr:col>1190</xdr:col>
                <xdr:colOff>371475</xdr:colOff>
                <xdr:row>198</xdr:row>
                <xdr:rowOff>238125</xdr:rowOff>
              </from>
              <to>
                <xdr:col>1196</xdr:col>
                <xdr:colOff>228600</xdr:colOff>
                <xdr:row>199</xdr:row>
                <xdr:rowOff>228600</xdr:rowOff>
              </to>
            </anchor>
          </objectPr>
        </oleObject>
      </mc:Choice>
      <mc:Fallback>
        <oleObject progId="Equation.DSMT4" shapeId="1414" r:id="rId162"/>
      </mc:Fallback>
    </mc:AlternateContent>
    <mc:AlternateContent xmlns:mc="http://schemas.openxmlformats.org/markup-compatibility/2006">
      <mc:Choice Requires="x14">
        <oleObject progId="Equation.DSMT4" shapeId="1415" r:id="rId164">
          <objectPr defaultSize="0" autoPict="0" r:id="rId165">
            <anchor moveWithCells="1">
              <from>
                <xdr:col>1190</xdr:col>
                <xdr:colOff>295275</xdr:colOff>
                <xdr:row>194</xdr:row>
                <xdr:rowOff>180975</xdr:rowOff>
              </from>
              <to>
                <xdr:col>1198</xdr:col>
                <xdr:colOff>219075</xdr:colOff>
                <xdr:row>195</xdr:row>
                <xdr:rowOff>171450</xdr:rowOff>
              </to>
            </anchor>
          </objectPr>
        </oleObject>
      </mc:Choice>
      <mc:Fallback>
        <oleObject progId="Equation.DSMT4" shapeId="1415" r:id="rId164"/>
      </mc:Fallback>
    </mc:AlternateContent>
    <mc:AlternateContent xmlns:mc="http://schemas.openxmlformats.org/markup-compatibility/2006">
      <mc:Choice Requires="x14">
        <oleObject progId="Equation.DSMT4" shapeId="1416" r:id="rId166">
          <objectPr defaultSize="0" autoPict="0" r:id="rId167">
            <anchor moveWithCells="1">
              <from>
                <xdr:col>1187</xdr:col>
                <xdr:colOff>257175</xdr:colOff>
                <xdr:row>107</xdr:row>
                <xdr:rowOff>142875</xdr:rowOff>
              </from>
              <to>
                <xdr:col>1192</xdr:col>
                <xdr:colOff>600075</xdr:colOff>
                <xdr:row>108</xdr:row>
                <xdr:rowOff>247650</xdr:rowOff>
              </to>
            </anchor>
          </objectPr>
        </oleObject>
      </mc:Choice>
      <mc:Fallback>
        <oleObject progId="Equation.DSMT4" shapeId="1416" r:id="rId166"/>
      </mc:Fallback>
    </mc:AlternateContent>
    <mc:AlternateContent xmlns:mc="http://schemas.openxmlformats.org/markup-compatibility/2006">
      <mc:Choice Requires="x14">
        <oleObject progId="Equation.DSMT4" shapeId="1417" r:id="rId168">
          <objectPr defaultSize="0" autoPict="0" r:id="rId169">
            <anchor moveWithCells="1">
              <from>
                <xdr:col>1186</xdr:col>
                <xdr:colOff>257175</xdr:colOff>
                <xdr:row>164</xdr:row>
                <xdr:rowOff>533400</xdr:rowOff>
              </from>
              <to>
                <xdr:col>1189</xdr:col>
                <xdr:colOff>495300</xdr:colOff>
                <xdr:row>166</xdr:row>
                <xdr:rowOff>419100</xdr:rowOff>
              </to>
            </anchor>
          </objectPr>
        </oleObject>
      </mc:Choice>
      <mc:Fallback>
        <oleObject progId="Equation.DSMT4" shapeId="1417" r:id="rId168"/>
      </mc:Fallback>
    </mc:AlternateContent>
    <mc:AlternateContent xmlns:mc="http://schemas.openxmlformats.org/markup-compatibility/2006">
      <mc:Choice Requires="x14">
        <oleObject progId="Equation.DSMT4" shapeId="1418" r:id="rId170">
          <objectPr defaultSize="0" autoPict="0" r:id="rId171">
            <anchor moveWithCells="1">
              <from>
                <xdr:col>1186</xdr:col>
                <xdr:colOff>342900</xdr:colOff>
                <xdr:row>168</xdr:row>
                <xdr:rowOff>476250</xdr:rowOff>
              </from>
              <to>
                <xdr:col>1190</xdr:col>
                <xdr:colOff>9525</xdr:colOff>
                <xdr:row>170</xdr:row>
                <xdr:rowOff>390525</xdr:rowOff>
              </to>
            </anchor>
          </objectPr>
        </oleObject>
      </mc:Choice>
      <mc:Fallback>
        <oleObject progId="Equation.DSMT4" shapeId="1418" r:id="rId170"/>
      </mc:Fallback>
    </mc:AlternateContent>
    <mc:AlternateContent xmlns:mc="http://schemas.openxmlformats.org/markup-compatibility/2006">
      <mc:Choice Requires="x14">
        <oleObject progId="Equation.DSMT4" shapeId="1421" r:id="rId172">
          <objectPr defaultSize="0" autoPict="0" r:id="rId173">
            <anchor moveWithCells="1">
              <from>
                <xdr:col>1188</xdr:col>
                <xdr:colOff>504825</xdr:colOff>
                <xdr:row>228</xdr:row>
                <xdr:rowOff>0</xdr:rowOff>
              </from>
              <to>
                <xdr:col>1190</xdr:col>
                <xdr:colOff>133350</xdr:colOff>
                <xdr:row>229</xdr:row>
                <xdr:rowOff>209550</xdr:rowOff>
              </to>
            </anchor>
          </objectPr>
        </oleObject>
      </mc:Choice>
      <mc:Fallback>
        <oleObject progId="Equation.DSMT4" shapeId="1421" r:id="rId172"/>
      </mc:Fallback>
    </mc:AlternateContent>
    <mc:AlternateContent xmlns:mc="http://schemas.openxmlformats.org/markup-compatibility/2006">
      <mc:Choice Requires="x14">
        <oleObject progId="Equation.DSMT4" shapeId="1423" r:id="rId174">
          <objectPr defaultSize="0" autoPict="0" r:id="rId175">
            <anchor moveWithCells="1">
              <from>
                <xdr:col>1189</xdr:col>
                <xdr:colOff>371475</xdr:colOff>
                <xdr:row>220</xdr:row>
                <xdr:rowOff>257175</xdr:rowOff>
              </from>
              <to>
                <xdr:col>1193</xdr:col>
                <xdr:colOff>457200</xdr:colOff>
                <xdr:row>221</xdr:row>
                <xdr:rowOff>209550</xdr:rowOff>
              </to>
            </anchor>
          </objectPr>
        </oleObject>
      </mc:Choice>
      <mc:Fallback>
        <oleObject progId="Equation.DSMT4" shapeId="1423" r:id="rId174"/>
      </mc:Fallback>
    </mc:AlternateContent>
    <mc:AlternateContent xmlns:mc="http://schemas.openxmlformats.org/markup-compatibility/2006">
      <mc:Choice Requires="x14">
        <oleObject progId="Equation.DSMT4" shapeId="1563" r:id="rId176">
          <objectPr defaultSize="0" autoPict="0" r:id="rId177">
            <anchor moveWithCells="1">
              <from>
                <xdr:col>1186</xdr:col>
                <xdr:colOff>342900</xdr:colOff>
                <xdr:row>102</xdr:row>
                <xdr:rowOff>171450</xdr:rowOff>
              </from>
              <to>
                <xdr:col>1192</xdr:col>
                <xdr:colOff>238125</xdr:colOff>
                <xdr:row>103</xdr:row>
                <xdr:rowOff>123825</xdr:rowOff>
              </to>
            </anchor>
          </objectPr>
        </oleObject>
      </mc:Choice>
      <mc:Fallback>
        <oleObject progId="Equation.DSMT4" shapeId="1563" r:id="rId176"/>
      </mc:Fallback>
    </mc:AlternateContent>
    <mc:AlternateContent xmlns:mc="http://schemas.openxmlformats.org/markup-compatibility/2006">
      <mc:Choice Requires="x14">
        <oleObject progId="Equation.DSMT4" shapeId="1564" r:id="rId178">
          <objectPr defaultSize="0" autoPict="0" r:id="rId179">
            <anchor moveWithCells="1">
              <from>
                <xdr:col>1186</xdr:col>
                <xdr:colOff>123825</xdr:colOff>
                <xdr:row>186</xdr:row>
                <xdr:rowOff>85725</xdr:rowOff>
              </from>
              <to>
                <xdr:col>1189</xdr:col>
                <xdr:colOff>76200</xdr:colOff>
                <xdr:row>187</xdr:row>
                <xdr:rowOff>276225</xdr:rowOff>
              </to>
            </anchor>
          </objectPr>
        </oleObject>
      </mc:Choice>
      <mc:Fallback>
        <oleObject progId="Equation.DSMT4" shapeId="1564" r:id="rId178"/>
      </mc:Fallback>
    </mc:AlternateContent>
    <mc:AlternateContent xmlns:mc="http://schemas.openxmlformats.org/markup-compatibility/2006">
      <mc:Choice Requires="x14">
        <oleObject progId="Equation.DSMT4" shapeId="1572" r:id="rId180">
          <objectPr defaultSize="0" autoPict="0" r:id="rId181">
            <anchor moveWithCells="1">
              <from>
                <xdr:col>1187</xdr:col>
                <xdr:colOff>152400</xdr:colOff>
                <xdr:row>177</xdr:row>
                <xdr:rowOff>28575</xdr:rowOff>
              </from>
              <to>
                <xdr:col>1207</xdr:col>
                <xdr:colOff>95250</xdr:colOff>
                <xdr:row>178</xdr:row>
                <xdr:rowOff>85725</xdr:rowOff>
              </to>
            </anchor>
          </objectPr>
        </oleObject>
      </mc:Choice>
      <mc:Fallback>
        <oleObject progId="Equation.DSMT4" shapeId="1572" r:id="rId180"/>
      </mc:Fallback>
    </mc:AlternateContent>
    <mc:AlternateContent xmlns:mc="http://schemas.openxmlformats.org/markup-compatibility/2006">
      <mc:Choice Requires="x14">
        <oleObject progId="Equation.DSMT4" shapeId="1573" r:id="rId182">
          <objectPr defaultSize="0" autoPict="0" r:id="rId183">
            <anchor moveWithCells="1">
              <from>
                <xdr:col>1206</xdr:col>
                <xdr:colOff>523875</xdr:colOff>
                <xdr:row>139</xdr:row>
                <xdr:rowOff>266700</xdr:rowOff>
              </from>
              <to>
                <xdr:col>1221</xdr:col>
                <xdr:colOff>123825</xdr:colOff>
                <xdr:row>141</xdr:row>
                <xdr:rowOff>19050</xdr:rowOff>
              </to>
            </anchor>
          </objectPr>
        </oleObject>
      </mc:Choice>
      <mc:Fallback>
        <oleObject progId="Equation.DSMT4" shapeId="1573" r:id="rId182"/>
      </mc:Fallback>
    </mc:AlternateContent>
    <mc:AlternateContent xmlns:mc="http://schemas.openxmlformats.org/markup-compatibility/2006">
      <mc:Choice Requires="x14">
        <oleObject progId="Equation.DSMT4" shapeId="1580" r:id="rId184">
          <objectPr defaultSize="0" autoPict="0" r:id="rId185">
            <anchor moveWithCells="1">
              <from>
                <xdr:col>203</xdr:col>
                <xdr:colOff>152400</xdr:colOff>
                <xdr:row>118</xdr:row>
                <xdr:rowOff>361950</xdr:rowOff>
              </from>
              <to>
                <xdr:col>206</xdr:col>
                <xdr:colOff>219075</xdr:colOff>
                <xdr:row>119</xdr:row>
                <xdr:rowOff>247650</xdr:rowOff>
              </to>
            </anchor>
          </objectPr>
        </oleObject>
      </mc:Choice>
      <mc:Fallback>
        <oleObject progId="Equation.DSMT4" shapeId="1580" r:id="rId184"/>
      </mc:Fallback>
    </mc:AlternateContent>
    <mc:AlternateContent xmlns:mc="http://schemas.openxmlformats.org/markup-compatibility/2006">
      <mc:Choice Requires="x14">
        <oleObject progId="Equation.DSMT4" shapeId="1603" r:id="rId186">
          <objectPr defaultSize="0" autoPict="0" r:id="rId187">
            <anchor moveWithCells="1">
              <from>
                <xdr:col>90</xdr:col>
                <xdr:colOff>323850</xdr:colOff>
                <xdr:row>23</xdr:row>
                <xdr:rowOff>114300</xdr:rowOff>
              </from>
              <to>
                <xdr:col>93</xdr:col>
                <xdr:colOff>76200</xdr:colOff>
                <xdr:row>24</xdr:row>
                <xdr:rowOff>457200</xdr:rowOff>
              </to>
            </anchor>
          </objectPr>
        </oleObject>
      </mc:Choice>
      <mc:Fallback>
        <oleObject progId="Equation.DSMT4" shapeId="1603" r:id="rId186"/>
      </mc:Fallback>
    </mc:AlternateContent>
    <mc:AlternateContent xmlns:mc="http://schemas.openxmlformats.org/markup-compatibility/2006">
      <mc:Choice Requires="x14">
        <oleObject progId="Equation.DSMT4" shapeId="1607" r:id="rId188">
          <objectPr defaultSize="0" autoPict="0" r:id="rId189">
            <anchor moveWithCells="1">
              <from>
                <xdr:col>99</xdr:col>
                <xdr:colOff>361950</xdr:colOff>
                <xdr:row>53</xdr:row>
                <xdr:rowOff>142875</xdr:rowOff>
              </from>
              <to>
                <xdr:col>104</xdr:col>
                <xdr:colOff>0</xdr:colOff>
                <xdr:row>54</xdr:row>
                <xdr:rowOff>409575</xdr:rowOff>
              </to>
            </anchor>
          </objectPr>
        </oleObject>
      </mc:Choice>
      <mc:Fallback>
        <oleObject progId="Equation.DSMT4" shapeId="1607" r:id="rId188"/>
      </mc:Fallback>
    </mc:AlternateContent>
    <mc:AlternateContent xmlns:mc="http://schemas.openxmlformats.org/markup-compatibility/2006">
      <mc:Choice Requires="x14">
        <oleObject progId="Equation.DSMT4" shapeId="1614" r:id="rId190">
          <objectPr defaultSize="0" autoPict="0" r:id="rId191">
            <anchor moveWithCells="1">
              <from>
                <xdr:col>102</xdr:col>
                <xdr:colOff>123825</xdr:colOff>
                <xdr:row>110</xdr:row>
                <xdr:rowOff>228600</xdr:rowOff>
              </from>
              <to>
                <xdr:col>105</xdr:col>
                <xdr:colOff>219075</xdr:colOff>
                <xdr:row>111</xdr:row>
                <xdr:rowOff>180975</xdr:rowOff>
              </to>
            </anchor>
          </objectPr>
        </oleObject>
      </mc:Choice>
      <mc:Fallback>
        <oleObject progId="Equation.DSMT4" shapeId="1614" r:id="rId190"/>
      </mc:Fallback>
    </mc:AlternateContent>
    <mc:AlternateContent xmlns:mc="http://schemas.openxmlformats.org/markup-compatibility/2006">
      <mc:Choice Requires="x14">
        <oleObject progId="Equation.DSMT4" shapeId="1618" r:id="rId192">
          <objectPr defaultSize="0" autoPict="0" r:id="rId193">
            <anchor moveWithCells="1">
              <from>
                <xdr:col>305</xdr:col>
                <xdr:colOff>161925</xdr:colOff>
                <xdr:row>86</xdr:row>
                <xdr:rowOff>238125</xdr:rowOff>
              </from>
              <to>
                <xdr:col>311</xdr:col>
                <xdr:colOff>485775</xdr:colOff>
                <xdr:row>87</xdr:row>
                <xdr:rowOff>133350</xdr:rowOff>
              </to>
            </anchor>
          </objectPr>
        </oleObject>
      </mc:Choice>
      <mc:Fallback>
        <oleObject progId="Equation.DSMT4" shapeId="1618" r:id="rId192"/>
      </mc:Fallback>
    </mc:AlternateContent>
    <mc:AlternateContent xmlns:mc="http://schemas.openxmlformats.org/markup-compatibility/2006">
      <mc:Choice Requires="x14">
        <oleObject progId="Equation.DSMT4" shapeId="1620" r:id="rId194">
          <objectPr defaultSize="0" autoPict="0" r:id="rId195">
            <anchor moveWithCells="1">
              <from>
                <xdr:col>722</xdr:col>
                <xdr:colOff>266700</xdr:colOff>
                <xdr:row>86</xdr:row>
                <xdr:rowOff>323850</xdr:rowOff>
              </from>
              <to>
                <xdr:col>725</xdr:col>
                <xdr:colOff>171450</xdr:colOff>
                <xdr:row>87</xdr:row>
                <xdr:rowOff>200025</xdr:rowOff>
              </to>
            </anchor>
          </objectPr>
        </oleObject>
      </mc:Choice>
      <mc:Fallback>
        <oleObject progId="Equation.DSMT4" shapeId="1620" r:id="rId194"/>
      </mc:Fallback>
    </mc:AlternateContent>
    <mc:AlternateContent xmlns:mc="http://schemas.openxmlformats.org/markup-compatibility/2006">
      <mc:Choice Requires="x14">
        <oleObject progId="Equation.DSMT4" shapeId="1623" r:id="rId196">
          <objectPr defaultSize="0" autoPict="0" r:id="rId197">
            <anchor moveWithCells="1">
              <from>
                <xdr:col>722</xdr:col>
                <xdr:colOff>323850</xdr:colOff>
                <xdr:row>138</xdr:row>
                <xdr:rowOff>247650</xdr:rowOff>
              </from>
              <to>
                <xdr:col>727</xdr:col>
                <xdr:colOff>171450</xdr:colOff>
                <xdr:row>140</xdr:row>
                <xdr:rowOff>228600</xdr:rowOff>
              </to>
            </anchor>
          </objectPr>
        </oleObject>
      </mc:Choice>
      <mc:Fallback>
        <oleObject progId="Equation.DSMT4" shapeId="1623" r:id="rId196"/>
      </mc:Fallback>
    </mc:AlternateContent>
    <mc:AlternateContent xmlns:mc="http://schemas.openxmlformats.org/markup-compatibility/2006">
      <mc:Choice Requires="x14">
        <oleObject progId="Equation.DSMT4" shapeId="1627" r:id="rId198">
          <objectPr defaultSize="0" autoPict="0" r:id="rId199">
            <anchor moveWithCells="1">
              <from>
                <xdr:col>724</xdr:col>
                <xdr:colOff>247650</xdr:colOff>
                <xdr:row>22</xdr:row>
                <xdr:rowOff>390525</xdr:rowOff>
              </from>
              <to>
                <xdr:col>727</xdr:col>
                <xdr:colOff>247650</xdr:colOff>
                <xdr:row>23</xdr:row>
                <xdr:rowOff>228600</xdr:rowOff>
              </to>
            </anchor>
          </objectPr>
        </oleObject>
      </mc:Choice>
      <mc:Fallback>
        <oleObject progId="Equation.DSMT4" shapeId="1627" r:id="rId198"/>
      </mc:Fallback>
    </mc:AlternateContent>
    <mc:AlternateContent xmlns:mc="http://schemas.openxmlformats.org/markup-compatibility/2006">
      <mc:Choice Requires="x14">
        <oleObject progId="Equation.DSMT4" shapeId="1628" r:id="rId200">
          <objectPr defaultSize="0" autoPict="0" r:id="rId201">
            <anchor moveWithCells="1">
              <from>
                <xdr:col>724</xdr:col>
                <xdr:colOff>152400</xdr:colOff>
                <xdr:row>24</xdr:row>
                <xdr:rowOff>247650</xdr:rowOff>
              </from>
              <to>
                <xdr:col>727</xdr:col>
                <xdr:colOff>171450</xdr:colOff>
                <xdr:row>25</xdr:row>
                <xdr:rowOff>142875</xdr:rowOff>
              </to>
            </anchor>
          </objectPr>
        </oleObject>
      </mc:Choice>
      <mc:Fallback>
        <oleObject progId="Equation.DSMT4" shapeId="1628" r:id="rId200"/>
      </mc:Fallback>
    </mc:AlternateContent>
    <mc:AlternateContent xmlns:mc="http://schemas.openxmlformats.org/markup-compatibility/2006">
      <mc:Choice Requires="x14">
        <oleObject progId="Equation.DSMT4" shapeId="1629" r:id="rId202">
          <objectPr defaultSize="0" autoPict="0" r:id="rId203">
            <anchor moveWithCells="1">
              <from>
                <xdr:col>724</xdr:col>
                <xdr:colOff>247650</xdr:colOff>
                <xdr:row>26</xdr:row>
                <xdr:rowOff>314325</xdr:rowOff>
              </from>
              <to>
                <xdr:col>727</xdr:col>
                <xdr:colOff>76200</xdr:colOff>
                <xdr:row>27</xdr:row>
                <xdr:rowOff>190500</xdr:rowOff>
              </to>
            </anchor>
          </objectPr>
        </oleObject>
      </mc:Choice>
      <mc:Fallback>
        <oleObject progId="Equation.DSMT4" shapeId="1629" r:id="rId202"/>
      </mc:Fallback>
    </mc:AlternateContent>
    <mc:AlternateContent xmlns:mc="http://schemas.openxmlformats.org/markup-compatibility/2006">
      <mc:Choice Requires="x14">
        <oleObject progId="Equation.DSMT4" shapeId="1630" r:id="rId204">
          <objectPr defaultSize="0" autoPict="0" r:id="rId205">
            <anchor moveWithCells="1">
              <from>
                <xdr:col>724</xdr:col>
                <xdr:colOff>257175</xdr:colOff>
                <xdr:row>28</xdr:row>
                <xdr:rowOff>266700</xdr:rowOff>
              </from>
              <to>
                <xdr:col>727</xdr:col>
                <xdr:colOff>247650</xdr:colOff>
                <xdr:row>29</xdr:row>
                <xdr:rowOff>133350</xdr:rowOff>
              </to>
            </anchor>
          </objectPr>
        </oleObject>
      </mc:Choice>
      <mc:Fallback>
        <oleObject progId="Equation.DSMT4" shapeId="1630" r:id="rId204"/>
      </mc:Fallback>
    </mc:AlternateContent>
    <mc:AlternateContent xmlns:mc="http://schemas.openxmlformats.org/markup-compatibility/2006">
      <mc:Choice Requires="x14">
        <oleObject progId="Equation.DSMT4" shapeId="1632" r:id="rId206">
          <objectPr defaultSize="0" autoPict="0" r:id="rId207">
            <anchor moveWithCells="1">
              <from>
                <xdr:col>724</xdr:col>
                <xdr:colOff>247650</xdr:colOff>
                <xdr:row>32</xdr:row>
                <xdr:rowOff>333375</xdr:rowOff>
              </from>
              <to>
                <xdr:col>728</xdr:col>
                <xdr:colOff>38100</xdr:colOff>
                <xdr:row>33</xdr:row>
                <xdr:rowOff>152400</xdr:rowOff>
              </to>
            </anchor>
          </objectPr>
        </oleObject>
      </mc:Choice>
      <mc:Fallback>
        <oleObject progId="Equation.DSMT4" shapeId="1632" r:id="rId206"/>
      </mc:Fallback>
    </mc:AlternateContent>
    <mc:AlternateContent xmlns:mc="http://schemas.openxmlformats.org/markup-compatibility/2006">
      <mc:Choice Requires="x14">
        <oleObject progId="Equation.DSMT4" shapeId="1633" r:id="rId208">
          <objectPr defaultSize="0" autoPict="0" r:id="rId209">
            <anchor moveWithCells="1">
              <from>
                <xdr:col>724</xdr:col>
                <xdr:colOff>209550</xdr:colOff>
                <xdr:row>34</xdr:row>
                <xdr:rowOff>390525</xdr:rowOff>
              </from>
              <to>
                <xdr:col>728</xdr:col>
                <xdr:colOff>104775</xdr:colOff>
                <xdr:row>35</xdr:row>
                <xdr:rowOff>219075</xdr:rowOff>
              </to>
            </anchor>
          </objectPr>
        </oleObject>
      </mc:Choice>
      <mc:Fallback>
        <oleObject progId="Equation.DSMT4" shapeId="1633" r:id="rId208"/>
      </mc:Fallback>
    </mc:AlternateContent>
    <mc:AlternateContent xmlns:mc="http://schemas.openxmlformats.org/markup-compatibility/2006">
      <mc:Choice Requires="x14">
        <oleObject progId="Equation.DSMT4" shapeId="1634" r:id="rId210">
          <objectPr defaultSize="0" autoPict="0" r:id="rId211">
            <anchor moveWithCells="1">
              <from>
                <xdr:col>724</xdr:col>
                <xdr:colOff>200025</xdr:colOff>
                <xdr:row>36</xdr:row>
                <xdr:rowOff>200025</xdr:rowOff>
              </from>
              <to>
                <xdr:col>727</xdr:col>
                <xdr:colOff>238125</xdr:colOff>
                <xdr:row>37</xdr:row>
                <xdr:rowOff>123825</xdr:rowOff>
              </to>
            </anchor>
          </objectPr>
        </oleObject>
      </mc:Choice>
      <mc:Fallback>
        <oleObject progId="Equation.DSMT4" shapeId="1634" r:id="rId210"/>
      </mc:Fallback>
    </mc:AlternateContent>
    <mc:AlternateContent xmlns:mc="http://schemas.openxmlformats.org/markup-compatibility/2006">
      <mc:Choice Requires="x14">
        <oleObject progId="Equation.DSMT4" shapeId="1635" r:id="rId212">
          <objectPr defaultSize="0" autoPict="0" r:id="rId213">
            <anchor moveWithCells="1">
              <from>
                <xdr:col>724</xdr:col>
                <xdr:colOff>161925</xdr:colOff>
                <xdr:row>38</xdr:row>
                <xdr:rowOff>342900</xdr:rowOff>
              </from>
              <to>
                <xdr:col>726</xdr:col>
                <xdr:colOff>219075</xdr:colOff>
                <xdr:row>39</xdr:row>
                <xdr:rowOff>161925</xdr:rowOff>
              </to>
            </anchor>
          </objectPr>
        </oleObject>
      </mc:Choice>
      <mc:Fallback>
        <oleObject progId="Equation.DSMT4" shapeId="1635" r:id="rId212"/>
      </mc:Fallback>
    </mc:AlternateContent>
    <mc:AlternateContent xmlns:mc="http://schemas.openxmlformats.org/markup-compatibility/2006">
      <mc:Choice Requires="x14">
        <oleObject progId="Equation.DSMT4" shapeId="1636" r:id="rId214">
          <objectPr defaultSize="0" autoPict="0" r:id="rId215">
            <anchor moveWithCells="1">
              <from>
                <xdr:col>724</xdr:col>
                <xdr:colOff>171450</xdr:colOff>
                <xdr:row>40</xdr:row>
                <xdr:rowOff>295275</xdr:rowOff>
              </from>
              <to>
                <xdr:col>728</xdr:col>
                <xdr:colOff>0</xdr:colOff>
                <xdr:row>41</xdr:row>
                <xdr:rowOff>114300</xdr:rowOff>
              </to>
            </anchor>
          </objectPr>
        </oleObject>
      </mc:Choice>
      <mc:Fallback>
        <oleObject progId="Equation.DSMT4" shapeId="1636" r:id="rId214"/>
      </mc:Fallback>
    </mc:AlternateContent>
    <mc:AlternateContent xmlns:mc="http://schemas.openxmlformats.org/markup-compatibility/2006">
      <mc:Choice Requires="x14">
        <oleObject progId="Equation.DSMT4" shapeId="1637" r:id="rId216">
          <objectPr defaultSize="0" autoPict="0" r:id="rId217">
            <anchor moveWithCells="1">
              <from>
                <xdr:col>724</xdr:col>
                <xdr:colOff>180975</xdr:colOff>
                <xdr:row>42</xdr:row>
                <xdr:rowOff>257175</xdr:rowOff>
              </from>
              <to>
                <xdr:col>727</xdr:col>
                <xdr:colOff>514350</xdr:colOff>
                <xdr:row>43</xdr:row>
                <xdr:rowOff>76200</xdr:rowOff>
              </to>
            </anchor>
          </objectPr>
        </oleObject>
      </mc:Choice>
      <mc:Fallback>
        <oleObject progId="Equation.DSMT4" shapeId="1637" r:id="rId216"/>
      </mc:Fallback>
    </mc:AlternateContent>
    <mc:AlternateContent xmlns:mc="http://schemas.openxmlformats.org/markup-compatibility/2006">
      <mc:Choice Requires="x14">
        <oleObject progId="Equation.DSMT4" shapeId="1638" r:id="rId218">
          <objectPr defaultSize="0" autoPict="0" r:id="rId219">
            <anchor moveWithCells="1">
              <from>
                <xdr:col>724</xdr:col>
                <xdr:colOff>133350</xdr:colOff>
                <xdr:row>44</xdr:row>
                <xdr:rowOff>342900</xdr:rowOff>
              </from>
              <to>
                <xdr:col>727</xdr:col>
                <xdr:colOff>219075</xdr:colOff>
                <xdr:row>45</xdr:row>
                <xdr:rowOff>123825</xdr:rowOff>
              </to>
            </anchor>
          </objectPr>
        </oleObject>
      </mc:Choice>
      <mc:Fallback>
        <oleObject progId="Equation.DSMT4" shapeId="1638" r:id="rId218"/>
      </mc:Fallback>
    </mc:AlternateContent>
    <mc:AlternateContent xmlns:mc="http://schemas.openxmlformats.org/markup-compatibility/2006">
      <mc:Choice Requires="x14">
        <oleObject progId="Equation.DSMT4" shapeId="1640" r:id="rId220">
          <objectPr defaultSize="0" autoPict="0" r:id="rId221">
            <anchor moveWithCells="1">
              <from>
                <xdr:col>724</xdr:col>
                <xdr:colOff>209550</xdr:colOff>
                <xdr:row>50</xdr:row>
                <xdr:rowOff>409575</xdr:rowOff>
              </from>
              <to>
                <xdr:col>727</xdr:col>
                <xdr:colOff>323850</xdr:colOff>
                <xdr:row>51</xdr:row>
                <xdr:rowOff>266700</xdr:rowOff>
              </to>
            </anchor>
          </objectPr>
        </oleObject>
      </mc:Choice>
      <mc:Fallback>
        <oleObject progId="Equation.DSMT4" shapeId="1640" r:id="rId220"/>
      </mc:Fallback>
    </mc:AlternateContent>
    <mc:AlternateContent xmlns:mc="http://schemas.openxmlformats.org/markup-compatibility/2006">
      <mc:Choice Requires="x14">
        <oleObject progId="Equation.DSMT4" shapeId="1641" r:id="rId222">
          <objectPr defaultSize="0" autoPict="0" r:id="rId223">
            <anchor moveWithCells="1">
              <from>
                <xdr:col>724</xdr:col>
                <xdr:colOff>200025</xdr:colOff>
                <xdr:row>54</xdr:row>
                <xdr:rowOff>400050</xdr:rowOff>
              </from>
              <to>
                <xdr:col>727</xdr:col>
                <xdr:colOff>342900</xdr:colOff>
                <xdr:row>55</xdr:row>
                <xdr:rowOff>247650</xdr:rowOff>
              </to>
            </anchor>
          </objectPr>
        </oleObject>
      </mc:Choice>
      <mc:Fallback>
        <oleObject progId="Equation.DSMT4" shapeId="1641" r:id="rId222"/>
      </mc:Fallback>
    </mc:AlternateContent>
    <mc:AlternateContent xmlns:mc="http://schemas.openxmlformats.org/markup-compatibility/2006">
      <mc:Choice Requires="x14">
        <oleObject progId="Equation.DSMT4" shapeId="1642" r:id="rId224">
          <objectPr defaultSize="0" autoPict="0" r:id="rId225">
            <anchor moveWithCells="1">
              <from>
                <xdr:col>724</xdr:col>
                <xdr:colOff>257175</xdr:colOff>
                <xdr:row>56</xdr:row>
                <xdr:rowOff>438150</xdr:rowOff>
              </from>
              <to>
                <xdr:col>727</xdr:col>
                <xdr:colOff>323850</xdr:colOff>
                <xdr:row>57</xdr:row>
                <xdr:rowOff>247650</xdr:rowOff>
              </to>
            </anchor>
          </objectPr>
        </oleObject>
      </mc:Choice>
      <mc:Fallback>
        <oleObject progId="Equation.DSMT4" shapeId="1642" r:id="rId224"/>
      </mc:Fallback>
    </mc:AlternateContent>
    <mc:AlternateContent xmlns:mc="http://schemas.openxmlformats.org/markup-compatibility/2006">
      <mc:Choice Requires="x14">
        <oleObject progId="Equation.DSMT4" shapeId="1653" r:id="rId226">
          <objectPr defaultSize="0" autoPict="0" r:id="rId227">
            <anchor moveWithCells="1">
              <from>
                <xdr:col>724</xdr:col>
                <xdr:colOff>276225</xdr:colOff>
                <xdr:row>20</xdr:row>
                <xdr:rowOff>352425</xdr:rowOff>
              </from>
              <to>
                <xdr:col>727</xdr:col>
                <xdr:colOff>371475</xdr:colOff>
                <xdr:row>21</xdr:row>
                <xdr:rowOff>219075</xdr:rowOff>
              </to>
            </anchor>
          </objectPr>
        </oleObject>
      </mc:Choice>
      <mc:Fallback>
        <oleObject progId="Equation.DSMT4" shapeId="1653" r:id="rId226"/>
      </mc:Fallback>
    </mc:AlternateContent>
    <mc:AlternateContent xmlns:mc="http://schemas.openxmlformats.org/markup-compatibility/2006">
      <mc:Choice Requires="x14">
        <oleObject progId="Equation.DSMT4" shapeId="1658" r:id="rId228">
          <objectPr defaultSize="0" autoPict="0" r:id="rId229">
            <anchor moveWithCells="1">
              <from>
                <xdr:col>724</xdr:col>
                <xdr:colOff>276225</xdr:colOff>
                <xdr:row>30</xdr:row>
                <xdr:rowOff>361950</xdr:rowOff>
              </from>
              <to>
                <xdr:col>727</xdr:col>
                <xdr:colOff>76200</xdr:colOff>
                <xdr:row>31</xdr:row>
                <xdr:rowOff>152400</xdr:rowOff>
              </to>
            </anchor>
          </objectPr>
        </oleObject>
      </mc:Choice>
      <mc:Fallback>
        <oleObject progId="Equation.DSMT4" shapeId="1658" r:id="rId228"/>
      </mc:Fallback>
    </mc:AlternateContent>
    <mc:AlternateContent xmlns:mc="http://schemas.openxmlformats.org/markup-compatibility/2006">
      <mc:Choice Requires="x14">
        <oleObject progId="Equation.DSMT4" shapeId="1659" r:id="rId230">
          <objectPr defaultSize="0" autoPict="0" r:id="rId231">
            <anchor moveWithCells="1">
              <from>
                <xdr:col>724</xdr:col>
                <xdr:colOff>276225</xdr:colOff>
                <xdr:row>48</xdr:row>
                <xdr:rowOff>180975</xdr:rowOff>
              </from>
              <to>
                <xdr:col>728</xdr:col>
                <xdr:colOff>19050</xdr:colOff>
                <xdr:row>49</xdr:row>
                <xdr:rowOff>428625</xdr:rowOff>
              </to>
            </anchor>
          </objectPr>
        </oleObject>
      </mc:Choice>
      <mc:Fallback>
        <oleObject progId="Equation.DSMT4" shapeId="1659" r:id="rId230"/>
      </mc:Fallback>
    </mc:AlternateContent>
    <mc:AlternateContent xmlns:mc="http://schemas.openxmlformats.org/markup-compatibility/2006">
      <mc:Choice Requires="x14">
        <oleObject progId="Equation.DSMT4" shapeId="1679" r:id="rId232">
          <objectPr defaultSize="0" autoPict="0" r:id="rId233">
            <anchor moveWithCells="1">
              <from>
                <xdr:col>1186</xdr:col>
                <xdr:colOff>409575</xdr:colOff>
                <xdr:row>86</xdr:row>
                <xdr:rowOff>314325</xdr:rowOff>
              </from>
              <to>
                <xdr:col>1191</xdr:col>
                <xdr:colOff>381000</xdr:colOff>
                <xdr:row>88</xdr:row>
                <xdr:rowOff>142875</xdr:rowOff>
              </to>
            </anchor>
          </objectPr>
        </oleObject>
      </mc:Choice>
      <mc:Fallback>
        <oleObject progId="Equation.DSMT4" shapeId="1679" r:id="rId232"/>
      </mc:Fallback>
    </mc:AlternateContent>
    <mc:AlternateContent xmlns:mc="http://schemas.openxmlformats.org/markup-compatibility/2006">
      <mc:Choice Requires="x14">
        <oleObject progId="Equation.DSMT4" shapeId="1680" r:id="rId234">
          <objectPr defaultSize="0" autoPict="0" r:id="rId235">
            <anchor moveWithCells="1">
              <from>
                <xdr:col>1187</xdr:col>
                <xdr:colOff>28575</xdr:colOff>
                <xdr:row>238</xdr:row>
                <xdr:rowOff>47625</xdr:rowOff>
              </from>
              <to>
                <xdr:col>1189</xdr:col>
                <xdr:colOff>0</xdr:colOff>
                <xdr:row>239</xdr:row>
                <xdr:rowOff>28575</xdr:rowOff>
              </to>
            </anchor>
          </objectPr>
        </oleObject>
      </mc:Choice>
      <mc:Fallback>
        <oleObject progId="Equation.DSMT4" shapeId="1680" r:id="rId234"/>
      </mc:Fallback>
    </mc:AlternateContent>
    <mc:AlternateContent xmlns:mc="http://schemas.openxmlformats.org/markup-compatibility/2006">
      <mc:Choice Requires="x14">
        <oleObject progId="Equation.DSMT4" shapeId="1681" r:id="rId236">
          <objectPr defaultSize="0" autoPict="0" r:id="rId237">
            <anchor moveWithCells="1">
              <from>
                <xdr:col>1194</xdr:col>
                <xdr:colOff>66675</xdr:colOff>
                <xdr:row>231</xdr:row>
                <xdr:rowOff>314325</xdr:rowOff>
              </from>
              <to>
                <xdr:col>1195</xdr:col>
                <xdr:colOff>19050</xdr:colOff>
                <xdr:row>232</xdr:row>
                <xdr:rowOff>323850</xdr:rowOff>
              </to>
            </anchor>
          </objectPr>
        </oleObject>
      </mc:Choice>
      <mc:Fallback>
        <oleObject progId="Equation.DSMT4" shapeId="1681" r:id="rId236"/>
      </mc:Fallback>
    </mc:AlternateContent>
    <mc:AlternateContent xmlns:mc="http://schemas.openxmlformats.org/markup-compatibility/2006">
      <mc:Choice Requires="x14">
        <oleObject progId="Equation.DSMT4" shapeId="1682" r:id="rId238">
          <objectPr defaultSize="0" autoPict="0" r:id="rId239">
            <anchor moveWithCells="1">
              <from>
                <xdr:col>1192</xdr:col>
                <xdr:colOff>133350</xdr:colOff>
                <xdr:row>232</xdr:row>
                <xdr:rowOff>219075</xdr:rowOff>
              </from>
              <to>
                <xdr:col>1193</xdr:col>
                <xdr:colOff>0</xdr:colOff>
                <xdr:row>233</xdr:row>
                <xdr:rowOff>190500</xdr:rowOff>
              </to>
            </anchor>
          </objectPr>
        </oleObject>
      </mc:Choice>
      <mc:Fallback>
        <oleObject progId="Equation.DSMT4" shapeId="1682" r:id="rId238"/>
      </mc:Fallback>
    </mc:AlternateContent>
    <mc:AlternateContent xmlns:mc="http://schemas.openxmlformats.org/markup-compatibility/2006">
      <mc:Choice Requires="x14">
        <oleObject progId="Equation.DSMT4" shapeId="1687" r:id="rId240">
          <objectPr defaultSize="0" autoPict="0" r:id="rId241">
            <anchor moveWithCells="1">
              <from>
                <xdr:col>1191</xdr:col>
                <xdr:colOff>333375</xdr:colOff>
                <xdr:row>125</xdr:row>
                <xdr:rowOff>66675</xdr:rowOff>
              </from>
              <to>
                <xdr:col>1198</xdr:col>
                <xdr:colOff>571500</xdr:colOff>
                <xdr:row>126</xdr:row>
                <xdr:rowOff>428625</xdr:rowOff>
              </to>
            </anchor>
          </objectPr>
        </oleObject>
      </mc:Choice>
      <mc:Fallback>
        <oleObject progId="Equation.DSMT4" shapeId="1687" r:id="rId240"/>
      </mc:Fallback>
    </mc:AlternateContent>
    <mc:AlternateContent xmlns:mc="http://schemas.openxmlformats.org/markup-compatibility/2006">
      <mc:Choice Requires="x14">
        <oleObject progId="Equation.DSMT4" shapeId="1688" r:id="rId242">
          <objectPr defaultSize="0" autoPict="0" r:id="rId243">
            <anchor moveWithCells="1">
              <from>
                <xdr:col>1192</xdr:col>
                <xdr:colOff>123825</xdr:colOff>
                <xdr:row>129</xdr:row>
                <xdr:rowOff>95250</xdr:rowOff>
              </from>
              <to>
                <xdr:col>1196</xdr:col>
                <xdr:colOff>0</xdr:colOff>
                <xdr:row>130</xdr:row>
                <xdr:rowOff>390525</xdr:rowOff>
              </to>
            </anchor>
          </objectPr>
        </oleObject>
      </mc:Choice>
      <mc:Fallback>
        <oleObject progId="Equation.DSMT4" shapeId="1688" r:id="rId242"/>
      </mc:Fallback>
    </mc:AlternateContent>
    <mc:AlternateContent xmlns:mc="http://schemas.openxmlformats.org/markup-compatibility/2006">
      <mc:Choice Requires="x14">
        <oleObject progId="Equation.DSMT4" shapeId="1689" r:id="rId244">
          <objectPr defaultSize="0" autoPict="0" r:id="rId245">
            <anchor moveWithCells="1">
              <from>
                <xdr:col>724</xdr:col>
                <xdr:colOff>438150</xdr:colOff>
                <xdr:row>18</xdr:row>
                <xdr:rowOff>419100</xdr:rowOff>
              </from>
              <to>
                <xdr:col>725</xdr:col>
                <xdr:colOff>123825</xdr:colOff>
                <xdr:row>19</xdr:row>
                <xdr:rowOff>209550</xdr:rowOff>
              </to>
            </anchor>
          </objectPr>
        </oleObject>
      </mc:Choice>
      <mc:Fallback>
        <oleObject progId="Equation.DSMT4" shapeId="1689" r:id="rId244"/>
      </mc:Fallback>
    </mc:AlternateContent>
    <mc:AlternateContent xmlns:mc="http://schemas.openxmlformats.org/markup-compatibility/2006">
      <mc:Choice Requires="x14">
        <oleObject progId="Equation.DSMT4" shapeId="1694" r:id="rId246">
          <objectPr defaultSize="0" autoPict="0" r:id="rId201">
            <anchor moveWithCells="1">
              <from>
                <xdr:col>589</xdr:col>
                <xdr:colOff>581025</xdr:colOff>
                <xdr:row>22</xdr:row>
                <xdr:rowOff>476250</xdr:rowOff>
              </from>
              <to>
                <xdr:col>592</xdr:col>
                <xdr:colOff>276225</xdr:colOff>
                <xdr:row>23</xdr:row>
                <xdr:rowOff>295275</xdr:rowOff>
              </to>
            </anchor>
          </objectPr>
        </oleObject>
      </mc:Choice>
      <mc:Fallback>
        <oleObject progId="Equation.DSMT4" shapeId="1694" r:id="rId246"/>
      </mc:Fallback>
    </mc:AlternateContent>
    <mc:AlternateContent xmlns:mc="http://schemas.openxmlformats.org/markup-compatibility/2006">
      <mc:Choice Requires="x14">
        <oleObject progId="Equation.DSMT4" shapeId="1700" r:id="rId247">
          <objectPr defaultSize="0" autoPict="0" r:id="rId213">
            <anchor moveWithCells="1">
              <from>
                <xdr:col>590</xdr:col>
                <xdr:colOff>257175</xdr:colOff>
                <xdr:row>36</xdr:row>
                <xdr:rowOff>428625</xdr:rowOff>
              </from>
              <to>
                <xdr:col>592</xdr:col>
                <xdr:colOff>285750</xdr:colOff>
                <xdr:row>37</xdr:row>
                <xdr:rowOff>238125</xdr:rowOff>
              </to>
            </anchor>
          </objectPr>
        </oleObject>
      </mc:Choice>
      <mc:Fallback>
        <oleObject progId="Equation.DSMT4" shapeId="1700" r:id="rId247"/>
      </mc:Fallback>
    </mc:AlternateContent>
    <mc:AlternateContent xmlns:mc="http://schemas.openxmlformats.org/markup-compatibility/2006">
      <mc:Choice Requires="x14">
        <oleObject progId="Equation.DSMT4" shapeId="1701" r:id="rId248">
          <objectPr defaultSize="0" autoPict="0" r:id="rId215">
            <anchor moveWithCells="1">
              <from>
                <xdr:col>590</xdr:col>
                <xdr:colOff>0</xdr:colOff>
                <xdr:row>38</xdr:row>
                <xdr:rowOff>419100</xdr:rowOff>
              </from>
              <to>
                <xdr:col>592</xdr:col>
                <xdr:colOff>581025</xdr:colOff>
                <xdr:row>39</xdr:row>
                <xdr:rowOff>209550</xdr:rowOff>
              </to>
            </anchor>
          </objectPr>
        </oleObject>
      </mc:Choice>
      <mc:Fallback>
        <oleObject progId="Equation.DSMT4" shapeId="1701" r:id="rId248"/>
      </mc:Fallback>
    </mc:AlternateContent>
    <mc:AlternateContent xmlns:mc="http://schemas.openxmlformats.org/markup-compatibility/2006">
      <mc:Choice Requires="x14">
        <oleObject progId="Equation.DSMT4" shapeId="1702" r:id="rId249">
          <objectPr defaultSize="0" autoPict="0" r:id="rId217">
            <anchor moveWithCells="1">
              <from>
                <xdr:col>589</xdr:col>
                <xdr:colOff>552450</xdr:colOff>
                <xdr:row>40</xdr:row>
                <xdr:rowOff>323850</xdr:rowOff>
              </from>
              <to>
                <xdr:col>592</xdr:col>
                <xdr:colOff>523875</xdr:colOff>
                <xdr:row>41</xdr:row>
                <xdr:rowOff>114300</xdr:rowOff>
              </to>
            </anchor>
          </objectPr>
        </oleObject>
      </mc:Choice>
      <mc:Fallback>
        <oleObject progId="Equation.DSMT4" shapeId="1702" r:id="rId249"/>
      </mc:Fallback>
    </mc:AlternateContent>
    <mc:AlternateContent xmlns:mc="http://schemas.openxmlformats.org/markup-compatibility/2006">
      <mc:Choice Requires="x14">
        <oleObject progId="Equation.DSMT4" shapeId="1703" r:id="rId250">
          <objectPr defaultSize="0" autoPict="0" r:id="rId219">
            <anchor moveWithCells="1">
              <from>
                <xdr:col>589</xdr:col>
                <xdr:colOff>504825</xdr:colOff>
                <xdr:row>42</xdr:row>
                <xdr:rowOff>438150</xdr:rowOff>
              </from>
              <to>
                <xdr:col>592</xdr:col>
                <xdr:colOff>504825</xdr:colOff>
                <xdr:row>43</xdr:row>
                <xdr:rowOff>228600</xdr:rowOff>
              </to>
            </anchor>
          </objectPr>
        </oleObject>
      </mc:Choice>
      <mc:Fallback>
        <oleObject progId="Equation.DSMT4" shapeId="1703" r:id="rId250"/>
      </mc:Fallback>
    </mc:AlternateContent>
    <mc:AlternateContent xmlns:mc="http://schemas.openxmlformats.org/markup-compatibility/2006">
      <mc:Choice Requires="x14">
        <oleObject progId="Equation.DSMT4" shapeId="1741" r:id="rId251">
          <objectPr defaultSize="0" autoPict="0" r:id="rId252">
            <anchor moveWithCells="1">
              <from>
                <xdr:col>149</xdr:col>
                <xdr:colOff>161925</xdr:colOff>
                <xdr:row>75</xdr:row>
                <xdr:rowOff>323850</xdr:rowOff>
              </from>
              <to>
                <xdr:col>153</xdr:col>
                <xdr:colOff>57150</xdr:colOff>
                <xdr:row>76</xdr:row>
                <xdr:rowOff>209550</xdr:rowOff>
              </to>
            </anchor>
          </objectPr>
        </oleObject>
      </mc:Choice>
      <mc:Fallback>
        <oleObject progId="Equation.DSMT4" shapeId="1741" r:id="rId251"/>
      </mc:Fallback>
    </mc:AlternateContent>
    <mc:AlternateContent xmlns:mc="http://schemas.openxmlformats.org/markup-compatibility/2006">
      <mc:Choice Requires="x14">
        <oleObject progId="Equation.DSMT4" shapeId="1743" r:id="rId253">
          <objectPr defaultSize="0" autoPict="0" r:id="rId254">
            <anchor moveWithCells="1">
              <from>
                <xdr:col>152</xdr:col>
                <xdr:colOff>266700</xdr:colOff>
                <xdr:row>79</xdr:row>
                <xdr:rowOff>361950</xdr:rowOff>
              </from>
              <to>
                <xdr:col>157</xdr:col>
                <xdr:colOff>123825</xdr:colOff>
                <xdr:row>80</xdr:row>
                <xdr:rowOff>219075</xdr:rowOff>
              </to>
            </anchor>
          </objectPr>
        </oleObject>
      </mc:Choice>
      <mc:Fallback>
        <oleObject progId="Equation.DSMT4" shapeId="1743" r:id="rId253"/>
      </mc:Fallback>
    </mc:AlternateContent>
    <mc:AlternateContent xmlns:mc="http://schemas.openxmlformats.org/markup-compatibility/2006">
      <mc:Choice Requires="x14">
        <oleObject progId="Equation.DSMT4" shapeId="1750" r:id="rId255">
          <objectPr defaultSize="0" autoPict="0" r:id="rId256">
            <anchor moveWithCells="1">
              <from>
                <xdr:col>202</xdr:col>
                <xdr:colOff>361950</xdr:colOff>
                <xdr:row>126</xdr:row>
                <xdr:rowOff>104775</xdr:rowOff>
              </from>
              <to>
                <xdr:col>204</xdr:col>
                <xdr:colOff>304800</xdr:colOff>
                <xdr:row>127</xdr:row>
                <xdr:rowOff>352425</xdr:rowOff>
              </to>
            </anchor>
          </objectPr>
        </oleObject>
      </mc:Choice>
      <mc:Fallback>
        <oleObject progId="Equation.DSMT4" shapeId="1750" r:id="rId255"/>
      </mc:Fallback>
    </mc:AlternateContent>
    <mc:AlternateContent xmlns:mc="http://schemas.openxmlformats.org/markup-compatibility/2006">
      <mc:Choice Requires="x14">
        <oleObject progId="Equation.DSMT4" shapeId="1752" r:id="rId257">
          <objectPr defaultSize="0" autoPict="0" r:id="rId258">
            <anchor moveWithCells="1">
              <from>
                <xdr:col>305</xdr:col>
                <xdr:colOff>209550</xdr:colOff>
                <xdr:row>75</xdr:row>
                <xdr:rowOff>257175</xdr:rowOff>
              </from>
              <to>
                <xdr:col>310</xdr:col>
                <xdr:colOff>0</xdr:colOff>
                <xdr:row>77</xdr:row>
                <xdr:rowOff>342900</xdr:rowOff>
              </to>
            </anchor>
          </objectPr>
        </oleObject>
      </mc:Choice>
      <mc:Fallback>
        <oleObject progId="Equation.DSMT4" shapeId="1752" r:id="rId257"/>
      </mc:Fallback>
    </mc:AlternateContent>
    <mc:AlternateContent xmlns:mc="http://schemas.openxmlformats.org/markup-compatibility/2006">
      <mc:Choice Requires="x14">
        <oleObject progId="Equation.DSMT4" shapeId="1897" r:id="rId259">
          <objectPr defaultSize="0" autoPict="0" r:id="rId260">
            <anchor moveWithCells="1">
              <from>
                <xdr:col>270</xdr:col>
                <xdr:colOff>485775</xdr:colOff>
                <xdr:row>31</xdr:row>
                <xdr:rowOff>95250</xdr:rowOff>
              </from>
              <to>
                <xdr:col>273</xdr:col>
                <xdr:colOff>552450</xdr:colOff>
                <xdr:row>32</xdr:row>
                <xdr:rowOff>438150</xdr:rowOff>
              </to>
            </anchor>
          </objectPr>
        </oleObject>
      </mc:Choice>
      <mc:Fallback>
        <oleObject progId="Equation.DSMT4" shapeId="1897" r:id="rId259"/>
      </mc:Fallback>
    </mc:AlternateContent>
    <mc:AlternateContent xmlns:mc="http://schemas.openxmlformats.org/markup-compatibility/2006">
      <mc:Choice Requires="x14">
        <oleObject progId="Equation.DSMT4" shapeId="1898" r:id="rId261">
          <objectPr defaultSize="0" autoPict="0" r:id="rId262">
            <anchor moveWithCells="1">
              <from>
                <xdr:col>271</xdr:col>
                <xdr:colOff>209550</xdr:colOff>
                <xdr:row>22</xdr:row>
                <xdr:rowOff>333375</xdr:rowOff>
              </from>
              <to>
                <xdr:col>276</xdr:col>
                <xdr:colOff>95250</xdr:colOff>
                <xdr:row>24</xdr:row>
                <xdr:rowOff>247650</xdr:rowOff>
              </to>
            </anchor>
          </objectPr>
        </oleObject>
      </mc:Choice>
      <mc:Fallback>
        <oleObject progId="Equation.DSMT4" shapeId="1898" r:id="rId261"/>
      </mc:Fallback>
    </mc:AlternateContent>
    <mc:AlternateContent xmlns:mc="http://schemas.openxmlformats.org/markup-compatibility/2006">
      <mc:Choice Requires="x14">
        <oleObject progId="Equation.DSMT4" shapeId="1899" r:id="rId263">
          <objectPr defaultSize="0" autoPict="0" r:id="rId264">
            <anchor moveWithCells="1">
              <from>
                <xdr:col>305</xdr:col>
                <xdr:colOff>381000</xdr:colOff>
                <xdr:row>52</xdr:row>
                <xdr:rowOff>342900</xdr:rowOff>
              </from>
              <to>
                <xdr:col>309</xdr:col>
                <xdr:colOff>514350</xdr:colOff>
                <xdr:row>54</xdr:row>
                <xdr:rowOff>57150</xdr:rowOff>
              </to>
            </anchor>
          </objectPr>
        </oleObject>
      </mc:Choice>
      <mc:Fallback>
        <oleObject progId="Equation.DSMT4" shapeId="1899" r:id="rId263"/>
      </mc:Fallback>
    </mc:AlternateContent>
    <mc:AlternateContent xmlns:mc="http://schemas.openxmlformats.org/markup-compatibility/2006">
      <mc:Choice Requires="x14">
        <oleObject progId="Equation.DSMT4" shapeId="1911" r:id="rId265">
          <objectPr defaultSize="0" autoPict="0" r:id="rId266">
            <anchor moveWithCells="1">
              <from>
                <xdr:col>305</xdr:col>
                <xdr:colOff>238125</xdr:colOff>
                <xdr:row>15</xdr:row>
                <xdr:rowOff>247650</xdr:rowOff>
              </from>
              <to>
                <xdr:col>308</xdr:col>
                <xdr:colOff>190500</xdr:colOff>
                <xdr:row>16</xdr:row>
                <xdr:rowOff>314325</xdr:rowOff>
              </to>
            </anchor>
          </objectPr>
        </oleObject>
      </mc:Choice>
      <mc:Fallback>
        <oleObject progId="Equation.DSMT4" shapeId="1911" r:id="rId265"/>
      </mc:Fallback>
    </mc:AlternateContent>
    <mc:AlternateContent xmlns:mc="http://schemas.openxmlformats.org/markup-compatibility/2006">
      <mc:Choice Requires="x14">
        <oleObject progId="Equation.DSMT4" shapeId="1917" r:id="rId267">
          <objectPr defaultSize="0" autoPict="0" r:id="rId268">
            <anchor moveWithCells="1">
              <from>
                <xdr:col>273</xdr:col>
                <xdr:colOff>304800</xdr:colOff>
                <xdr:row>27</xdr:row>
                <xdr:rowOff>123825</xdr:rowOff>
              </from>
              <to>
                <xdr:col>277</xdr:col>
                <xdr:colOff>47625</xdr:colOff>
                <xdr:row>28</xdr:row>
                <xdr:rowOff>400050</xdr:rowOff>
              </to>
            </anchor>
          </objectPr>
        </oleObject>
      </mc:Choice>
      <mc:Fallback>
        <oleObject progId="Equation.DSMT4" shapeId="1917" r:id="rId267"/>
      </mc:Fallback>
    </mc:AlternateContent>
    <mc:AlternateContent xmlns:mc="http://schemas.openxmlformats.org/markup-compatibility/2006">
      <mc:Choice Requires="x14">
        <oleObject progId="Equation.DSMT4" shapeId="1919" r:id="rId269">
          <objectPr defaultSize="0" autoPict="0" r:id="rId270">
            <anchor moveWithCells="1">
              <from>
                <xdr:col>152</xdr:col>
                <xdr:colOff>171450</xdr:colOff>
                <xdr:row>66</xdr:row>
                <xdr:rowOff>209550</xdr:rowOff>
              </from>
              <to>
                <xdr:col>156</xdr:col>
                <xdr:colOff>438150</xdr:colOff>
                <xdr:row>67</xdr:row>
                <xdr:rowOff>390525</xdr:rowOff>
              </to>
            </anchor>
          </objectPr>
        </oleObject>
      </mc:Choice>
      <mc:Fallback>
        <oleObject progId="Equation.DSMT4" shapeId="1919" r:id="rId269"/>
      </mc:Fallback>
    </mc:AlternateContent>
    <mc:AlternateContent xmlns:mc="http://schemas.openxmlformats.org/markup-compatibility/2006">
      <mc:Choice Requires="x14">
        <oleObject progId="Equation.DSMT4" shapeId="1935" r:id="rId271">
          <objectPr defaultSize="0" autoPict="0" r:id="rId272">
            <anchor moveWithCells="1">
              <from>
                <xdr:col>209</xdr:col>
                <xdr:colOff>276225</xdr:colOff>
                <xdr:row>39</xdr:row>
                <xdr:rowOff>142875</xdr:rowOff>
              </from>
              <to>
                <xdr:col>212</xdr:col>
                <xdr:colOff>152400</xdr:colOff>
                <xdr:row>40</xdr:row>
                <xdr:rowOff>314325</xdr:rowOff>
              </to>
            </anchor>
          </objectPr>
        </oleObject>
      </mc:Choice>
      <mc:Fallback>
        <oleObject progId="Equation.DSMT4" shapeId="1935" r:id="rId271"/>
      </mc:Fallback>
    </mc:AlternateContent>
    <mc:AlternateContent xmlns:mc="http://schemas.openxmlformats.org/markup-compatibility/2006">
      <mc:Choice Requires="x14">
        <oleObject progId="Equation.DSMT4" shapeId="1937" r:id="rId273">
          <objectPr defaultSize="0" autoPict="0" r:id="rId274">
            <anchor moveWithCells="1">
              <from>
                <xdr:col>206</xdr:col>
                <xdr:colOff>314325</xdr:colOff>
                <xdr:row>35</xdr:row>
                <xdr:rowOff>228600</xdr:rowOff>
              </from>
              <to>
                <xdr:col>210</xdr:col>
                <xdr:colOff>0</xdr:colOff>
                <xdr:row>36</xdr:row>
                <xdr:rowOff>161925</xdr:rowOff>
              </to>
            </anchor>
          </objectPr>
        </oleObject>
      </mc:Choice>
      <mc:Fallback>
        <oleObject progId="Equation.DSMT4" shapeId="1937" r:id="rId273"/>
      </mc:Fallback>
    </mc:AlternateContent>
    <mc:AlternateContent xmlns:mc="http://schemas.openxmlformats.org/markup-compatibility/2006">
      <mc:Choice Requires="x14">
        <oleObject progId="Equation.DSMT4" shapeId="1953" r:id="rId275">
          <objectPr defaultSize="0" autoPict="0" r:id="rId276">
            <anchor moveWithCells="1">
              <from>
                <xdr:col>305</xdr:col>
                <xdr:colOff>142875</xdr:colOff>
                <xdr:row>48</xdr:row>
                <xdr:rowOff>209550</xdr:rowOff>
              </from>
              <to>
                <xdr:col>310</xdr:col>
                <xdr:colOff>571500</xdr:colOff>
                <xdr:row>49</xdr:row>
                <xdr:rowOff>180975</xdr:rowOff>
              </to>
            </anchor>
          </objectPr>
        </oleObject>
      </mc:Choice>
      <mc:Fallback>
        <oleObject progId="Equation.DSMT4" shapeId="1953" r:id="rId275"/>
      </mc:Fallback>
    </mc:AlternateContent>
    <mc:AlternateContent xmlns:mc="http://schemas.openxmlformats.org/markup-compatibility/2006">
      <mc:Choice Requires="x14">
        <oleObject progId="Equation.DSMT4" shapeId="1959" r:id="rId277">
          <objectPr defaultSize="0" autoPict="0" r:id="rId278">
            <anchor moveWithCells="1">
              <from>
                <xdr:col>209</xdr:col>
                <xdr:colOff>323850</xdr:colOff>
                <xdr:row>68</xdr:row>
                <xdr:rowOff>152400</xdr:rowOff>
              </from>
              <to>
                <xdr:col>213</xdr:col>
                <xdr:colOff>533400</xdr:colOff>
                <xdr:row>69</xdr:row>
                <xdr:rowOff>457200</xdr:rowOff>
              </to>
            </anchor>
          </objectPr>
        </oleObject>
      </mc:Choice>
      <mc:Fallback>
        <oleObject progId="Equation.DSMT4" shapeId="1959" r:id="rId277"/>
      </mc:Fallback>
    </mc:AlternateContent>
    <mc:AlternateContent xmlns:mc="http://schemas.openxmlformats.org/markup-compatibility/2006">
      <mc:Choice Requires="x14">
        <oleObject progId="Equation.DSMT4" shapeId="1965" r:id="rId279">
          <objectPr defaultSize="0" autoPict="0" r:id="rId280">
            <anchor moveWithCells="1">
              <from>
                <xdr:col>207</xdr:col>
                <xdr:colOff>285750</xdr:colOff>
                <xdr:row>77</xdr:row>
                <xdr:rowOff>238125</xdr:rowOff>
              </from>
              <to>
                <xdr:col>213</xdr:col>
                <xdr:colOff>514350</xdr:colOff>
                <xdr:row>80</xdr:row>
                <xdr:rowOff>190500</xdr:rowOff>
              </to>
            </anchor>
          </objectPr>
        </oleObject>
      </mc:Choice>
      <mc:Fallback>
        <oleObject progId="Equation.DSMT4" shapeId="1965" r:id="rId279"/>
      </mc:Fallback>
    </mc:AlternateContent>
    <mc:AlternateContent xmlns:mc="http://schemas.openxmlformats.org/markup-compatibility/2006">
      <mc:Choice Requires="x14">
        <oleObject progId="Equation.DSMT4" shapeId="1968" r:id="rId281">
          <objectPr defaultSize="0" autoPict="0" r:id="rId282">
            <anchor moveWithCells="1">
              <from>
                <xdr:col>149</xdr:col>
                <xdr:colOff>219075</xdr:colOff>
                <xdr:row>48</xdr:row>
                <xdr:rowOff>285750</xdr:rowOff>
              </from>
              <to>
                <xdr:col>155</xdr:col>
                <xdr:colOff>381000</xdr:colOff>
                <xdr:row>50</xdr:row>
                <xdr:rowOff>209550</xdr:rowOff>
              </to>
            </anchor>
          </objectPr>
        </oleObject>
      </mc:Choice>
      <mc:Fallback>
        <oleObject progId="Equation.DSMT4" shapeId="1968" r:id="rId281"/>
      </mc:Fallback>
    </mc:AlternateContent>
    <mc:AlternateContent xmlns:mc="http://schemas.openxmlformats.org/markup-compatibility/2006">
      <mc:Choice Requires="x14">
        <oleObject progId="Equation.DSMT4" shapeId="1978" r:id="rId283">
          <objectPr defaultSize="0" autoPict="0" r:id="rId284">
            <anchor moveWithCells="1">
              <from>
                <xdr:col>149</xdr:col>
                <xdr:colOff>285750</xdr:colOff>
                <xdr:row>83</xdr:row>
                <xdr:rowOff>257175</xdr:rowOff>
              </from>
              <to>
                <xdr:col>155</xdr:col>
                <xdr:colOff>28575</xdr:colOff>
                <xdr:row>84</xdr:row>
                <xdr:rowOff>190500</xdr:rowOff>
              </to>
            </anchor>
          </objectPr>
        </oleObject>
      </mc:Choice>
      <mc:Fallback>
        <oleObject progId="Equation.DSMT4" shapeId="1978" r:id="rId283"/>
      </mc:Fallback>
    </mc:AlternateContent>
    <mc:AlternateContent xmlns:mc="http://schemas.openxmlformats.org/markup-compatibility/2006">
      <mc:Choice Requires="x14">
        <oleObject progId="Equation.DSMT4" shapeId="1980" r:id="rId285">
          <objectPr defaultSize="0" autoPict="0" r:id="rId286">
            <anchor moveWithCells="1">
              <from>
                <xdr:col>151</xdr:col>
                <xdr:colOff>219075</xdr:colOff>
                <xdr:row>87</xdr:row>
                <xdr:rowOff>190500</xdr:rowOff>
              </from>
              <to>
                <xdr:col>159</xdr:col>
                <xdr:colOff>495300</xdr:colOff>
                <xdr:row>88</xdr:row>
                <xdr:rowOff>438150</xdr:rowOff>
              </to>
            </anchor>
          </objectPr>
        </oleObject>
      </mc:Choice>
      <mc:Fallback>
        <oleObject progId="Equation.DSMT4" shapeId="1980" r:id="rId285"/>
      </mc:Fallback>
    </mc:AlternateContent>
    <mc:AlternateContent xmlns:mc="http://schemas.openxmlformats.org/markup-compatibility/2006">
      <mc:Choice Requires="x14">
        <oleObject progId="Equation.DSMT4" shapeId="1982" r:id="rId287">
          <objectPr defaultSize="0" autoPict="0" r:id="rId288">
            <anchor moveWithCells="1">
              <from>
                <xdr:col>202</xdr:col>
                <xdr:colOff>247650</xdr:colOff>
                <xdr:row>130</xdr:row>
                <xdr:rowOff>342900</xdr:rowOff>
              </from>
              <to>
                <xdr:col>206</xdr:col>
                <xdr:colOff>0</xdr:colOff>
                <xdr:row>131</xdr:row>
                <xdr:rowOff>171450</xdr:rowOff>
              </to>
            </anchor>
          </objectPr>
        </oleObject>
      </mc:Choice>
      <mc:Fallback>
        <oleObject progId="Equation.DSMT4" shapeId="1982" r:id="rId287"/>
      </mc:Fallback>
    </mc:AlternateContent>
    <mc:AlternateContent xmlns:mc="http://schemas.openxmlformats.org/markup-compatibility/2006">
      <mc:Choice Requires="x14">
        <oleObject progId="Equation.DSMT4" shapeId="1984" r:id="rId289">
          <objectPr defaultSize="0" autoPict="0" r:id="rId290">
            <anchor moveWithCells="1">
              <from>
                <xdr:col>212</xdr:col>
                <xdr:colOff>342900</xdr:colOff>
                <xdr:row>88</xdr:row>
                <xdr:rowOff>361950</xdr:rowOff>
              </from>
              <to>
                <xdr:col>223</xdr:col>
                <xdr:colOff>28575</xdr:colOff>
                <xdr:row>90</xdr:row>
                <xdr:rowOff>133350</xdr:rowOff>
              </to>
            </anchor>
          </objectPr>
        </oleObject>
      </mc:Choice>
      <mc:Fallback>
        <oleObject progId="Equation.DSMT4" shapeId="1984" r:id="rId289"/>
      </mc:Fallback>
    </mc:AlternateContent>
    <mc:AlternateContent xmlns:mc="http://schemas.openxmlformats.org/markup-compatibility/2006">
      <mc:Choice Requires="x14">
        <oleObject progId="Equation.DSMT4" shapeId="1985" r:id="rId291">
          <objectPr defaultSize="0" autoPict="0" r:id="rId292">
            <anchor moveWithCells="1">
              <from>
                <xdr:col>210</xdr:col>
                <xdr:colOff>342900</xdr:colOff>
                <xdr:row>97</xdr:row>
                <xdr:rowOff>447675</xdr:rowOff>
              </from>
              <to>
                <xdr:col>220</xdr:col>
                <xdr:colOff>600075</xdr:colOff>
                <xdr:row>99</xdr:row>
                <xdr:rowOff>114300</xdr:rowOff>
              </to>
            </anchor>
          </objectPr>
        </oleObject>
      </mc:Choice>
      <mc:Fallback>
        <oleObject progId="Equation.DSMT4" shapeId="1985" r:id="rId291"/>
      </mc:Fallback>
    </mc:AlternateContent>
    <mc:AlternateContent xmlns:mc="http://schemas.openxmlformats.org/markup-compatibility/2006">
      <mc:Choice Requires="x14">
        <oleObject progId="Equation.DSMT4" shapeId="1988" r:id="rId293">
          <objectPr defaultSize="0" autoPict="0" r:id="rId294">
            <anchor moveWithCells="1">
              <from>
                <xdr:col>210</xdr:col>
                <xdr:colOff>257175</xdr:colOff>
                <xdr:row>72</xdr:row>
                <xdr:rowOff>352425</xdr:rowOff>
              </from>
              <to>
                <xdr:col>221</xdr:col>
                <xdr:colOff>152400</xdr:colOff>
                <xdr:row>74</xdr:row>
                <xdr:rowOff>180975</xdr:rowOff>
              </to>
            </anchor>
          </objectPr>
        </oleObject>
      </mc:Choice>
      <mc:Fallback>
        <oleObject progId="Equation.DSMT4" shapeId="1988" r:id="rId293"/>
      </mc:Fallback>
    </mc:AlternateContent>
    <mc:AlternateContent xmlns:mc="http://schemas.openxmlformats.org/markup-compatibility/2006">
      <mc:Choice Requires="x14">
        <oleObject progId="Equation.DSMT4" shapeId="1996" r:id="rId295">
          <objectPr defaultSize="0" autoPict="0" r:id="rId296">
            <anchor moveWithCells="1">
              <from>
                <xdr:col>202</xdr:col>
                <xdr:colOff>200025</xdr:colOff>
                <xdr:row>122</xdr:row>
                <xdr:rowOff>238125</xdr:rowOff>
              </from>
              <to>
                <xdr:col>206</xdr:col>
                <xdr:colOff>47625</xdr:colOff>
                <xdr:row>123</xdr:row>
                <xdr:rowOff>180975</xdr:rowOff>
              </to>
            </anchor>
          </objectPr>
        </oleObject>
      </mc:Choice>
      <mc:Fallback>
        <oleObject progId="Equation.DSMT4" shapeId="1996" r:id="rId295"/>
      </mc:Fallback>
    </mc:AlternateContent>
    <mc:AlternateContent xmlns:mc="http://schemas.openxmlformats.org/markup-compatibility/2006">
      <mc:Choice Requires="x14">
        <oleObject progId="Equation.DSMT4" shapeId="2000" r:id="rId297">
          <objectPr defaultSize="0" autoPict="0" r:id="rId298">
            <anchor moveWithCells="1">
              <from>
                <xdr:col>151</xdr:col>
                <xdr:colOff>209550</xdr:colOff>
                <xdr:row>27</xdr:row>
                <xdr:rowOff>228600</xdr:rowOff>
              </from>
              <to>
                <xdr:col>156</xdr:col>
                <xdr:colOff>38100</xdr:colOff>
                <xdr:row>29</xdr:row>
                <xdr:rowOff>19050</xdr:rowOff>
              </to>
            </anchor>
          </objectPr>
        </oleObject>
      </mc:Choice>
      <mc:Fallback>
        <oleObject progId="Equation.DSMT4" shapeId="2000" r:id="rId297"/>
      </mc:Fallback>
    </mc:AlternateContent>
    <mc:AlternateContent xmlns:mc="http://schemas.openxmlformats.org/markup-compatibility/2006">
      <mc:Choice Requires="x14">
        <oleObject progId="Equation.DSMT4" shapeId="2001" r:id="rId299">
          <objectPr defaultSize="0" autoPict="0" r:id="rId300">
            <anchor moveWithCells="1">
              <from>
                <xdr:col>207</xdr:col>
                <xdr:colOff>285750</xdr:colOff>
                <xdr:row>83</xdr:row>
                <xdr:rowOff>352425</xdr:rowOff>
              </from>
              <to>
                <xdr:col>214</xdr:col>
                <xdr:colOff>114300</xdr:colOff>
                <xdr:row>85</xdr:row>
                <xdr:rowOff>152400</xdr:rowOff>
              </to>
            </anchor>
          </objectPr>
        </oleObject>
      </mc:Choice>
      <mc:Fallback>
        <oleObject progId="Equation.DSMT4" shapeId="2001" r:id="rId299"/>
      </mc:Fallback>
    </mc:AlternateContent>
    <mc:AlternateContent xmlns:mc="http://schemas.openxmlformats.org/markup-compatibility/2006">
      <mc:Choice Requires="x14">
        <oleObject progId="Equation.DSMT4" shapeId="2009" r:id="rId301">
          <objectPr defaultSize="0" autoPict="0" r:id="rId302">
            <anchor moveWithCells="1">
              <from>
                <xdr:col>302</xdr:col>
                <xdr:colOff>295275</xdr:colOff>
                <xdr:row>33</xdr:row>
                <xdr:rowOff>419100</xdr:rowOff>
              </from>
              <to>
                <xdr:col>306</xdr:col>
                <xdr:colOff>95250</xdr:colOff>
                <xdr:row>35</xdr:row>
                <xdr:rowOff>142875</xdr:rowOff>
              </to>
            </anchor>
          </objectPr>
        </oleObject>
      </mc:Choice>
      <mc:Fallback>
        <oleObject progId="Equation.DSMT4" shapeId="2009" r:id="rId301"/>
      </mc:Fallback>
    </mc:AlternateContent>
    <mc:AlternateContent xmlns:mc="http://schemas.openxmlformats.org/markup-compatibility/2006">
      <mc:Choice Requires="x14">
        <oleObject progId="Equation.DSMT4" shapeId="2017" r:id="rId303">
          <objectPr defaultSize="0" autoPict="0" r:id="rId304">
            <anchor moveWithCells="1">
              <from>
                <xdr:col>202</xdr:col>
                <xdr:colOff>419100</xdr:colOff>
                <xdr:row>27</xdr:row>
                <xdr:rowOff>238125</xdr:rowOff>
              </from>
              <to>
                <xdr:col>206</xdr:col>
                <xdr:colOff>0</xdr:colOff>
                <xdr:row>28</xdr:row>
                <xdr:rowOff>247650</xdr:rowOff>
              </to>
            </anchor>
          </objectPr>
        </oleObject>
      </mc:Choice>
      <mc:Fallback>
        <oleObject progId="Equation.DSMT4" shapeId="2017" r:id="rId303"/>
      </mc:Fallback>
    </mc:AlternateContent>
    <mc:AlternateContent xmlns:mc="http://schemas.openxmlformats.org/markup-compatibility/2006">
      <mc:Choice Requires="x14">
        <oleObject progId="Equation.DSMT4" shapeId="2019" r:id="rId305">
          <objectPr defaultSize="0" autoPict="0" r:id="rId306">
            <anchor moveWithCells="1">
              <from>
                <xdr:col>270</xdr:col>
                <xdr:colOff>333375</xdr:colOff>
                <xdr:row>66</xdr:row>
                <xdr:rowOff>381000</xdr:rowOff>
              </from>
              <to>
                <xdr:col>274</xdr:col>
                <xdr:colOff>38100</xdr:colOff>
                <xdr:row>68</xdr:row>
                <xdr:rowOff>133350</xdr:rowOff>
              </to>
            </anchor>
          </objectPr>
        </oleObject>
      </mc:Choice>
      <mc:Fallback>
        <oleObject progId="Equation.DSMT4" shapeId="2019" r:id="rId305"/>
      </mc:Fallback>
    </mc:AlternateContent>
    <mc:AlternateContent xmlns:mc="http://schemas.openxmlformats.org/markup-compatibility/2006">
      <mc:Choice Requires="x14">
        <oleObject progId="Equation.DSMT4" shapeId="2020" r:id="rId307">
          <objectPr defaultSize="0" autoPict="0" r:id="rId308">
            <anchor moveWithCells="1">
              <from>
                <xdr:col>105</xdr:col>
                <xdr:colOff>333375</xdr:colOff>
                <xdr:row>106</xdr:row>
                <xdr:rowOff>95250</xdr:rowOff>
              </from>
              <to>
                <xdr:col>108</xdr:col>
                <xdr:colOff>142875</xdr:colOff>
                <xdr:row>107</xdr:row>
                <xdr:rowOff>428625</xdr:rowOff>
              </to>
            </anchor>
          </objectPr>
        </oleObject>
      </mc:Choice>
      <mc:Fallback>
        <oleObject progId="Equation.DSMT4" shapeId="2020" r:id="rId307"/>
      </mc:Fallback>
    </mc:AlternateContent>
    <mc:AlternateContent xmlns:mc="http://schemas.openxmlformats.org/markup-compatibility/2006">
      <mc:Choice Requires="x14">
        <oleObject progId="Equation.DSMT4" shapeId="13323" r:id="rId309">
          <objectPr defaultSize="0" autoPict="0" r:id="rId310">
            <anchor moveWithCells="1">
              <from>
                <xdr:col>94</xdr:col>
                <xdr:colOff>209550</xdr:colOff>
                <xdr:row>78</xdr:row>
                <xdr:rowOff>333375</xdr:rowOff>
              </from>
              <to>
                <xdr:col>97</xdr:col>
                <xdr:colOff>85725</xdr:colOff>
                <xdr:row>79</xdr:row>
                <xdr:rowOff>209550</xdr:rowOff>
              </to>
            </anchor>
          </objectPr>
        </oleObject>
      </mc:Choice>
      <mc:Fallback>
        <oleObject progId="Equation.DSMT4" shapeId="13323" r:id="rId309"/>
      </mc:Fallback>
    </mc:AlternateContent>
    <mc:AlternateContent xmlns:mc="http://schemas.openxmlformats.org/markup-compatibility/2006">
      <mc:Choice Requires="x14">
        <oleObject progId="Equation.DSMT4" shapeId="13331" r:id="rId311">
          <objectPr defaultSize="0" autoPict="0" r:id="rId312">
            <anchor moveWithCells="1">
              <from>
                <xdr:col>97</xdr:col>
                <xdr:colOff>152400</xdr:colOff>
                <xdr:row>90</xdr:row>
                <xdr:rowOff>171450</xdr:rowOff>
              </from>
              <to>
                <xdr:col>101</xdr:col>
                <xdr:colOff>133350</xdr:colOff>
                <xdr:row>91</xdr:row>
                <xdr:rowOff>409575</xdr:rowOff>
              </to>
            </anchor>
          </objectPr>
        </oleObject>
      </mc:Choice>
      <mc:Fallback>
        <oleObject progId="Equation.DSMT4" shapeId="13331" r:id="rId311"/>
      </mc:Fallback>
    </mc:AlternateContent>
    <mc:AlternateContent xmlns:mc="http://schemas.openxmlformats.org/markup-compatibility/2006">
      <mc:Choice Requires="x14">
        <oleObject progId="Equation.DSMT4" shapeId="13332" r:id="rId313">
          <objectPr defaultSize="0" autoPict="0" r:id="rId314">
            <anchor moveWithCells="1">
              <from>
                <xdr:col>305</xdr:col>
                <xdr:colOff>333375</xdr:colOff>
                <xdr:row>98</xdr:row>
                <xdr:rowOff>123825</xdr:rowOff>
              </from>
              <to>
                <xdr:col>309</xdr:col>
                <xdr:colOff>9525</xdr:colOff>
                <xdr:row>99</xdr:row>
                <xdr:rowOff>333375</xdr:rowOff>
              </to>
            </anchor>
          </objectPr>
        </oleObject>
      </mc:Choice>
      <mc:Fallback>
        <oleObject progId="Equation.DSMT4" shapeId="13332" r:id="rId313"/>
      </mc:Fallback>
    </mc:AlternateContent>
    <mc:AlternateContent xmlns:mc="http://schemas.openxmlformats.org/markup-compatibility/2006">
      <mc:Choice Requires="x14">
        <oleObject progId="Equation.DSMT4" shapeId="13340" r:id="rId315">
          <objectPr defaultSize="0" autoPict="0" r:id="rId316">
            <anchor moveWithCells="1">
              <from>
                <xdr:col>589</xdr:col>
                <xdr:colOff>561975</xdr:colOff>
                <xdr:row>24</xdr:row>
                <xdr:rowOff>381000</xdr:rowOff>
              </from>
              <to>
                <xdr:col>592</xdr:col>
                <xdr:colOff>400050</xdr:colOff>
                <xdr:row>25</xdr:row>
                <xdr:rowOff>219075</xdr:rowOff>
              </to>
            </anchor>
          </objectPr>
        </oleObject>
      </mc:Choice>
      <mc:Fallback>
        <oleObject progId="Equation.DSMT4" shapeId="13340" r:id="rId315"/>
      </mc:Fallback>
    </mc:AlternateContent>
    <mc:AlternateContent xmlns:mc="http://schemas.openxmlformats.org/markup-compatibility/2006">
      <mc:Choice Requires="x14">
        <oleObject progId="Equation.DSMT4" shapeId="13802" r:id="rId317">
          <objectPr defaultSize="0" autoPict="0" r:id="rId318">
            <anchor moveWithCells="1">
              <from>
                <xdr:col>361</xdr:col>
                <xdr:colOff>295275</xdr:colOff>
                <xdr:row>30</xdr:row>
                <xdr:rowOff>333375</xdr:rowOff>
              </from>
              <to>
                <xdr:col>365</xdr:col>
                <xdr:colOff>0</xdr:colOff>
                <xdr:row>31</xdr:row>
                <xdr:rowOff>190500</xdr:rowOff>
              </to>
            </anchor>
          </objectPr>
        </oleObject>
      </mc:Choice>
      <mc:Fallback>
        <oleObject progId="Equation.DSMT4" shapeId="13802" r:id="rId317"/>
      </mc:Fallback>
    </mc:AlternateContent>
    <mc:AlternateContent xmlns:mc="http://schemas.openxmlformats.org/markup-compatibility/2006">
      <mc:Choice Requires="x14">
        <oleObject progId="Equation.DSMT4" shapeId="13803" r:id="rId319">
          <objectPr defaultSize="0" autoPict="0" r:id="rId320">
            <anchor moveWithCells="1">
              <from>
                <xdr:col>361</xdr:col>
                <xdr:colOff>228600</xdr:colOff>
                <xdr:row>34</xdr:row>
                <xdr:rowOff>381000</xdr:rowOff>
              </from>
              <to>
                <xdr:col>365</xdr:col>
                <xdr:colOff>38100</xdr:colOff>
                <xdr:row>35</xdr:row>
                <xdr:rowOff>228600</xdr:rowOff>
              </to>
            </anchor>
          </objectPr>
        </oleObject>
      </mc:Choice>
      <mc:Fallback>
        <oleObject progId="Equation.DSMT4" shapeId="13803" r:id="rId319"/>
      </mc:Fallback>
    </mc:AlternateContent>
    <mc:AlternateContent xmlns:mc="http://schemas.openxmlformats.org/markup-compatibility/2006">
      <mc:Choice Requires="x14">
        <oleObject progId="Equation.DSMT4" shapeId="13807" r:id="rId321">
          <objectPr defaultSize="0" autoPict="0" r:id="rId322">
            <anchor moveWithCells="1">
              <from>
                <xdr:col>361</xdr:col>
                <xdr:colOff>190500</xdr:colOff>
                <xdr:row>52</xdr:row>
                <xdr:rowOff>47625</xdr:rowOff>
              </from>
              <to>
                <xdr:col>364</xdr:col>
                <xdr:colOff>66675</xdr:colOff>
                <xdr:row>53</xdr:row>
                <xdr:rowOff>371475</xdr:rowOff>
              </to>
            </anchor>
          </objectPr>
        </oleObject>
      </mc:Choice>
      <mc:Fallback>
        <oleObject progId="Equation.DSMT4" shapeId="13807" r:id="rId321"/>
      </mc:Fallback>
    </mc:AlternateContent>
    <mc:AlternateContent xmlns:mc="http://schemas.openxmlformats.org/markup-compatibility/2006">
      <mc:Choice Requires="x14">
        <oleObject progId="Equation.DSMT4" shapeId="13808" r:id="rId323">
          <objectPr defaultSize="0" autoPict="0" r:id="rId324">
            <anchor moveWithCells="1">
              <from>
                <xdr:col>361</xdr:col>
                <xdr:colOff>219075</xdr:colOff>
                <xdr:row>22</xdr:row>
                <xdr:rowOff>123825</xdr:rowOff>
              </from>
              <to>
                <xdr:col>363</xdr:col>
                <xdr:colOff>228600</xdr:colOff>
                <xdr:row>23</xdr:row>
                <xdr:rowOff>352425</xdr:rowOff>
              </to>
            </anchor>
          </objectPr>
        </oleObject>
      </mc:Choice>
      <mc:Fallback>
        <oleObject progId="Equation.DSMT4" shapeId="13808" r:id="rId323"/>
      </mc:Fallback>
    </mc:AlternateContent>
    <mc:AlternateContent xmlns:mc="http://schemas.openxmlformats.org/markup-compatibility/2006">
      <mc:Choice Requires="x14">
        <oleObject progId="Equation.DSMT4" shapeId="13827" r:id="rId325">
          <objectPr defaultSize="0" autoPict="0" r:id="rId326">
            <anchor moveWithCells="1">
              <from>
                <xdr:col>362</xdr:col>
                <xdr:colOff>123825</xdr:colOff>
                <xdr:row>68</xdr:row>
                <xdr:rowOff>123825</xdr:rowOff>
              </from>
              <to>
                <xdr:col>364</xdr:col>
                <xdr:colOff>238125</xdr:colOff>
                <xdr:row>69</xdr:row>
                <xdr:rowOff>438150</xdr:rowOff>
              </to>
            </anchor>
          </objectPr>
        </oleObject>
      </mc:Choice>
      <mc:Fallback>
        <oleObject progId="Equation.DSMT4" shapeId="13827" r:id="rId325"/>
      </mc:Fallback>
    </mc:AlternateContent>
    <mc:AlternateContent xmlns:mc="http://schemas.openxmlformats.org/markup-compatibility/2006">
      <mc:Choice Requires="x14">
        <oleObject progId="Equation.DSMT4" shapeId="13850" r:id="rId327">
          <objectPr defaultSize="0" autoPict="0" r:id="rId328">
            <anchor moveWithCells="1">
              <from>
                <xdr:col>361</xdr:col>
                <xdr:colOff>200025</xdr:colOff>
                <xdr:row>85</xdr:row>
                <xdr:rowOff>114300</xdr:rowOff>
              </from>
              <to>
                <xdr:col>366</xdr:col>
                <xdr:colOff>47625</xdr:colOff>
                <xdr:row>86</xdr:row>
                <xdr:rowOff>428625</xdr:rowOff>
              </to>
            </anchor>
          </objectPr>
        </oleObject>
      </mc:Choice>
      <mc:Fallback>
        <oleObject progId="Equation.DSMT4" shapeId="13850" r:id="rId327"/>
      </mc:Fallback>
    </mc:AlternateContent>
    <mc:AlternateContent xmlns:mc="http://schemas.openxmlformats.org/markup-compatibility/2006">
      <mc:Choice Requires="x14">
        <oleObject progId="Equation.DSMT4" shapeId="13853" r:id="rId329">
          <objectPr defaultSize="0" autoPict="0" r:id="rId330">
            <anchor moveWithCells="1">
              <from>
                <xdr:col>361</xdr:col>
                <xdr:colOff>295275</xdr:colOff>
                <xdr:row>91</xdr:row>
                <xdr:rowOff>161925</xdr:rowOff>
              </from>
              <to>
                <xdr:col>365</xdr:col>
                <xdr:colOff>0</xdr:colOff>
                <xdr:row>92</xdr:row>
                <xdr:rowOff>400050</xdr:rowOff>
              </to>
            </anchor>
          </objectPr>
        </oleObject>
      </mc:Choice>
      <mc:Fallback>
        <oleObject progId="Equation.DSMT4" shapeId="13853" r:id="rId329"/>
      </mc:Fallback>
    </mc:AlternateContent>
    <mc:AlternateContent xmlns:mc="http://schemas.openxmlformats.org/markup-compatibility/2006">
      <mc:Choice Requires="x14">
        <oleObject progId="Equation.DSMT4" shapeId="13858" r:id="rId331">
          <objectPr defaultSize="0" autoPict="0" r:id="rId332">
            <anchor moveWithCells="1">
              <from>
                <xdr:col>349</xdr:col>
                <xdr:colOff>361950</xdr:colOff>
                <xdr:row>100</xdr:row>
                <xdr:rowOff>104775</xdr:rowOff>
              </from>
              <to>
                <xdr:col>357</xdr:col>
                <xdr:colOff>552450</xdr:colOff>
                <xdr:row>101</xdr:row>
                <xdr:rowOff>400050</xdr:rowOff>
              </to>
            </anchor>
          </objectPr>
        </oleObject>
      </mc:Choice>
      <mc:Fallback>
        <oleObject progId="Equation.DSMT4" shapeId="13858" r:id="rId331"/>
      </mc:Fallback>
    </mc:AlternateContent>
    <mc:AlternateContent xmlns:mc="http://schemas.openxmlformats.org/markup-compatibility/2006">
      <mc:Choice Requires="x14">
        <oleObject progId="Equation.DSMT4" shapeId="13890" r:id="rId333">
          <objectPr defaultSize="0" autoPict="0" r:id="rId334">
            <anchor moveWithCells="1">
              <from>
                <xdr:col>403</xdr:col>
                <xdr:colOff>209550</xdr:colOff>
                <xdr:row>122</xdr:row>
                <xdr:rowOff>304800</xdr:rowOff>
              </from>
              <to>
                <xdr:col>408</xdr:col>
                <xdr:colOff>85725</xdr:colOff>
                <xdr:row>123</xdr:row>
                <xdr:rowOff>285750</xdr:rowOff>
              </to>
            </anchor>
          </objectPr>
        </oleObject>
      </mc:Choice>
      <mc:Fallback>
        <oleObject progId="Equation.DSMT4" shapeId="13890" r:id="rId333"/>
      </mc:Fallback>
    </mc:AlternateContent>
    <mc:AlternateContent xmlns:mc="http://schemas.openxmlformats.org/markup-compatibility/2006">
      <mc:Choice Requires="x14">
        <oleObject progId="Equation.DSMT4" shapeId="13898" r:id="rId335">
          <objectPr defaultSize="0" autoPict="0" r:id="rId336">
            <anchor moveWithCells="1">
              <from>
                <xdr:col>361</xdr:col>
                <xdr:colOff>190500</xdr:colOff>
                <xdr:row>42</xdr:row>
                <xdr:rowOff>142875</xdr:rowOff>
              </from>
              <to>
                <xdr:col>366</xdr:col>
                <xdr:colOff>0</xdr:colOff>
                <xdr:row>43</xdr:row>
                <xdr:rowOff>419100</xdr:rowOff>
              </to>
            </anchor>
          </objectPr>
        </oleObject>
      </mc:Choice>
      <mc:Fallback>
        <oleObject progId="Equation.DSMT4" shapeId="13898" r:id="rId335"/>
      </mc:Fallback>
    </mc:AlternateContent>
    <mc:AlternateContent xmlns:mc="http://schemas.openxmlformats.org/markup-compatibility/2006">
      <mc:Choice Requires="x14">
        <oleObject progId="Equation.DSMT4" shapeId="13899" r:id="rId337">
          <objectPr defaultSize="0" autoPict="0" r:id="rId338">
            <anchor moveWithCells="1">
              <from>
                <xdr:col>366</xdr:col>
                <xdr:colOff>161925</xdr:colOff>
                <xdr:row>122</xdr:row>
                <xdr:rowOff>238125</xdr:rowOff>
              </from>
              <to>
                <xdr:col>371</xdr:col>
                <xdr:colOff>561975</xdr:colOff>
                <xdr:row>123</xdr:row>
                <xdr:rowOff>190500</xdr:rowOff>
              </to>
            </anchor>
          </objectPr>
        </oleObject>
      </mc:Choice>
      <mc:Fallback>
        <oleObject progId="Equation.DSMT4" shapeId="13899" r:id="rId337"/>
      </mc:Fallback>
    </mc:AlternateContent>
    <mc:AlternateContent xmlns:mc="http://schemas.openxmlformats.org/markup-compatibility/2006">
      <mc:Choice Requires="x14">
        <oleObject progId="Equation.DSMT4" shapeId="13901" r:id="rId339">
          <objectPr defaultSize="0" autoPict="0" r:id="rId340">
            <anchor moveWithCells="1">
              <from>
                <xdr:col>377</xdr:col>
                <xdr:colOff>0</xdr:colOff>
                <xdr:row>128</xdr:row>
                <xdr:rowOff>295275</xdr:rowOff>
              </from>
              <to>
                <xdr:col>381</xdr:col>
                <xdr:colOff>561975</xdr:colOff>
                <xdr:row>129</xdr:row>
                <xdr:rowOff>142875</xdr:rowOff>
              </to>
            </anchor>
          </objectPr>
        </oleObject>
      </mc:Choice>
      <mc:Fallback>
        <oleObject progId="Equation.DSMT4" shapeId="13901" r:id="rId339"/>
      </mc:Fallback>
    </mc:AlternateContent>
    <mc:AlternateContent xmlns:mc="http://schemas.openxmlformats.org/markup-compatibility/2006">
      <mc:Choice Requires="x14">
        <oleObject progId="Equation.DSMT4" shapeId="13903" r:id="rId341">
          <objectPr defaultSize="0" autoPict="0" r:id="rId342">
            <anchor moveWithCells="1">
              <from>
                <xdr:col>362</xdr:col>
                <xdr:colOff>285750</xdr:colOff>
                <xdr:row>136</xdr:row>
                <xdr:rowOff>285750</xdr:rowOff>
              </from>
              <to>
                <xdr:col>371</xdr:col>
                <xdr:colOff>295275</xdr:colOff>
                <xdr:row>138</xdr:row>
                <xdr:rowOff>257175</xdr:rowOff>
              </to>
            </anchor>
          </objectPr>
        </oleObject>
      </mc:Choice>
      <mc:Fallback>
        <oleObject progId="Equation.DSMT4" shapeId="13903" r:id="rId341"/>
      </mc:Fallback>
    </mc:AlternateContent>
    <mc:AlternateContent xmlns:mc="http://schemas.openxmlformats.org/markup-compatibility/2006">
      <mc:Choice Requires="x14">
        <oleObject progId="Equation.DSMT4" shapeId="13913" r:id="rId343">
          <objectPr defaultSize="0" autoPict="0" r:id="rId344">
            <anchor moveWithCells="1">
              <from>
                <xdr:col>355</xdr:col>
                <xdr:colOff>295275</xdr:colOff>
                <xdr:row>228</xdr:row>
                <xdr:rowOff>352425</xdr:rowOff>
              </from>
              <to>
                <xdr:col>363</xdr:col>
                <xdr:colOff>466725</xdr:colOff>
                <xdr:row>230</xdr:row>
                <xdr:rowOff>342900</xdr:rowOff>
              </to>
            </anchor>
          </objectPr>
        </oleObject>
      </mc:Choice>
      <mc:Fallback>
        <oleObject progId="Equation.DSMT4" shapeId="13913" r:id="rId343"/>
      </mc:Fallback>
    </mc:AlternateContent>
    <mc:AlternateContent xmlns:mc="http://schemas.openxmlformats.org/markup-compatibility/2006">
      <mc:Choice Requires="x14">
        <oleObject progId="Equation.DSMT4" shapeId="13917" r:id="rId345">
          <objectPr defaultSize="0" autoPict="0" r:id="rId346">
            <anchor moveWithCells="1">
              <from>
                <xdr:col>359</xdr:col>
                <xdr:colOff>333375</xdr:colOff>
                <xdr:row>215</xdr:row>
                <xdr:rowOff>352425</xdr:rowOff>
              </from>
              <to>
                <xdr:col>364</xdr:col>
                <xdr:colOff>571500</xdr:colOff>
                <xdr:row>217</xdr:row>
                <xdr:rowOff>180975</xdr:rowOff>
              </to>
            </anchor>
          </objectPr>
        </oleObject>
      </mc:Choice>
      <mc:Fallback>
        <oleObject progId="Equation.DSMT4" shapeId="13917" r:id="rId345"/>
      </mc:Fallback>
    </mc:AlternateContent>
    <mc:AlternateContent xmlns:mc="http://schemas.openxmlformats.org/markup-compatibility/2006">
      <mc:Choice Requires="x14">
        <oleObject progId="Equation.DSMT4" shapeId="13919" r:id="rId347">
          <objectPr defaultSize="0" autoPict="0" r:id="rId348">
            <anchor moveWithCells="1">
              <from>
                <xdr:col>361</xdr:col>
                <xdr:colOff>314325</xdr:colOff>
                <xdr:row>141</xdr:row>
                <xdr:rowOff>381000</xdr:rowOff>
              </from>
              <to>
                <xdr:col>366</xdr:col>
                <xdr:colOff>552450</xdr:colOff>
                <xdr:row>143</xdr:row>
                <xdr:rowOff>266700</xdr:rowOff>
              </to>
            </anchor>
          </objectPr>
        </oleObject>
      </mc:Choice>
      <mc:Fallback>
        <oleObject progId="Equation.DSMT4" shapeId="13919" r:id="rId347"/>
      </mc:Fallback>
    </mc:AlternateContent>
    <mc:AlternateContent xmlns:mc="http://schemas.openxmlformats.org/markup-compatibility/2006">
      <mc:Choice Requires="x14">
        <oleObject progId="Equation.DSMT4" shapeId="13921" r:id="rId349">
          <objectPr defaultSize="0" autoPict="0" r:id="rId350">
            <anchor moveWithCells="1">
              <from>
                <xdr:col>358</xdr:col>
                <xdr:colOff>304800</xdr:colOff>
                <xdr:row>240</xdr:row>
                <xdr:rowOff>285750</xdr:rowOff>
              </from>
              <to>
                <xdr:col>365</xdr:col>
                <xdr:colOff>361950</xdr:colOff>
                <xdr:row>242</xdr:row>
                <xdr:rowOff>266700</xdr:rowOff>
              </to>
            </anchor>
          </objectPr>
        </oleObject>
      </mc:Choice>
      <mc:Fallback>
        <oleObject progId="Equation.DSMT4" shapeId="13921" r:id="rId349"/>
      </mc:Fallback>
    </mc:AlternateContent>
    <mc:AlternateContent xmlns:mc="http://schemas.openxmlformats.org/markup-compatibility/2006">
      <mc:Choice Requires="x14">
        <oleObject progId="Equation.DSMT4" shapeId="13925" r:id="rId351">
          <objectPr defaultSize="0" autoPict="0" r:id="rId352">
            <anchor moveWithCells="1">
              <from>
                <xdr:col>365</xdr:col>
                <xdr:colOff>209550</xdr:colOff>
                <xdr:row>150</xdr:row>
                <xdr:rowOff>314325</xdr:rowOff>
              </from>
              <to>
                <xdr:col>374</xdr:col>
                <xdr:colOff>447675</xdr:colOff>
                <xdr:row>152</xdr:row>
                <xdr:rowOff>200025</xdr:rowOff>
              </to>
            </anchor>
          </objectPr>
        </oleObject>
      </mc:Choice>
      <mc:Fallback>
        <oleObject progId="Equation.DSMT4" shapeId="13925" r:id="rId351"/>
      </mc:Fallback>
    </mc:AlternateContent>
    <mc:AlternateContent xmlns:mc="http://schemas.openxmlformats.org/markup-compatibility/2006">
      <mc:Choice Requires="x14">
        <oleObject progId="Equation.DSMT4" shapeId="13933" r:id="rId353">
          <objectPr defaultSize="0" autoPict="0" r:id="rId354">
            <anchor moveWithCells="1">
              <from>
                <xdr:col>359</xdr:col>
                <xdr:colOff>209550</xdr:colOff>
                <xdr:row>199</xdr:row>
                <xdr:rowOff>238125</xdr:rowOff>
              </from>
              <to>
                <xdr:col>361</xdr:col>
                <xdr:colOff>371475</xdr:colOff>
                <xdr:row>200</xdr:row>
                <xdr:rowOff>342900</xdr:rowOff>
              </to>
            </anchor>
          </objectPr>
        </oleObject>
      </mc:Choice>
      <mc:Fallback>
        <oleObject progId="Equation.DSMT4" shapeId="13933" r:id="rId353"/>
      </mc:Fallback>
    </mc:AlternateContent>
    <mc:AlternateContent xmlns:mc="http://schemas.openxmlformats.org/markup-compatibility/2006">
      <mc:Choice Requires="x14">
        <oleObject progId="Equation.DSMT4" shapeId="13934" r:id="rId355">
          <objectPr defaultSize="0" autoPict="0" r:id="rId356">
            <anchor moveWithCells="1">
              <from>
                <xdr:col>150</xdr:col>
                <xdr:colOff>295275</xdr:colOff>
                <xdr:row>70</xdr:row>
                <xdr:rowOff>238125</xdr:rowOff>
              </from>
              <to>
                <xdr:col>161</xdr:col>
                <xdr:colOff>257175</xdr:colOff>
                <xdr:row>72</xdr:row>
                <xdr:rowOff>238125</xdr:rowOff>
              </to>
            </anchor>
          </objectPr>
        </oleObject>
      </mc:Choice>
      <mc:Fallback>
        <oleObject progId="Equation.DSMT4" shapeId="13934" r:id="rId355"/>
      </mc:Fallback>
    </mc:AlternateContent>
    <mc:AlternateContent xmlns:mc="http://schemas.openxmlformats.org/markup-compatibility/2006">
      <mc:Choice Requires="x14">
        <oleObject progId="Equation.DSMT4" shapeId="13935" r:id="rId357">
          <objectPr defaultSize="0" autoPict="0" r:id="rId358">
            <anchor moveWithCells="1">
              <from>
                <xdr:col>203</xdr:col>
                <xdr:colOff>219075</xdr:colOff>
                <xdr:row>47</xdr:row>
                <xdr:rowOff>257175</xdr:rowOff>
              </from>
              <to>
                <xdr:col>206</xdr:col>
                <xdr:colOff>171450</xdr:colOff>
                <xdr:row>49</xdr:row>
                <xdr:rowOff>200025</xdr:rowOff>
              </to>
            </anchor>
          </objectPr>
        </oleObject>
      </mc:Choice>
      <mc:Fallback>
        <oleObject progId="Equation.DSMT4" shapeId="13935" r:id="rId357"/>
      </mc:Fallback>
    </mc:AlternateContent>
    <mc:AlternateContent xmlns:mc="http://schemas.openxmlformats.org/markup-compatibility/2006">
      <mc:Choice Requires="x14">
        <oleObject progId="Equation.DSMT4" shapeId="13936" r:id="rId359">
          <objectPr defaultSize="0" autoPict="0" r:id="rId360">
            <anchor moveWithCells="1">
              <from>
                <xdr:col>361</xdr:col>
                <xdr:colOff>314325</xdr:colOff>
                <xdr:row>233</xdr:row>
                <xdr:rowOff>238125</xdr:rowOff>
              </from>
              <to>
                <xdr:col>368</xdr:col>
                <xdr:colOff>571500</xdr:colOff>
                <xdr:row>235</xdr:row>
                <xdr:rowOff>200025</xdr:rowOff>
              </to>
            </anchor>
          </objectPr>
        </oleObject>
      </mc:Choice>
      <mc:Fallback>
        <oleObject progId="Equation.DSMT4" shapeId="13936" r:id="rId359"/>
      </mc:Fallback>
    </mc:AlternateContent>
    <mc:AlternateContent xmlns:mc="http://schemas.openxmlformats.org/markup-compatibility/2006">
      <mc:Choice Requires="x14">
        <oleObject progId="Equation.DSMT4" shapeId="13946" r:id="rId361">
          <objectPr defaultSize="0" autoPict="0" r:id="rId362">
            <anchor moveWithCells="1">
              <from>
                <xdr:col>306</xdr:col>
                <xdr:colOff>228600</xdr:colOff>
                <xdr:row>104</xdr:row>
                <xdr:rowOff>504825</xdr:rowOff>
              </from>
              <to>
                <xdr:col>309</xdr:col>
                <xdr:colOff>38100</xdr:colOff>
                <xdr:row>106</xdr:row>
                <xdr:rowOff>257175</xdr:rowOff>
              </to>
            </anchor>
          </objectPr>
        </oleObject>
      </mc:Choice>
      <mc:Fallback>
        <oleObject progId="Equation.DSMT4" shapeId="13946" r:id="rId361"/>
      </mc:Fallback>
    </mc:AlternateContent>
    <mc:AlternateContent xmlns:mc="http://schemas.openxmlformats.org/markup-compatibility/2006">
      <mc:Choice Requires="x14">
        <oleObject progId="Equation.DSMT4" shapeId="13948" r:id="rId363">
          <objectPr defaultSize="0" autoPict="0" r:id="rId364">
            <anchor moveWithCells="1">
              <from>
                <xdr:col>516</xdr:col>
                <xdr:colOff>285750</xdr:colOff>
                <xdr:row>42</xdr:row>
                <xdr:rowOff>314325</xdr:rowOff>
              </from>
              <to>
                <xdr:col>521</xdr:col>
                <xdr:colOff>19050</xdr:colOff>
                <xdr:row>43</xdr:row>
                <xdr:rowOff>219075</xdr:rowOff>
              </to>
            </anchor>
          </objectPr>
        </oleObject>
      </mc:Choice>
      <mc:Fallback>
        <oleObject progId="Equation.DSMT4" shapeId="13948" r:id="rId363"/>
      </mc:Fallback>
    </mc:AlternateContent>
    <mc:AlternateContent xmlns:mc="http://schemas.openxmlformats.org/markup-compatibility/2006">
      <mc:Choice Requires="x14">
        <oleObject progId="Equation.DSMT4" shapeId="13959" r:id="rId365">
          <objectPr defaultSize="0" autoPict="0" r:id="rId366">
            <anchor moveWithCells="1">
              <from>
                <xdr:col>364</xdr:col>
                <xdr:colOff>238125</xdr:colOff>
                <xdr:row>156</xdr:row>
                <xdr:rowOff>266700</xdr:rowOff>
              </from>
              <to>
                <xdr:col>374</xdr:col>
                <xdr:colOff>295275</xdr:colOff>
                <xdr:row>158</xdr:row>
                <xdr:rowOff>247650</xdr:rowOff>
              </to>
            </anchor>
          </objectPr>
        </oleObject>
      </mc:Choice>
      <mc:Fallback>
        <oleObject progId="Equation.DSMT4" shapeId="13959" r:id="rId365"/>
      </mc:Fallback>
    </mc:AlternateContent>
    <mc:AlternateContent xmlns:mc="http://schemas.openxmlformats.org/markup-compatibility/2006">
      <mc:Choice Requires="x14">
        <oleObject progId="Equation.DSMT4" shapeId="13967" r:id="rId367">
          <objectPr defaultSize="0" autoPict="0" r:id="rId368">
            <anchor moveWithCells="1">
              <from>
                <xdr:col>893</xdr:col>
                <xdr:colOff>400050</xdr:colOff>
                <xdr:row>61</xdr:row>
                <xdr:rowOff>142875</xdr:rowOff>
              </from>
              <to>
                <xdr:col>895</xdr:col>
                <xdr:colOff>133350</xdr:colOff>
                <xdr:row>62</xdr:row>
                <xdr:rowOff>390525</xdr:rowOff>
              </to>
            </anchor>
          </objectPr>
        </oleObject>
      </mc:Choice>
      <mc:Fallback>
        <oleObject progId="Equation.DSMT4" shapeId="13967" r:id="rId367"/>
      </mc:Fallback>
    </mc:AlternateContent>
    <mc:AlternateContent xmlns:mc="http://schemas.openxmlformats.org/markup-compatibility/2006">
      <mc:Choice Requires="x14">
        <oleObject progId="Equation.DSMT4" shapeId="14032" r:id="rId369">
          <objectPr defaultSize="0" autoPict="0" r:id="rId370">
            <anchor moveWithCells="1">
              <from>
                <xdr:col>890</xdr:col>
                <xdr:colOff>352425</xdr:colOff>
                <xdr:row>66</xdr:row>
                <xdr:rowOff>142875</xdr:rowOff>
              </from>
              <to>
                <xdr:col>892</xdr:col>
                <xdr:colOff>85725</xdr:colOff>
                <xdr:row>67</xdr:row>
                <xdr:rowOff>390525</xdr:rowOff>
              </to>
            </anchor>
          </objectPr>
        </oleObject>
      </mc:Choice>
      <mc:Fallback>
        <oleObject progId="Equation.DSMT4" shapeId="14032" r:id="rId369"/>
      </mc:Fallback>
    </mc:AlternateContent>
    <mc:AlternateContent xmlns:mc="http://schemas.openxmlformats.org/markup-compatibility/2006">
      <mc:Choice Requires="x14">
        <oleObject progId="Equation.DSMT4" shapeId="14038" r:id="rId371">
          <objectPr defaultSize="0" autoPict="0" r:id="rId372">
            <anchor moveWithCells="1">
              <from>
                <xdr:col>152</xdr:col>
                <xdr:colOff>238125</xdr:colOff>
                <xdr:row>61</xdr:row>
                <xdr:rowOff>209550</xdr:rowOff>
              </from>
              <to>
                <xdr:col>164</xdr:col>
                <xdr:colOff>85725</xdr:colOff>
                <xdr:row>63</xdr:row>
                <xdr:rowOff>9525</xdr:rowOff>
              </to>
            </anchor>
          </objectPr>
        </oleObject>
      </mc:Choice>
      <mc:Fallback>
        <oleObject progId="Equation.DSMT4" shapeId="14038" r:id="rId371"/>
      </mc:Fallback>
    </mc:AlternateContent>
    <mc:AlternateContent xmlns:mc="http://schemas.openxmlformats.org/markup-compatibility/2006">
      <mc:Choice Requires="x14">
        <oleObject progId="Equation.DSMT4" shapeId="14068" r:id="rId373">
          <objectPr defaultSize="0" autoPict="0" r:id="rId374">
            <anchor moveWithCells="1">
              <from>
                <xdr:col>894</xdr:col>
                <xdr:colOff>257175</xdr:colOff>
                <xdr:row>313</xdr:row>
                <xdr:rowOff>257175</xdr:rowOff>
              </from>
              <to>
                <xdr:col>900</xdr:col>
                <xdr:colOff>38100</xdr:colOff>
                <xdr:row>314</xdr:row>
                <xdr:rowOff>219075</xdr:rowOff>
              </to>
            </anchor>
          </objectPr>
        </oleObject>
      </mc:Choice>
      <mc:Fallback>
        <oleObject progId="Equation.DSMT4" shapeId="14068" r:id="rId373"/>
      </mc:Fallback>
    </mc:AlternateContent>
    <mc:AlternateContent xmlns:mc="http://schemas.openxmlformats.org/markup-compatibility/2006">
      <mc:Choice Requires="x14">
        <oleObject progId="Equation.DSMT4" shapeId="14069" r:id="rId375">
          <objectPr defaultSize="0" autoPict="0" r:id="rId376">
            <anchor moveWithCells="1">
              <from>
                <xdr:col>893</xdr:col>
                <xdr:colOff>190500</xdr:colOff>
                <xdr:row>309</xdr:row>
                <xdr:rowOff>333375</xdr:rowOff>
              </from>
              <to>
                <xdr:col>899</xdr:col>
                <xdr:colOff>0</xdr:colOff>
                <xdr:row>310</xdr:row>
                <xdr:rowOff>323850</xdr:rowOff>
              </to>
            </anchor>
          </objectPr>
        </oleObject>
      </mc:Choice>
      <mc:Fallback>
        <oleObject progId="Equation.DSMT4" shapeId="14069" r:id="rId375"/>
      </mc:Fallback>
    </mc:AlternateContent>
    <mc:AlternateContent xmlns:mc="http://schemas.openxmlformats.org/markup-compatibility/2006">
      <mc:Choice Requires="x14">
        <oleObject progId="Equation.DSMT4" shapeId="14070" r:id="rId377">
          <objectPr defaultSize="0" autoPict="0" r:id="rId378">
            <anchor moveWithCells="1">
              <from>
                <xdr:col>891</xdr:col>
                <xdr:colOff>285750</xdr:colOff>
                <xdr:row>304</xdr:row>
                <xdr:rowOff>238125</xdr:rowOff>
              </from>
              <to>
                <xdr:col>898</xdr:col>
                <xdr:colOff>476250</xdr:colOff>
                <xdr:row>306</xdr:row>
                <xdr:rowOff>257175</xdr:rowOff>
              </to>
            </anchor>
          </objectPr>
        </oleObject>
      </mc:Choice>
      <mc:Fallback>
        <oleObject progId="Equation.DSMT4" shapeId="14070" r:id="rId377"/>
      </mc:Fallback>
    </mc:AlternateContent>
    <mc:AlternateContent xmlns:mc="http://schemas.openxmlformats.org/markup-compatibility/2006">
      <mc:Choice Requires="x14">
        <oleObject progId="Equation.DSMT4" shapeId="14071" r:id="rId379">
          <objectPr defaultSize="0" autoPict="0" r:id="rId380">
            <anchor moveWithCells="1">
              <from>
                <xdr:col>891</xdr:col>
                <xdr:colOff>285750</xdr:colOff>
                <xdr:row>293</xdr:row>
                <xdr:rowOff>152400</xdr:rowOff>
              </from>
              <to>
                <xdr:col>893</xdr:col>
                <xdr:colOff>114300</xdr:colOff>
                <xdr:row>294</xdr:row>
                <xdr:rowOff>447675</xdr:rowOff>
              </to>
            </anchor>
          </objectPr>
        </oleObject>
      </mc:Choice>
      <mc:Fallback>
        <oleObject progId="Equation.DSMT4" shapeId="14071" r:id="rId379"/>
      </mc:Fallback>
    </mc:AlternateContent>
    <mc:AlternateContent xmlns:mc="http://schemas.openxmlformats.org/markup-compatibility/2006">
      <mc:Choice Requires="x14">
        <oleObject progId="Equation.DSMT4" shapeId="14083" r:id="rId381">
          <objectPr defaultSize="0" autoPict="0" r:id="rId382">
            <anchor moveWithCells="1">
              <from>
                <xdr:col>892</xdr:col>
                <xdr:colOff>190500</xdr:colOff>
                <xdr:row>99</xdr:row>
                <xdr:rowOff>228600</xdr:rowOff>
              </from>
              <to>
                <xdr:col>898</xdr:col>
                <xdr:colOff>9525</xdr:colOff>
                <xdr:row>100</xdr:row>
                <xdr:rowOff>219075</xdr:rowOff>
              </to>
            </anchor>
          </objectPr>
        </oleObject>
      </mc:Choice>
      <mc:Fallback>
        <oleObject progId="Equation.DSMT4" shapeId="14083" r:id="rId381"/>
      </mc:Fallback>
    </mc:AlternateContent>
    <mc:AlternateContent xmlns:mc="http://schemas.openxmlformats.org/markup-compatibility/2006">
      <mc:Choice Requires="x14">
        <oleObject progId="Equation.DSMT4" shapeId="14084" r:id="rId383">
          <objectPr defaultSize="0" autoPict="0" r:id="rId384">
            <anchor moveWithCells="1">
              <from>
                <xdr:col>892</xdr:col>
                <xdr:colOff>200025</xdr:colOff>
                <xdr:row>108</xdr:row>
                <xdr:rowOff>285750</xdr:rowOff>
              </from>
              <to>
                <xdr:col>899</xdr:col>
                <xdr:colOff>0</xdr:colOff>
                <xdr:row>109</xdr:row>
                <xdr:rowOff>266700</xdr:rowOff>
              </to>
            </anchor>
          </objectPr>
        </oleObject>
      </mc:Choice>
      <mc:Fallback>
        <oleObject progId="Equation.DSMT4" shapeId="14084" r:id="rId383"/>
      </mc:Fallback>
    </mc:AlternateContent>
    <mc:AlternateContent xmlns:mc="http://schemas.openxmlformats.org/markup-compatibility/2006">
      <mc:Choice Requires="x14">
        <oleObject progId="Equation.DSMT4" shapeId="14085" r:id="rId385">
          <objectPr defaultSize="0" autoPict="0" r:id="rId386">
            <anchor moveWithCells="1">
              <from>
                <xdr:col>891</xdr:col>
                <xdr:colOff>228600</xdr:colOff>
                <xdr:row>114</xdr:row>
                <xdr:rowOff>342900</xdr:rowOff>
              </from>
              <to>
                <xdr:col>897</xdr:col>
                <xdr:colOff>28575</xdr:colOff>
                <xdr:row>116</xdr:row>
                <xdr:rowOff>152400</xdr:rowOff>
              </to>
            </anchor>
          </objectPr>
        </oleObject>
      </mc:Choice>
      <mc:Fallback>
        <oleObject progId="Equation.DSMT4" shapeId="14085" r:id="rId385"/>
      </mc:Fallback>
    </mc:AlternateContent>
    <mc:AlternateContent xmlns:mc="http://schemas.openxmlformats.org/markup-compatibility/2006">
      <mc:Choice Requires="x14">
        <oleObject progId="Equation.DSMT4" shapeId="14086" r:id="rId387">
          <objectPr defaultSize="0" autoPict="0" r:id="rId388">
            <anchor moveWithCells="1">
              <from>
                <xdr:col>722</xdr:col>
                <xdr:colOff>304800</xdr:colOff>
                <xdr:row>118</xdr:row>
                <xdr:rowOff>304800</xdr:rowOff>
              </from>
              <to>
                <xdr:col>729</xdr:col>
                <xdr:colOff>542925</xdr:colOff>
                <xdr:row>119</xdr:row>
                <xdr:rowOff>304800</xdr:rowOff>
              </to>
            </anchor>
          </objectPr>
        </oleObject>
      </mc:Choice>
      <mc:Fallback>
        <oleObject progId="Equation.DSMT4" shapeId="14086" r:id="rId387"/>
      </mc:Fallback>
    </mc:AlternateContent>
    <mc:AlternateContent xmlns:mc="http://schemas.openxmlformats.org/markup-compatibility/2006">
      <mc:Choice Requires="x14">
        <oleObject progId="Equation.DSMT4" shapeId="14103" r:id="rId389">
          <objectPr defaultSize="0" autoPict="0" r:id="rId390">
            <anchor moveWithCells="1">
              <from>
                <xdr:col>722</xdr:col>
                <xdr:colOff>247650</xdr:colOff>
                <xdr:row>125</xdr:row>
                <xdr:rowOff>257175</xdr:rowOff>
              </from>
              <to>
                <xdr:col>730</xdr:col>
                <xdr:colOff>38100</xdr:colOff>
                <xdr:row>127</xdr:row>
                <xdr:rowOff>238125</xdr:rowOff>
              </to>
            </anchor>
          </objectPr>
        </oleObject>
      </mc:Choice>
      <mc:Fallback>
        <oleObject progId="Equation.DSMT4" shapeId="14103" r:id="rId389"/>
      </mc:Fallback>
    </mc:AlternateContent>
    <mc:AlternateContent xmlns:mc="http://schemas.openxmlformats.org/markup-compatibility/2006">
      <mc:Choice Requires="x14">
        <oleObject progId="Equation.DSMT4" shapeId="14120" r:id="rId391">
          <objectPr defaultSize="0" autoPict="0" r:id="rId392">
            <anchor moveWithCells="1">
              <from>
                <xdr:col>891</xdr:col>
                <xdr:colOff>257175</xdr:colOff>
                <xdr:row>325</xdr:row>
                <xdr:rowOff>295275</xdr:rowOff>
              </from>
              <to>
                <xdr:col>896</xdr:col>
                <xdr:colOff>95250</xdr:colOff>
                <xdr:row>327</xdr:row>
                <xdr:rowOff>152400</xdr:rowOff>
              </to>
            </anchor>
          </objectPr>
        </oleObject>
      </mc:Choice>
      <mc:Fallback>
        <oleObject progId="Equation.DSMT4" shapeId="14120" r:id="rId391"/>
      </mc:Fallback>
    </mc:AlternateContent>
    <mc:AlternateContent xmlns:mc="http://schemas.openxmlformats.org/markup-compatibility/2006">
      <mc:Choice Requires="x14">
        <oleObject progId="Equation.DSMT4" shapeId="14125" r:id="rId393">
          <objectPr defaultSize="0" autoPict="0" r:id="rId394">
            <anchor moveWithCells="1">
              <from>
                <xdr:col>891</xdr:col>
                <xdr:colOff>381000</xdr:colOff>
                <xdr:row>320</xdr:row>
                <xdr:rowOff>276225</xdr:rowOff>
              </from>
              <to>
                <xdr:col>898</xdr:col>
                <xdr:colOff>0</xdr:colOff>
                <xdr:row>322</xdr:row>
                <xdr:rowOff>219075</xdr:rowOff>
              </to>
            </anchor>
          </objectPr>
        </oleObject>
      </mc:Choice>
      <mc:Fallback>
        <oleObject progId="Equation.DSMT4" shapeId="14125" r:id="rId393"/>
      </mc:Fallback>
    </mc:AlternateContent>
    <mc:AlternateContent xmlns:mc="http://schemas.openxmlformats.org/markup-compatibility/2006">
      <mc:Choice Requires="x14">
        <oleObject progId="Equation.DSMT4" shapeId="14129" r:id="rId395">
          <objectPr defaultSize="0" autoPict="0" r:id="rId396">
            <anchor moveWithCells="1">
              <from>
                <xdr:col>892</xdr:col>
                <xdr:colOff>552450</xdr:colOff>
                <xdr:row>232</xdr:row>
                <xdr:rowOff>238125</xdr:rowOff>
              </from>
              <to>
                <xdr:col>898</xdr:col>
                <xdr:colOff>333375</xdr:colOff>
                <xdr:row>233</xdr:row>
                <xdr:rowOff>190500</xdr:rowOff>
              </to>
            </anchor>
          </objectPr>
        </oleObject>
      </mc:Choice>
      <mc:Fallback>
        <oleObject progId="Equation.DSMT4" shapeId="14129" r:id="rId395"/>
      </mc:Fallback>
    </mc:AlternateContent>
    <mc:AlternateContent xmlns:mc="http://schemas.openxmlformats.org/markup-compatibility/2006">
      <mc:Choice Requires="x14">
        <oleObject progId="Equation.DSMT4" shapeId="14150" r:id="rId397">
          <objectPr defaultSize="0" autoPict="0" r:id="rId398">
            <anchor moveWithCells="1">
              <from>
                <xdr:col>722</xdr:col>
                <xdr:colOff>228600</xdr:colOff>
                <xdr:row>141</xdr:row>
                <xdr:rowOff>200025</xdr:rowOff>
              </from>
              <to>
                <xdr:col>730</xdr:col>
                <xdr:colOff>123825</xdr:colOff>
                <xdr:row>143</xdr:row>
                <xdr:rowOff>352425</xdr:rowOff>
              </to>
            </anchor>
          </objectPr>
        </oleObject>
      </mc:Choice>
      <mc:Fallback>
        <oleObject progId="Equation.DSMT4" shapeId="14150" r:id="rId397"/>
      </mc:Fallback>
    </mc:AlternateContent>
    <mc:AlternateContent xmlns:mc="http://schemas.openxmlformats.org/markup-compatibility/2006">
      <mc:Choice Requires="x14">
        <oleObject progId="Equation.DSMT4" shapeId="14151" r:id="rId399">
          <objectPr defaultSize="0" autoPict="0" r:id="rId400">
            <anchor moveWithCells="1">
              <from>
                <xdr:col>892</xdr:col>
                <xdr:colOff>381000</xdr:colOff>
                <xdr:row>191</xdr:row>
                <xdr:rowOff>342900</xdr:rowOff>
              </from>
              <to>
                <xdr:col>898</xdr:col>
                <xdr:colOff>76200</xdr:colOff>
                <xdr:row>192</xdr:row>
                <xdr:rowOff>314325</xdr:rowOff>
              </to>
            </anchor>
          </objectPr>
        </oleObject>
      </mc:Choice>
      <mc:Fallback>
        <oleObject progId="Equation.DSMT4" shapeId="14151" r:id="rId399"/>
      </mc:Fallback>
    </mc:AlternateContent>
    <mc:AlternateContent xmlns:mc="http://schemas.openxmlformats.org/markup-compatibility/2006">
      <mc:Choice Requires="x14">
        <oleObject progId="Equation.DSMT4" shapeId="14157" r:id="rId401">
          <objectPr defaultSize="0" autoPict="0" r:id="rId402">
            <anchor moveWithCells="1">
              <from>
                <xdr:col>891</xdr:col>
                <xdr:colOff>533400</xdr:colOff>
                <xdr:row>174</xdr:row>
                <xdr:rowOff>209550</xdr:rowOff>
              </from>
              <to>
                <xdr:col>897</xdr:col>
                <xdr:colOff>419100</xdr:colOff>
                <xdr:row>176</xdr:row>
                <xdr:rowOff>219075</xdr:rowOff>
              </to>
            </anchor>
          </objectPr>
        </oleObject>
      </mc:Choice>
      <mc:Fallback>
        <oleObject progId="Equation.DSMT4" shapeId="14157" r:id="rId401"/>
      </mc:Fallback>
    </mc:AlternateContent>
    <mc:AlternateContent xmlns:mc="http://schemas.openxmlformats.org/markup-compatibility/2006">
      <mc:Choice Requires="x14">
        <oleObject progId="Equation.DSMT4" shapeId="14160" r:id="rId403">
          <objectPr defaultSize="0" autoPict="0" r:id="rId404">
            <anchor moveWithCells="1">
              <from>
                <xdr:col>722</xdr:col>
                <xdr:colOff>428625</xdr:colOff>
                <xdr:row>79</xdr:row>
                <xdr:rowOff>381000</xdr:rowOff>
              </from>
              <to>
                <xdr:col>728</xdr:col>
                <xdr:colOff>142875</xdr:colOff>
                <xdr:row>80</xdr:row>
                <xdr:rowOff>381000</xdr:rowOff>
              </to>
            </anchor>
          </objectPr>
        </oleObject>
      </mc:Choice>
      <mc:Fallback>
        <oleObject progId="Equation.DSMT4" shapeId="14160" r:id="rId403"/>
      </mc:Fallback>
    </mc:AlternateContent>
    <mc:AlternateContent xmlns:mc="http://schemas.openxmlformats.org/markup-compatibility/2006">
      <mc:Choice Requires="x14">
        <oleObject progId="Equation.DSMT4" shapeId="14162" r:id="rId405">
          <objectPr defaultSize="0" autoPict="0" r:id="rId406">
            <anchor moveWithCells="1">
              <from>
                <xdr:col>722</xdr:col>
                <xdr:colOff>276225</xdr:colOff>
                <xdr:row>95</xdr:row>
                <xdr:rowOff>295275</xdr:rowOff>
              </from>
              <to>
                <xdr:col>726</xdr:col>
                <xdr:colOff>0</xdr:colOff>
                <xdr:row>96</xdr:row>
                <xdr:rowOff>219075</xdr:rowOff>
              </to>
            </anchor>
          </objectPr>
        </oleObject>
      </mc:Choice>
      <mc:Fallback>
        <oleObject progId="Equation.DSMT4" shapeId="14162" r:id="rId405"/>
      </mc:Fallback>
    </mc:AlternateContent>
    <mc:AlternateContent xmlns:mc="http://schemas.openxmlformats.org/markup-compatibility/2006">
      <mc:Choice Requires="x14">
        <oleObject progId="Equation.DSMT4" shapeId="14191" r:id="rId407">
          <objectPr defaultSize="0" autoPict="0" r:id="rId408">
            <anchor moveWithCells="1">
              <from>
                <xdr:col>945</xdr:col>
                <xdr:colOff>266700</xdr:colOff>
                <xdr:row>208</xdr:row>
                <xdr:rowOff>142875</xdr:rowOff>
              </from>
              <to>
                <xdr:col>956</xdr:col>
                <xdr:colOff>257175</xdr:colOff>
                <xdr:row>210</xdr:row>
                <xdr:rowOff>276225</xdr:rowOff>
              </to>
            </anchor>
          </objectPr>
        </oleObject>
      </mc:Choice>
      <mc:Fallback>
        <oleObject progId="Equation.DSMT4" shapeId="14191" r:id="rId407"/>
      </mc:Fallback>
    </mc:AlternateContent>
    <mc:AlternateContent xmlns:mc="http://schemas.openxmlformats.org/markup-compatibility/2006">
      <mc:Choice Requires="x14">
        <oleObject progId="Equation.DSMT4" shapeId="14194" r:id="rId409">
          <objectPr defaultSize="0" autoPict="0" r:id="rId410">
            <anchor moveWithCells="1">
              <from>
                <xdr:col>891</xdr:col>
                <xdr:colOff>352425</xdr:colOff>
                <xdr:row>77</xdr:row>
                <xdr:rowOff>142875</xdr:rowOff>
              </from>
              <to>
                <xdr:col>893</xdr:col>
                <xdr:colOff>190500</xdr:colOff>
                <xdr:row>78</xdr:row>
                <xdr:rowOff>457200</xdr:rowOff>
              </to>
            </anchor>
          </objectPr>
        </oleObject>
      </mc:Choice>
      <mc:Fallback>
        <oleObject progId="Equation.DSMT4" shapeId="14194" r:id="rId409"/>
      </mc:Fallback>
    </mc:AlternateContent>
    <mc:AlternateContent xmlns:mc="http://schemas.openxmlformats.org/markup-compatibility/2006">
      <mc:Choice Requires="x14">
        <oleObject progId="Equation.DSMT4" shapeId="14197" r:id="rId411">
          <objectPr defaultSize="0" autoPict="0" r:id="rId412">
            <anchor moveWithCells="1">
              <from>
                <xdr:col>891</xdr:col>
                <xdr:colOff>219075</xdr:colOff>
                <xdr:row>50</xdr:row>
                <xdr:rowOff>142875</xdr:rowOff>
              </from>
              <to>
                <xdr:col>893</xdr:col>
                <xdr:colOff>228600</xdr:colOff>
                <xdr:row>51</xdr:row>
                <xdr:rowOff>390525</xdr:rowOff>
              </to>
            </anchor>
          </objectPr>
        </oleObject>
      </mc:Choice>
      <mc:Fallback>
        <oleObject progId="Equation.DSMT4" shapeId="14197" r:id="rId411"/>
      </mc:Fallback>
    </mc:AlternateContent>
    <mc:AlternateContent xmlns:mc="http://schemas.openxmlformats.org/markup-compatibility/2006">
      <mc:Choice Requires="x14">
        <oleObject progId="Equation.DSMT4" shapeId="14268" r:id="rId413">
          <objectPr defaultSize="0" autoPict="0" r:id="rId414">
            <anchor moveWithCells="1">
              <from>
                <xdr:col>271</xdr:col>
                <xdr:colOff>257175</xdr:colOff>
                <xdr:row>56</xdr:row>
                <xdr:rowOff>190500</xdr:rowOff>
              </from>
              <to>
                <xdr:col>276</xdr:col>
                <xdr:colOff>95250</xdr:colOff>
                <xdr:row>57</xdr:row>
                <xdr:rowOff>428625</xdr:rowOff>
              </to>
            </anchor>
          </objectPr>
        </oleObject>
      </mc:Choice>
      <mc:Fallback>
        <oleObject progId="Equation.DSMT4" shapeId="14268" r:id="rId413"/>
      </mc:Fallback>
    </mc:AlternateContent>
    <mc:AlternateContent xmlns:mc="http://schemas.openxmlformats.org/markup-compatibility/2006">
      <mc:Choice Requires="x14">
        <oleObject progId="Equation.DSMT4" shapeId="14280" r:id="rId415">
          <objectPr defaultSize="0" autoPict="0" r:id="rId416">
            <anchor moveWithCells="1">
              <from>
                <xdr:col>894</xdr:col>
                <xdr:colOff>238125</xdr:colOff>
                <xdr:row>20</xdr:row>
                <xdr:rowOff>209550</xdr:rowOff>
              </from>
              <to>
                <xdr:col>902</xdr:col>
                <xdr:colOff>447675</xdr:colOff>
                <xdr:row>21</xdr:row>
                <xdr:rowOff>200025</xdr:rowOff>
              </to>
            </anchor>
          </objectPr>
        </oleObject>
      </mc:Choice>
      <mc:Fallback>
        <oleObject progId="Equation.DSMT4" shapeId="14280" r:id="rId415"/>
      </mc:Fallback>
    </mc:AlternateContent>
    <mc:AlternateContent xmlns:mc="http://schemas.openxmlformats.org/markup-compatibility/2006">
      <mc:Choice Requires="x14">
        <oleObject progId="Equation.DSMT4" shapeId="14303" r:id="rId417">
          <objectPr defaultSize="0" autoPict="0" r:id="rId418">
            <anchor moveWithCells="1">
              <from>
                <xdr:col>892</xdr:col>
                <xdr:colOff>285750</xdr:colOff>
                <xdr:row>243</xdr:row>
                <xdr:rowOff>257175</xdr:rowOff>
              </from>
              <to>
                <xdr:col>897</xdr:col>
                <xdr:colOff>28575</xdr:colOff>
                <xdr:row>244</xdr:row>
                <xdr:rowOff>266700</xdr:rowOff>
              </to>
            </anchor>
          </objectPr>
        </oleObject>
      </mc:Choice>
      <mc:Fallback>
        <oleObject progId="Equation.DSMT4" shapeId="14303" r:id="rId417"/>
      </mc:Fallback>
    </mc:AlternateContent>
    <mc:AlternateContent xmlns:mc="http://schemas.openxmlformats.org/markup-compatibility/2006">
      <mc:Choice Requires="x14">
        <oleObject progId="Equation.DSMT4" shapeId="14305" r:id="rId419">
          <objectPr defaultSize="0" autoPict="0" r:id="rId420">
            <anchor moveWithCells="1">
              <from>
                <xdr:col>891</xdr:col>
                <xdr:colOff>285750</xdr:colOff>
                <xdr:row>256</xdr:row>
                <xdr:rowOff>209550</xdr:rowOff>
              </from>
              <to>
                <xdr:col>896</xdr:col>
                <xdr:colOff>95250</xdr:colOff>
                <xdr:row>258</xdr:row>
                <xdr:rowOff>228600</xdr:rowOff>
              </to>
            </anchor>
          </objectPr>
        </oleObject>
      </mc:Choice>
      <mc:Fallback>
        <oleObject progId="Equation.DSMT4" shapeId="14305" r:id="rId419"/>
      </mc:Fallback>
    </mc:AlternateContent>
    <mc:AlternateContent xmlns:mc="http://schemas.openxmlformats.org/markup-compatibility/2006">
      <mc:Choice Requires="x14">
        <oleObject progId="Equation.DSMT4" shapeId="14306" r:id="rId421">
          <objectPr defaultSize="0" autoPict="0" r:id="rId422">
            <anchor moveWithCells="1">
              <from>
                <xdr:col>891</xdr:col>
                <xdr:colOff>238125</xdr:colOff>
                <xdr:row>145</xdr:row>
                <xdr:rowOff>257175</xdr:rowOff>
              </from>
              <to>
                <xdr:col>896</xdr:col>
                <xdr:colOff>28575</xdr:colOff>
                <xdr:row>147</xdr:row>
                <xdr:rowOff>161925</xdr:rowOff>
              </to>
            </anchor>
          </objectPr>
        </oleObject>
      </mc:Choice>
      <mc:Fallback>
        <oleObject progId="Equation.DSMT4" shapeId="14306" r:id="rId421"/>
      </mc:Fallback>
    </mc:AlternateContent>
    <mc:AlternateContent xmlns:mc="http://schemas.openxmlformats.org/markup-compatibility/2006">
      <mc:Choice Requires="x14">
        <oleObject progId="Equation.DSMT4" shapeId="14309" r:id="rId423">
          <objectPr defaultSize="0" autoPict="0" r:id="rId424">
            <anchor moveWithCells="1">
              <from>
                <xdr:col>270</xdr:col>
                <xdr:colOff>361950</xdr:colOff>
                <xdr:row>98</xdr:row>
                <xdr:rowOff>361950</xdr:rowOff>
              </from>
              <to>
                <xdr:col>275</xdr:col>
                <xdr:colOff>476250</xdr:colOff>
                <xdr:row>100</xdr:row>
                <xdr:rowOff>123825</xdr:rowOff>
              </to>
            </anchor>
          </objectPr>
        </oleObject>
      </mc:Choice>
      <mc:Fallback>
        <oleObject progId="Equation.DSMT4" shapeId="14309" r:id="rId423"/>
      </mc:Fallback>
    </mc:AlternateContent>
    <mc:AlternateContent xmlns:mc="http://schemas.openxmlformats.org/markup-compatibility/2006">
      <mc:Choice Requires="x14">
        <oleObject progId="Equation.DSMT4" shapeId="14312" r:id="rId425">
          <objectPr defaultSize="0" autoPict="0" r:id="rId426">
            <anchor moveWithCells="1">
              <from>
                <xdr:col>891</xdr:col>
                <xdr:colOff>285750</xdr:colOff>
                <xdr:row>131</xdr:row>
                <xdr:rowOff>352425</xdr:rowOff>
              </from>
              <to>
                <xdr:col>895</xdr:col>
                <xdr:colOff>581025</xdr:colOff>
                <xdr:row>133</xdr:row>
                <xdr:rowOff>238125</xdr:rowOff>
              </to>
            </anchor>
          </objectPr>
        </oleObject>
      </mc:Choice>
      <mc:Fallback>
        <oleObject progId="Equation.DSMT4" shapeId="14312" r:id="rId425"/>
      </mc:Fallback>
    </mc:AlternateContent>
    <mc:AlternateContent xmlns:mc="http://schemas.openxmlformats.org/markup-compatibility/2006">
      <mc:Choice Requires="x14">
        <oleObject progId="Equation.DSMT4" shapeId="14317" r:id="rId427">
          <objectPr defaultSize="0" autoPict="0" r:id="rId428">
            <anchor moveWithCells="1">
              <from>
                <xdr:col>891</xdr:col>
                <xdr:colOff>523875</xdr:colOff>
                <xdr:row>140</xdr:row>
                <xdr:rowOff>238125</xdr:rowOff>
              </from>
              <to>
                <xdr:col>898</xdr:col>
                <xdr:colOff>180975</xdr:colOff>
                <xdr:row>142</xdr:row>
                <xdr:rowOff>171450</xdr:rowOff>
              </to>
            </anchor>
          </objectPr>
        </oleObject>
      </mc:Choice>
      <mc:Fallback>
        <oleObject progId="Equation.DSMT4" shapeId="14317" r:id="rId427"/>
      </mc:Fallback>
    </mc:AlternateContent>
    <mc:AlternateContent xmlns:mc="http://schemas.openxmlformats.org/markup-compatibility/2006">
      <mc:Choice Requires="x14">
        <oleObject progId="Equation.DSMT4" shapeId="14318" r:id="rId429">
          <objectPr defaultSize="0" autoPict="0" r:id="rId430">
            <anchor moveWithCells="1">
              <from>
                <xdr:col>357</xdr:col>
                <xdr:colOff>238125</xdr:colOff>
                <xdr:row>247</xdr:row>
                <xdr:rowOff>161925</xdr:rowOff>
              </from>
              <to>
                <xdr:col>362</xdr:col>
                <xdr:colOff>400050</xdr:colOff>
                <xdr:row>249</xdr:row>
                <xdr:rowOff>238125</xdr:rowOff>
              </to>
            </anchor>
          </objectPr>
        </oleObject>
      </mc:Choice>
      <mc:Fallback>
        <oleObject progId="Equation.DSMT4" shapeId="14318" r:id="rId429"/>
      </mc:Fallback>
    </mc:AlternateContent>
    <mc:AlternateContent xmlns:mc="http://schemas.openxmlformats.org/markup-compatibility/2006">
      <mc:Choice Requires="x14">
        <oleObject progId="Equation.DSMT4" shapeId="14319" r:id="rId431">
          <objectPr defaultSize="0" autoPict="0" r:id="rId432">
            <anchor moveWithCells="1">
              <from>
                <xdr:col>892</xdr:col>
                <xdr:colOff>238125</xdr:colOff>
                <xdr:row>85</xdr:row>
                <xdr:rowOff>304800</xdr:rowOff>
              </from>
              <to>
                <xdr:col>899</xdr:col>
                <xdr:colOff>0</xdr:colOff>
                <xdr:row>87</xdr:row>
                <xdr:rowOff>171450</xdr:rowOff>
              </to>
            </anchor>
          </objectPr>
        </oleObject>
      </mc:Choice>
      <mc:Fallback>
        <oleObject progId="Equation.DSMT4" shapeId="14319" r:id="rId431"/>
      </mc:Fallback>
    </mc:AlternateContent>
    <mc:AlternateContent xmlns:mc="http://schemas.openxmlformats.org/markup-compatibility/2006">
      <mc:Choice Requires="x14">
        <oleObject progId="Equation.DSMT4" shapeId="14321" r:id="rId433">
          <objectPr defaultSize="0" autoPict="0" r:id="rId434">
            <anchor moveWithCells="1">
              <from>
                <xdr:col>892</xdr:col>
                <xdr:colOff>0</xdr:colOff>
                <xdr:row>136</xdr:row>
                <xdr:rowOff>257175</xdr:rowOff>
              </from>
              <to>
                <xdr:col>898</xdr:col>
                <xdr:colOff>190500</xdr:colOff>
                <xdr:row>137</xdr:row>
                <xdr:rowOff>257175</xdr:rowOff>
              </to>
            </anchor>
          </objectPr>
        </oleObject>
      </mc:Choice>
      <mc:Fallback>
        <oleObject progId="Equation.DSMT4" shapeId="14321" r:id="rId433"/>
      </mc:Fallback>
    </mc:AlternateContent>
    <mc:AlternateContent xmlns:mc="http://schemas.openxmlformats.org/markup-compatibility/2006">
      <mc:Choice Requires="x14">
        <oleObject progId="Equation.DSMT4" shapeId="20522" r:id="rId435">
          <objectPr defaultSize="0" autoPict="0" r:id="rId436">
            <anchor moveWithCells="1">
              <from>
                <xdr:col>892</xdr:col>
                <xdr:colOff>266700</xdr:colOff>
                <xdr:row>125</xdr:row>
                <xdr:rowOff>342900</xdr:rowOff>
              </from>
              <to>
                <xdr:col>897</xdr:col>
                <xdr:colOff>19050</xdr:colOff>
                <xdr:row>126</xdr:row>
                <xdr:rowOff>333375</xdr:rowOff>
              </to>
            </anchor>
          </objectPr>
        </oleObject>
      </mc:Choice>
      <mc:Fallback>
        <oleObject progId="Equation.DSMT4" shapeId="20522" r:id="rId435"/>
      </mc:Fallback>
    </mc:AlternateContent>
    <mc:AlternateContent xmlns:mc="http://schemas.openxmlformats.org/markup-compatibility/2006">
      <mc:Choice Requires="x14">
        <oleObject progId="Equation.DSMT4" shapeId="20524" r:id="rId437">
          <objectPr defaultSize="0" autoPict="0" r:id="rId438">
            <anchor moveWithCells="1">
              <from>
                <xdr:col>722</xdr:col>
                <xdr:colOff>361950</xdr:colOff>
                <xdr:row>162</xdr:row>
                <xdr:rowOff>285750</xdr:rowOff>
              </from>
              <to>
                <xdr:col>730</xdr:col>
                <xdr:colOff>19050</xdr:colOff>
                <xdr:row>163</xdr:row>
                <xdr:rowOff>285750</xdr:rowOff>
              </to>
            </anchor>
          </objectPr>
        </oleObject>
      </mc:Choice>
      <mc:Fallback>
        <oleObject progId="Equation.DSMT4" shapeId="20524" r:id="rId437"/>
      </mc:Fallback>
    </mc:AlternateContent>
    <mc:AlternateContent xmlns:mc="http://schemas.openxmlformats.org/markup-compatibility/2006">
      <mc:Choice Requires="x14">
        <oleObject progId="Equation.DSMT4" shapeId="20526" r:id="rId439">
          <objectPr defaultSize="0" autoPict="0" r:id="rId402">
            <anchor moveWithCells="1">
              <from>
                <xdr:col>722</xdr:col>
                <xdr:colOff>352425</xdr:colOff>
                <xdr:row>154</xdr:row>
                <xdr:rowOff>238125</xdr:rowOff>
              </from>
              <to>
                <xdr:col>728</xdr:col>
                <xdr:colOff>447675</xdr:colOff>
                <xdr:row>156</xdr:row>
                <xdr:rowOff>266700</xdr:rowOff>
              </to>
            </anchor>
          </objectPr>
        </oleObject>
      </mc:Choice>
      <mc:Fallback>
        <oleObject progId="Equation.DSMT4" shapeId="20526" r:id="rId439"/>
      </mc:Fallback>
    </mc:AlternateContent>
    <mc:AlternateContent xmlns:mc="http://schemas.openxmlformats.org/markup-compatibility/2006">
      <mc:Choice Requires="x14">
        <oleObject progId="Equation.DSMT4" shapeId="20528" r:id="rId440">
          <objectPr defaultSize="0" autoPict="0" r:id="rId441">
            <anchor moveWithCells="1">
              <from>
                <xdr:col>722</xdr:col>
                <xdr:colOff>438150</xdr:colOff>
                <xdr:row>169</xdr:row>
                <xdr:rowOff>114300</xdr:rowOff>
              </from>
              <to>
                <xdr:col>729</xdr:col>
                <xdr:colOff>390525</xdr:colOff>
                <xdr:row>170</xdr:row>
                <xdr:rowOff>238125</xdr:rowOff>
              </to>
            </anchor>
          </objectPr>
        </oleObject>
      </mc:Choice>
      <mc:Fallback>
        <oleObject progId="Equation.DSMT4" shapeId="20528" r:id="rId440"/>
      </mc:Fallback>
    </mc:AlternateContent>
    <mc:AlternateContent xmlns:mc="http://schemas.openxmlformats.org/markup-compatibility/2006">
      <mc:Choice Requires="x14">
        <oleObject progId="Equation.DSMT4" shapeId="20529" r:id="rId442">
          <objectPr defaultSize="0" autoPict="0" r:id="rId443">
            <anchor moveWithCells="1">
              <from>
                <xdr:col>722</xdr:col>
                <xdr:colOff>438150</xdr:colOff>
                <xdr:row>167</xdr:row>
                <xdr:rowOff>180975</xdr:rowOff>
              </from>
              <to>
                <xdr:col>729</xdr:col>
                <xdr:colOff>466725</xdr:colOff>
                <xdr:row>168</xdr:row>
                <xdr:rowOff>333375</xdr:rowOff>
              </to>
            </anchor>
          </objectPr>
        </oleObject>
      </mc:Choice>
      <mc:Fallback>
        <oleObject progId="Equation.DSMT4" shapeId="20529" r:id="rId442"/>
      </mc:Fallback>
    </mc:AlternateContent>
    <mc:AlternateContent xmlns:mc="http://schemas.openxmlformats.org/markup-compatibility/2006">
      <mc:Choice Requires="x14">
        <oleObject progId="Equation.DSMT4" shapeId="20531" r:id="rId444">
          <objectPr defaultSize="0" autoPict="0" r:id="rId445">
            <anchor moveWithCells="1">
              <from>
                <xdr:col>722</xdr:col>
                <xdr:colOff>381000</xdr:colOff>
                <xdr:row>147</xdr:row>
                <xdr:rowOff>533400</xdr:rowOff>
              </from>
              <to>
                <xdr:col>731</xdr:col>
                <xdr:colOff>171450</xdr:colOff>
                <xdr:row>149</xdr:row>
                <xdr:rowOff>295275</xdr:rowOff>
              </to>
            </anchor>
          </objectPr>
        </oleObject>
      </mc:Choice>
      <mc:Fallback>
        <oleObject progId="Equation.DSMT4" shapeId="20531" r:id="rId444"/>
      </mc:Fallback>
    </mc:AlternateContent>
    <mc:AlternateContent xmlns:mc="http://schemas.openxmlformats.org/markup-compatibility/2006">
      <mc:Choice Requires="x14">
        <oleObject progId="Equation.DSMT4" shapeId="20555" r:id="rId446">
          <objectPr defaultSize="0" autoPict="0" r:id="rId447">
            <anchor moveWithCells="1">
              <from>
                <xdr:col>892</xdr:col>
                <xdr:colOff>447675</xdr:colOff>
                <xdr:row>211</xdr:row>
                <xdr:rowOff>295275</xdr:rowOff>
              </from>
              <to>
                <xdr:col>897</xdr:col>
                <xdr:colOff>0</xdr:colOff>
                <xdr:row>212</xdr:row>
                <xdr:rowOff>295275</xdr:rowOff>
              </to>
            </anchor>
          </objectPr>
        </oleObject>
      </mc:Choice>
      <mc:Fallback>
        <oleObject progId="Equation.DSMT4" shapeId="20555" r:id="rId446"/>
      </mc:Fallback>
    </mc:AlternateContent>
    <mc:AlternateContent xmlns:mc="http://schemas.openxmlformats.org/markup-compatibility/2006">
      <mc:Choice Requires="x14">
        <oleObject progId="Equation.DSMT4" shapeId="20577" r:id="rId448">
          <objectPr defaultSize="0" autoPict="0" r:id="rId449">
            <anchor moveWithCells="1">
              <from>
                <xdr:col>892</xdr:col>
                <xdr:colOff>285750</xdr:colOff>
                <xdr:row>150</xdr:row>
                <xdr:rowOff>161925</xdr:rowOff>
              </from>
              <to>
                <xdr:col>900</xdr:col>
                <xdr:colOff>133350</xdr:colOff>
                <xdr:row>152</xdr:row>
                <xdr:rowOff>285750</xdr:rowOff>
              </to>
            </anchor>
          </objectPr>
        </oleObject>
      </mc:Choice>
      <mc:Fallback>
        <oleObject progId="Equation.DSMT4" shapeId="20577" r:id="rId448"/>
      </mc:Fallback>
    </mc:AlternateContent>
    <mc:AlternateContent xmlns:mc="http://schemas.openxmlformats.org/markup-compatibility/2006">
      <mc:Choice Requires="x14">
        <oleObject progId="Equation.DSMT4" shapeId="20578" r:id="rId450">
          <objectPr defaultSize="0" autoPict="0" r:id="rId451">
            <anchor moveWithCells="1">
              <from>
                <xdr:col>896</xdr:col>
                <xdr:colOff>228600</xdr:colOff>
                <xdr:row>61</xdr:row>
                <xdr:rowOff>381000</xdr:rowOff>
              </from>
              <to>
                <xdr:col>904</xdr:col>
                <xdr:colOff>581025</xdr:colOff>
                <xdr:row>63</xdr:row>
                <xdr:rowOff>171450</xdr:rowOff>
              </to>
            </anchor>
          </objectPr>
        </oleObject>
      </mc:Choice>
      <mc:Fallback>
        <oleObject progId="Equation.DSMT4" shapeId="20578" r:id="rId450"/>
      </mc:Fallback>
    </mc:AlternateContent>
    <mc:AlternateContent xmlns:mc="http://schemas.openxmlformats.org/markup-compatibility/2006">
      <mc:Choice Requires="x14">
        <oleObject progId="Equation.DSMT4" shapeId="20579" r:id="rId452">
          <objectPr defaultSize="0" autoPict="0" r:id="rId453">
            <anchor moveWithCells="1">
              <from>
                <xdr:col>893</xdr:col>
                <xdr:colOff>333375</xdr:colOff>
                <xdr:row>66</xdr:row>
                <xdr:rowOff>314325</xdr:rowOff>
              </from>
              <to>
                <xdr:col>896</xdr:col>
                <xdr:colOff>581025</xdr:colOff>
                <xdr:row>68</xdr:row>
                <xdr:rowOff>171450</xdr:rowOff>
              </to>
            </anchor>
          </objectPr>
        </oleObject>
      </mc:Choice>
      <mc:Fallback>
        <oleObject progId="Equation.DSMT4" shapeId="20579" r:id="rId452"/>
      </mc:Fallback>
    </mc:AlternateContent>
    <mc:AlternateContent xmlns:mc="http://schemas.openxmlformats.org/markup-compatibility/2006">
      <mc:Choice Requires="x14">
        <oleObject progId="Equation.DSMT4" shapeId="20582" r:id="rId454">
          <objectPr defaultSize="0" autoPict="0" r:id="rId455">
            <anchor moveWithCells="1">
              <from>
                <xdr:col>891</xdr:col>
                <xdr:colOff>276225</xdr:colOff>
                <xdr:row>273</xdr:row>
                <xdr:rowOff>209550</xdr:rowOff>
              </from>
              <to>
                <xdr:col>900</xdr:col>
                <xdr:colOff>533400</xdr:colOff>
                <xdr:row>274</xdr:row>
                <xdr:rowOff>209550</xdr:rowOff>
              </to>
            </anchor>
          </objectPr>
        </oleObject>
      </mc:Choice>
      <mc:Fallback>
        <oleObject progId="Equation.DSMT4" shapeId="20582" r:id="rId454"/>
      </mc:Fallback>
    </mc:AlternateContent>
    <mc:AlternateContent xmlns:mc="http://schemas.openxmlformats.org/markup-compatibility/2006">
      <mc:Choice Requires="x14">
        <oleObject progId="Equation.DSMT4" shapeId="20603" r:id="rId456">
          <objectPr defaultSize="0" autoPict="0" r:id="rId457">
            <anchor moveWithCells="1">
              <from>
                <xdr:col>891</xdr:col>
                <xdr:colOff>228600</xdr:colOff>
                <xdr:row>222</xdr:row>
                <xdr:rowOff>209550</xdr:rowOff>
              </from>
              <to>
                <xdr:col>898</xdr:col>
                <xdr:colOff>38100</xdr:colOff>
                <xdr:row>223</xdr:row>
                <xdr:rowOff>323850</xdr:rowOff>
              </to>
            </anchor>
          </objectPr>
        </oleObject>
      </mc:Choice>
      <mc:Fallback>
        <oleObject progId="Equation.DSMT4" shapeId="20603" r:id="rId456"/>
      </mc:Fallback>
    </mc:AlternateContent>
    <mc:AlternateContent xmlns:mc="http://schemas.openxmlformats.org/markup-compatibility/2006">
      <mc:Choice Requires="x14">
        <oleObject progId="Equation.DSMT4" shapeId="20604" r:id="rId458">
          <objectPr defaultSize="0" autoPict="0" r:id="rId459">
            <anchor moveWithCells="1">
              <from>
                <xdr:col>891</xdr:col>
                <xdr:colOff>228600</xdr:colOff>
                <xdr:row>226</xdr:row>
                <xdr:rowOff>152400</xdr:rowOff>
              </from>
              <to>
                <xdr:col>898</xdr:col>
                <xdr:colOff>0</xdr:colOff>
                <xdr:row>227</xdr:row>
                <xdr:rowOff>266700</xdr:rowOff>
              </to>
            </anchor>
          </objectPr>
        </oleObject>
      </mc:Choice>
      <mc:Fallback>
        <oleObject progId="Equation.DSMT4" shapeId="20604" r:id="rId458"/>
      </mc:Fallback>
    </mc:AlternateContent>
    <mc:AlternateContent xmlns:mc="http://schemas.openxmlformats.org/markup-compatibility/2006">
      <mc:Choice Requires="x14">
        <oleObject progId="Equation.DSMT4" shapeId="20605" r:id="rId460">
          <objectPr defaultSize="0" autoPict="0" r:id="rId461">
            <anchor moveWithCells="1">
              <from>
                <xdr:col>892</xdr:col>
                <xdr:colOff>295275</xdr:colOff>
                <xdr:row>197</xdr:row>
                <xdr:rowOff>295275</xdr:rowOff>
              </from>
              <to>
                <xdr:col>902</xdr:col>
                <xdr:colOff>247650</xdr:colOff>
                <xdr:row>199</xdr:row>
                <xdr:rowOff>114300</xdr:rowOff>
              </to>
            </anchor>
          </objectPr>
        </oleObject>
      </mc:Choice>
      <mc:Fallback>
        <oleObject progId="Equation.DSMT4" shapeId="20605" r:id="rId460"/>
      </mc:Fallback>
    </mc:AlternateContent>
    <mc:AlternateContent xmlns:mc="http://schemas.openxmlformats.org/markup-compatibility/2006">
      <mc:Choice Requires="x14">
        <oleObject progId="Equation.DSMT4" shapeId="20610" r:id="rId462">
          <objectPr defaultSize="0" autoPict="0" r:id="rId463">
            <anchor moveWithCells="1">
              <from>
                <xdr:col>892</xdr:col>
                <xdr:colOff>209550</xdr:colOff>
                <xdr:row>236</xdr:row>
                <xdr:rowOff>238125</xdr:rowOff>
              </from>
              <to>
                <xdr:col>899</xdr:col>
                <xdr:colOff>400050</xdr:colOff>
                <xdr:row>238</xdr:row>
                <xdr:rowOff>161925</xdr:rowOff>
              </to>
            </anchor>
          </objectPr>
        </oleObject>
      </mc:Choice>
      <mc:Fallback>
        <oleObject progId="Equation.DSMT4" shapeId="20610" r:id="rId462"/>
      </mc:Fallback>
    </mc:AlternateContent>
    <mc:AlternateContent xmlns:mc="http://schemas.openxmlformats.org/markup-compatibility/2006">
      <mc:Choice Requires="x14">
        <oleObject progId="Equation.DSMT4" shapeId="20617" r:id="rId464">
          <objectPr defaultSize="0" autoPict="0" r:id="rId465">
            <anchor moveWithCells="1">
              <from>
                <xdr:col>891</xdr:col>
                <xdr:colOff>238125</xdr:colOff>
                <xdr:row>277</xdr:row>
                <xdr:rowOff>295275</xdr:rowOff>
              </from>
              <to>
                <xdr:col>899</xdr:col>
                <xdr:colOff>0</xdr:colOff>
                <xdr:row>279</xdr:row>
                <xdr:rowOff>133350</xdr:rowOff>
              </to>
            </anchor>
          </objectPr>
        </oleObject>
      </mc:Choice>
      <mc:Fallback>
        <oleObject progId="Equation.DSMT4" shapeId="20617" r:id="rId464"/>
      </mc:Fallback>
    </mc:AlternateContent>
    <mc:AlternateContent xmlns:mc="http://schemas.openxmlformats.org/markup-compatibility/2006">
      <mc:Choice Requires="x14">
        <oleObject progId="Equation.DSMT4" shapeId="20634" r:id="rId466">
          <objectPr defaultSize="0" autoPict="0" r:id="rId467">
            <anchor moveWithCells="1">
              <from>
                <xdr:col>892</xdr:col>
                <xdr:colOff>590550</xdr:colOff>
                <xdr:row>167</xdr:row>
                <xdr:rowOff>238125</xdr:rowOff>
              </from>
              <to>
                <xdr:col>905</xdr:col>
                <xdr:colOff>266700</xdr:colOff>
                <xdr:row>169</xdr:row>
                <xdr:rowOff>247650</xdr:rowOff>
              </to>
            </anchor>
          </objectPr>
        </oleObject>
      </mc:Choice>
      <mc:Fallback>
        <oleObject progId="Equation.DSMT4" shapeId="20634" r:id="rId466"/>
      </mc:Fallback>
    </mc:AlternateContent>
    <mc:AlternateContent xmlns:mc="http://schemas.openxmlformats.org/markup-compatibility/2006">
      <mc:Choice Requires="x14">
        <oleObject progId="Equation.DSMT4" shapeId="20648" r:id="rId468">
          <objectPr defaultSize="0" autoPict="0" r:id="rId469">
            <anchor moveWithCells="1">
              <from>
                <xdr:col>94</xdr:col>
                <xdr:colOff>238125</xdr:colOff>
                <xdr:row>62</xdr:row>
                <xdr:rowOff>257175</xdr:rowOff>
              </from>
              <to>
                <xdr:col>97</xdr:col>
                <xdr:colOff>76200</xdr:colOff>
                <xdr:row>63</xdr:row>
                <xdr:rowOff>257175</xdr:rowOff>
              </to>
            </anchor>
          </objectPr>
        </oleObject>
      </mc:Choice>
      <mc:Fallback>
        <oleObject progId="Equation.DSMT4" shapeId="20648" r:id="rId468"/>
      </mc:Fallback>
    </mc:AlternateContent>
    <mc:AlternateContent xmlns:mc="http://schemas.openxmlformats.org/markup-compatibility/2006">
      <mc:Choice Requires="x14">
        <oleObject progId="Equation.DSMT4" shapeId="20663" r:id="rId470">
          <objectPr defaultSize="0" autoPict="0" r:id="rId471">
            <anchor moveWithCells="1">
              <from>
                <xdr:col>95</xdr:col>
                <xdr:colOff>190500</xdr:colOff>
                <xdr:row>35</xdr:row>
                <xdr:rowOff>161925</xdr:rowOff>
              </from>
              <to>
                <xdr:col>98</xdr:col>
                <xdr:colOff>200025</xdr:colOff>
                <xdr:row>36</xdr:row>
                <xdr:rowOff>400050</xdr:rowOff>
              </to>
            </anchor>
          </objectPr>
        </oleObject>
      </mc:Choice>
      <mc:Fallback>
        <oleObject progId="Equation.DSMT4" shapeId="20663" r:id="rId470"/>
      </mc:Fallback>
    </mc:AlternateContent>
    <mc:AlternateContent xmlns:mc="http://schemas.openxmlformats.org/markup-compatibility/2006">
      <mc:Choice Requires="x14">
        <oleObject progId="Equation.DSMT4" shapeId="20664" r:id="rId472">
          <objectPr defaultSize="0" autoPict="0" r:id="rId473">
            <anchor moveWithCells="1">
              <from>
                <xdr:col>99</xdr:col>
                <xdr:colOff>238125</xdr:colOff>
                <xdr:row>48</xdr:row>
                <xdr:rowOff>114300</xdr:rowOff>
              </from>
              <to>
                <xdr:col>102</xdr:col>
                <xdr:colOff>95250</xdr:colOff>
                <xdr:row>49</xdr:row>
                <xdr:rowOff>466725</xdr:rowOff>
              </to>
            </anchor>
          </objectPr>
        </oleObject>
      </mc:Choice>
      <mc:Fallback>
        <oleObject progId="Equation.DSMT4" shapeId="20664" r:id="rId472"/>
      </mc:Fallback>
    </mc:AlternateContent>
    <mc:AlternateContent xmlns:mc="http://schemas.openxmlformats.org/markup-compatibility/2006">
      <mc:Choice Requires="x14">
        <oleObject progId="Equation.DSMT4" shapeId="20665" r:id="rId474">
          <objectPr defaultSize="0" autoPict="0" r:id="rId400">
            <anchor moveWithCells="1">
              <from>
                <xdr:col>723</xdr:col>
                <xdr:colOff>0</xdr:colOff>
                <xdr:row>177</xdr:row>
                <xdr:rowOff>257175</xdr:rowOff>
              </from>
              <to>
                <xdr:col>728</xdr:col>
                <xdr:colOff>552450</xdr:colOff>
                <xdr:row>178</xdr:row>
                <xdr:rowOff>228600</xdr:rowOff>
              </to>
            </anchor>
          </objectPr>
        </oleObject>
      </mc:Choice>
      <mc:Fallback>
        <oleObject progId="Equation.DSMT4" shapeId="20665" r:id="rId474"/>
      </mc:Fallback>
    </mc:AlternateContent>
    <mc:AlternateContent xmlns:mc="http://schemas.openxmlformats.org/markup-compatibility/2006">
      <mc:Choice Requires="x14">
        <oleObject progId="Equation.DSMT4" shapeId="20666" r:id="rId475">
          <objectPr defaultSize="0" autoPict="0" r:id="rId447">
            <anchor moveWithCells="1">
              <from>
                <xdr:col>722</xdr:col>
                <xdr:colOff>533400</xdr:colOff>
                <xdr:row>181</xdr:row>
                <xdr:rowOff>114300</xdr:rowOff>
              </from>
              <to>
                <xdr:col>727</xdr:col>
                <xdr:colOff>38100</xdr:colOff>
                <xdr:row>182</xdr:row>
                <xdr:rowOff>114300</xdr:rowOff>
              </to>
            </anchor>
          </objectPr>
        </oleObject>
      </mc:Choice>
      <mc:Fallback>
        <oleObject progId="Equation.DSMT4" shapeId="20666" r:id="rId475"/>
      </mc:Fallback>
    </mc:AlternateContent>
    <mc:AlternateContent xmlns:mc="http://schemas.openxmlformats.org/markup-compatibility/2006">
      <mc:Choice Requires="x14">
        <oleObject progId="Equation.DSMT4" shapeId="20670" r:id="rId476">
          <objectPr defaultSize="0" autoPict="0" r:id="rId418">
            <anchor moveWithCells="1">
              <from>
                <xdr:col>723</xdr:col>
                <xdr:colOff>95250</xdr:colOff>
                <xdr:row>183</xdr:row>
                <xdr:rowOff>304800</xdr:rowOff>
              </from>
              <to>
                <xdr:col>728</xdr:col>
                <xdr:colOff>0</xdr:colOff>
                <xdr:row>184</xdr:row>
                <xdr:rowOff>314325</xdr:rowOff>
              </to>
            </anchor>
          </objectPr>
        </oleObject>
      </mc:Choice>
      <mc:Fallback>
        <oleObject progId="Equation.DSMT4" shapeId="20670" r:id="rId476"/>
      </mc:Fallback>
    </mc:AlternateContent>
    <mc:AlternateContent xmlns:mc="http://schemas.openxmlformats.org/markup-compatibility/2006">
      <mc:Choice Requires="x14">
        <oleObject progId="Equation.DSMT4" shapeId="20671" r:id="rId477">
          <objectPr defaultSize="0" autoPict="0" r:id="rId396">
            <anchor moveWithCells="1">
              <from>
                <xdr:col>722</xdr:col>
                <xdr:colOff>581025</xdr:colOff>
                <xdr:row>179</xdr:row>
                <xdr:rowOff>123825</xdr:rowOff>
              </from>
              <to>
                <xdr:col>728</xdr:col>
                <xdr:colOff>400050</xdr:colOff>
                <xdr:row>180</xdr:row>
                <xdr:rowOff>85725</xdr:rowOff>
              </to>
            </anchor>
          </objectPr>
        </oleObject>
      </mc:Choice>
      <mc:Fallback>
        <oleObject progId="Equation.DSMT4" shapeId="20671" r:id="rId477"/>
      </mc:Fallback>
    </mc:AlternateContent>
    <mc:AlternateContent xmlns:mc="http://schemas.openxmlformats.org/markup-compatibility/2006">
      <mc:Choice Requires="x14">
        <oleObject progId="Equation.DSMT4" shapeId="20673" r:id="rId478">
          <objectPr defaultSize="0" autoPict="0" r:id="rId465">
            <anchor moveWithCells="1">
              <from>
                <xdr:col>723</xdr:col>
                <xdr:colOff>9525</xdr:colOff>
                <xdr:row>196</xdr:row>
                <xdr:rowOff>228600</xdr:rowOff>
              </from>
              <to>
                <xdr:col>731</xdr:col>
                <xdr:colOff>28575</xdr:colOff>
                <xdr:row>198</xdr:row>
                <xdr:rowOff>76200</xdr:rowOff>
              </to>
            </anchor>
          </objectPr>
        </oleObject>
      </mc:Choice>
      <mc:Fallback>
        <oleObject progId="Equation.DSMT4" shapeId="20673" r:id="rId478"/>
      </mc:Fallback>
    </mc:AlternateContent>
    <mc:AlternateContent xmlns:mc="http://schemas.openxmlformats.org/markup-compatibility/2006">
      <mc:Choice Requires="x14">
        <oleObject progId="Equation.DSMT4" shapeId="20676" r:id="rId479">
          <objectPr defaultSize="0" autoPict="0" r:id="rId420">
            <anchor moveWithCells="1">
              <from>
                <xdr:col>722</xdr:col>
                <xdr:colOff>542925</xdr:colOff>
                <xdr:row>199</xdr:row>
                <xdr:rowOff>180975</xdr:rowOff>
              </from>
              <to>
                <xdr:col>727</xdr:col>
                <xdr:colOff>514350</xdr:colOff>
                <xdr:row>201</xdr:row>
                <xdr:rowOff>200025</xdr:rowOff>
              </to>
            </anchor>
          </objectPr>
        </oleObject>
      </mc:Choice>
      <mc:Fallback>
        <oleObject progId="Equation.DSMT4" shapeId="20676" r:id="rId479"/>
      </mc:Fallback>
    </mc:AlternateContent>
    <mc:AlternateContent xmlns:mc="http://schemas.openxmlformats.org/markup-compatibility/2006">
      <mc:Choice Requires="x14">
        <oleObject progId="Equation.DSMT4" shapeId="20677" r:id="rId480">
          <objectPr defaultSize="0" autoPict="0" r:id="rId481">
            <anchor moveWithCells="1">
              <from>
                <xdr:col>723</xdr:col>
                <xdr:colOff>38100</xdr:colOff>
                <xdr:row>205</xdr:row>
                <xdr:rowOff>361950</xdr:rowOff>
              </from>
              <to>
                <xdr:col>726</xdr:col>
                <xdr:colOff>419100</xdr:colOff>
                <xdr:row>207</xdr:row>
                <xdr:rowOff>276225</xdr:rowOff>
              </to>
            </anchor>
          </objectPr>
        </oleObject>
      </mc:Choice>
      <mc:Fallback>
        <oleObject progId="Equation.DSMT4" shapeId="20677" r:id="rId480"/>
      </mc:Fallback>
    </mc:AlternateContent>
    <mc:AlternateContent xmlns:mc="http://schemas.openxmlformats.org/markup-compatibility/2006">
      <mc:Choice Requires="x14">
        <oleObject progId="Equation.DSMT4" shapeId="20678" r:id="rId482">
          <objectPr defaultSize="0" autoPict="0" r:id="rId483">
            <anchor moveWithCells="1">
              <from>
                <xdr:col>891</xdr:col>
                <xdr:colOff>342900</xdr:colOff>
                <xdr:row>289</xdr:row>
                <xdr:rowOff>104775</xdr:rowOff>
              </from>
              <to>
                <xdr:col>894</xdr:col>
                <xdr:colOff>76200</xdr:colOff>
                <xdr:row>290</xdr:row>
                <xdr:rowOff>390525</xdr:rowOff>
              </to>
            </anchor>
          </objectPr>
        </oleObject>
      </mc:Choice>
      <mc:Fallback>
        <oleObject progId="Equation.DSMT4" shapeId="20678" r:id="rId482"/>
      </mc:Fallback>
    </mc:AlternateContent>
    <mc:AlternateContent xmlns:mc="http://schemas.openxmlformats.org/markup-compatibility/2006">
      <mc:Choice Requires="x14">
        <oleObject progId="Equation.DSMT4" shapeId="20682" r:id="rId484">
          <objectPr defaultSize="0" autoPict="0" r:id="rId485">
            <anchor moveWithCells="1">
              <from>
                <xdr:col>891</xdr:col>
                <xdr:colOff>180975</xdr:colOff>
                <xdr:row>282</xdr:row>
                <xdr:rowOff>381000</xdr:rowOff>
              </from>
              <to>
                <xdr:col>894</xdr:col>
                <xdr:colOff>133350</xdr:colOff>
                <xdr:row>284</xdr:row>
                <xdr:rowOff>219075</xdr:rowOff>
              </to>
            </anchor>
          </objectPr>
        </oleObject>
      </mc:Choice>
      <mc:Fallback>
        <oleObject progId="Equation.DSMT4" shapeId="20682" r:id="rId484"/>
      </mc:Fallback>
    </mc:AlternateContent>
    <mc:AlternateContent xmlns:mc="http://schemas.openxmlformats.org/markup-compatibility/2006">
      <mc:Choice Requires="x14">
        <oleObject progId="Equation.DSMT4" shapeId="20702" r:id="rId486">
          <objectPr defaultSize="0" autoPict="0" r:id="rId487">
            <anchor moveWithCells="1">
              <from>
                <xdr:col>892</xdr:col>
                <xdr:colOff>257175</xdr:colOff>
                <xdr:row>299</xdr:row>
                <xdr:rowOff>361950</xdr:rowOff>
              </from>
              <to>
                <xdr:col>900</xdr:col>
                <xdr:colOff>447675</xdr:colOff>
                <xdr:row>301</xdr:row>
                <xdr:rowOff>152400</xdr:rowOff>
              </to>
            </anchor>
          </objectPr>
        </oleObject>
      </mc:Choice>
      <mc:Fallback>
        <oleObject progId="Equation.DSMT4" shapeId="20702" r:id="rId486"/>
      </mc:Fallback>
    </mc:AlternateContent>
    <mc:AlternateContent xmlns:mc="http://schemas.openxmlformats.org/markup-compatibility/2006">
      <mc:Choice Requires="x14">
        <oleObject progId="Equation.DSMT4" shapeId="20703" r:id="rId488">
          <objectPr defaultSize="0" autoPict="0" r:id="rId487">
            <anchor moveWithCells="1">
              <from>
                <xdr:col>723</xdr:col>
                <xdr:colOff>19050</xdr:colOff>
                <xdr:row>208</xdr:row>
                <xdr:rowOff>295275</xdr:rowOff>
              </from>
              <to>
                <xdr:col>733</xdr:col>
                <xdr:colOff>0</xdr:colOff>
                <xdr:row>210</xdr:row>
                <xdr:rowOff>276225</xdr:rowOff>
              </to>
            </anchor>
          </objectPr>
        </oleObject>
      </mc:Choice>
      <mc:Fallback>
        <oleObject progId="Equation.DSMT4" shapeId="20703" r:id="rId488"/>
      </mc:Fallback>
    </mc:AlternateContent>
    <mc:AlternateContent xmlns:mc="http://schemas.openxmlformats.org/markup-compatibility/2006">
      <mc:Choice Requires="x14">
        <oleObject progId="Equation.DSMT4" shapeId="20715" r:id="rId489">
          <objectPr defaultSize="0" autoPict="0" r:id="rId490">
            <anchor moveWithCells="1">
              <from>
                <xdr:col>893</xdr:col>
                <xdr:colOff>190500</xdr:colOff>
                <xdr:row>56</xdr:row>
                <xdr:rowOff>219075</xdr:rowOff>
              </from>
              <to>
                <xdr:col>902</xdr:col>
                <xdr:colOff>333375</xdr:colOff>
                <xdr:row>58</xdr:row>
                <xdr:rowOff>200025</xdr:rowOff>
              </to>
            </anchor>
          </objectPr>
        </oleObject>
      </mc:Choice>
      <mc:Fallback>
        <oleObject progId="Equation.DSMT4" shapeId="20715" r:id="rId489"/>
      </mc:Fallback>
    </mc:AlternateContent>
    <mc:AlternateContent xmlns:mc="http://schemas.openxmlformats.org/markup-compatibility/2006">
      <mc:Choice Requires="x14">
        <oleObject progId="Equation.DSMT4" shapeId="20729" r:id="rId491">
          <objectPr defaultSize="0" autoPict="0" r:id="rId492">
            <anchor moveWithCells="1">
              <from>
                <xdr:col>891</xdr:col>
                <xdr:colOff>381000</xdr:colOff>
                <xdr:row>202</xdr:row>
                <xdr:rowOff>142875</xdr:rowOff>
              </from>
              <to>
                <xdr:col>895</xdr:col>
                <xdr:colOff>9525</xdr:colOff>
                <xdr:row>203</xdr:row>
                <xdr:rowOff>428625</xdr:rowOff>
              </to>
            </anchor>
          </objectPr>
        </oleObject>
      </mc:Choice>
      <mc:Fallback>
        <oleObject progId="Equation.DSMT4" shapeId="20729" r:id="rId491"/>
      </mc:Fallback>
    </mc:AlternateContent>
    <mc:AlternateContent xmlns:mc="http://schemas.openxmlformats.org/markup-compatibility/2006">
      <mc:Choice Requires="x14">
        <oleObject progId="Equation.DSMT4" shapeId="20738" r:id="rId493">
          <objectPr defaultSize="0" autoPict="0" r:id="rId412">
            <anchor moveWithCells="1">
              <from>
                <xdr:col>723</xdr:col>
                <xdr:colOff>104775</xdr:colOff>
                <xdr:row>97</xdr:row>
                <xdr:rowOff>400050</xdr:rowOff>
              </from>
              <to>
                <xdr:col>726</xdr:col>
                <xdr:colOff>0</xdr:colOff>
                <xdr:row>99</xdr:row>
                <xdr:rowOff>228600</xdr:rowOff>
              </to>
            </anchor>
          </objectPr>
        </oleObject>
      </mc:Choice>
      <mc:Fallback>
        <oleObject progId="Equation.DSMT4" shapeId="20738" r:id="rId493"/>
      </mc:Fallback>
    </mc:AlternateContent>
    <mc:AlternateContent xmlns:mc="http://schemas.openxmlformats.org/markup-compatibility/2006">
      <mc:Choice Requires="x14">
        <oleObject progId="Equation.DSMT4" shapeId="20739" r:id="rId494">
          <objectPr defaultSize="0" autoPict="0" r:id="rId495">
            <anchor moveWithCells="1">
              <from>
                <xdr:col>722</xdr:col>
                <xdr:colOff>333375</xdr:colOff>
                <xdr:row>100</xdr:row>
                <xdr:rowOff>238125</xdr:rowOff>
              </from>
              <to>
                <xdr:col>729</xdr:col>
                <xdr:colOff>0</xdr:colOff>
                <xdr:row>102</xdr:row>
                <xdr:rowOff>247650</xdr:rowOff>
              </to>
            </anchor>
          </objectPr>
        </oleObject>
      </mc:Choice>
      <mc:Fallback>
        <oleObject progId="Equation.DSMT4" shapeId="20739" r:id="rId494"/>
      </mc:Fallback>
    </mc:AlternateContent>
    <mc:AlternateContent xmlns:mc="http://schemas.openxmlformats.org/markup-compatibility/2006">
      <mc:Choice Requires="x14">
        <oleObject progId="Equation.DSMT4" shapeId="20741" r:id="rId496">
          <objectPr defaultSize="0" autoPict="0" r:id="rId497">
            <anchor moveWithCells="1">
              <from>
                <xdr:col>722</xdr:col>
                <xdr:colOff>190500</xdr:colOff>
                <xdr:row>103</xdr:row>
                <xdr:rowOff>361950</xdr:rowOff>
              </from>
              <to>
                <xdr:col>729</xdr:col>
                <xdr:colOff>19050</xdr:colOff>
                <xdr:row>105</xdr:row>
                <xdr:rowOff>123825</xdr:rowOff>
              </to>
            </anchor>
          </objectPr>
        </oleObject>
      </mc:Choice>
      <mc:Fallback>
        <oleObject progId="Equation.DSMT4" shapeId="20741" r:id="rId496"/>
      </mc:Fallback>
    </mc:AlternateContent>
    <mc:AlternateContent xmlns:mc="http://schemas.openxmlformats.org/markup-compatibility/2006">
      <mc:Choice Requires="x14">
        <oleObject progId="Equation.DSMT4" shapeId="20760" r:id="rId498">
          <objectPr defaultSize="0" autoPict="0" r:id="rId499">
            <anchor moveWithCells="1">
              <from>
                <xdr:col>722</xdr:col>
                <xdr:colOff>533400</xdr:colOff>
                <xdr:row>185</xdr:row>
                <xdr:rowOff>133350</xdr:rowOff>
              </from>
              <to>
                <xdr:col>732</xdr:col>
                <xdr:colOff>104775</xdr:colOff>
                <xdr:row>187</xdr:row>
                <xdr:rowOff>200025</xdr:rowOff>
              </to>
            </anchor>
          </objectPr>
        </oleObject>
      </mc:Choice>
      <mc:Fallback>
        <oleObject progId="Equation.DSMT4" shapeId="20760" r:id="rId498"/>
      </mc:Fallback>
    </mc:AlternateContent>
    <mc:AlternateContent xmlns:mc="http://schemas.openxmlformats.org/markup-compatibility/2006">
      <mc:Choice Requires="x14">
        <oleObject progId="Equation.DSMT4" shapeId="20763" r:id="rId500">
          <objectPr defaultSize="0" autoPict="0" r:id="rId501">
            <anchor moveWithCells="1">
              <from>
                <xdr:col>722</xdr:col>
                <xdr:colOff>381000</xdr:colOff>
                <xdr:row>130</xdr:row>
                <xdr:rowOff>276225</xdr:rowOff>
              </from>
              <to>
                <xdr:col>727</xdr:col>
                <xdr:colOff>95250</xdr:colOff>
                <xdr:row>132</xdr:row>
                <xdr:rowOff>171450</xdr:rowOff>
              </to>
            </anchor>
          </objectPr>
        </oleObject>
      </mc:Choice>
      <mc:Fallback>
        <oleObject progId="Equation.DSMT4" shapeId="20763" r:id="rId500"/>
      </mc:Fallback>
    </mc:AlternateContent>
    <mc:AlternateContent xmlns:mc="http://schemas.openxmlformats.org/markup-compatibility/2006">
      <mc:Choice Requires="x14">
        <oleObject progId="Equation.DSMT4" shapeId="20766" r:id="rId502">
          <objectPr defaultSize="0" autoPict="0" r:id="rId503">
            <anchor moveWithCells="1">
              <from>
                <xdr:col>722</xdr:col>
                <xdr:colOff>209550</xdr:colOff>
                <xdr:row>133</xdr:row>
                <xdr:rowOff>476250</xdr:rowOff>
              </from>
              <to>
                <xdr:col>729</xdr:col>
                <xdr:colOff>142875</xdr:colOff>
                <xdr:row>135</xdr:row>
                <xdr:rowOff>228600</xdr:rowOff>
              </to>
            </anchor>
          </objectPr>
        </oleObject>
      </mc:Choice>
      <mc:Fallback>
        <oleObject progId="Equation.DSMT4" shapeId="20766" r:id="rId502"/>
      </mc:Fallback>
    </mc:AlternateContent>
    <mc:AlternateContent xmlns:mc="http://schemas.openxmlformats.org/markup-compatibility/2006">
      <mc:Choice Requires="x14">
        <oleObject progId="Equation.DSMT4" shapeId="20767" r:id="rId504">
          <objectPr defaultSize="0" autoPict="0" r:id="rId505">
            <anchor moveWithCells="1">
              <from>
                <xdr:col>722</xdr:col>
                <xdr:colOff>114300</xdr:colOff>
                <xdr:row>136</xdr:row>
                <xdr:rowOff>219075</xdr:rowOff>
              </from>
              <to>
                <xdr:col>730</xdr:col>
                <xdr:colOff>28575</xdr:colOff>
                <xdr:row>137</xdr:row>
                <xdr:rowOff>352425</xdr:rowOff>
              </to>
            </anchor>
          </objectPr>
        </oleObject>
      </mc:Choice>
      <mc:Fallback>
        <oleObject progId="Equation.DSMT4" shapeId="20767" r:id="rId504"/>
      </mc:Fallback>
    </mc:AlternateContent>
    <mc:AlternateContent xmlns:mc="http://schemas.openxmlformats.org/markup-compatibility/2006">
      <mc:Choice Requires="x14">
        <oleObject progId="Equation.DSMT4" shapeId="20768" r:id="rId506">
          <objectPr defaultSize="0" autoPict="0" r:id="rId499">
            <anchor moveWithCells="1">
              <from>
                <xdr:col>892</xdr:col>
                <xdr:colOff>295275</xdr:colOff>
                <xdr:row>217</xdr:row>
                <xdr:rowOff>276225</xdr:rowOff>
              </from>
              <to>
                <xdr:col>900</xdr:col>
                <xdr:colOff>333375</xdr:colOff>
                <xdr:row>219</xdr:row>
                <xdr:rowOff>190500</xdr:rowOff>
              </to>
            </anchor>
          </objectPr>
        </oleObject>
      </mc:Choice>
      <mc:Fallback>
        <oleObject progId="Equation.DSMT4" shapeId="20768" r:id="rId506"/>
      </mc:Fallback>
    </mc:AlternateContent>
    <mc:AlternateContent xmlns:mc="http://schemas.openxmlformats.org/markup-compatibility/2006">
      <mc:Choice Requires="x14">
        <oleObject progId="Equation.DSMT4" shapeId="20770" r:id="rId507">
          <objectPr defaultSize="0" autoPict="0" r:id="rId508">
            <anchor moveWithCells="1">
              <from>
                <xdr:col>892</xdr:col>
                <xdr:colOff>238125</xdr:colOff>
                <xdr:row>249</xdr:row>
                <xdr:rowOff>209550</xdr:rowOff>
              </from>
              <to>
                <xdr:col>903</xdr:col>
                <xdr:colOff>0</xdr:colOff>
                <xdr:row>251</xdr:row>
                <xdr:rowOff>200025</xdr:rowOff>
              </to>
            </anchor>
          </objectPr>
        </oleObject>
      </mc:Choice>
      <mc:Fallback>
        <oleObject progId="Equation.DSMT4" shapeId="20770" r:id="rId507"/>
      </mc:Fallback>
    </mc:AlternateContent>
    <mc:AlternateContent xmlns:mc="http://schemas.openxmlformats.org/markup-compatibility/2006">
      <mc:Choice Requires="x14">
        <oleObject progId="Equation.DSMT4" shapeId="20772" r:id="rId509">
          <objectPr defaultSize="0" autoPict="0" r:id="rId510">
            <anchor moveWithCells="1">
              <from>
                <xdr:col>722</xdr:col>
                <xdr:colOff>428625</xdr:colOff>
                <xdr:row>194</xdr:row>
                <xdr:rowOff>247650</xdr:rowOff>
              </from>
              <to>
                <xdr:col>732</xdr:col>
                <xdr:colOff>304800</xdr:colOff>
                <xdr:row>195</xdr:row>
                <xdr:rowOff>304800</xdr:rowOff>
              </to>
            </anchor>
          </objectPr>
        </oleObject>
      </mc:Choice>
      <mc:Fallback>
        <oleObject progId="Equation.DSMT4" shapeId="20772" r:id="rId509"/>
      </mc:Fallback>
    </mc:AlternateContent>
    <mc:AlternateContent xmlns:mc="http://schemas.openxmlformats.org/markup-compatibility/2006">
      <mc:Choice Requires="x14">
        <oleObject progId="Equation.DSMT4" shapeId="20773" r:id="rId511">
          <objectPr defaultSize="0" autoPict="0" r:id="rId512">
            <anchor moveWithCells="1">
              <from>
                <xdr:col>722</xdr:col>
                <xdr:colOff>504825</xdr:colOff>
                <xdr:row>188</xdr:row>
                <xdr:rowOff>85725</xdr:rowOff>
              </from>
              <to>
                <xdr:col>733</xdr:col>
                <xdr:colOff>171450</xdr:colOff>
                <xdr:row>190</xdr:row>
                <xdr:rowOff>200025</xdr:rowOff>
              </to>
            </anchor>
          </objectPr>
        </oleObject>
      </mc:Choice>
      <mc:Fallback>
        <oleObject progId="Equation.DSMT4" shapeId="20773" r:id="rId511"/>
      </mc:Fallback>
    </mc:AlternateContent>
    <mc:AlternateContent xmlns:mc="http://schemas.openxmlformats.org/markup-compatibility/2006">
      <mc:Choice Requires="x14">
        <oleObject progId="Equation.DSMT4" shapeId="20774" r:id="rId513">
          <objectPr defaultSize="0" autoPict="0" r:id="rId514">
            <anchor moveWithCells="1">
              <from>
                <xdr:col>722</xdr:col>
                <xdr:colOff>209550</xdr:colOff>
                <xdr:row>106</xdr:row>
                <xdr:rowOff>428625</xdr:rowOff>
              </from>
              <to>
                <xdr:col>728</xdr:col>
                <xdr:colOff>438150</xdr:colOff>
                <xdr:row>107</xdr:row>
                <xdr:rowOff>419100</xdr:rowOff>
              </to>
            </anchor>
          </objectPr>
        </oleObject>
      </mc:Choice>
      <mc:Fallback>
        <oleObject progId="Equation.DSMT4" shapeId="20774" r:id="rId513"/>
      </mc:Fallback>
    </mc:AlternateContent>
    <mc:AlternateContent xmlns:mc="http://schemas.openxmlformats.org/markup-compatibility/2006">
      <mc:Choice Requires="x14">
        <oleObject progId="Equation.DSMT4" shapeId="20775" r:id="rId515">
          <objectPr defaultSize="0" autoPict="0" r:id="rId516">
            <anchor moveWithCells="1">
              <from>
                <xdr:col>722</xdr:col>
                <xdr:colOff>285750</xdr:colOff>
                <xdr:row>128</xdr:row>
                <xdr:rowOff>285750</xdr:rowOff>
              </from>
              <to>
                <xdr:col>728</xdr:col>
                <xdr:colOff>85725</xdr:colOff>
                <xdr:row>129</xdr:row>
                <xdr:rowOff>276225</xdr:rowOff>
              </to>
            </anchor>
          </objectPr>
        </oleObject>
      </mc:Choice>
      <mc:Fallback>
        <oleObject progId="Equation.DSMT4" shapeId="20775" r:id="rId515"/>
      </mc:Fallback>
    </mc:AlternateContent>
    <mc:AlternateContent xmlns:mc="http://schemas.openxmlformats.org/markup-compatibility/2006">
      <mc:Choice Requires="x14">
        <oleObject progId="Equation.DSMT4" shapeId="20777" r:id="rId517">
          <objectPr defaultSize="0" autoPict="0" r:id="rId518">
            <anchor moveWithCells="1">
              <from>
                <xdr:col>892</xdr:col>
                <xdr:colOff>266700</xdr:colOff>
                <xdr:row>92</xdr:row>
                <xdr:rowOff>285750</xdr:rowOff>
              </from>
              <to>
                <xdr:col>898</xdr:col>
                <xdr:colOff>0</xdr:colOff>
                <xdr:row>93</xdr:row>
                <xdr:rowOff>276225</xdr:rowOff>
              </to>
            </anchor>
          </objectPr>
        </oleObject>
      </mc:Choice>
      <mc:Fallback>
        <oleObject progId="Equation.DSMT4" shapeId="20777" r:id="rId517"/>
      </mc:Fallback>
    </mc:AlternateContent>
    <mc:AlternateContent xmlns:mc="http://schemas.openxmlformats.org/markup-compatibility/2006">
      <mc:Choice Requires="x14">
        <oleObject progId="Equation.DSMT4" shapeId="20778" r:id="rId519">
          <objectPr defaultSize="0" autoPict="0" r:id="rId520">
            <anchor moveWithCells="1">
              <from>
                <xdr:col>892</xdr:col>
                <xdr:colOff>219075</xdr:colOff>
                <xdr:row>121</xdr:row>
                <xdr:rowOff>257175</xdr:rowOff>
              </from>
              <to>
                <xdr:col>897</xdr:col>
                <xdr:colOff>57150</xdr:colOff>
                <xdr:row>122</xdr:row>
                <xdr:rowOff>257175</xdr:rowOff>
              </to>
            </anchor>
          </objectPr>
        </oleObject>
      </mc:Choice>
      <mc:Fallback>
        <oleObject progId="Equation.DSMT4" shapeId="20778" r:id="rId519"/>
      </mc:Fallback>
    </mc:AlternateContent>
    <mc:AlternateContent xmlns:mc="http://schemas.openxmlformats.org/markup-compatibility/2006">
      <mc:Choice Requires="x14">
        <oleObject progId="Equation.DSMT4" shapeId="20785" r:id="rId521">
          <objectPr defaultSize="0" autoPict="0" r:id="rId522">
            <anchor moveWithCells="1">
              <from>
                <xdr:col>891</xdr:col>
                <xdr:colOff>361950</xdr:colOff>
                <xdr:row>261</xdr:row>
                <xdr:rowOff>504825</xdr:rowOff>
              </from>
              <to>
                <xdr:col>901</xdr:col>
                <xdr:colOff>266700</xdr:colOff>
                <xdr:row>264</xdr:row>
                <xdr:rowOff>9525</xdr:rowOff>
              </to>
            </anchor>
          </objectPr>
        </oleObject>
      </mc:Choice>
      <mc:Fallback>
        <oleObject progId="Equation.DSMT4" shapeId="20785" r:id="rId521"/>
      </mc:Fallback>
    </mc:AlternateContent>
    <mc:AlternateContent xmlns:mc="http://schemas.openxmlformats.org/markup-compatibility/2006">
      <mc:Choice Requires="x14">
        <oleObject progId="Equation.DSMT4" shapeId="20786" r:id="rId523">
          <objectPr defaultSize="0" autoPict="0" r:id="rId524">
            <anchor moveWithCells="1">
              <from>
                <xdr:col>892</xdr:col>
                <xdr:colOff>257175</xdr:colOff>
                <xdr:row>268</xdr:row>
                <xdr:rowOff>428625</xdr:rowOff>
              </from>
              <to>
                <xdr:col>897</xdr:col>
                <xdr:colOff>123825</xdr:colOff>
                <xdr:row>270</xdr:row>
                <xdr:rowOff>266700</xdr:rowOff>
              </to>
            </anchor>
          </objectPr>
        </oleObject>
      </mc:Choice>
      <mc:Fallback>
        <oleObject progId="Equation.DSMT4" shapeId="20786" r:id="rId523"/>
      </mc:Fallback>
    </mc:AlternateContent>
    <mc:AlternateContent xmlns:mc="http://schemas.openxmlformats.org/markup-compatibility/2006">
      <mc:Choice Requires="x14">
        <oleObject progId="Equation.DSMT4" shapeId="20787" r:id="rId525">
          <objectPr defaultSize="0" autoPict="0" r:id="rId524">
            <anchor moveWithCells="1">
              <from>
                <xdr:col>722</xdr:col>
                <xdr:colOff>542925</xdr:colOff>
                <xdr:row>191</xdr:row>
                <xdr:rowOff>200025</xdr:rowOff>
              </from>
              <to>
                <xdr:col>727</xdr:col>
                <xdr:colOff>571500</xdr:colOff>
                <xdr:row>193</xdr:row>
                <xdr:rowOff>38100</xdr:rowOff>
              </to>
            </anchor>
          </objectPr>
        </oleObject>
      </mc:Choice>
      <mc:Fallback>
        <oleObject progId="Equation.DSMT4" shapeId="20787" r:id="rId525"/>
      </mc:Fallback>
    </mc:AlternateContent>
    <mc:AlternateContent xmlns:mc="http://schemas.openxmlformats.org/markup-compatibility/2006">
      <mc:Choice Requires="x14">
        <oleObject progId="Equation.DSMT4" shapeId="20788" r:id="rId526">
          <objectPr defaultSize="0" autoPict="0" r:id="rId527">
            <anchor moveWithCells="1">
              <from>
                <xdr:col>722</xdr:col>
                <xdr:colOff>476250</xdr:colOff>
                <xdr:row>202</xdr:row>
                <xdr:rowOff>104775</xdr:rowOff>
              </from>
              <to>
                <xdr:col>733</xdr:col>
                <xdr:colOff>47625</xdr:colOff>
                <xdr:row>204</xdr:row>
                <xdr:rowOff>247650</xdr:rowOff>
              </to>
            </anchor>
          </objectPr>
        </oleObject>
      </mc:Choice>
      <mc:Fallback>
        <oleObject progId="Equation.DSMT4" shapeId="20788" r:id="rId526"/>
      </mc:Fallback>
    </mc:AlternateContent>
    <mc:AlternateContent xmlns:mc="http://schemas.openxmlformats.org/markup-compatibility/2006">
      <mc:Choice Requires="x14">
        <oleObject progId="Equation.DSMT4" shapeId="20793" r:id="rId528">
          <objectPr defaultSize="0" autoPict="0" r:id="rId529">
            <anchor moveWithCells="1">
              <from>
                <xdr:col>450</xdr:col>
                <xdr:colOff>285750</xdr:colOff>
                <xdr:row>48</xdr:row>
                <xdr:rowOff>209550</xdr:rowOff>
              </from>
              <to>
                <xdr:col>459</xdr:col>
                <xdr:colOff>361950</xdr:colOff>
                <xdr:row>49</xdr:row>
                <xdr:rowOff>209550</xdr:rowOff>
              </to>
            </anchor>
          </objectPr>
        </oleObject>
      </mc:Choice>
      <mc:Fallback>
        <oleObject progId="Equation.DSMT4" shapeId="20793" r:id="rId528"/>
      </mc:Fallback>
    </mc:AlternateContent>
    <mc:AlternateContent xmlns:mc="http://schemas.openxmlformats.org/markup-compatibility/2006">
      <mc:Choice Requires="x14">
        <oleObject progId="Equation.DSMT4" shapeId="20812" r:id="rId530">
          <objectPr defaultSize="0" autoPict="0" r:id="rId531">
            <anchor moveWithCells="1">
              <from>
                <xdr:col>449</xdr:col>
                <xdr:colOff>228600</xdr:colOff>
                <xdr:row>80</xdr:row>
                <xdr:rowOff>333375</xdr:rowOff>
              </from>
              <to>
                <xdr:col>454</xdr:col>
                <xdr:colOff>47625</xdr:colOff>
                <xdr:row>81</xdr:row>
                <xdr:rowOff>266700</xdr:rowOff>
              </to>
            </anchor>
          </objectPr>
        </oleObject>
      </mc:Choice>
      <mc:Fallback>
        <oleObject progId="Equation.DSMT4" shapeId="20812" r:id="rId530"/>
      </mc:Fallback>
    </mc:AlternateContent>
    <mc:AlternateContent xmlns:mc="http://schemas.openxmlformats.org/markup-compatibility/2006">
      <mc:Choice Requires="x14">
        <oleObject progId="Equation.DSMT4" shapeId="20813" r:id="rId532">
          <objectPr defaultSize="0" autoPict="0" r:id="rId533">
            <anchor moveWithCells="1">
              <from>
                <xdr:col>450</xdr:col>
                <xdr:colOff>171450</xdr:colOff>
                <xdr:row>64</xdr:row>
                <xdr:rowOff>333375</xdr:rowOff>
              </from>
              <to>
                <xdr:col>456</xdr:col>
                <xdr:colOff>76200</xdr:colOff>
                <xdr:row>66</xdr:row>
                <xdr:rowOff>200025</xdr:rowOff>
              </to>
            </anchor>
          </objectPr>
        </oleObject>
      </mc:Choice>
      <mc:Fallback>
        <oleObject progId="Equation.DSMT4" shapeId="20813" r:id="rId532"/>
      </mc:Fallback>
    </mc:AlternateContent>
    <mc:AlternateContent xmlns:mc="http://schemas.openxmlformats.org/markup-compatibility/2006">
      <mc:Choice Requires="x14">
        <oleObject progId="Equation.DSMT4" shapeId="20824" r:id="rId534">
          <objectPr defaultSize="0" autoPict="0" r:id="rId535">
            <anchor moveWithCells="1">
              <from>
                <xdr:col>447</xdr:col>
                <xdr:colOff>428625</xdr:colOff>
                <xdr:row>154</xdr:row>
                <xdr:rowOff>314325</xdr:rowOff>
              </from>
              <to>
                <xdr:col>452</xdr:col>
                <xdr:colOff>457200</xdr:colOff>
                <xdr:row>155</xdr:row>
                <xdr:rowOff>323850</xdr:rowOff>
              </to>
            </anchor>
          </objectPr>
        </oleObject>
      </mc:Choice>
      <mc:Fallback>
        <oleObject progId="Equation.DSMT4" shapeId="20824" r:id="rId534"/>
      </mc:Fallback>
    </mc:AlternateContent>
    <mc:AlternateContent xmlns:mc="http://schemas.openxmlformats.org/markup-compatibility/2006">
      <mc:Choice Requires="x14">
        <oleObject progId="Equation.DSMT4" shapeId="20827" r:id="rId536">
          <objectPr defaultSize="0" autoPict="0" r:id="rId537">
            <anchor moveWithCells="1">
              <from>
                <xdr:col>446</xdr:col>
                <xdr:colOff>485775</xdr:colOff>
                <xdr:row>134</xdr:row>
                <xdr:rowOff>276225</xdr:rowOff>
              </from>
              <to>
                <xdr:col>454</xdr:col>
                <xdr:colOff>200025</xdr:colOff>
                <xdr:row>136</xdr:row>
                <xdr:rowOff>257175</xdr:rowOff>
              </to>
            </anchor>
          </objectPr>
        </oleObject>
      </mc:Choice>
      <mc:Fallback>
        <oleObject progId="Equation.DSMT4" shapeId="20827" r:id="rId536"/>
      </mc:Fallback>
    </mc:AlternateContent>
    <mc:AlternateContent xmlns:mc="http://schemas.openxmlformats.org/markup-compatibility/2006">
      <mc:Choice Requires="x14">
        <oleObject progId="Equation.DSMT4" shapeId="20828" r:id="rId538">
          <objectPr defaultSize="0" autoPict="0" r:id="rId539">
            <anchor moveWithCells="1">
              <from>
                <xdr:col>449</xdr:col>
                <xdr:colOff>257175</xdr:colOff>
                <xdr:row>145</xdr:row>
                <xdr:rowOff>295275</xdr:rowOff>
              </from>
              <to>
                <xdr:col>454</xdr:col>
                <xdr:colOff>47625</xdr:colOff>
                <xdr:row>147</xdr:row>
                <xdr:rowOff>190500</xdr:rowOff>
              </to>
            </anchor>
          </objectPr>
        </oleObject>
      </mc:Choice>
      <mc:Fallback>
        <oleObject progId="Equation.DSMT4" shapeId="20828" r:id="rId538"/>
      </mc:Fallback>
    </mc:AlternateContent>
    <mc:AlternateContent xmlns:mc="http://schemas.openxmlformats.org/markup-compatibility/2006">
      <mc:Choice Requires="x14">
        <oleObject progId="Equation.DSMT4" shapeId="20861" r:id="rId540">
          <objectPr defaultSize="0" autoPict="0" r:id="rId541">
            <anchor moveWithCells="1">
              <from>
                <xdr:col>451</xdr:col>
                <xdr:colOff>142875</xdr:colOff>
                <xdr:row>75</xdr:row>
                <xdr:rowOff>238125</xdr:rowOff>
              </from>
              <to>
                <xdr:col>463</xdr:col>
                <xdr:colOff>314325</xdr:colOff>
                <xdr:row>77</xdr:row>
                <xdr:rowOff>219075</xdr:rowOff>
              </to>
            </anchor>
          </objectPr>
        </oleObject>
      </mc:Choice>
      <mc:Fallback>
        <oleObject progId="Equation.DSMT4" shapeId="20861" r:id="rId540"/>
      </mc:Fallback>
    </mc:AlternateContent>
    <mc:AlternateContent xmlns:mc="http://schemas.openxmlformats.org/markup-compatibility/2006">
      <mc:Choice Requires="x14">
        <oleObject progId="Equation.DSMT4" shapeId="20884" r:id="rId542">
          <objectPr defaultSize="0" autoPict="0" r:id="rId543">
            <anchor moveWithCells="1">
              <from>
                <xdr:col>450</xdr:col>
                <xdr:colOff>314325</xdr:colOff>
                <xdr:row>44</xdr:row>
                <xdr:rowOff>295275</xdr:rowOff>
              </from>
              <to>
                <xdr:col>460</xdr:col>
                <xdr:colOff>104775</xdr:colOff>
                <xdr:row>45</xdr:row>
                <xdr:rowOff>295275</xdr:rowOff>
              </to>
            </anchor>
          </objectPr>
        </oleObject>
      </mc:Choice>
      <mc:Fallback>
        <oleObject progId="Equation.DSMT4" shapeId="20884" r:id="rId542"/>
      </mc:Fallback>
    </mc:AlternateContent>
    <mc:AlternateContent xmlns:mc="http://schemas.openxmlformats.org/markup-compatibility/2006">
      <mc:Choice Requires="x14">
        <oleObject progId="Equation.DSMT4" shapeId="20902" r:id="rId544">
          <objectPr defaultSize="0" autoPict="0" r:id="rId545">
            <anchor moveWithCells="1">
              <from>
                <xdr:col>449</xdr:col>
                <xdr:colOff>285750</xdr:colOff>
                <xdr:row>125</xdr:row>
                <xdr:rowOff>238125</xdr:rowOff>
              </from>
              <to>
                <xdr:col>455</xdr:col>
                <xdr:colOff>38100</xdr:colOff>
                <xdr:row>126</xdr:row>
                <xdr:rowOff>228600</xdr:rowOff>
              </to>
            </anchor>
          </objectPr>
        </oleObject>
      </mc:Choice>
      <mc:Fallback>
        <oleObject progId="Equation.DSMT4" shapeId="20902" r:id="rId544"/>
      </mc:Fallback>
    </mc:AlternateContent>
    <mc:AlternateContent xmlns:mc="http://schemas.openxmlformats.org/markup-compatibility/2006">
      <mc:Choice Requires="x14">
        <oleObject progId="Equation.DSMT4" shapeId="20903" r:id="rId546">
          <objectPr defaultSize="0" autoPict="0" r:id="rId547">
            <anchor moveWithCells="1">
              <from>
                <xdr:col>447</xdr:col>
                <xdr:colOff>171450</xdr:colOff>
                <xdr:row>119</xdr:row>
                <xdr:rowOff>238125</xdr:rowOff>
              </from>
              <to>
                <xdr:col>453</xdr:col>
                <xdr:colOff>47625</xdr:colOff>
                <xdr:row>120</xdr:row>
                <xdr:rowOff>228600</xdr:rowOff>
              </to>
            </anchor>
          </objectPr>
        </oleObject>
      </mc:Choice>
      <mc:Fallback>
        <oleObject progId="Equation.DSMT4" shapeId="20903" r:id="rId546"/>
      </mc:Fallback>
    </mc:AlternateContent>
    <mc:AlternateContent xmlns:mc="http://schemas.openxmlformats.org/markup-compatibility/2006">
      <mc:Choice Requires="x14">
        <oleObject progId="Equation.DSMT4" shapeId="20928" r:id="rId548">
          <objectPr defaultSize="0" autoPict="0" r:id="rId549">
            <anchor moveWithCells="1">
              <from>
                <xdr:col>447</xdr:col>
                <xdr:colOff>285750</xdr:colOff>
                <xdr:row>103</xdr:row>
                <xdr:rowOff>266700</xdr:rowOff>
              </from>
              <to>
                <xdr:col>453</xdr:col>
                <xdr:colOff>0</xdr:colOff>
                <xdr:row>105</xdr:row>
                <xdr:rowOff>247650</xdr:rowOff>
              </to>
            </anchor>
          </objectPr>
        </oleObject>
      </mc:Choice>
      <mc:Fallback>
        <oleObject progId="Equation.DSMT4" shapeId="20928" r:id="rId548"/>
      </mc:Fallback>
    </mc:AlternateContent>
    <mc:AlternateContent xmlns:mc="http://schemas.openxmlformats.org/markup-compatibility/2006">
      <mc:Choice Requires="x14">
        <oleObject progId="Equation.DSMT4" shapeId="20931" r:id="rId550">
          <objectPr defaultSize="0" autoPict="0" r:id="rId551">
            <anchor moveWithCells="1">
              <from>
                <xdr:col>450</xdr:col>
                <xdr:colOff>257175</xdr:colOff>
                <xdr:row>16</xdr:row>
                <xdr:rowOff>523875</xdr:rowOff>
              </from>
              <to>
                <xdr:col>466</xdr:col>
                <xdr:colOff>9525</xdr:colOff>
                <xdr:row>18</xdr:row>
                <xdr:rowOff>504825</xdr:rowOff>
              </to>
            </anchor>
          </objectPr>
        </oleObject>
      </mc:Choice>
      <mc:Fallback>
        <oleObject progId="Equation.DSMT4" shapeId="20931" r:id="rId550"/>
      </mc:Fallback>
    </mc:AlternateContent>
    <mc:AlternateContent xmlns:mc="http://schemas.openxmlformats.org/markup-compatibility/2006">
      <mc:Choice Requires="x14">
        <oleObject progId="Equation.DSMT4" shapeId="20934" r:id="rId552">
          <objectPr defaultSize="0" autoPict="0" r:id="rId553">
            <anchor moveWithCells="1">
              <from>
                <xdr:col>446</xdr:col>
                <xdr:colOff>352425</xdr:colOff>
                <xdr:row>194</xdr:row>
                <xdr:rowOff>333375</xdr:rowOff>
              </from>
              <to>
                <xdr:col>450</xdr:col>
                <xdr:colOff>38100</xdr:colOff>
                <xdr:row>196</xdr:row>
                <xdr:rowOff>276225</xdr:rowOff>
              </to>
            </anchor>
          </objectPr>
        </oleObject>
      </mc:Choice>
      <mc:Fallback>
        <oleObject progId="Equation.DSMT4" shapeId="20934" r:id="rId552"/>
      </mc:Fallback>
    </mc:AlternateContent>
    <mc:AlternateContent xmlns:mc="http://schemas.openxmlformats.org/markup-compatibility/2006">
      <mc:Choice Requires="x14">
        <oleObject progId="Equation.DSMT4" shapeId="20941" r:id="rId554">
          <objectPr defaultSize="0" autoPict="0" r:id="rId555">
            <anchor moveWithCells="1">
              <from>
                <xdr:col>1056</xdr:col>
                <xdr:colOff>561975</xdr:colOff>
                <xdr:row>33</xdr:row>
                <xdr:rowOff>352425</xdr:rowOff>
              </from>
              <to>
                <xdr:col>1068</xdr:col>
                <xdr:colOff>457200</xdr:colOff>
                <xdr:row>40</xdr:row>
                <xdr:rowOff>66675</xdr:rowOff>
              </to>
            </anchor>
          </objectPr>
        </oleObject>
      </mc:Choice>
      <mc:Fallback>
        <oleObject progId="Equation.DSMT4" shapeId="20941" r:id="rId554"/>
      </mc:Fallback>
    </mc:AlternateContent>
    <mc:AlternateContent xmlns:mc="http://schemas.openxmlformats.org/markup-compatibility/2006">
      <mc:Choice Requires="x14">
        <oleObject progId="Equation.DSMT4" shapeId="20942" r:id="rId556">
          <objectPr defaultSize="0" autoPict="0" r:id="rId557">
            <anchor moveWithCells="1">
              <from>
                <xdr:col>515</xdr:col>
                <xdr:colOff>333375</xdr:colOff>
                <xdr:row>13</xdr:row>
                <xdr:rowOff>95250</xdr:rowOff>
              </from>
              <to>
                <xdr:col>517</xdr:col>
                <xdr:colOff>561975</xdr:colOff>
                <xdr:row>14</xdr:row>
                <xdr:rowOff>447675</xdr:rowOff>
              </to>
            </anchor>
          </objectPr>
        </oleObject>
      </mc:Choice>
      <mc:Fallback>
        <oleObject progId="Equation.DSMT4" shapeId="20942" r:id="rId556"/>
      </mc:Fallback>
    </mc:AlternateContent>
    <mc:AlternateContent xmlns:mc="http://schemas.openxmlformats.org/markup-compatibility/2006">
      <mc:Choice Requires="x14">
        <oleObject progId="Equation.DSMT4" shapeId="21157" r:id="rId558">
          <objectPr defaultSize="0" autoPict="0" r:id="rId559">
            <anchor moveWithCells="1">
              <from>
                <xdr:col>452</xdr:col>
                <xdr:colOff>257175</xdr:colOff>
                <xdr:row>25</xdr:row>
                <xdr:rowOff>285750</xdr:rowOff>
              </from>
              <to>
                <xdr:col>465</xdr:col>
                <xdr:colOff>47625</xdr:colOff>
                <xdr:row>27</xdr:row>
                <xdr:rowOff>266700</xdr:rowOff>
              </to>
            </anchor>
          </objectPr>
        </oleObject>
      </mc:Choice>
      <mc:Fallback>
        <oleObject progId="Equation.DSMT4" shapeId="21157" r:id="rId558"/>
      </mc:Fallback>
    </mc:AlternateContent>
    <mc:AlternateContent xmlns:mc="http://schemas.openxmlformats.org/markup-compatibility/2006">
      <mc:Choice Requires="x14">
        <oleObject progId="Equation.DSMT4" shapeId="21158" r:id="rId560">
          <objectPr defaultSize="0" autoPict="0" r:id="rId561">
            <anchor moveWithCells="1">
              <from>
                <xdr:col>450</xdr:col>
                <xdr:colOff>285750</xdr:colOff>
                <xdr:row>71</xdr:row>
                <xdr:rowOff>238125</xdr:rowOff>
              </from>
              <to>
                <xdr:col>460</xdr:col>
                <xdr:colOff>285750</xdr:colOff>
                <xdr:row>72</xdr:row>
                <xdr:rowOff>304800</xdr:rowOff>
              </to>
            </anchor>
          </objectPr>
        </oleObject>
      </mc:Choice>
      <mc:Fallback>
        <oleObject progId="Equation.DSMT4" shapeId="21158" r:id="rId560"/>
      </mc:Fallback>
    </mc:AlternateContent>
    <mc:AlternateContent xmlns:mc="http://schemas.openxmlformats.org/markup-compatibility/2006">
      <mc:Choice Requires="x14">
        <oleObject progId="Equation.DSMT4" shapeId="21185" r:id="rId562">
          <objectPr defaultSize="0" autoPict="0" r:id="rId563">
            <anchor moveWithCells="1">
              <from>
                <xdr:col>450</xdr:col>
                <xdr:colOff>285750</xdr:colOff>
                <xdr:row>108</xdr:row>
                <xdr:rowOff>238125</xdr:rowOff>
              </from>
              <to>
                <xdr:col>460</xdr:col>
                <xdr:colOff>161925</xdr:colOff>
                <xdr:row>109</xdr:row>
                <xdr:rowOff>304800</xdr:rowOff>
              </to>
            </anchor>
          </objectPr>
        </oleObject>
      </mc:Choice>
      <mc:Fallback>
        <oleObject progId="Equation.DSMT4" shapeId="21185" r:id="rId562"/>
      </mc:Fallback>
    </mc:AlternateContent>
    <mc:AlternateContent xmlns:mc="http://schemas.openxmlformats.org/markup-compatibility/2006">
      <mc:Choice Requires="x14">
        <oleObject progId="Equation.DSMT4" shapeId="21187" r:id="rId564">
          <objectPr defaultSize="0" autoPict="0" r:id="rId565">
            <anchor moveWithCells="1">
              <from>
                <xdr:col>447</xdr:col>
                <xdr:colOff>257175</xdr:colOff>
                <xdr:row>98</xdr:row>
                <xdr:rowOff>285750</xdr:rowOff>
              </from>
              <to>
                <xdr:col>457</xdr:col>
                <xdr:colOff>419100</xdr:colOff>
                <xdr:row>100</xdr:row>
                <xdr:rowOff>266700</xdr:rowOff>
              </to>
            </anchor>
          </objectPr>
        </oleObject>
      </mc:Choice>
      <mc:Fallback>
        <oleObject progId="Equation.DSMT4" shapeId="21187" r:id="rId564"/>
      </mc:Fallback>
    </mc:AlternateContent>
    <mc:AlternateContent xmlns:mc="http://schemas.openxmlformats.org/markup-compatibility/2006">
      <mc:Choice Requires="x14">
        <oleObject progId="Equation.DSMT4" shapeId="21188" r:id="rId566">
          <objectPr defaultSize="0" autoPict="0" r:id="rId567">
            <anchor moveWithCells="1">
              <from>
                <xdr:col>515</xdr:col>
                <xdr:colOff>371475</xdr:colOff>
                <xdr:row>30</xdr:row>
                <xdr:rowOff>295275</xdr:rowOff>
              </from>
              <to>
                <xdr:col>517</xdr:col>
                <xdr:colOff>552450</xdr:colOff>
                <xdr:row>31</xdr:row>
                <xdr:rowOff>304800</xdr:rowOff>
              </to>
            </anchor>
          </objectPr>
        </oleObject>
      </mc:Choice>
      <mc:Fallback>
        <oleObject progId="Equation.DSMT4" shapeId="21188" r:id="rId566"/>
      </mc:Fallback>
    </mc:AlternateContent>
    <mc:AlternateContent xmlns:mc="http://schemas.openxmlformats.org/markup-compatibility/2006">
      <mc:Choice Requires="x14">
        <oleObject progId="Equation.DSMT4" shapeId="21189" r:id="rId568">
          <objectPr defaultSize="0" autoPict="0" r:id="rId569">
            <anchor moveWithCells="1">
              <from>
                <xdr:col>516</xdr:col>
                <xdr:colOff>190500</xdr:colOff>
                <xdr:row>34</xdr:row>
                <xdr:rowOff>304800</xdr:rowOff>
              </from>
              <to>
                <xdr:col>518</xdr:col>
                <xdr:colOff>142875</xdr:colOff>
                <xdr:row>35</xdr:row>
                <xdr:rowOff>200025</xdr:rowOff>
              </to>
            </anchor>
          </objectPr>
        </oleObject>
      </mc:Choice>
      <mc:Fallback>
        <oleObject progId="Equation.DSMT4" shapeId="21189" r:id="rId568"/>
      </mc:Fallback>
    </mc:AlternateContent>
    <mc:AlternateContent xmlns:mc="http://schemas.openxmlformats.org/markup-compatibility/2006">
      <mc:Choice Requires="x14">
        <oleObject progId="Equation.DSMT4" shapeId="21190" r:id="rId570">
          <objectPr defaultSize="0" autoPict="0" r:id="rId571">
            <anchor moveWithCells="1">
              <from>
                <xdr:col>482</xdr:col>
                <xdr:colOff>190500</xdr:colOff>
                <xdr:row>16</xdr:row>
                <xdr:rowOff>352425</xdr:rowOff>
              </from>
              <to>
                <xdr:col>487</xdr:col>
                <xdr:colOff>0</xdr:colOff>
                <xdr:row>17</xdr:row>
                <xdr:rowOff>238125</xdr:rowOff>
              </to>
            </anchor>
          </objectPr>
        </oleObject>
      </mc:Choice>
      <mc:Fallback>
        <oleObject progId="Equation.DSMT4" shapeId="21190" r:id="rId570"/>
      </mc:Fallback>
    </mc:AlternateContent>
    <mc:AlternateContent xmlns:mc="http://schemas.openxmlformats.org/markup-compatibility/2006">
      <mc:Choice Requires="x14">
        <oleObject progId="Equation.DSMT4" shapeId="21191" r:id="rId572">
          <objectPr defaultSize="0" autoPict="0" r:id="rId573">
            <anchor moveWithCells="1">
              <from>
                <xdr:col>515</xdr:col>
                <xdr:colOff>381000</xdr:colOff>
                <xdr:row>25</xdr:row>
                <xdr:rowOff>447675</xdr:rowOff>
              </from>
              <to>
                <xdr:col>519</xdr:col>
                <xdr:colOff>495300</xdr:colOff>
                <xdr:row>27</xdr:row>
                <xdr:rowOff>200025</xdr:rowOff>
              </to>
            </anchor>
          </objectPr>
        </oleObject>
      </mc:Choice>
      <mc:Fallback>
        <oleObject progId="Equation.DSMT4" shapeId="21191" r:id="rId572"/>
      </mc:Fallback>
    </mc:AlternateContent>
    <mc:AlternateContent xmlns:mc="http://schemas.openxmlformats.org/markup-compatibility/2006">
      <mc:Choice Requires="x14">
        <oleObject progId="Equation.DSMT4" shapeId="21198" r:id="rId574">
          <objectPr defaultSize="0" autoPict="0" r:id="rId575">
            <anchor moveWithCells="1">
              <from>
                <xdr:col>449</xdr:col>
                <xdr:colOff>228600</xdr:colOff>
                <xdr:row>199</xdr:row>
                <xdr:rowOff>295275</xdr:rowOff>
              </from>
              <to>
                <xdr:col>454</xdr:col>
                <xdr:colOff>104775</xdr:colOff>
                <xdr:row>200</xdr:row>
                <xdr:rowOff>266700</xdr:rowOff>
              </to>
            </anchor>
          </objectPr>
        </oleObject>
      </mc:Choice>
      <mc:Fallback>
        <oleObject progId="Equation.DSMT4" shapeId="21198" r:id="rId574"/>
      </mc:Fallback>
    </mc:AlternateContent>
    <mc:AlternateContent xmlns:mc="http://schemas.openxmlformats.org/markup-compatibility/2006">
      <mc:Choice Requires="x14">
        <oleObject progId="Equation.DSMT4" shapeId="21199" r:id="rId576">
          <objectPr defaultSize="0" autoPict="0" r:id="rId577">
            <anchor moveWithCells="1">
              <from>
                <xdr:col>515</xdr:col>
                <xdr:colOff>276225</xdr:colOff>
                <xdr:row>38</xdr:row>
                <xdr:rowOff>361950</xdr:rowOff>
              </from>
              <to>
                <xdr:col>516</xdr:col>
                <xdr:colOff>247650</xdr:colOff>
                <xdr:row>39</xdr:row>
                <xdr:rowOff>257175</xdr:rowOff>
              </to>
            </anchor>
          </objectPr>
        </oleObject>
      </mc:Choice>
      <mc:Fallback>
        <oleObject progId="Equation.DSMT4" shapeId="21199" r:id="rId576"/>
      </mc:Fallback>
    </mc:AlternateContent>
    <mc:AlternateContent xmlns:mc="http://schemas.openxmlformats.org/markup-compatibility/2006">
      <mc:Choice Requires="x14">
        <oleObject progId="Equation.DSMT4" shapeId="21200" r:id="rId578">
          <objectPr defaultSize="0" autoPict="0" r:id="rId579">
            <anchor moveWithCells="1">
              <from>
                <xdr:col>589</xdr:col>
                <xdr:colOff>590550</xdr:colOff>
                <xdr:row>28</xdr:row>
                <xdr:rowOff>304800</xdr:rowOff>
              </from>
              <to>
                <xdr:col>592</xdr:col>
                <xdr:colOff>485775</xdr:colOff>
                <xdr:row>29</xdr:row>
                <xdr:rowOff>123825</xdr:rowOff>
              </to>
            </anchor>
          </objectPr>
        </oleObject>
      </mc:Choice>
      <mc:Fallback>
        <oleObject progId="Equation.DSMT4" shapeId="21200" r:id="rId578"/>
      </mc:Fallback>
    </mc:AlternateContent>
    <mc:AlternateContent xmlns:mc="http://schemas.openxmlformats.org/markup-compatibility/2006">
      <mc:Choice Requires="x14">
        <oleObject progId="Equation.DSMT4" shapeId="21201" r:id="rId580">
          <objectPr defaultSize="0" autoPict="0" r:id="rId581">
            <anchor moveWithCells="1">
              <from>
                <xdr:col>589</xdr:col>
                <xdr:colOff>523875</xdr:colOff>
                <xdr:row>20</xdr:row>
                <xdr:rowOff>476250</xdr:rowOff>
              </from>
              <to>
                <xdr:col>594</xdr:col>
                <xdr:colOff>285750</xdr:colOff>
                <xdr:row>21</xdr:row>
                <xdr:rowOff>371475</xdr:rowOff>
              </to>
            </anchor>
          </objectPr>
        </oleObject>
      </mc:Choice>
      <mc:Fallback>
        <oleObject progId="Equation.DSMT4" shapeId="21201" r:id="rId580"/>
      </mc:Fallback>
    </mc:AlternateContent>
    <mc:AlternateContent xmlns:mc="http://schemas.openxmlformats.org/markup-compatibility/2006">
      <mc:Choice Requires="x14">
        <oleObject progId="Equation.DSMT4" shapeId="21202" r:id="rId582">
          <objectPr defaultSize="0" autoPict="0" r:id="rId583">
            <anchor moveWithCells="1">
              <from>
                <xdr:col>590</xdr:col>
                <xdr:colOff>0</xdr:colOff>
                <xdr:row>26</xdr:row>
                <xdr:rowOff>428625</xdr:rowOff>
              </from>
              <to>
                <xdr:col>592</xdr:col>
                <xdr:colOff>533400</xdr:colOff>
                <xdr:row>27</xdr:row>
                <xdr:rowOff>238125</xdr:rowOff>
              </to>
            </anchor>
          </objectPr>
        </oleObject>
      </mc:Choice>
      <mc:Fallback>
        <oleObject progId="Equation.DSMT4" shapeId="21202" r:id="rId582"/>
      </mc:Fallback>
    </mc:AlternateContent>
    <mc:AlternateContent xmlns:mc="http://schemas.openxmlformats.org/markup-compatibility/2006">
      <mc:Choice Requires="x14">
        <oleObject progId="Equation.DSMT4" shapeId="21203" r:id="rId584">
          <objectPr defaultSize="0" autoPict="0" r:id="rId585">
            <anchor moveWithCells="1">
              <from>
                <xdr:col>450</xdr:col>
                <xdr:colOff>304800</xdr:colOff>
                <xdr:row>172</xdr:row>
                <xdr:rowOff>219075</xdr:rowOff>
              </from>
              <to>
                <xdr:col>454</xdr:col>
                <xdr:colOff>9525</xdr:colOff>
                <xdr:row>173</xdr:row>
                <xdr:rowOff>419100</xdr:rowOff>
              </to>
            </anchor>
          </objectPr>
        </oleObject>
      </mc:Choice>
      <mc:Fallback>
        <oleObject progId="Equation.DSMT4" shapeId="21203" r:id="rId584"/>
      </mc:Fallback>
    </mc:AlternateContent>
    <mc:AlternateContent xmlns:mc="http://schemas.openxmlformats.org/markup-compatibility/2006">
      <mc:Choice Requires="x14">
        <oleObject progId="Equation.DSMT4" shapeId="21207" r:id="rId586">
          <objectPr defaultSize="0" autoPict="0" r:id="rId587">
            <anchor moveWithCells="1">
              <from>
                <xdr:col>590</xdr:col>
                <xdr:colOff>0</xdr:colOff>
                <xdr:row>32</xdr:row>
                <xdr:rowOff>361950</xdr:rowOff>
              </from>
              <to>
                <xdr:col>594</xdr:col>
                <xdr:colOff>523875</xdr:colOff>
                <xdr:row>33</xdr:row>
                <xdr:rowOff>247650</xdr:rowOff>
              </to>
            </anchor>
          </objectPr>
        </oleObject>
      </mc:Choice>
      <mc:Fallback>
        <oleObject progId="Equation.DSMT4" shapeId="21207" r:id="rId586"/>
      </mc:Fallback>
    </mc:AlternateContent>
    <mc:AlternateContent xmlns:mc="http://schemas.openxmlformats.org/markup-compatibility/2006">
      <mc:Choice Requires="x14">
        <oleObject progId="Equation.DSMT4" shapeId="21221" r:id="rId588">
          <objectPr defaultSize="0" autoPict="0" r:id="rId589">
            <anchor moveWithCells="1">
              <from>
                <xdr:col>589</xdr:col>
                <xdr:colOff>523875</xdr:colOff>
                <xdr:row>46</xdr:row>
                <xdr:rowOff>190500</xdr:rowOff>
              </from>
              <to>
                <xdr:col>593</xdr:col>
                <xdr:colOff>447675</xdr:colOff>
                <xdr:row>47</xdr:row>
                <xdr:rowOff>438150</xdr:rowOff>
              </to>
            </anchor>
          </objectPr>
        </oleObject>
      </mc:Choice>
      <mc:Fallback>
        <oleObject progId="Equation.DSMT4" shapeId="21221" r:id="rId588"/>
      </mc:Fallback>
    </mc:AlternateContent>
    <mc:AlternateContent xmlns:mc="http://schemas.openxmlformats.org/markup-compatibility/2006">
      <mc:Choice Requires="x14">
        <oleObject progId="Equation.DSMT4" shapeId="21222" r:id="rId590">
          <objectPr defaultSize="0" autoPict="0" r:id="rId591">
            <anchor moveWithCells="1">
              <from>
                <xdr:col>589</xdr:col>
                <xdr:colOff>561975</xdr:colOff>
                <xdr:row>30</xdr:row>
                <xdr:rowOff>361950</xdr:rowOff>
              </from>
              <to>
                <xdr:col>593</xdr:col>
                <xdr:colOff>371475</xdr:colOff>
                <xdr:row>31</xdr:row>
                <xdr:rowOff>104775</xdr:rowOff>
              </to>
            </anchor>
          </objectPr>
        </oleObject>
      </mc:Choice>
      <mc:Fallback>
        <oleObject progId="Equation.DSMT4" shapeId="21222" r:id="rId590"/>
      </mc:Fallback>
    </mc:AlternateContent>
    <mc:AlternateContent xmlns:mc="http://schemas.openxmlformats.org/markup-compatibility/2006">
      <mc:Choice Requires="x14">
        <oleObject progId="Equation.DSMT4" shapeId="21223" r:id="rId592">
          <objectPr defaultSize="0" autoPict="0" r:id="rId593">
            <anchor moveWithCells="1">
              <from>
                <xdr:col>590</xdr:col>
                <xdr:colOff>66675</xdr:colOff>
                <xdr:row>34</xdr:row>
                <xdr:rowOff>266700</xdr:rowOff>
              </from>
              <to>
                <xdr:col>594</xdr:col>
                <xdr:colOff>476250</xdr:colOff>
                <xdr:row>35</xdr:row>
                <xdr:rowOff>200025</xdr:rowOff>
              </to>
            </anchor>
          </objectPr>
        </oleObject>
      </mc:Choice>
      <mc:Fallback>
        <oleObject progId="Equation.DSMT4" shapeId="21223" r:id="rId592"/>
      </mc:Fallback>
    </mc:AlternateContent>
    <mc:AlternateContent xmlns:mc="http://schemas.openxmlformats.org/markup-compatibility/2006">
      <mc:Choice Requires="x14">
        <oleObject progId="Equation.DSMT4" shapeId="21224" r:id="rId594">
          <objectPr defaultSize="0" autoPict="0" r:id="rId595">
            <anchor moveWithCells="1">
              <from>
                <xdr:col>589</xdr:col>
                <xdr:colOff>571500</xdr:colOff>
                <xdr:row>44</xdr:row>
                <xdr:rowOff>28575</xdr:rowOff>
              </from>
              <to>
                <xdr:col>596</xdr:col>
                <xdr:colOff>333375</xdr:colOff>
                <xdr:row>45</xdr:row>
                <xdr:rowOff>400050</xdr:rowOff>
              </to>
            </anchor>
          </objectPr>
        </oleObject>
      </mc:Choice>
      <mc:Fallback>
        <oleObject progId="Equation.DSMT4" shapeId="21224" r:id="rId594"/>
      </mc:Fallback>
    </mc:AlternateContent>
    <mc:AlternateContent xmlns:mc="http://schemas.openxmlformats.org/markup-compatibility/2006">
      <mc:Choice Requires="x14">
        <oleObject progId="Equation.DSMT4" shapeId="21225" r:id="rId596">
          <objectPr defaultSize="0" autoPict="0" r:id="rId597">
            <anchor moveWithCells="1">
              <from>
                <xdr:col>154</xdr:col>
                <xdr:colOff>400050</xdr:colOff>
                <xdr:row>118</xdr:row>
                <xdr:rowOff>257175</xdr:rowOff>
              </from>
              <to>
                <xdr:col>158</xdr:col>
                <xdr:colOff>514350</xdr:colOff>
                <xdr:row>120</xdr:row>
                <xdr:rowOff>171450</xdr:rowOff>
              </to>
            </anchor>
          </objectPr>
        </oleObject>
      </mc:Choice>
      <mc:Fallback>
        <oleObject progId="Equation.DSMT4" shapeId="21225" r:id="rId596"/>
      </mc:Fallback>
    </mc:AlternateContent>
    <mc:AlternateContent xmlns:mc="http://schemas.openxmlformats.org/markup-compatibility/2006">
      <mc:Choice Requires="x14">
        <oleObject progId="Equation.DSMT4" shapeId="21226" r:id="rId598">
          <objectPr defaultSize="0" autoPict="0" r:id="rId599">
            <anchor moveWithCells="1">
              <from>
                <xdr:col>361</xdr:col>
                <xdr:colOff>171450</xdr:colOff>
                <xdr:row>205</xdr:row>
                <xdr:rowOff>285750</xdr:rowOff>
              </from>
              <to>
                <xdr:col>369</xdr:col>
                <xdr:colOff>504825</xdr:colOff>
                <xdr:row>206</xdr:row>
                <xdr:rowOff>276225</xdr:rowOff>
              </to>
            </anchor>
          </objectPr>
        </oleObject>
      </mc:Choice>
      <mc:Fallback>
        <oleObject progId="Equation.DSMT4" shapeId="21226" r:id="rId598"/>
      </mc:Fallback>
    </mc:AlternateContent>
    <mc:AlternateContent xmlns:mc="http://schemas.openxmlformats.org/markup-compatibility/2006">
      <mc:Choice Requires="x14">
        <oleObject progId="Equation.DSMT4" shapeId="21269" r:id="rId600">
          <objectPr defaultSize="0" autoPict="0" r:id="rId595">
            <anchor moveWithCells="1">
              <from>
                <xdr:col>724</xdr:col>
                <xdr:colOff>171450</xdr:colOff>
                <xdr:row>46</xdr:row>
                <xdr:rowOff>133350</xdr:rowOff>
              </from>
              <to>
                <xdr:col>730</xdr:col>
                <xdr:colOff>0</xdr:colOff>
                <xdr:row>47</xdr:row>
                <xdr:rowOff>400050</xdr:rowOff>
              </to>
            </anchor>
          </objectPr>
        </oleObject>
      </mc:Choice>
      <mc:Fallback>
        <oleObject progId="Equation.DSMT4" shapeId="21269" r:id="rId600"/>
      </mc:Fallback>
    </mc:AlternateContent>
    <mc:AlternateContent xmlns:mc="http://schemas.openxmlformats.org/markup-compatibility/2006">
      <mc:Choice Requires="x14">
        <oleObject progId="Equation.DSMT4" shapeId="21270" r:id="rId601">
          <objectPr defaultSize="0" autoPict="0" r:id="rId467">
            <anchor moveWithCells="1">
              <from>
                <xdr:col>722</xdr:col>
                <xdr:colOff>238125</xdr:colOff>
                <xdr:row>151</xdr:row>
                <xdr:rowOff>85725</xdr:rowOff>
              </from>
              <to>
                <xdr:col>734</xdr:col>
                <xdr:colOff>561975</xdr:colOff>
                <xdr:row>153</xdr:row>
                <xdr:rowOff>85725</xdr:rowOff>
              </to>
            </anchor>
          </objectPr>
        </oleObject>
      </mc:Choice>
      <mc:Fallback>
        <oleObject progId="Equation.DSMT4" shapeId="21270" r:id="rId601"/>
      </mc:Fallback>
    </mc:AlternateContent>
    <mc:AlternateContent xmlns:mc="http://schemas.openxmlformats.org/markup-compatibility/2006">
      <mc:Choice Requires="x14">
        <oleObject progId="Equation.DSMT4" shapeId="21271" r:id="rId602">
          <objectPr defaultSize="0" autoPict="0" r:id="rId461">
            <anchor moveWithCells="1">
              <from>
                <xdr:col>722</xdr:col>
                <xdr:colOff>419100</xdr:colOff>
                <xdr:row>171</xdr:row>
                <xdr:rowOff>276225</xdr:rowOff>
              </from>
              <to>
                <xdr:col>732</xdr:col>
                <xdr:colOff>342900</xdr:colOff>
                <xdr:row>173</xdr:row>
                <xdr:rowOff>95250</xdr:rowOff>
              </to>
            </anchor>
          </objectPr>
        </oleObject>
      </mc:Choice>
      <mc:Fallback>
        <oleObject progId="Equation.DSMT4" shapeId="21271" r:id="rId602"/>
      </mc:Fallback>
    </mc:AlternateContent>
    <mc:AlternateContent xmlns:mc="http://schemas.openxmlformats.org/markup-compatibility/2006">
      <mc:Choice Requires="x14">
        <oleObject progId="Equation.DSMT4" shapeId="21272" r:id="rId603">
          <objectPr defaultSize="0" autoPict="0" r:id="rId463">
            <anchor moveWithCells="1">
              <from>
                <xdr:col>722</xdr:col>
                <xdr:colOff>571500</xdr:colOff>
                <xdr:row>174</xdr:row>
                <xdr:rowOff>219075</xdr:rowOff>
              </from>
              <to>
                <xdr:col>730</xdr:col>
                <xdr:colOff>38100</xdr:colOff>
                <xdr:row>176</xdr:row>
                <xdr:rowOff>142875</xdr:rowOff>
              </to>
            </anchor>
          </objectPr>
        </oleObject>
      </mc:Choice>
      <mc:Fallback>
        <oleObject progId="Equation.DSMT4" shapeId="21272" r:id="rId603"/>
      </mc:Fallback>
    </mc:AlternateContent>
    <mc:AlternateContent xmlns:mc="http://schemas.openxmlformats.org/markup-compatibility/2006">
      <mc:Choice Requires="x14">
        <oleObject progId="Equation.DSMT4" shapeId="21275" r:id="rId604">
          <objectPr defaultSize="0" autoPict="0" r:id="rId605">
            <anchor moveWithCells="1">
              <from>
                <xdr:col>1197</xdr:col>
                <xdr:colOff>95250</xdr:colOff>
                <xdr:row>56</xdr:row>
                <xdr:rowOff>19050</xdr:rowOff>
              </from>
              <to>
                <xdr:col>1202</xdr:col>
                <xdr:colOff>0</xdr:colOff>
                <xdr:row>57</xdr:row>
                <xdr:rowOff>381000</xdr:rowOff>
              </to>
            </anchor>
          </objectPr>
        </oleObject>
      </mc:Choice>
      <mc:Fallback>
        <oleObject progId="Equation.DSMT4" shapeId="21275" r:id="rId604"/>
      </mc:Fallback>
    </mc:AlternateContent>
    <mc:AlternateContent xmlns:mc="http://schemas.openxmlformats.org/markup-compatibility/2006">
      <mc:Choice Requires="x14">
        <oleObject progId="Equation.DSMT4" shapeId="21276" r:id="rId606">
          <objectPr defaultSize="0" autoPict="0" r:id="rId607">
            <anchor moveWithCells="1">
              <from>
                <xdr:col>1187</xdr:col>
                <xdr:colOff>257175</xdr:colOff>
                <xdr:row>51</xdr:row>
                <xdr:rowOff>428625</xdr:rowOff>
              </from>
              <to>
                <xdr:col>1196</xdr:col>
                <xdr:colOff>266700</xdr:colOff>
                <xdr:row>53</xdr:row>
                <xdr:rowOff>428625</xdr:rowOff>
              </to>
            </anchor>
          </objectPr>
        </oleObject>
      </mc:Choice>
      <mc:Fallback>
        <oleObject progId="Equation.DSMT4" shapeId="21276" r:id="rId606"/>
      </mc:Fallback>
    </mc:AlternateContent>
    <mc:AlternateContent xmlns:mc="http://schemas.openxmlformats.org/markup-compatibility/2006">
      <mc:Choice Requires="x14">
        <oleObject progId="Equation.DSMT4" shapeId="21302" r:id="rId608">
          <objectPr defaultSize="0" autoPict="0" r:id="rId445">
            <anchor moveWithCells="1">
              <from>
                <xdr:col>625</xdr:col>
                <xdr:colOff>419100</xdr:colOff>
                <xdr:row>148</xdr:row>
                <xdr:rowOff>28575</xdr:rowOff>
              </from>
              <to>
                <xdr:col>629</xdr:col>
                <xdr:colOff>247650</xdr:colOff>
                <xdr:row>149</xdr:row>
                <xdr:rowOff>171450</xdr:rowOff>
              </to>
            </anchor>
          </objectPr>
        </oleObject>
      </mc:Choice>
      <mc:Fallback>
        <oleObject progId="Equation.DSMT4" shapeId="21302" r:id="rId608"/>
      </mc:Fallback>
    </mc:AlternateContent>
    <mc:AlternateContent xmlns:mc="http://schemas.openxmlformats.org/markup-compatibility/2006">
      <mc:Choice Requires="x14">
        <oleObject progId="Equation.DSMT4" shapeId="21307" r:id="rId609">
          <objectPr defaultSize="0" autoPict="0" r:id="rId591">
            <anchor moveWithCells="1">
              <from>
                <xdr:col>727</xdr:col>
                <xdr:colOff>238125</xdr:colOff>
                <xdr:row>26</xdr:row>
                <xdr:rowOff>523875</xdr:rowOff>
              </from>
              <to>
                <xdr:col>731</xdr:col>
                <xdr:colOff>47625</xdr:colOff>
                <xdr:row>27</xdr:row>
                <xdr:rowOff>266700</xdr:rowOff>
              </to>
            </anchor>
          </objectPr>
        </oleObject>
      </mc:Choice>
      <mc:Fallback>
        <oleObject progId="Equation.DSMT4" shapeId="21307" r:id="rId609"/>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A174" zoomScale="40" zoomScaleNormal="40" workbookViewId="0">
      <selection activeCell="P204" sqref="P204"/>
    </sheetView>
  </sheetViews>
  <sheetFormatPr defaultColWidth="18.25" defaultRowHeight="48.75" customHeight="1"/>
  <cols>
    <col min="1" max="60" width="18.25" style="11"/>
    <col min="61" max="61" width="18.25" style="277"/>
    <col min="62" max="16384" width="18.25" style="11"/>
  </cols>
  <sheetData>
    <row r="2" spans="2:115" ht="48.75" customHeight="1">
      <c r="B2" s="987" t="s">
        <v>505</v>
      </c>
      <c r="C2" s="988"/>
      <c r="D2" s="988"/>
      <c r="E2" s="988"/>
      <c r="F2" s="988"/>
      <c r="G2" s="988"/>
      <c r="H2" s="988"/>
      <c r="I2" s="988"/>
      <c r="J2" s="988"/>
      <c r="K2" s="988"/>
      <c r="L2" s="988"/>
      <c r="M2" s="988"/>
      <c r="N2" s="329" t="s">
        <v>439</v>
      </c>
      <c r="O2" s="1932" t="s">
        <v>1196</v>
      </c>
      <c r="P2" s="1932"/>
      <c r="Q2" s="1932"/>
      <c r="R2" s="970"/>
      <c r="Z2" s="276" t="s">
        <v>439</v>
      </c>
      <c r="AA2" s="856" t="s">
        <v>827</v>
      </c>
      <c r="AB2" s="856"/>
      <c r="AC2" s="856"/>
    </row>
    <row r="3" spans="2:115" ht="48.75" customHeight="1">
      <c r="B3" s="993"/>
      <c r="C3" s="994"/>
      <c r="D3" s="994"/>
      <c r="E3" s="994"/>
      <c r="F3" s="994"/>
      <c r="G3" s="994"/>
      <c r="H3" s="994"/>
      <c r="I3" s="994"/>
      <c r="J3" s="994"/>
      <c r="K3" s="994"/>
      <c r="L3" s="994"/>
      <c r="M3" s="994"/>
      <c r="N3" s="330" t="s">
        <v>440</v>
      </c>
      <c r="O3" s="1932" t="s">
        <v>1194</v>
      </c>
      <c r="P3" s="1932"/>
      <c r="Q3" s="1932"/>
      <c r="R3" s="972"/>
      <c r="AL3" s="1932" t="s">
        <v>1195</v>
      </c>
      <c r="AM3" s="1932"/>
    </row>
    <row r="4" spans="2:115" ht="48.75" customHeight="1">
      <c r="B4" s="253" t="s">
        <v>512</v>
      </c>
      <c r="C4" s="257">
        <v>56</v>
      </c>
      <c r="D4" s="257">
        <v>63</v>
      </c>
      <c r="E4" s="257">
        <v>71</v>
      </c>
      <c r="F4" s="257">
        <v>80</v>
      </c>
      <c r="G4" s="257">
        <v>90</v>
      </c>
      <c r="H4" s="257">
        <v>100</v>
      </c>
      <c r="I4" s="257">
        <v>112</v>
      </c>
      <c r="J4" s="257">
        <v>132</v>
      </c>
      <c r="K4" s="257">
        <v>160</v>
      </c>
      <c r="L4" s="257">
        <v>180</v>
      </c>
      <c r="M4" s="257">
        <v>200</v>
      </c>
      <c r="N4" s="257">
        <v>225</v>
      </c>
      <c r="O4" s="257">
        <v>250</v>
      </c>
      <c r="P4" s="257">
        <v>280</v>
      </c>
      <c r="Q4" s="257">
        <v>315</v>
      </c>
      <c r="R4" s="257">
        <v>355</v>
      </c>
      <c r="AL4" s="1932" t="s">
        <v>1194</v>
      </c>
      <c r="AM4" s="1932"/>
    </row>
    <row r="5" spans="2:115" ht="48.75" customHeight="1">
      <c r="B5" s="253" t="s">
        <v>718</v>
      </c>
      <c r="C5" s="257">
        <v>8.8999999999999996E-2</v>
      </c>
      <c r="D5" s="257">
        <v>0.1</v>
      </c>
      <c r="E5" s="257">
        <v>0.11600000000000001</v>
      </c>
      <c r="F5" s="257">
        <v>0.13100000000000001</v>
      </c>
      <c r="G5" s="257">
        <v>0.14899999999999999</v>
      </c>
      <c r="H5" s="257">
        <v>0.16800000000000001</v>
      </c>
      <c r="I5" s="257">
        <v>0.191</v>
      </c>
      <c r="J5" s="257">
        <v>0.22500000000000001</v>
      </c>
      <c r="K5" s="257">
        <v>0.27200000000000002</v>
      </c>
      <c r="L5" s="257">
        <v>0.313</v>
      </c>
      <c r="M5" s="257">
        <v>0.34899999999999998</v>
      </c>
      <c r="N5" s="257">
        <v>0.39200000000000002</v>
      </c>
      <c r="O5" s="257">
        <v>0.437</v>
      </c>
      <c r="P5" s="257">
        <v>0.53</v>
      </c>
      <c r="Q5" s="257">
        <v>0.59</v>
      </c>
      <c r="R5" s="257">
        <v>0.66</v>
      </c>
      <c r="AL5" s="322" t="s">
        <v>512</v>
      </c>
      <c r="AM5" s="322" t="s">
        <v>718</v>
      </c>
    </row>
    <row r="6" spans="2:115" ht="48.75" customHeight="1">
      <c r="I6" s="756" t="s">
        <v>1657</v>
      </c>
      <c r="J6" s="756"/>
      <c r="K6" s="756"/>
      <c r="L6" s="756"/>
      <c r="M6" s="756"/>
      <c r="N6" s="756"/>
      <c r="O6" s="756"/>
      <c r="P6" s="756"/>
      <c r="Q6" s="253">
        <f xml:space="preserve">
IF('Программные таблицы'!S20='Программные таблицы'!C4,'Программные таблицы'!C5,
IF('Программные таблицы'!S20='Программные таблицы'!D4,'Программные таблицы'!D5,
IF('Программные таблицы'!S20='Программные таблицы'!E4,'Программные таблицы'!E5,
IF('Программные таблицы'!S20='Программные таблицы'!F4,'Программные таблицы'!F5,
IF('Программные таблицы'!S20='Программные таблицы'!G4,'Программные таблицы'!G5,
IF('Программные таблицы'!S20='Программные таблицы'!H4,'Программные таблицы'!H5,
IF('Программные таблицы'!S20='Программные таблицы'!I4,'Программные таблицы'!I5,
IF('Программные таблицы'!S20='Программные таблицы'!J4,'Программные таблицы'!J5,
IF('Программные таблицы'!S20='Программные таблицы'!K4,'Программные таблицы'!K5,
IF('Программные таблицы'!S20='Программные таблицы'!L4,'Программные таблицы'!L5,
IF('Программные таблицы'!S20='Программные таблицы'!M4,'Программные таблицы'!M5,
IF('Программные таблицы'!S20='Программные таблицы'!N4,'Программные таблицы'!N5,
IF('Программные таблицы'!S20='Программные таблицы'!O4,'Программные таблицы'!O5,
IF('Программные таблицы'!S20='Программные таблицы'!P4,'Программные таблицы'!P5,
IF('Программные таблицы'!S20='Программные таблицы'!Q4,'Программные таблицы'!Q5,
IF('Программные таблицы'!S20='Программные таблицы'!R4,'Программные таблицы'!R5,0
))))))))))))))))</f>
        <v>0.313</v>
      </c>
      <c r="R6" s="179"/>
      <c r="AL6" s="324">
        <v>56</v>
      </c>
      <c r="AM6" s="324">
        <v>8.8999999999999996E-2</v>
      </c>
    </row>
    <row r="7" spans="2:115" ht="48.75" customHeight="1">
      <c r="AL7" s="324">
        <v>63</v>
      </c>
      <c r="AM7" s="324">
        <v>0.1</v>
      </c>
    </row>
    <row r="8" spans="2:115" ht="48.75" customHeight="1">
      <c r="Q8" s="89"/>
      <c r="AL8" s="324">
        <v>71</v>
      </c>
      <c r="AM8" s="324">
        <v>0.11600000000000001</v>
      </c>
    </row>
    <row r="9" spans="2:115" ht="48.75" customHeight="1">
      <c r="B9" s="257" t="s">
        <v>411</v>
      </c>
      <c r="C9" s="253" t="s">
        <v>401</v>
      </c>
      <c r="D9" s="756" t="s">
        <v>395</v>
      </c>
      <c r="E9" s="756"/>
      <c r="F9" s="756" t="s">
        <v>396</v>
      </c>
      <c r="G9" s="756"/>
      <c r="H9" s="756" t="s">
        <v>397</v>
      </c>
      <c r="I9" s="756"/>
      <c r="J9" s="756" t="s">
        <v>398</v>
      </c>
      <c r="K9" s="756"/>
      <c r="L9" s="756" t="s">
        <v>400</v>
      </c>
      <c r="M9" s="756"/>
      <c r="N9" s="756" t="s">
        <v>399</v>
      </c>
      <c r="O9" s="756"/>
      <c r="P9" s="756" t="s">
        <v>687</v>
      </c>
      <c r="Q9" s="756"/>
      <c r="R9" s="756"/>
      <c r="S9" s="756"/>
      <c r="T9" s="756"/>
      <c r="U9" s="593">
        <v>6</v>
      </c>
      <c r="V9" s="84"/>
      <c r="AL9" s="324">
        <v>80</v>
      </c>
      <c r="AM9" s="324">
        <v>0.13100000000000001</v>
      </c>
    </row>
    <row r="10" spans="2:115" ht="48.75" customHeight="1">
      <c r="B10" s="253" t="s">
        <v>410</v>
      </c>
      <c r="C10" s="253" t="s">
        <v>393</v>
      </c>
      <c r="D10" s="756">
        <v>2</v>
      </c>
      <c r="E10" s="756"/>
      <c r="F10" s="756">
        <v>4</v>
      </c>
      <c r="G10" s="756"/>
      <c r="H10" s="756">
        <v>6</v>
      </c>
      <c r="I10" s="756"/>
      <c r="J10" s="756">
        <v>8</v>
      </c>
      <c r="K10" s="756"/>
      <c r="L10" s="756">
        <v>10</v>
      </c>
      <c r="M10" s="756"/>
      <c r="N10" s="756">
        <v>12</v>
      </c>
      <c r="O10" s="756"/>
      <c r="P10" s="253" t="s">
        <v>395</v>
      </c>
      <c r="Q10" s="253" t="s">
        <v>396</v>
      </c>
      <c r="R10" s="253" t="s">
        <v>397</v>
      </c>
      <c r="S10" s="253" t="s">
        <v>398</v>
      </c>
      <c r="T10" s="253" t="s">
        <v>400</v>
      </c>
      <c r="U10" s="253" t="s">
        <v>399</v>
      </c>
      <c r="V10" s="178"/>
      <c r="AL10" s="324">
        <v>90</v>
      </c>
      <c r="AM10" s="324">
        <v>0.14899999999999999</v>
      </c>
      <c r="BG10" s="1121" t="s">
        <v>1152</v>
      </c>
      <c r="BH10" s="1123"/>
      <c r="BI10" s="11"/>
      <c r="BJ10" s="1121" t="s">
        <v>1153</v>
      </c>
      <c r="BK10" s="1123"/>
      <c r="BM10" s="1121" t="s">
        <v>1154</v>
      </c>
      <c r="BN10" s="1123"/>
      <c r="BP10" s="1121" t="s">
        <v>1155</v>
      </c>
      <c r="BQ10" s="1123"/>
      <c r="BR10" s="278"/>
      <c r="BS10" s="1121" t="s">
        <v>1156</v>
      </c>
      <c r="BT10" s="1123"/>
      <c r="BV10" s="1121" t="s">
        <v>1157</v>
      </c>
      <c r="BW10" s="1123"/>
    </row>
    <row r="11" spans="2:115" ht="48.75" customHeight="1">
      <c r="B11" s="253">
        <v>1</v>
      </c>
      <c r="C11" s="253">
        <v>1.1000000000000001</v>
      </c>
      <c r="D11" s="756">
        <f t="shared" ref="D11:D34" si="0"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756"/>
      <c r="F11" s="756">
        <f t="shared" ref="F11:F34" si="1"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756"/>
      <c r="H11" s="756">
        <f t="shared" ref="H11:H34" si="2"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756"/>
      <c r="J11" s="756">
        <f t="shared" ref="J11:J34" si="3"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756"/>
      <c r="L11" s="1287" t="str">
        <f t="shared" ref="L11:L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287"/>
      <c r="N11" s="1287" t="str">
        <f t="shared" ref="N11:N34" si="5"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287"/>
      <c r="P11" s="253">
        <v>2</v>
      </c>
      <c r="Q11" s="253">
        <v>4</v>
      </c>
      <c r="R11" s="253">
        <v>6</v>
      </c>
      <c r="S11" s="253">
        <v>8</v>
      </c>
      <c r="T11" s="253">
        <v>10</v>
      </c>
      <c r="U11" s="253">
        <v>12</v>
      </c>
      <c r="V11" s="178"/>
      <c r="AL11" s="324">
        <v>100</v>
      </c>
      <c r="AM11" s="324">
        <v>0.16800000000000001</v>
      </c>
      <c r="BG11" s="322" t="s">
        <v>718</v>
      </c>
      <c r="BH11" s="331" t="s">
        <v>751</v>
      </c>
      <c r="BI11" s="11"/>
      <c r="BJ11" s="322" t="s">
        <v>718</v>
      </c>
      <c r="BK11" s="331" t="s">
        <v>751</v>
      </c>
      <c r="BM11" s="322" t="s">
        <v>718</v>
      </c>
      <c r="BN11" s="331" t="s">
        <v>751</v>
      </c>
      <c r="BP11" s="322" t="s">
        <v>718</v>
      </c>
      <c r="BQ11" s="331" t="s">
        <v>751</v>
      </c>
      <c r="BR11" s="278"/>
      <c r="BS11" s="322" t="s">
        <v>718</v>
      </c>
      <c r="BT11" s="331" t="s">
        <v>751</v>
      </c>
      <c r="BV11" s="322" t="s">
        <v>718</v>
      </c>
      <c r="BW11" s="331" t="s">
        <v>751</v>
      </c>
    </row>
    <row r="12" spans="2:115" ht="48.75" customHeight="1">
      <c r="B12" s="253">
        <v>2</v>
      </c>
      <c r="C12" s="253">
        <v>1.5</v>
      </c>
      <c r="D12" s="756">
        <f t="shared" si="0"/>
        <v>80</v>
      </c>
      <c r="E12" s="756"/>
      <c r="F12" s="756">
        <f t="shared" si="1"/>
        <v>80</v>
      </c>
      <c r="G12" s="756"/>
      <c r="H12" s="756">
        <f t="shared" si="2"/>
        <v>90</v>
      </c>
      <c r="I12" s="756"/>
      <c r="J12" s="756">
        <f t="shared" si="3"/>
        <v>100</v>
      </c>
      <c r="K12" s="756"/>
      <c r="L12" s="1287" t="str">
        <f t="shared" si="4"/>
        <v>нет значений данной функции</v>
      </c>
      <c r="M12" s="1287"/>
      <c r="N12" s="1287" t="str">
        <f t="shared" si="5"/>
        <v>нет значений данной функции</v>
      </c>
      <c r="O12" s="1287"/>
      <c r="P12" s="590">
        <f xml:space="preserve">
IF(OR(AND(S17 &gt; 0,S17&lt;C11),S17 = C11),D11,
IF(OR(AND(S17&gt;C11,S17&lt;C12),S17 = C12),D12,
IF(OR(AND(S17&gt;C12,S17&lt;C13),S17 = C13),D13,
IF(OR(AND(S17&gt;C13,S17&lt;C14),S17 = C14),D14,
IF(OR(AND(S17&gt;C14,S17&lt;C15),S17 = C15),D15,
IF(OR(AND(S17&gt;C15,S17&lt;C16),S17 = C16),D16,
IF(OR(AND(S17&gt;C16,S17&lt;C17),S17 = C17),D17,
IF(OR(AND(S17&gt;C17,S17&lt;C18),S17 = C18),D18,
IF(OR(AND(S17&gt;C18,S17&lt;C19),S17 = C19),D19,
IF(OR(AND(S17&gt;C19,S17&lt;C20),S17 = C20),D20,
IF(OR(AND(S17&gt;C20,S17&lt;C21),S17 = C21),D21,
IF(OR(AND(S17&gt;C21,S17&lt;C22),S17 = C22),D22,
IF(OR(AND(S17&gt;C22,S17&lt;C23),S17 = C23),D23,
IF(OR(AND(S17&gt;C23,S17&lt;C24),S17 = C24),D24,
IF(OR(AND(S17&gt;C24,S17&lt;C25),S17 = C25),D25,
IF(OR(AND(S17&gt;C25,S17&lt;C26),S17 = C26),D26,
IF(OR(AND(S17&gt;C26,S17&lt;C27),S17 = C27),D27,
IF(OR(AND(S17&gt;C27,S17&lt;C28),S17 = C28),D28,
IF(OR(AND(S17&gt;C28,S17&lt;C29),S17 = C29),D29,
IF(OR(AND(S17&gt;C29,S17&lt;C30),S17 = C30),D30,
IF(OR(AND(S17&gt;C30,S17&lt;C31),S17 = C31),D31,
IF(OR(AND(S17&gt;C31,S17&lt;C32),S17 = C32),D32,
IF(OR(AND(S17&gt;C32,S17&lt;C33),S17 = C33),D33,
"Недостаточно памяти"
)))))))))))))))))))))))</f>
        <v>180</v>
      </c>
      <c r="Q12" s="253">
        <f xml:space="preserve">
IF(OR(AND(S17 &gt; 0,S17&lt;C11),S17 = C11),F11,
IF(OR(AND(S17&gt;C11,S17&lt;C12),S17 = C12),F12,
IF(OR(AND(S17&gt;C12,S17&lt;C13),S17 = C13),F13,
IF(OR(AND(S17&gt;C13,S17&lt;C14),S17 = C14),F14,
IF(OR(AND(S17&gt;C14,S17&lt;C15),S17 = C15),F15,
IF(OR(AND(S17&gt;C15,S17&lt;C16),S17 = C16),F16,
IF(OR(AND(S17&gt;C16,S17&lt;C17),S17 = C17),F17,
IF(OR(AND(S17&gt;C17,S17&lt;C18),S17 = C18),F18,
IF(OR(AND(S17&gt;C18,S17&lt;C19),S17 = C19),F19,
IF(OR(AND(S17&gt;C19,S17&lt;C20),S17 = C20),F20,
IF(OR(AND(S17&gt;C20,S17&lt;C21),S17 = C21),F21,
IF(OR(AND(S17&gt;C21,S17&lt;C22),S17 = C22),F22,
IF(OR(AND(S17&gt;C22,S17&lt;C23),S17 = C23),F23,
IF(OR(AND(S17&gt;C23,S17&lt;C24),S17 = C24),F24,
IF(OR(AND(S17&gt;C24,S17&lt;C25),S17 = C25),F25,
IF(OR(AND(S17&gt;C25,S17&lt;C26),S17 = C26),F26,
IF(OR(AND(S17&gt;C26,S17&lt;C27),S17 = C27),F27,
IF(OR(AND(S17&gt;C27,S17&lt;C28),S17 = C28),F28,
IF(OR(AND(S17&gt;C28,S17&lt;C29),S17 = C29),F29,
IF(OR(AND(S17&gt;C29,S17&lt;C30),S17 = C30),F30,
IF(OR(AND(S17&gt;C30,S17&lt;C31),S17 = C31),F31,
IF(OR(AND(S17&gt;C31,S17&lt;C32),S17 = C32),F32,
IF(OR(AND(S17&gt;C32,S17&lt;C33),S17 = C33),F33,
"Недостаточно памяти"
)))))))))))))))))))))))</f>
        <v>180</v>
      </c>
      <c r="R12" s="253">
        <f xml:space="preserve">
IF(OR(AND(S17 &gt; 0,S17&lt;C11),S17 = C11),H11,
IF(OR(AND(S17&gt;C11,S17&lt;C12),S17 = C12),H12,
IF(OR(AND(S17&gt;C12,S17&lt;C13),S17 = C13),H13,
IF(OR(AND(S17&gt;C13,S17&lt;C14),S17 = C14),H14,
IF(OR(AND(S17&gt;C14,S17&lt;C15),S17 = C15),H15,
IF(OR(AND(S17&gt;C15,S17&lt;C16),S17 = C16),H16,
IF(OR(AND(S17&gt;C16,S17&lt;C17),S17 = C17),H17,
IF(OR(AND(S17&gt;C17,S17&lt;C18),S17 = C18),H18,
IF(OR(AND(S17&gt;C18,S17&lt;C19),S17 = C19),H19,
IF(OR(AND(S17&gt;C19,S17&lt;C20),S17 = C20),H20,
IF(OR(AND(S17&gt;C20,S17&lt;C21),S17 = C21),H21,
IF(OR(AND(S17&gt;C21,S17&lt;C22),S17 = C22),H22,
IF(OR(AND(S17&gt;C22,S17&lt;C23),S17 = C23),H23,
IF(OR(AND(S17&gt;C23,S17&lt;C24),S17 = C24),H24,
IF(OR(AND(S17&gt;C24,S17&lt;C25),S17 = C25),H25,
IF(OR(AND(S17&gt;C25,S17&lt;C26),S17 = C26),H26,
IF(OR(AND(S17&gt;C26,S17&lt;C27),S17 = C27),H27,
IF(OR(AND(S17&gt;C27,S17&lt;C28),S17 = C28),H28,
IF(OR(AND(S17&gt;C28,S17&lt;C29),S17 = C29),H29,
IF(OR(AND(S17&gt;C29,S17&lt;C30),S17 = C30),H30,
IF(OR(AND(S17&gt;C30,S17&lt;C31),S17 = C31),H31,
"Недостаточно памяти"
)))))))))))))))))))))</f>
        <v>200</v>
      </c>
      <c r="S12" s="590">
        <f xml:space="preserve">
IF(OR(AND(S17 &gt; 0,S17&lt;C11),S17 = C11),J11,
IF(OR(AND(S17&gt;C11,S17&lt;C12),S17 = C12),J12,
IF(OR(AND(S17&gt;C12,S17&lt;C13),S17 = C13),J13,
IF(OR(AND(S17&gt;C13,S17&lt;C14),S17 = C14),J14,
IF(OR(AND(S17&gt;C14,S17&lt;C15),S17 = C15),J15,
IF(OR(AND(S17&gt;C15,S17&lt;C16),S17 = C16),J16,
IF(OR(AND(S17&gt;C16,S17&lt;C17),S17 = C17),J17,
IF(OR(AND(S17&gt;C17,S17&lt;C18),S17 = C18),J18,
IF(OR(AND(S17&gt;C18,S17&lt;C19),S17 = C19),J19,
IF(OR(AND(S17&gt;C19,S17&lt;C20),S17 = C20),J20,
IF(OR(AND(S17&gt;C20,S17&lt;C21),S17 = C21),J21,
IF(OR(AND(S17&gt;C21,S17&lt;C22),S17 = C22),J22,
IF(OR(AND(S17&gt;C22,S17&lt;C23),S17 = C23),J23,
IF(OR(AND(S17&gt;C23,S17&lt;C24),S17 = C24),J24,
IF(OR(AND(S17&gt;C24,S17&lt;C25),S17 = C25),J25,
IF(OR(AND(S17&gt;C25,S17&lt;C26),S17 = C26),J26,
IF(OR(AND(S17&gt;C26,S17&lt;C27),S17 = C27),J27,
IF(OR(AND(S17&gt;C27,S17&lt;C28),S17 = C28),J28,
IF(OR(AND(S17&gt;C28,S17&lt;C29),S17 = C29),J29,
IF(OR(AND(S17&gt;C29,S17&lt;C30),S17 = C30),J30,
"Недостаточно памяти"
))))))))))))))))))))</f>
        <v>225</v>
      </c>
      <c r="T12" s="253">
        <f xml:space="preserve">
IF(OR(AND(S17 &gt; 0,S17&lt;C21),S17 = C21),L21,
IF(OR(AND(S17&gt;C21,S17&lt;C22),S17 = C22),L22,
IF(OR(AND(S17&gt;C22,S17&lt;C23),S17 = C23),L23,
IF(OR(AND(S17&gt;C23,S17&lt;C24),S17 = C24),L24,
IF(OR(AND(S17&gt;C24,S17&lt;C25),S17 = C25),L25,
IF(OR(AND(S17&gt;C25,S17&lt;C26),S17 = C26),L26,
IF(OR(AND(S17&gt;C26,S17&lt;C27),S17 = C27),L27,
IF(OR(AND(S17&gt;C27,S17&lt;C28),S17 = C28),L28,
"Недостаточно памяти"
))))))))</f>
        <v>250</v>
      </c>
      <c r="U12" s="253">
        <f xml:space="preserve">
IF(OR(AND(S17 &gt; 0,S17&lt;C24),S17 = C24),N24,
IF(OR(AND(S17&gt;C24,S17&lt;C25),S17 = C25),N25,
IF(OR(AND(S17&gt;C25,S17&lt;C26),S17 = C26),N26,
IF(OR(AND(S17&gt;C26,S17&lt;C27),S17 = C27),N27,
"Недостаточно памяти"
))))</f>
        <v>315</v>
      </c>
      <c r="V12" s="178"/>
      <c r="AL12" s="324">
        <v>112</v>
      </c>
      <c r="AM12" s="324">
        <v>0.191</v>
      </c>
      <c r="BG12" s="324">
        <v>8.8999999999999996E-2</v>
      </c>
      <c r="BH12" s="324"/>
      <c r="BI12" s="11"/>
      <c r="BJ12" s="324">
        <v>8.8999999999999996E-2</v>
      </c>
      <c r="BK12" s="324"/>
      <c r="BM12" s="324">
        <v>8.8999999999999996E-2</v>
      </c>
      <c r="BN12" s="324"/>
      <c r="BP12" s="324">
        <v>8.8999999999999996E-2</v>
      </c>
      <c r="BQ12" s="324"/>
      <c r="BR12" s="278"/>
      <c r="BS12" s="324">
        <v>8.8999999999999996E-2</v>
      </c>
      <c r="BT12" s="324" t="s">
        <v>416</v>
      </c>
      <c r="BV12" s="324">
        <v>8.8999999999999996E-2</v>
      </c>
      <c r="BW12" s="324" t="s">
        <v>416</v>
      </c>
      <c r="DJ12" s="1932" t="s">
        <v>1143</v>
      </c>
      <c r="DK12" s="1932"/>
    </row>
    <row r="13" spans="2:115" ht="48.75" customHeight="1">
      <c r="B13" s="253">
        <v>3</v>
      </c>
      <c r="C13" s="253">
        <v>2.2000000000000002</v>
      </c>
      <c r="D13" s="756">
        <f t="shared" si="0"/>
        <v>80</v>
      </c>
      <c r="E13" s="756"/>
      <c r="F13" s="756">
        <f t="shared" si="1"/>
        <v>90</v>
      </c>
      <c r="G13" s="756"/>
      <c r="H13" s="756">
        <f t="shared" si="2"/>
        <v>100</v>
      </c>
      <c r="I13" s="756"/>
      <c r="J13" s="756">
        <f t="shared" si="3"/>
        <v>112</v>
      </c>
      <c r="K13" s="756"/>
      <c r="L13" s="1287" t="str">
        <f t="shared" si="4"/>
        <v>нет значений данной функции</v>
      </c>
      <c r="M13" s="1287"/>
      <c r="N13" s="1287" t="str">
        <f t="shared" si="5"/>
        <v>нет значений данной функции</v>
      </c>
      <c r="O13" s="1287"/>
      <c r="P13" s="176"/>
      <c r="Q13" s="177"/>
      <c r="R13" s="177"/>
      <c r="S13" s="177"/>
      <c r="T13" s="177"/>
      <c r="U13" s="177"/>
      <c r="V13" s="178"/>
      <c r="AL13" s="324">
        <v>132</v>
      </c>
      <c r="AM13" s="324">
        <v>0.22500000000000001</v>
      </c>
      <c r="BG13" s="324">
        <v>0.1</v>
      </c>
      <c r="BH13" s="324"/>
      <c r="BI13" s="11"/>
      <c r="BJ13" s="324">
        <v>0.1</v>
      </c>
      <c r="BK13" s="324"/>
      <c r="BM13" s="324">
        <v>0.1</v>
      </c>
      <c r="BN13" s="324"/>
      <c r="BP13" s="324">
        <v>0.1</v>
      </c>
      <c r="BQ13" s="324"/>
      <c r="BR13" s="278"/>
      <c r="BS13" s="324">
        <v>0.1</v>
      </c>
      <c r="BT13" s="324" t="s">
        <v>416</v>
      </c>
      <c r="BV13" s="324">
        <v>0.1</v>
      </c>
      <c r="BW13" s="324" t="s">
        <v>416</v>
      </c>
      <c r="DJ13" s="322" t="s">
        <v>512</v>
      </c>
      <c r="DK13" s="322" t="s">
        <v>718</v>
      </c>
    </row>
    <row r="14" spans="2:115" ht="48.75" customHeight="1">
      <c r="B14" s="253">
        <v>4</v>
      </c>
      <c r="C14" s="253">
        <v>3</v>
      </c>
      <c r="D14" s="756">
        <f t="shared" si="0"/>
        <v>90</v>
      </c>
      <c r="E14" s="756"/>
      <c r="F14" s="756">
        <f t="shared" si="1"/>
        <v>100</v>
      </c>
      <c r="G14" s="756"/>
      <c r="H14" s="756">
        <f t="shared" si="2"/>
        <v>112</v>
      </c>
      <c r="I14" s="756"/>
      <c r="J14" s="756">
        <f t="shared" si="3"/>
        <v>112</v>
      </c>
      <c r="K14" s="756"/>
      <c r="L14" s="1287" t="str">
        <f t="shared" si="4"/>
        <v>нет значений данной функции</v>
      </c>
      <c r="M14" s="1287"/>
      <c r="N14" s="1287" t="str">
        <f t="shared" si="5"/>
        <v>нет значений данной функции</v>
      </c>
      <c r="O14" s="1287"/>
      <c r="P14" s="176"/>
      <c r="Q14" s="177"/>
      <c r="R14" s="177"/>
      <c r="S14" s="177"/>
      <c r="T14" s="177"/>
      <c r="U14" s="177"/>
      <c r="V14" s="178"/>
      <c r="AL14" s="324">
        <v>160</v>
      </c>
      <c r="AM14" s="324">
        <v>0.27200000000000002</v>
      </c>
      <c r="BD14" s="1932" t="s">
        <v>1143</v>
      </c>
      <c r="BE14" s="1932"/>
      <c r="BG14" s="324">
        <v>0.11600000000000001</v>
      </c>
      <c r="BH14" s="324"/>
      <c r="BI14" s="11"/>
      <c r="BJ14" s="324">
        <v>0.11600000000000001</v>
      </c>
      <c r="BK14" s="324"/>
      <c r="BM14" s="324">
        <v>0.11600000000000001</v>
      </c>
      <c r="BN14" s="324"/>
      <c r="BP14" s="324">
        <v>0.11600000000000001</v>
      </c>
      <c r="BQ14" s="324"/>
      <c r="BS14" s="324">
        <v>0.11600000000000001</v>
      </c>
      <c r="BT14" s="324" t="s">
        <v>416</v>
      </c>
      <c r="BV14" s="324">
        <v>0.11600000000000001</v>
      </c>
      <c r="BW14" s="324" t="s">
        <v>416</v>
      </c>
      <c r="CJ14" s="987" t="s">
        <v>720</v>
      </c>
      <c r="CK14" s="988"/>
      <c r="CL14" s="988"/>
      <c r="CM14" s="988"/>
      <c r="CN14" s="988"/>
      <c r="CO14" s="988"/>
      <c r="CP14" s="989"/>
      <c r="CQ14" s="970"/>
      <c r="CS14" s="1287" t="s">
        <v>1158</v>
      </c>
      <c r="CT14" s="1287"/>
      <c r="CU14" s="1287"/>
      <c r="CV14" s="1287"/>
      <c r="CW14" s="1287"/>
      <c r="CX14" s="1287"/>
      <c r="CY14" s="1287"/>
      <c r="CZ14" s="1287"/>
      <c r="DA14" s="1287"/>
      <c r="DB14" s="1287"/>
      <c r="DC14" s="1287"/>
      <c r="DD14" s="1287"/>
      <c r="DE14" s="1287"/>
      <c r="DF14" s="970"/>
      <c r="DJ14" s="324">
        <v>56</v>
      </c>
      <c r="DK14" s="324">
        <v>8.8999999999999996E-2</v>
      </c>
    </row>
    <row r="15" spans="2:115" ht="48.75" customHeight="1">
      <c r="B15" s="253">
        <v>5</v>
      </c>
      <c r="C15" s="253">
        <v>4</v>
      </c>
      <c r="D15" s="756">
        <f t="shared" si="0"/>
        <v>100</v>
      </c>
      <c r="E15" s="756"/>
      <c r="F15" s="756">
        <f t="shared" si="1"/>
        <v>100</v>
      </c>
      <c r="G15" s="756"/>
      <c r="H15" s="756">
        <f t="shared" si="2"/>
        <v>112</v>
      </c>
      <c r="I15" s="756"/>
      <c r="J15" s="756">
        <f t="shared" si="3"/>
        <v>132</v>
      </c>
      <c r="K15" s="756"/>
      <c r="L15" s="1287" t="str">
        <f t="shared" si="4"/>
        <v>нет значений данной функции</v>
      </c>
      <c r="M15" s="1287"/>
      <c r="N15" s="1287" t="str">
        <f t="shared" si="5"/>
        <v>нет значений данной функции</v>
      </c>
      <c r="O15" s="1287"/>
      <c r="P15" s="176"/>
      <c r="Q15" s="177"/>
      <c r="R15" s="177"/>
      <c r="S15" s="177"/>
      <c r="T15" s="177"/>
      <c r="U15" s="177"/>
      <c r="V15" s="178"/>
      <c r="AL15" s="324">
        <v>180</v>
      </c>
      <c r="AM15" s="324">
        <v>0.313</v>
      </c>
      <c r="BD15" s="322" t="s">
        <v>512</v>
      </c>
      <c r="BE15" s="322" t="s">
        <v>718</v>
      </c>
      <c r="BG15" s="324">
        <v>0.13100000000000001</v>
      </c>
      <c r="BH15" s="324"/>
      <c r="BI15" s="11"/>
      <c r="BJ15" s="324">
        <v>0.13100000000000001</v>
      </c>
      <c r="BK15" s="324"/>
      <c r="BM15" s="324">
        <v>0.13100000000000001</v>
      </c>
      <c r="BN15" s="324"/>
      <c r="BP15" s="324">
        <v>0.13100000000000001</v>
      </c>
      <c r="BQ15" s="324"/>
      <c r="BS15" s="324">
        <v>0.13100000000000001</v>
      </c>
      <c r="BT15" s="324" t="s">
        <v>416</v>
      </c>
      <c r="BV15" s="324">
        <v>0.13100000000000001</v>
      </c>
      <c r="BW15" s="324" t="s">
        <v>416</v>
      </c>
      <c r="CJ15" s="993"/>
      <c r="CK15" s="994"/>
      <c r="CL15" s="994"/>
      <c r="CM15" s="994"/>
      <c r="CN15" s="994"/>
      <c r="CO15" s="994"/>
      <c r="CP15" s="995"/>
      <c r="CQ15" s="972"/>
      <c r="CS15" s="1287"/>
      <c r="CT15" s="1287"/>
      <c r="CU15" s="1287"/>
      <c r="CV15" s="1287"/>
      <c r="CW15" s="1287"/>
      <c r="CX15" s="1287"/>
      <c r="CY15" s="1287"/>
      <c r="CZ15" s="1287"/>
      <c r="DA15" s="1287"/>
      <c r="DB15" s="1287"/>
      <c r="DC15" s="1287"/>
      <c r="DD15" s="1287"/>
      <c r="DE15" s="1287"/>
      <c r="DF15" s="972"/>
      <c r="DJ15" s="324">
        <v>63</v>
      </c>
      <c r="DK15" s="324">
        <v>0.1</v>
      </c>
    </row>
    <row r="16" spans="2:115" ht="48.75" customHeight="1">
      <c r="B16" s="253">
        <v>6</v>
      </c>
      <c r="C16" s="253">
        <v>5.5</v>
      </c>
      <c r="D16" s="756">
        <f t="shared" si="0"/>
        <v>100</v>
      </c>
      <c r="E16" s="756"/>
      <c r="F16" s="756">
        <f t="shared" si="1"/>
        <v>112</v>
      </c>
      <c r="G16" s="756"/>
      <c r="H16" s="756">
        <f t="shared" si="2"/>
        <v>132</v>
      </c>
      <c r="I16" s="756"/>
      <c r="J16" s="756">
        <f t="shared" si="3"/>
        <v>132</v>
      </c>
      <c r="K16" s="756"/>
      <c r="L16" s="1287" t="str">
        <f t="shared" si="4"/>
        <v>нет значений данной функции</v>
      </c>
      <c r="M16" s="1287"/>
      <c r="N16" s="1287" t="str">
        <f t="shared" si="5"/>
        <v>нет значений данной функции</v>
      </c>
      <c r="O16" s="1287"/>
      <c r="P16" s="176"/>
      <c r="Q16" s="177"/>
      <c r="R16" s="177"/>
      <c r="S16" s="177"/>
      <c r="T16" s="177"/>
      <c r="U16" s="177"/>
      <c r="V16" s="178"/>
      <c r="AL16" s="324">
        <v>200</v>
      </c>
      <c r="AM16" s="324">
        <v>0.34899999999999998</v>
      </c>
      <c r="BD16" s="324">
        <v>56</v>
      </c>
      <c r="BE16" s="324">
        <v>8.8999999999999996E-2</v>
      </c>
      <c r="BG16" s="324">
        <v>0.14899999999999999</v>
      </c>
      <c r="BH16" s="324"/>
      <c r="BI16" s="11"/>
      <c r="BJ16" s="324">
        <v>0.14899999999999999</v>
      </c>
      <c r="BK16" s="324"/>
      <c r="BM16" s="324">
        <v>0.14899999999999999</v>
      </c>
      <c r="BN16" s="324"/>
      <c r="BP16" s="324">
        <v>0.14899999999999999</v>
      </c>
      <c r="BQ16" s="324"/>
      <c r="BS16" s="324">
        <v>0.14899999999999999</v>
      </c>
      <c r="BT16" s="324" t="s">
        <v>416</v>
      </c>
      <c r="BV16" s="324">
        <v>0.14899999999999999</v>
      </c>
      <c r="BW16" s="324" t="s">
        <v>416</v>
      </c>
      <c r="CJ16" s="516" t="s">
        <v>1034</v>
      </c>
      <c r="CK16" s="514">
        <f>'Вывод расчетов'!$AX$25</f>
        <v>0.313</v>
      </c>
      <c r="CL16" s="83"/>
      <c r="CM16" s="83"/>
      <c r="CN16" s="83"/>
      <c r="CO16" s="83"/>
      <c r="CP16" s="83"/>
      <c r="CQ16" s="84"/>
      <c r="CS16" s="82"/>
      <c r="CT16" s="83"/>
      <c r="CU16" s="83"/>
      <c r="CV16" s="83"/>
      <c r="CW16" s="83"/>
      <c r="CX16" s="83"/>
      <c r="CY16" s="83"/>
      <c r="CZ16" s="83"/>
      <c r="DA16" s="84"/>
      <c r="DB16" s="1946"/>
      <c r="DC16" s="1527"/>
      <c r="DD16" s="1527"/>
      <c r="DE16" s="1527"/>
      <c r="DF16" s="1527"/>
      <c r="DJ16" s="324">
        <v>71</v>
      </c>
      <c r="DK16" s="324">
        <v>0.11600000000000001</v>
      </c>
    </row>
    <row r="17" spans="2:171" ht="48.75" customHeight="1">
      <c r="B17" s="253">
        <v>7</v>
      </c>
      <c r="C17" s="253">
        <v>7.5</v>
      </c>
      <c r="D17" s="756">
        <f t="shared" si="0"/>
        <v>112</v>
      </c>
      <c r="E17" s="756"/>
      <c r="F17" s="756">
        <f t="shared" si="1"/>
        <v>132</v>
      </c>
      <c r="G17" s="756"/>
      <c r="H17" s="756">
        <f t="shared" si="2"/>
        <v>132</v>
      </c>
      <c r="I17" s="756"/>
      <c r="J17" s="756">
        <f t="shared" si="3"/>
        <v>160</v>
      </c>
      <c r="K17" s="756"/>
      <c r="L17" s="1287" t="str">
        <f t="shared" si="4"/>
        <v>нет значений данной функции</v>
      </c>
      <c r="M17" s="1287"/>
      <c r="N17" s="1287" t="str">
        <f t="shared" si="5"/>
        <v>нет значений данной функции</v>
      </c>
      <c r="O17" s="1287"/>
      <c r="P17" s="176"/>
      <c r="Q17" s="177"/>
      <c r="R17" s="612" t="s">
        <v>1586</v>
      </c>
      <c r="S17" s="618">
        <f>'Вывод расчетов'!$AP$5/1000</f>
        <v>30</v>
      </c>
      <c r="T17" s="619" t="s">
        <v>393</v>
      </c>
      <c r="U17" s="177"/>
      <c r="V17" s="178"/>
      <c r="AL17" s="324">
        <v>225</v>
      </c>
      <c r="AM17" s="324">
        <v>0.39200000000000002</v>
      </c>
      <c r="BD17" s="324">
        <v>63</v>
      </c>
      <c r="BE17" s="324">
        <v>0.1</v>
      </c>
      <c r="BG17" s="324">
        <v>0.16800000000000001</v>
      </c>
      <c r="BH17" s="324"/>
      <c r="BI17" s="11"/>
      <c r="BJ17" s="324">
        <v>0.16800000000000001</v>
      </c>
      <c r="BK17" s="324"/>
      <c r="BM17" s="324">
        <v>0.16800000000000001</v>
      </c>
      <c r="BN17" s="324"/>
      <c r="BP17" s="324">
        <v>0.16800000000000001</v>
      </c>
      <c r="BQ17" s="324"/>
      <c r="BS17" s="324">
        <v>0.16800000000000001</v>
      </c>
      <c r="BT17" s="324" t="s">
        <v>416</v>
      </c>
      <c r="BV17" s="324">
        <v>0.16800000000000001</v>
      </c>
      <c r="BW17" s="324" t="s">
        <v>416</v>
      </c>
      <c r="CJ17" s="176"/>
      <c r="CK17" s="177"/>
      <c r="CL17" s="177"/>
      <c r="CM17" s="177"/>
      <c r="CN17" s="177"/>
      <c r="CO17" s="177"/>
      <c r="CP17" s="177"/>
      <c r="CQ17" s="178"/>
      <c r="CS17" s="176"/>
      <c r="CT17" s="177"/>
      <c r="CU17" s="177"/>
      <c r="CV17" s="177"/>
      <c r="CW17" s="177"/>
      <c r="CX17" s="177"/>
      <c r="CY17" s="177"/>
      <c r="CZ17" s="177"/>
      <c r="DA17" s="178"/>
      <c r="DB17" s="1946"/>
      <c r="DC17" s="1527"/>
      <c r="DD17" s="1527"/>
      <c r="DE17" s="1527"/>
      <c r="DF17" s="1527"/>
      <c r="DJ17" s="324">
        <v>80</v>
      </c>
      <c r="DK17" s="324">
        <v>0.13100000000000001</v>
      </c>
    </row>
    <row r="18" spans="2:171" ht="48.75" customHeight="1">
      <c r="B18" s="253">
        <v>8</v>
      </c>
      <c r="C18" s="253">
        <v>11</v>
      </c>
      <c r="D18" s="756">
        <f t="shared" si="0"/>
        <v>132</v>
      </c>
      <c r="E18" s="756"/>
      <c r="F18" s="756">
        <f t="shared" si="1"/>
        <v>132</v>
      </c>
      <c r="G18" s="756"/>
      <c r="H18" s="756">
        <f t="shared" si="2"/>
        <v>160</v>
      </c>
      <c r="I18" s="756"/>
      <c r="J18" s="756">
        <f t="shared" si="3"/>
        <v>160</v>
      </c>
      <c r="K18" s="756"/>
      <c r="L18" s="1287" t="str">
        <f t="shared" si="4"/>
        <v>нет значений данной функции</v>
      </c>
      <c r="M18" s="1287"/>
      <c r="N18" s="1287" t="str">
        <f t="shared" si="5"/>
        <v>нет значений данной функции</v>
      </c>
      <c r="O18" s="1287"/>
      <c r="P18" s="176"/>
      <c r="Q18" s="177"/>
      <c r="R18" s="612" t="s">
        <v>402</v>
      </c>
      <c r="S18" s="614">
        <f>'Вывод расчетов'!$AP$20</f>
        <v>4</v>
      </c>
      <c r="T18" s="177"/>
      <c r="U18" s="177"/>
      <c r="V18" s="178"/>
      <c r="AL18" s="324">
        <v>250</v>
      </c>
      <c r="AM18" s="324">
        <v>0.437</v>
      </c>
      <c r="BD18" s="324">
        <v>71</v>
      </c>
      <c r="BE18" s="324">
        <v>0.11600000000000001</v>
      </c>
      <c r="BG18" s="324">
        <v>0.191</v>
      </c>
      <c r="BH18" s="324"/>
      <c r="BI18" s="11"/>
      <c r="BJ18" s="324">
        <v>0.191</v>
      </c>
      <c r="BK18" s="324"/>
      <c r="BM18" s="324">
        <v>0.191</v>
      </c>
      <c r="BN18" s="324"/>
      <c r="BP18" s="324">
        <v>0.191</v>
      </c>
      <c r="BQ18" s="324"/>
      <c r="BS18" s="324">
        <v>0.191</v>
      </c>
      <c r="BT18" s="324" t="s">
        <v>416</v>
      </c>
      <c r="BV18" s="324">
        <v>0.191</v>
      </c>
      <c r="BW18" s="324" t="s">
        <v>416</v>
      </c>
      <c r="CJ18" s="176"/>
      <c r="CK18" s="177"/>
      <c r="CL18" s="177"/>
      <c r="CM18" s="177"/>
      <c r="CN18" s="177"/>
      <c r="CO18" s="177"/>
      <c r="CP18" s="177"/>
      <c r="CQ18" s="178"/>
      <c r="CS18" s="176"/>
      <c r="CT18" s="177"/>
      <c r="CU18" s="177"/>
      <c r="CV18" s="177"/>
      <c r="CW18" s="177"/>
      <c r="CX18" s="177"/>
      <c r="CY18" s="177"/>
      <c r="CZ18" s="177"/>
      <c r="DA18" s="178"/>
      <c r="DB18" s="1946"/>
      <c r="DC18" s="1527"/>
      <c r="DD18" s="1527"/>
      <c r="DE18" s="1527"/>
      <c r="DF18" s="1527"/>
      <c r="DJ18" s="324">
        <v>90</v>
      </c>
      <c r="DK18" s="324">
        <v>0.14899999999999999</v>
      </c>
    </row>
    <row r="19" spans="2:171" ht="48.75" customHeight="1">
      <c r="B19" s="253">
        <v>9</v>
      </c>
      <c r="C19" s="253">
        <v>15</v>
      </c>
      <c r="D19" s="756">
        <f t="shared" si="0"/>
        <v>160</v>
      </c>
      <c r="E19" s="756"/>
      <c r="F19" s="756">
        <f t="shared" si="1"/>
        <v>160</v>
      </c>
      <c r="G19" s="756"/>
      <c r="H19" s="756">
        <f t="shared" si="2"/>
        <v>160</v>
      </c>
      <c r="I19" s="756"/>
      <c r="J19" s="756">
        <f t="shared" si="3"/>
        <v>180</v>
      </c>
      <c r="K19" s="756"/>
      <c r="L19" s="1287" t="str">
        <f t="shared" si="4"/>
        <v>нет значений данной функции</v>
      </c>
      <c r="M19" s="1287"/>
      <c r="N19" s="1287" t="str">
        <f t="shared" si="5"/>
        <v>нет значений данной функции</v>
      </c>
      <c r="O19" s="1287"/>
      <c r="P19" s="176"/>
      <c r="Q19" s="177"/>
      <c r="R19" s="177"/>
      <c r="S19" s="177"/>
      <c r="T19" s="177"/>
      <c r="U19" s="177"/>
      <c r="V19" s="178"/>
      <c r="AL19" s="324">
        <v>280</v>
      </c>
      <c r="AM19" s="324">
        <v>0.53</v>
      </c>
      <c r="BD19" s="324">
        <v>80</v>
      </c>
      <c r="BE19" s="324">
        <v>0.13100000000000001</v>
      </c>
      <c r="BG19" s="324">
        <v>0.22500000000000001</v>
      </c>
      <c r="BH19" s="324"/>
      <c r="BI19" s="11"/>
      <c r="BJ19" s="324">
        <v>0.22500000000000001</v>
      </c>
      <c r="BK19" s="324"/>
      <c r="BM19" s="324">
        <v>0.22500000000000001</v>
      </c>
      <c r="BN19" s="324"/>
      <c r="BP19" s="324">
        <v>0.22500000000000001</v>
      </c>
      <c r="BQ19" s="324"/>
      <c r="BS19" s="324">
        <v>0.22500000000000001</v>
      </c>
      <c r="BT19" s="324" t="s">
        <v>416</v>
      </c>
      <c r="BV19" s="324">
        <v>0.22500000000000001</v>
      </c>
      <c r="BW19" s="324" t="s">
        <v>416</v>
      </c>
      <c r="CJ19" s="176"/>
      <c r="CK19" s="177"/>
      <c r="CL19" s="177"/>
      <c r="CM19" s="177"/>
      <c r="CN19" s="177"/>
      <c r="CO19" s="177"/>
      <c r="CP19" s="177"/>
      <c r="CQ19" s="178"/>
      <c r="CS19" s="176"/>
      <c r="CT19" s="177"/>
      <c r="CU19" s="177"/>
      <c r="CV19" s="177"/>
      <c r="CW19" s="177"/>
      <c r="CX19" s="177"/>
      <c r="CY19" s="177"/>
      <c r="CZ19" s="177"/>
      <c r="DA19" s="178"/>
      <c r="DB19" s="1946"/>
      <c r="DC19" s="1527"/>
      <c r="DD19" s="1527"/>
      <c r="DE19" s="1527"/>
      <c r="DF19" s="1527"/>
      <c r="DJ19" s="324">
        <v>100</v>
      </c>
      <c r="DK19" s="324">
        <v>0.16800000000000001</v>
      </c>
    </row>
    <row r="20" spans="2:171" ht="48.75" customHeight="1">
      <c r="B20" s="253">
        <v>10</v>
      </c>
      <c r="C20" s="253">
        <v>18.5</v>
      </c>
      <c r="D20" s="756">
        <f t="shared" si="0"/>
        <v>160</v>
      </c>
      <c r="E20" s="756"/>
      <c r="F20" s="756">
        <f t="shared" si="1"/>
        <v>160</v>
      </c>
      <c r="G20" s="756"/>
      <c r="H20" s="756">
        <f t="shared" si="2"/>
        <v>180</v>
      </c>
      <c r="I20" s="756"/>
      <c r="J20" s="756">
        <f t="shared" si="3"/>
        <v>200</v>
      </c>
      <c r="K20" s="756"/>
      <c r="L20" s="1287" t="str">
        <f t="shared" si="4"/>
        <v>нет значений данной функции</v>
      </c>
      <c r="M20" s="1287"/>
      <c r="N20" s="1287" t="str">
        <f t="shared" si="5"/>
        <v>нет значений данной функции</v>
      </c>
      <c r="O20" s="1287"/>
      <c r="P20" s="176"/>
      <c r="Q20" s="177"/>
      <c r="R20" s="179"/>
      <c r="S20" s="253">
        <f xml:space="preserve">
IF(P11=S18,P12,
IF(Q11=S18,Q12,
IF(R11=S18,R12,
IF(S11=S18,S12,
IF(T11=S18,T12,
IF(U11=S18,U12,
))))))</f>
        <v>180</v>
      </c>
      <c r="T20" s="177"/>
      <c r="U20" s="177"/>
      <c r="V20" s="178"/>
      <c r="AL20" s="324">
        <v>315</v>
      </c>
      <c r="AM20" s="324">
        <v>0.59</v>
      </c>
      <c r="BD20" s="324">
        <v>90</v>
      </c>
      <c r="BE20" s="324">
        <v>0.14899999999999999</v>
      </c>
      <c r="BG20" s="324">
        <v>0.27200000000000002</v>
      </c>
      <c r="BH20" s="324"/>
      <c r="BI20" s="11"/>
      <c r="BJ20" s="324">
        <v>0.27200000000000002</v>
      </c>
      <c r="BK20" s="324"/>
      <c r="BM20" s="324">
        <v>0.27200000000000002</v>
      </c>
      <c r="BN20" s="324"/>
      <c r="BP20" s="324">
        <v>0.27200000000000002</v>
      </c>
      <c r="BQ20" s="324"/>
      <c r="BS20" s="324">
        <v>0.27200000000000002</v>
      </c>
      <c r="BT20" s="324" t="s">
        <v>416</v>
      </c>
      <c r="BV20" s="324">
        <v>0.27200000000000002</v>
      </c>
      <c r="BW20" s="324" t="s">
        <v>416</v>
      </c>
      <c r="CJ20" s="176"/>
      <c r="CK20" s="177"/>
      <c r="CL20" s="177"/>
      <c r="CM20" s="177"/>
      <c r="CN20" s="177"/>
      <c r="CO20" s="177"/>
      <c r="CP20" s="177"/>
      <c r="CQ20" s="178"/>
      <c r="CS20" s="176"/>
      <c r="CT20" s="177"/>
      <c r="CU20" s="177"/>
      <c r="CV20" s="177"/>
      <c r="CW20" s="177"/>
      <c r="CX20" s="177"/>
      <c r="CY20" s="177"/>
      <c r="CZ20" s="177"/>
      <c r="DA20" s="178"/>
      <c r="DB20" s="1946"/>
      <c r="DC20" s="1527"/>
      <c r="DD20" s="1527"/>
      <c r="DE20" s="1527"/>
      <c r="DF20" s="1527"/>
      <c r="DJ20" s="324">
        <v>112</v>
      </c>
      <c r="DK20" s="324">
        <v>0.191</v>
      </c>
    </row>
    <row r="21" spans="2:171" ht="48.75" customHeight="1">
      <c r="B21" s="253">
        <v>11</v>
      </c>
      <c r="C21" s="253">
        <v>22</v>
      </c>
      <c r="D21" s="756">
        <f t="shared" si="0"/>
        <v>180</v>
      </c>
      <c r="E21" s="756"/>
      <c r="F21" s="756">
        <f t="shared" si="1"/>
        <v>180</v>
      </c>
      <c r="G21" s="756"/>
      <c r="H21" s="756">
        <f t="shared" si="2"/>
        <v>200</v>
      </c>
      <c r="I21" s="756"/>
      <c r="J21" s="756">
        <f t="shared" si="3"/>
        <v>200</v>
      </c>
      <c r="K21" s="756"/>
      <c r="L21" s="1287">
        <f t="shared" si="4"/>
        <v>250</v>
      </c>
      <c r="M21" s="1287"/>
      <c r="N21" s="1287" t="str">
        <f t="shared" si="5"/>
        <v>нет значений данной функции</v>
      </c>
      <c r="O21" s="1287"/>
      <c r="P21" s="176"/>
      <c r="Q21" s="177"/>
      <c r="R21" s="177"/>
      <c r="S21" s="177"/>
      <c r="T21" s="177"/>
      <c r="U21" s="177"/>
      <c r="V21" s="178"/>
      <c r="AL21" s="324">
        <v>355</v>
      </c>
      <c r="AM21" s="324">
        <v>0.66</v>
      </c>
      <c r="BD21" s="324">
        <v>100</v>
      </c>
      <c r="BE21" s="324">
        <v>0.16800000000000001</v>
      </c>
      <c r="BG21" s="324">
        <v>0.313</v>
      </c>
      <c r="BH21" s="324"/>
      <c r="BI21" s="11"/>
      <c r="BJ21" s="324">
        <v>0.313</v>
      </c>
      <c r="BK21" s="324"/>
      <c r="BM21" s="324">
        <v>0.313</v>
      </c>
      <c r="BN21" s="324"/>
      <c r="BP21" s="324">
        <v>0.313</v>
      </c>
      <c r="BQ21" s="324"/>
      <c r="BS21" s="324">
        <v>0.313</v>
      </c>
      <c r="BT21" s="324" t="s">
        <v>416</v>
      </c>
      <c r="BV21" s="324">
        <v>0.313</v>
      </c>
      <c r="BW21" s="324" t="s">
        <v>416</v>
      </c>
      <c r="CJ21" s="176"/>
      <c r="CK21" s="177"/>
      <c r="CL21" s="177"/>
      <c r="CM21" s="177"/>
      <c r="CN21" s="177"/>
      <c r="CO21" s="177"/>
      <c r="CP21" s="177"/>
      <c r="CQ21" s="178"/>
      <c r="CS21" s="176"/>
      <c r="CT21" s="177"/>
      <c r="CU21" s="177"/>
      <c r="CV21" s="177"/>
      <c r="CW21" s="177"/>
      <c r="CX21" s="177"/>
      <c r="CY21" s="177"/>
      <c r="CZ21" s="177"/>
      <c r="DA21" s="178"/>
      <c r="DB21" s="1946"/>
      <c r="DC21" s="1527"/>
      <c r="DD21" s="1527"/>
      <c r="DE21" s="1527"/>
      <c r="DF21" s="1527"/>
      <c r="DJ21" s="324">
        <v>132</v>
      </c>
      <c r="DK21" s="324">
        <v>0.22500000000000001</v>
      </c>
    </row>
    <row r="22" spans="2:171" ht="48.75" customHeight="1">
      <c r="B22" s="253">
        <v>12</v>
      </c>
      <c r="C22" s="253">
        <v>30</v>
      </c>
      <c r="D22" s="756">
        <f t="shared" si="0"/>
        <v>180</v>
      </c>
      <c r="E22" s="756"/>
      <c r="F22" s="756">
        <f t="shared" si="1"/>
        <v>180</v>
      </c>
      <c r="G22" s="756"/>
      <c r="H22" s="756">
        <f t="shared" si="2"/>
        <v>200</v>
      </c>
      <c r="I22" s="756"/>
      <c r="J22" s="756">
        <f t="shared" si="3"/>
        <v>225</v>
      </c>
      <c r="K22" s="756"/>
      <c r="L22" s="1287">
        <f t="shared" si="4"/>
        <v>250</v>
      </c>
      <c r="M22" s="1287"/>
      <c r="N22" s="1287" t="str">
        <f t="shared" si="5"/>
        <v>нет значений данной функции</v>
      </c>
      <c r="O22" s="1287"/>
      <c r="P22" s="176"/>
      <c r="Q22" s="177"/>
      <c r="R22" s="177"/>
      <c r="S22" s="177"/>
      <c r="T22" s="177"/>
      <c r="U22" s="177"/>
      <c r="V22" s="178"/>
      <c r="AI22" s="17"/>
      <c r="AJ22" s="17"/>
      <c r="BD22" s="324">
        <v>112</v>
      </c>
      <c r="BE22" s="324">
        <v>0.191</v>
      </c>
      <c r="BG22" s="324">
        <v>0.34899999999999998</v>
      </c>
      <c r="BH22" s="324"/>
      <c r="BI22" s="11"/>
      <c r="BJ22" s="324">
        <v>0.34899999999999998</v>
      </c>
      <c r="BK22" s="324"/>
      <c r="BM22" s="324">
        <v>0.34899999999999998</v>
      </c>
      <c r="BN22" s="324"/>
      <c r="BP22" s="324">
        <v>0.34899999999999998</v>
      </c>
      <c r="BQ22" s="324"/>
      <c r="BS22" s="324">
        <v>0.34899999999999998</v>
      </c>
      <c r="BT22" s="324" t="s">
        <v>416</v>
      </c>
      <c r="BV22" s="324">
        <v>0.34899999999999998</v>
      </c>
      <c r="BW22" s="324" t="s">
        <v>416</v>
      </c>
      <c r="CD22" s="278"/>
      <c r="CE22" s="278"/>
      <c r="CF22" s="278"/>
      <c r="CG22" s="278"/>
      <c r="CH22" s="278"/>
      <c r="CI22" s="278"/>
      <c r="CJ22" s="176"/>
      <c r="CK22" s="177"/>
      <c r="CL22" s="177"/>
      <c r="CM22" s="177"/>
      <c r="CN22" s="177"/>
      <c r="CO22" s="177"/>
      <c r="CP22" s="177"/>
      <c r="CQ22" s="178"/>
      <c r="CR22" s="278"/>
      <c r="CS22" s="176"/>
      <c r="CT22" s="177"/>
      <c r="CU22" s="177"/>
      <c r="CV22" s="177"/>
      <c r="CW22" s="177"/>
      <c r="CX22" s="177"/>
      <c r="CY22" s="177"/>
      <c r="CZ22" s="177"/>
      <c r="DA22" s="178"/>
      <c r="DB22" s="1946"/>
      <c r="DC22" s="1527"/>
      <c r="DD22" s="1527"/>
      <c r="DE22" s="1527"/>
      <c r="DF22" s="1527"/>
      <c r="DJ22" s="324">
        <v>160</v>
      </c>
      <c r="DK22" s="324">
        <v>0.27200000000000002</v>
      </c>
      <c r="FG22" s="756" t="s">
        <v>1131</v>
      </c>
      <c r="FH22" s="756"/>
      <c r="FI22" s="756"/>
      <c r="FJ22" s="756"/>
      <c r="FK22" s="756"/>
      <c r="FL22" s="756"/>
      <c r="FM22" s="325" t="s">
        <v>1137</v>
      </c>
      <c r="FN22" s="325">
        <v>12</v>
      </c>
      <c r="FO22" s="10"/>
    </row>
    <row r="23" spans="2:171" ht="48.75" customHeight="1">
      <c r="B23" s="253">
        <v>13</v>
      </c>
      <c r="C23" s="253">
        <v>37</v>
      </c>
      <c r="D23" s="756">
        <f t="shared" si="0"/>
        <v>200</v>
      </c>
      <c r="E23" s="756"/>
      <c r="F23" s="756">
        <f t="shared" si="1"/>
        <v>200</v>
      </c>
      <c r="G23" s="756"/>
      <c r="H23" s="756">
        <f t="shared" si="2"/>
        <v>225</v>
      </c>
      <c r="I23" s="756"/>
      <c r="J23" s="756">
        <f t="shared" si="3"/>
        <v>250</v>
      </c>
      <c r="K23" s="756"/>
      <c r="L23" s="1287">
        <f t="shared" si="4"/>
        <v>280</v>
      </c>
      <c r="M23" s="1287"/>
      <c r="N23" s="1287" t="str">
        <f t="shared" si="5"/>
        <v>нет значений данной функции</v>
      </c>
      <c r="O23" s="1287"/>
      <c r="P23" s="176"/>
      <c r="Q23" s="177"/>
      <c r="R23" s="177"/>
      <c r="S23" s="177"/>
      <c r="T23" s="177"/>
      <c r="U23" s="177"/>
      <c r="V23" s="178"/>
      <c r="AJ23" s="17"/>
      <c r="BD23" s="324">
        <v>132</v>
      </c>
      <c r="BE23" s="324">
        <v>0.22500000000000001</v>
      </c>
      <c r="BG23" s="324">
        <v>0.39200000000000002</v>
      </c>
      <c r="BH23" s="324"/>
      <c r="BI23" s="11"/>
      <c r="BJ23" s="324">
        <v>0.39200000000000002</v>
      </c>
      <c r="BK23" s="324"/>
      <c r="BM23" s="324">
        <v>0.39200000000000002</v>
      </c>
      <c r="BN23" s="324"/>
      <c r="BP23" s="324">
        <v>0.39200000000000002</v>
      </c>
      <c r="BQ23" s="324"/>
      <c r="BS23" s="324">
        <v>0.39200000000000002</v>
      </c>
      <c r="BT23" s="324" t="s">
        <v>416</v>
      </c>
      <c r="BV23" s="324">
        <v>0.39200000000000002</v>
      </c>
      <c r="BW23" s="324" t="s">
        <v>416</v>
      </c>
      <c r="CD23" s="278"/>
      <c r="CE23" s="278"/>
      <c r="CF23" s="278"/>
      <c r="CG23" s="278"/>
      <c r="CH23" s="278"/>
      <c r="CI23" s="278"/>
      <c r="CJ23" s="176"/>
      <c r="CK23" s="177"/>
      <c r="CL23" s="177"/>
      <c r="CM23" s="177"/>
      <c r="CN23" s="177"/>
      <c r="CO23" s="177"/>
      <c r="CP23" s="177"/>
      <c r="CQ23" s="178"/>
      <c r="CR23" s="278"/>
      <c r="CS23" s="176"/>
      <c r="CT23" s="177"/>
      <c r="CU23" s="177"/>
      <c r="CV23" s="177"/>
      <c r="CW23" s="177"/>
      <c r="CX23" s="177"/>
      <c r="CY23" s="177"/>
      <c r="CZ23" s="177"/>
      <c r="DA23" s="178"/>
      <c r="DB23" s="1946"/>
      <c r="DC23" s="1527"/>
      <c r="DD23" s="1527"/>
      <c r="DE23" s="1527"/>
      <c r="DF23" s="1527"/>
      <c r="DJ23" s="324">
        <v>180</v>
      </c>
      <c r="DK23" s="324">
        <v>0.313</v>
      </c>
      <c r="FG23" s="1938" t="s">
        <v>1139</v>
      </c>
      <c r="FH23" s="1938"/>
      <c r="FI23" s="1938"/>
      <c r="FJ23" s="1938"/>
      <c r="FK23" s="1938"/>
      <c r="FL23" s="1938"/>
      <c r="FM23" s="325" t="s">
        <v>1138</v>
      </c>
      <c r="FN23" s="325">
        <v>6</v>
      </c>
      <c r="FO23" s="10"/>
    </row>
    <row r="24" spans="2:171" ht="48.75" customHeight="1">
      <c r="B24" s="253">
        <v>14</v>
      </c>
      <c r="C24" s="253">
        <v>45</v>
      </c>
      <c r="D24" s="756">
        <f t="shared" si="0"/>
        <v>200</v>
      </c>
      <c r="E24" s="756"/>
      <c r="F24" s="756">
        <f t="shared" si="1"/>
        <v>200</v>
      </c>
      <c r="G24" s="756"/>
      <c r="H24" s="756">
        <f t="shared" si="2"/>
        <v>250</v>
      </c>
      <c r="I24" s="756"/>
      <c r="J24" s="756">
        <f t="shared" si="3"/>
        <v>250</v>
      </c>
      <c r="K24" s="756"/>
      <c r="L24" s="1287">
        <f t="shared" si="4"/>
        <v>280</v>
      </c>
      <c r="M24" s="1287"/>
      <c r="N24" s="1287">
        <f t="shared" si="5"/>
        <v>315</v>
      </c>
      <c r="O24" s="1287"/>
      <c r="P24" s="176"/>
      <c r="Q24" s="177"/>
      <c r="R24" s="177"/>
      <c r="S24" s="177"/>
      <c r="T24" s="177"/>
      <c r="U24" s="177"/>
      <c r="V24" s="178"/>
      <c r="AJ24" s="17"/>
      <c r="BD24" s="324">
        <v>160</v>
      </c>
      <c r="BE24" s="324">
        <v>0.27200000000000002</v>
      </c>
      <c r="BG24" s="324">
        <v>0.437</v>
      </c>
      <c r="BH24" s="324"/>
      <c r="BI24" s="11"/>
      <c r="BJ24" s="324">
        <v>0.437</v>
      </c>
      <c r="BK24" s="324"/>
      <c r="BM24" s="324">
        <v>0.437</v>
      </c>
      <c r="BN24" s="324"/>
      <c r="BP24" s="324">
        <v>0.437</v>
      </c>
      <c r="BQ24" s="324"/>
      <c r="BS24" s="324">
        <v>0.437</v>
      </c>
      <c r="BT24" s="324" t="s">
        <v>416</v>
      </c>
      <c r="BV24" s="324">
        <v>0.437</v>
      </c>
      <c r="BW24" s="324" t="s">
        <v>416</v>
      </c>
      <c r="CD24" s="278"/>
      <c r="CE24" s="278"/>
      <c r="CF24" s="278"/>
      <c r="CG24" s="278"/>
      <c r="CH24" s="278"/>
      <c r="CI24" s="278"/>
      <c r="CJ24" s="176"/>
      <c r="CK24" s="177"/>
      <c r="CL24" s="177"/>
      <c r="CM24" s="177"/>
      <c r="CN24" s="177"/>
      <c r="CO24" s="177"/>
      <c r="CP24" s="177"/>
      <c r="CQ24" s="178"/>
      <c r="CR24" s="278"/>
      <c r="CS24" s="176"/>
      <c r="CT24" s="177"/>
      <c r="CU24" s="177"/>
      <c r="CV24" s="177"/>
      <c r="CW24" s="177"/>
      <c r="CX24" s="177"/>
      <c r="CY24" s="177"/>
      <c r="CZ24" s="177"/>
      <c r="DA24" s="178"/>
      <c r="DB24" s="1946"/>
      <c r="DC24" s="1527"/>
      <c r="DD24" s="1527"/>
      <c r="DE24" s="1527"/>
      <c r="DF24" s="1527"/>
      <c r="DJ24" s="324">
        <v>200</v>
      </c>
      <c r="DK24" s="324">
        <v>0.34899999999999998</v>
      </c>
      <c r="FG24" s="1938" t="s">
        <v>1139</v>
      </c>
      <c r="FH24" s="1938"/>
      <c r="FI24" s="1938"/>
      <c r="FJ24" s="1938"/>
      <c r="FK24" s="1938"/>
      <c r="FL24" s="1938"/>
      <c r="FM24" s="325" t="s">
        <v>1132</v>
      </c>
      <c r="FN24" s="325">
        <v>1.8</v>
      </c>
      <c r="FO24" s="10"/>
    </row>
    <row r="25" spans="2:171" ht="48.75" customHeight="1">
      <c r="B25" s="253">
        <v>15</v>
      </c>
      <c r="C25" s="253">
        <v>55</v>
      </c>
      <c r="D25" s="756">
        <f t="shared" si="0"/>
        <v>225</v>
      </c>
      <c r="E25" s="756"/>
      <c r="F25" s="756">
        <f t="shared" si="1"/>
        <v>225</v>
      </c>
      <c r="G25" s="756"/>
      <c r="H25" s="756">
        <f t="shared" si="2"/>
        <v>250</v>
      </c>
      <c r="I25" s="756"/>
      <c r="J25" s="756">
        <f t="shared" si="3"/>
        <v>280</v>
      </c>
      <c r="K25" s="756"/>
      <c r="L25" s="1287">
        <f t="shared" si="4"/>
        <v>315</v>
      </c>
      <c r="M25" s="1287"/>
      <c r="N25" s="1287">
        <f t="shared" si="5"/>
        <v>315</v>
      </c>
      <c r="O25" s="1287"/>
      <c r="P25" s="176"/>
      <c r="Q25" s="177"/>
      <c r="R25" s="177"/>
      <c r="S25" s="177"/>
      <c r="T25" s="177"/>
      <c r="U25" s="177"/>
      <c r="V25" s="178"/>
      <c r="BD25" s="324">
        <v>180</v>
      </c>
      <c r="BE25" s="324">
        <v>0.313</v>
      </c>
      <c r="BG25" s="324">
        <v>0.53</v>
      </c>
      <c r="BH25" s="324"/>
      <c r="BI25" s="11"/>
      <c r="BJ25" s="324">
        <v>0.53</v>
      </c>
      <c r="BK25" s="324"/>
      <c r="BM25" s="324">
        <v>0.53</v>
      </c>
      <c r="BN25" s="324"/>
      <c r="BP25" s="324">
        <v>0.53</v>
      </c>
      <c r="BQ25" s="324"/>
      <c r="BS25" s="324">
        <v>0.53</v>
      </c>
      <c r="BT25" s="324"/>
      <c r="BV25" s="324">
        <v>0.53</v>
      </c>
      <c r="BW25" s="324"/>
      <c r="CG25" s="278"/>
      <c r="CH25" s="278"/>
      <c r="CI25" s="278"/>
      <c r="CJ25" s="176"/>
      <c r="CK25" s="177"/>
      <c r="CL25" s="177"/>
      <c r="CM25" s="177"/>
      <c r="CN25" s="177"/>
      <c r="CO25" s="177"/>
      <c r="CP25" s="177"/>
      <c r="CQ25" s="178"/>
      <c r="CR25" s="278"/>
      <c r="CS25" s="176"/>
      <c r="CT25" s="177"/>
      <c r="CU25" s="177"/>
      <c r="CV25" s="177"/>
      <c r="CW25" s="177"/>
      <c r="CX25" s="177"/>
      <c r="CY25" s="177"/>
      <c r="CZ25" s="177"/>
      <c r="DA25" s="178"/>
      <c r="DB25" s="1946"/>
      <c r="DC25" s="1527"/>
      <c r="DD25" s="1527"/>
      <c r="DE25" s="1527"/>
      <c r="DF25" s="1527"/>
      <c r="DJ25" s="324">
        <v>225</v>
      </c>
      <c r="DK25" s="324">
        <v>0.39200000000000002</v>
      </c>
      <c r="EU25" s="278"/>
      <c r="EV25" s="278"/>
      <c r="FG25" s="1938" t="s">
        <v>1139</v>
      </c>
      <c r="FH25" s="1938"/>
      <c r="FI25" s="1938"/>
      <c r="FJ25" s="1938"/>
      <c r="FK25" s="1938"/>
      <c r="FL25" s="1938"/>
      <c r="FM25" s="325" t="s">
        <v>1133</v>
      </c>
      <c r="FN25" s="325">
        <v>0.4</v>
      </c>
      <c r="FO25" s="10"/>
    </row>
    <row r="26" spans="2:171" ht="48.75" customHeight="1">
      <c r="B26" s="253">
        <v>16</v>
      </c>
      <c r="C26" s="253">
        <v>75</v>
      </c>
      <c r="D26" s="756">
        <f t="shared" si="0"/>
        <v>250</v>
      </c>
      <c r="E26" s="756"/>
      <c r="F26" s="756">
        <f t="shared" si="1"/>
        <v>250</v>
      </c>
      <c r="G26" s="756"/>
      <c r="H26" s="756">
        <f t="shared" si="2"/>
        <v>280</v>
      </c>
      <c r="I26" s="756"/>
      <c r="J26" s="756">
        <f t="shared" si="3"/>
        <v>280</v>
      </c>
      <c r="K26" s="756"/>
      <c r="L26" s="1287">
        <f t="shared" si="4"/>
        <v>315</v>
      </c>
      <c r="M26" s="1287"/>
      <c r="N26" s="1287">
        <f t="shared" si="5"/>
        <v>355</v>
      </c>
      <c r="O26" s="1287"/>
      <c r="P26" s="176"/>
      <c r="Q26" s="177"/>
      <c r="R26" s="177"/>
      <c r="S26" s="177"/>
      <c r="T26" s="177"/>
      <c r="U26" s="177"/>
      <c r="V26" s="178"/>
      <c r="BD26" s="324">
        <v>200</v>
      </c>
      <c r="BE26" s="324">
        <v>0.34899999999999998</v>
      </c>
      <c r="BG26" s="324">
        <v>0.59</v>
      </c>
      <c r="BH26" s="324"/>
      <c r="BI26" s="11"/>
      <c r="BJ26" s="324">
        <v>0.59</v>
      </c>
      <c r="BK26" s="324"/>
      <c r="BM26" s="324">
        <v>0.59</v>
      </c>
      <c r="BN26" s="324"/>
      <c r="BP26" s="324">
        <v>0.59</v>
      </c>
      <c r="BQ26" s="324"/>
      <c r="BS26" s="324">
        <v>0.59</v>
      </c>
      <c r="BT26" s="324"/>
      <c r="BV26" s="324">
        <v>0.59</v>
      </c>
      <c r="BW26" s="324"/>
      <c r="CG26" s="278"/>
      <c r="CH26" s="278"/>
      <c r="CI26" s="278"/>
      <c r="CJ26" s="85"/>
      <c r="CK26" s="86"/>
      <c r="CL26" s="86"/>
      <c r="CM26" s="86"/>
      <c r="CN26" s="86"/>
      <c r="CO26" s="86"/>
      <c r="CP26" s="86"/>
      <c r="CQ26" s="87"/>
      <c r="CR26" s="278"/>
      <c r="CS26" s="85"/>
      <c r="CT26" s="86"/>
      <c r="CU26" s="86"/>
      <c r="CV26" s="86"/>
      <c r="CW26" s="86"/>
      <c r="CX26" s="86"/>
      <c r="CY26" s="86"/>
      <c r="CZ26" s="86"/>
      <c r="DA26" s="87"/>
      <c r="DB26" s="1946"/>
      <c r="DC26" s="1527"/>
      <c r="DD26" s="1527"/>
      <c r="DE26" s="1527"/>
      <c r="DF26" s="1527"/>
      <c r="DJ26" s="324">
        <v>250</v>
      </c>
      <c r="DK26" s="324">
        <v>0.437</v>
      </c>
      <c r="EU26" s="278"/>
      <c r="EV26" s="278"/>
      <c r="FG26" s="1938" t="s">
        <v>1139</v>
      </c>
      <c r="FH26" s="1938"/>
      <c r="FI26" s="1938"/>
      <c r="FJ26" s="1938"/>
      <c r="FK26" s="1938"/>
      <c r="FL26" s="1938"/>
      <c r="FM26" s="325" t="s">
        <v>1134</v>
      </c>
      <c r="FN26" s="325">
        <v>2</v>
      </c>
      <c r="FO26" s="10"/>
    </row>
    <row r="27" spans="2:171" ht="48.75" customHeight="1">
      <c r="B27" s="253">
        <v>17</v>
      </c>
      <c r="C27" s="253">
        <v>90</v>
      </c>
      <c r="D27" s="756">
        <f t="shared" si="0"/>
        <v>250</v>
      </c>
      <c r="E27" s="756"/>
      <c r="F27" s="756">
        <f t="shared" si="1"/>
        <v>250</v>
      </c>
      <c r="G27" s="756"/>
      <c r="H27" s="756">
        <f t="shared" si="2"/>
        <v>280</v>
      </c>
      <c r="I27" s="756"/>
      <c r="J27" s="756">
        <f t="shared" si="3"/>
        <v>315</v>
      </c>
      <c r="K27" s="756"/>
      <c r="L27" s="1287">
        <f t="shared" si="4"/>
        <v>355</v>
      </c>
      <c r="M27" s="1287"/>
      <c r="N27" s="1287">
        <f t="shared" si="5"/>
        <v>355</v>
      </c>
      <c r="O27" s="1287"/>
      <c r="P27" s="176"/>
      <c r="Q27" s="177"/>
      <c r="R27" s="177"/>
      <c r="S27" s="177"/>
      <c r="T27" s="177"/>
      <c r="U27" s="177"/>
      <c r="V27" s="178"/>
      <c r="BD27" s="324">
        <v>225</v>
      </c>
      <c r="BE27" s="324">
        <v>0.39200000000000002</v>
      </c>
      <c r="BG27" s="324">
        <v>0.66</v>
      </c>
      <c r="BH27" s="324"/>
      <c r="BI27" s="11"/>
      <c r="BJ27" s="324">
        <v>0.66</v>
      </c>
      <c r="BK27" s="324"/>
      <c r="BM27" s="324">
        <v>0.66</v>
      </c>
      <c r="BN27" s="324"/>
      <c r="BP27" s="324">
        <v>0.66</v>
      </c>
      <c r="BQ27" s="324"/>
      <c r="BS27" s="324">
        <v>0.66</v>
      </c>
      <c r="BT27" s="324"/>
      <c r="BV27" s="324">
        <v>0.66</v>
      </c>
      <c r="BW27" s="324"/>
      <c r="CG27" s="278"/>
      <c r="CH27" s="278"/>
      <c r="CI27" s="278"/>
      <c r="CJ27" s="278"/>
      <c r="CK27" s="278"/>
      <c r="CL27" s="278"/>
      <c r="CM27" s="278"/>
      <c r="CN27" s="278"/>
      <c r="CO27" s="278"/>
      <c r="CP27" s="278"/>
      <c r="CQ27" s="278"/>
      <c r="CR27" s="278"/>
      <c r="CS27" s="278"/>
      <c r="CT27" s="278"/>
      <c r="CU27" s="278"/>
      <c r="CV27" s="278"/>
      <c r="CW27" s="278"/>
      <c r="DJ27" s="324">
        <v>280</v>
      </c>
      <c r="DK27" s="324">
        <v>0.53</v>
      </c>
      <c r="EU27" s="278"/>
      <c r="EV27" s="278"/>
      <c r="FG27" s="1938" t="s">
        <v>1139</v>
      </c>
      <c r="FH27" s="1938"/>
      <c r="FI27" s="1938"/>
      <c r="FJ27" s="1938"/>
      <c r="FK27" s="1938"/>
      <c r="FL27" s="1938"/>
      <c r="FM27" s="325" t="s">
        <v>1135</v>
      </c>
      <c r="FN27" s="325">
        <v>12</v>
      </c>
      <c r="FO27" s="327"/>
    </row>
    <row r="28" spans="2:171" ht="48.75" customHeight="1">
      <c r="B28" s="253">
        <v>18</v>
      </c>
      <c r="C28" s="253">
        <v>110</v>
      </c>
      <c r="D28" s="756">
        <f t="shared" si="0"/>
        <v>250</v>
      </c>
      <c r="E28" s="756"/>
      <c r="F28" s="756">
        <f t="shared" si="1"/>
        <v>280</v>
      </c>
      <c r="G28" s="756"/>
      <c r="H28" s="756">
        <f t="shared" si="2"/>
        <v>315</v>
      </c>
      <c r="I28" s="756"/>
      <c r="J28" s="756">
        <f t="shared" si="3"/>
        <v>315</v>
      </c>
      <c r="K28" s="756"/>
      <c r="L28" s="1287">
        <f t="shared" si="4"/>
        <v>355</v>
      </c>
      <c r="M28" s="1287"/>
      <c r="N28" s="1287" t="str">
        <f t="shared" si="5"/>
        <v>нет значений данной функции</v>
      </c>
      <c r="O28" s="1287"/>
      <c r="P28" s="176"/>
      <c r="Q28" s="177"/>
      <c r="R28" s="177"/>
      <c r="S28" s="177"/>
      <c r="T28" s="177"/>
      <c r="U28" s="177"/>
      <c r="V28" s="178"/>
      <c r="BD28" s="324">
        <v>250</v>
      </c>
      <c r="BE28" s="324">
        <v>0.437</v>
      </c>
      <c r="CG28" s="278"/>
      <c r="CH28" s="278"/>
      <c r="CI28" s="278"/>
      <c r="CJ28" s="278"/>
      <c r="CK28" s="278"/>
      <c r="CL28" s="278"/>
      <c r="CM28" s="278"/>
      <c r="CN28" s="278"/>
      <c r="CO28" s="278"/>
      <c r="CP28" s="278"/>
      <c r="CQ28" s="278"/>
      <c r="CR28" s="278"/>
      <c r="CS28" s="1287" t="s">
        <v>1159</v>
      </c>
      <c r="CT28" s="1287"/>
      <c r="CU28" s="1287"/>
      <c r="CV28" s="1287"/>
      <c r="CW28" s="1287"/>
      <c r="CX28" s="1287"/>
      <c r="CY28" s="1287"/>
      <c r="CZ28" s="1287"/>
      <c r="DA28" s="1287"/>
      <c r="DB28" s="1287"/>
      <c r="DC28" s="1287"/>
      <c r="DD28" s="1287"/>
      <c r="DE28" s="1287"/>
      <c r="DF28" s="970"/>
      <c r="DJ28" s="324">
        <v>315</v>
      </c>
      <c r="DK28" s="324">
        <v>0.59</v>
      </c>
      <c r="EU28" s="278"/>
      <c r="EV28" s="278"/>
      <c r="FG28" s="1938" t="s">
        <v>1139</v>
      </c>
      <c r="FH28" s="1938"/>
      <c r="FI28" s="1938"/>
      <c r="FJ28" s="1938"/>
      <c r="FK28" s="1938"/>
      <c r="FL28" s="1938"/>
      <c r="FM28" s="325" t="s">
        <v>1136</v>
      </c>
      <c r="FN28" s="325">
        <v>0</v>
      </c>
      <c r="FO28" s="327"/>
    </row>
    <row r="29" spans="2:171" ht="48.75" customHeight="1">
      <c r="B29" s="253">
        <v>19</v>
      </c>
      <c r="C29" s="253">
        <v>132</v>
      </c>
      <c r="D29" s="756">
        <f t="shared" si="0"/>
        <v>280</v>
      </c>
      <c r="E29" s="756"/>
      <c r="F29" s="756">
        <f t="shared" si="1"/>
        <v>280</v>
      </c>
      <c r="G29" s="756"/>
      <c r="H29" s="756">
        <f t="shared" si="2"/>
        <v>315</v>
      </c>
      <c r="I29" s="756"/>
      <c r="J29" s="756">
        <f t="shared" si="3"/>
        <v>355</v>
      </c>
      <c r="K29" s="756"/>
      <c r="L29" s="1287" t="str">
        <f t="shared" si="4"/>
        <v>нет значений данной функции</v>
      </c>
      <c r="M29" s="1287"/>
      <c r="N29" s="1287" t="str">
        <f t="shared" si="5"/>
        <v>нет значений данной функции</v>
      </c>
      <c r="O29" s="1287"/>
      <c r="P29" s="176"/>
      <c r="Q29" s="177"/>
      <c r="R29" s="177"/>
      <c r="S29" s="177"/>
      <c r="T29" s="177"/>
      <c r="U29" s="177"/>
      <c r="V29" s="178"/>
      <c r="BD29" s="324">
        <v>280</v>
      </c>
      <c r="BE29" s="324">
        <v>0.53</v>
      </c>
      <c r="BG29" s="1121" t="s">
        <v>1160</v>
      </c>
      <c r="BH29" s="1123"/>
      <c r="BI29" s="11"/>
      <c r="BJ29" s="1121" t="s">
        <v>1161</v>
      </c>
      <c r="BK29" s="1123"/>
      <c r="BM29" s="1121" t="s">
        <v>1162</v>
      </c>
      <c r="BN29" s="1123"/>
      <c r="BP29" s="1121" t="s">
        <v>1163</v>
      </c>
      <c r="BQ29" s="1123"/>
      <c r="BR29" s="278"/>
      <c r="BS29" s="1121" t="s">
        <v>1164</v>
      </c>
      <c r="BT29" s="1123"/>
      <c r="BV29" s="1121" t="s">
        <v>1165</v>
      </c>
      <c r="BW29" s="1123"/>
      <c r="CS29" s="1287"/>
      <c r="CT29" s="1287"/>
      <c r="CU29" s="1287"/>
      <c r="CV29" s="1287"/>
      <c r="CW29" s="1287"/>
      <c r="CX29" s="1287"/>
      <c r="CY29" s="1287"/>
      <c r="CZ29" s="1287"/>
      <c r="DA29" s="1287"/>
      <c r="DB29" s="1287"/>
      <c r="DC29" s="1287"/>
      <c r="DD29" s="1287"/>
      <c r="DE29" s="1287"/>
      <c r="DF29" s="972"/>
      <c r="DJ29" s="324">
        <v>355</v>
      </c>
      <c r="DK29" s="324">
        <v>0.66</v>
      </c>
      <c r="EU29" s="278"/>
      <c r="EV29" s="278"/>
      <c r="FG29" s="1939" t="s">
        <v>1140</v>
      </c>
      <c r="FH29" s="1940"/>
      <c r="FI29" s="1940"/>
      <c r="FJ29" s="1940"/>
      <c r="FK29" s="1940"/>
      <c r="FL29" s="1940"/>
      <c r="FM29" s="326">
        <v>2</v>
      </c>
      <c r="FN29" s="326"/>
      <c r="FO29" s="327"/>
    </row>
    <row r="30" spans="2:171" ht="48.75" customHeight="1">
      <c r="B30" s="253">
        <v>20</v>
      </c>
      <c r="C30" s="253">
        <v>160</v>
      </c>
      <c r="D30" s="756">
        <f t="shared" si="0"/>
        <v>315</v>
      </c>
      <c r="E30" s="756"/>
      <c r="F30" s="756">
        <f t="shared" si="1"/>
        <v>315</v>
      </c>
      <c r="G30" s="756"/>
      <c r="H30" s="756">
        <f t="shared" si="2"/>
        <v>355</v>
      </c>
      <c r="I30" s="756"/>
      <c r="J30" s="756">
        <f t="shared" si="3"/>
        <v>355</v>
      </c>
      <c r="K30" s="756"/>
      <c r="L30" s="1287" t="str">
        <f t="shared" si="4"/>
        <v>нет значений данной функции</v>
      </c>
      <c r="M30" s="1287"/>
      <c r="N30" s="1287" t="str">
        <f t="shared" si="5"/>
        <v>нет значений данной функции</v>
      </c>
      <c r="O30" s="1287"/>
      <c r="P30" s="176"/>
      <c r="Q30" s="177"/>
      <c r="R30" s="177"/>
      <c r="S30" s="177"/>
      <c r="T30" s="177"/>
      <c r="U30" s="177"/>
      <c r="V30" s="178"/>
      <c r="BD30" s="324">
        <v>315</v>
      </c>
      <c r="BE30" s="324">
        <v>0.59</v>
      </c>
      <c r="BG30" s="322" t="s">
        <v>718</v>
      </c>
      <c r="BH30" s="331" t="s">
        <v>751</v>
      </c>
      <c r="BI30" s="11"/>
      <c r="BJ30" s="322" t="s">
        <v>718</v>
      </c>
      <c r="BK30" s="331" t="s">
        <v>751</v>
      </c>
      <c r="BM30" s="322" t="s">
        <v>718</v>
      </c>
      <c r="BN30" s="331" t="s">
        <v>751</v>
      </c>
      <c r="BP30" s="322" t="s">
        <v>718</v>
      </c>
      <c r="BQ30" s="331" t="s">
        <v>751</v>
      </c>
      <c r="BR30" s="278"/>
      <c r="BS30" s="322" t="s">
        <v>718</v>
      </c>
      <c r="BT30" s="331" t="s">
        <v>751</v>
      </c>
      <c r="BV30" s="322" t="s">
        <v>718</v>
      </c>
      <c r="BW30" s="331" t="s">
        <v>751</v>
      </c>
      <c r="CS30" s="1527"/>
      <c r="CT30" s="1527"/>
      <c r="CU30" s="1527"/>
      <c r="CV30" s="1527"/>
      <c r="CW30" s="1527"/>
      <c r="CX30" s="1527"/>
      <c r="CY30" s="1527"/>
      <c r="CZ30" s="1527"/>
      <c r="DA30" s="1527"/>
      <c r="DB30" s="1946"/>
      <c r="DC30" s="1527"/>
      <c r="DD30" s="1527"/>
      <c r="DE30" s="1527"/>
      <c r="DF30" s="1527"/>
      <c r="EV30" s="278"/>
      <c r="FG30" s="10"/>
      <c r="FH30" s="200"/>
      <c r="FI30" s="200"/>
      <c r="FJ30" s="127"/>
      <c r="FK30" s="127"/>
      <c r="FL30" s="127"/>
      <c r="FM30" s="327"/>
      <c r="FN30" s="10"/>
      <c r="FO30" s="327"/>
    </row>
    <row r="31" spans="2:171" ht="48.75" customHeight="1">
      <c r="B31" s="253">
        <v>21</v>
      </c>
      <c r="C31" s="253">
        <v>200</v>
      </c>
      <c r="D31" s="756">
        <f t="shared" si="0"/>
        <v>315</v>
      </c>
      <c r="E31" s="756"/>
      <c r="F31" s="756">
        <f t="shared" si="1"/>
        <v>315</v>
      </c>
      <c r="G31" s="756"/>
      <c r="H31" s="756">
        <f t="shared" si="2"/>
        <v>355</v>
      </c>
      <c r="I31" s="756"/>
      <c r="J31" s="1285" t="str">
        <f t="shared" si="3"/>
        <v>нет значений данной функции</v>
      </c>
      <c r="K31" s="1761"/>
      <c r="L31" s="1287" t="str">
        <f t="shared" si="4"/>
        <v>нет значений данной функции</v>
      </c>
      <c r="M31" s="1287"/>
      <c r="N31" s="1287" t="str">
        <f t="shared" si="5"/>
        <v>нет значений данной функции</v>
      </c>
      <c r="O31" s="1287"/>
      <c r="P31" s="176"/>
      <c r="Q31" s="177"/>
      <c r="R31" s="177"/>
      <c r="S31" s="177"/>
      <c r="T31" s="177"/>
      <c r="U31" s="177"/>
      <c r="V31" s="178"/>
      <c r="BD31" s="324">
        <v>355</v>
      </c>
      <c r="BE31" s="324">
        <v>0.66</v>
      </c>
      <c r="BG31" s="324">
        <v>8.8999999999999996E-2</v>
      </c>
      <c r="BH31" s="324" t="s">
        <v>416</v>
      </c>
      <c r="BI31" s="11"/>
      <c r="BJ31" s="324">
        <v>8.8999999999999996E-2</v>
      </c>
      <c r="BK31" s="324" t="s">
        <v>416</v>
      </c>
      <c r="BM31" s="324">
        <v>8.8999999999999996E-2</v>
      </c>
      <c r="BN31" s="324" t="s">
        <v>416</v>
      </c>
      <c r="BP31" s="324">
        <v>8.8999999999999996E-2</v>
      </c>
      <c r="BQ31" s="324" t="s">
        <v>416</v>
      </c>
      <c r="BR31" s="278"/>
      <c r="BS31" s="324">
        <v>8.8999999999999996E-2</v>
      </c>
      <c r="BT31" s="324" t="s">
        <v>416</v>
      </c>
      <c r="BV31" s="324">
        <v>8.8999999999999996E-2</v>
      </c>
      <c r="BW31" s="324" t="s">
        <v>416</v>
      </c>
      <c r="CS31" s="1527"/>
      <c r="CT31" s="1527"/>
      <c r="CU31" s="1527"/>
      <c r="CV31" s="1527"/>
      <c r="CW31" s="1527"/>
      <c r="CX31" s="1527"/>
      <c r="CY31" s="1527"/>
      <c r="CZ31" s="1527"/>
      <c r="DA31" s="1527"/>
      <c r="DB31" s="1946"/>
      <c r="DC31" s="1527"/>
      <c r="DD31" s="1527"/>
      <c r="DE31" s="1527"/>
      <c r="DF31" s="1527"/>
      <c r="EV31" s="278"/>
      <c r="FG31" s="256">
        <v>2</v>
      </c>
      <c r="FH31" s="256">
        <v>6</v>
      </c>
      <c r="FI31" s="256">
        <v>0.08</v>
      </c>
      <c r="FJ31" s="256">
        <f>(31*((FI31*3)^(1/2)))</f>
        <v>15.186836405255704</v>
      </c>
      <c r="FK31" s="256">
        <f>(34*((FI31*12)^(1/2)))</f>
        <v>33.313060501851218</v>
      </c>
      <c r="FL31" s="256">
        <f>(40*((FI31*3)^(1/2)))</f>
        <v>19.595917942265423</v>
      </c>
      <c r="FM31" s="256">
        <f>FI31*2/((((FI31+0.02)*12)^(1/2)))</f>
        <v>0.14605934866804429</v>
      </c>
      <c r="FN31" s="256">
        <f t="shared" ref="FN31:FN63" si="6">(((FI31*$FN$22-$FM$29*FI31)^(1/2)))*$FN$23</f>
        <v>5.3665631459994954</v>
      </c>
      <c r="FO31" s="256">
        <f t="shared" ref="FO31:FO63" si="7">$FN$24*(($FN$26*FG31+(($FN$27*FG31^2)/(FG31)))/((((FG31^2+FH31^2))^0.5)/$FN$25)+FN31)+$FN$28</f>
        <v>12.847389544248818</v>
      </c>
    </row>
    <row r="32" spans="2:171" ht="48.75" customHeight="1">
      <c r="B32" s="253">
        <v>22</v>
      </c>
      <c r="C32" s="253">
        <v>250</v>
      </c>
      <c r="D32" s="756">
        <f t="shared" si="0"/>
        <v>355</v>
      </c>
      <c r="E32" s="756"/>
      <c r="F32" s="756">
        <f t="shared" si="1"/>
        <v>355</v>
      </c>
      <c r="G32" s="756"/>
      <c r="H32" s="1287" t="str">
        <f t="shared" si="2"/>
        <v>нет значений данной функции</v>
      </c>
      <c r="I32" s="1287"/>
      <c r="J32" s="1287" t="str">
        <f t="shared" si="3"/>
        <v>нет значений данной функции</v>
      </c>
      <c r="K32" s="1287"/>
      <c r="L32" s="1287" t="str">
        <f t="shared" si="4"/>
        <v>нет значений данной функции</v>
      </c>
      <c r="M32" s="1287"/>
      <c r="N32" s="1287" t="str">
        <f t="shared" si="5"/>
        <v>нет значений данной функции</v>
      </c>
      <c r="O32" s="1287"/>
      <c r="P32" s="176"/>
      <c r="Q32" s="177"/>
      <c r="R32" s="177"/>
      <c r="S32" s="177"/>
      <c r="T32" s="177"/>
      <c r="U32" s="177"/>
      <c r="V32" s="178"/>
      <c r="BG32" s="324">
        <v>0.1</v>
      </c>
      <c r="BH32" s="324" t="s">
        <v>416</v>
      </c>
      <c r="BI32" s="11"/>
      <c r="BJ32" s="324">
        <v>0.1</v>
      </c>
      <c r="BK32" s="324" t="s">
        <v>416</v>
      </c>
      <c r="BM32" s="324">
        <v>0.1</v>
      </c>
      <c r="BN32" s="324" t="s">
        <v>416</v>
      </c>
      <c r="BP32" s="324">
        <v>0.1</v>
      </c>
      <c r="BQ32" s="324" t="s">
        <v>416</v>
      </c>
      <c r="BR32" s="278"/>
      <c r="BS32" s="324">
        <v>0.1</v>
      </c>
      <c r="BT32" s="324" t="s">
        <v>416</v>
      </c>
      <c r="BV32" s="324">
        <v>0.1</v>
      </c>
      <c r="BW32" s="324" t="s">
        <v>416</v>
      </c>
      <c r="CS32" s="1527"/>
      <c r="CT32" s="1527"/>
      <c r="CU32" s="1527"/>
      <c r="CV32" s="1527"/>
      <c r="CW32" s="1527"/>
      <c r="CX32" s="1527"/>
      <c r="CY32" s="1527"/>
      <c r="CZ32" s="1527"/>
      <c r="DA32" s="1527"/>
      <c r="DB32" s="1946"/>
      <c r="DC32" s="1527"/>
      <c r="DD32" s="1527"/>
      <c r="DE32" s="1527"/>
      <c r="DF32" s="1527"/>
      <c r="EV32" s="278"/>
      <c r="FG32" s="256">
        <v>5</v>
      </c>
      <c r="FH32" s="256">
        <v>5.8</v>
      </c>
      <c r="FI32" s="256">
        <v>0.09</v>
      </c>
      <c r="FJ32" s="256">
        <f t="shared" ref="FJ32:FJ63" si="8">(31*((FI32*3)^(1/2)))</f>
        <v>16.10807251039056</v>
      </c>
      <c r="FK32" s="256">
        <f t="shared" ref="FK32:FK63" si="9">(34*((FI32*12)^(1/2)))</f>
        <v>35.333836474405103</v>
      </c>
      <c r="FL32" s="256">
        <f t="shared" ref="FL32:FL63" si="10">(40*((FI32*3)^(1/2)))</f>
        <v>20.784609690826528</v>
      </c>
      <c r="FM32" s="256">
        <f t="shared" ref="FM32:FM63" si="11">FI32*2/((((FI32+0.02)*12)^(1/2)))</f>
        <v>0.15666989036012804</v>
      </c>
      <c r="FN32" s="256">
        <f t="shared" si="6"/>
        <v>5.6920997883030831</v>
      </c>
      <c r="FO32" s="256">
        <f t="shared" si="7"/>
        <v>16.827411009405736</v>
      </c>
    </row>
    <row r="33" spans="2:171" ht="48.75" customHeight="1">
      <c r="B33" s="253">
        <v>23</v>
      </c>
      <c r="C33" s="253">
        <v>315</v>
      </c>
      <c r="D33" s="756">
        <f t="shared" si="0"/>
        <v>355</v>
      </c>
      <c r="E33" s="756"/>
      <c r="F33" s="756">
        <f t="shared" si="1"/>
        <v>355</v>
      </c>
      <c r="G33" s="756"/>
      <c r="H33" s="1287" t="str">
        <f t="shared" si="2"/>
        <v>нет значений данной функции</v>
      </c>
      <c r="I33" s="1287"/>
      <c r="J33" s="1287" t="str">
        <f t="shared" si="3"/>
        <v>нет значений данной функции</v>
      </c>
      <c r="K33" s="1287"/>
      <c r="L33" s="1287" t="str">
        <f t="shared" si="4"/>
        <v>нет значений данной функции</v>
      </c>
      <c r="M33" s="1287"/>
      <c r="N33" s="1287" t="str">
        <f t="shared" si="5"/>
        <v>нет значений данной функции</v>
      </c>
      <c r="O33" s="1287"/>
      <c r="P33" s="176"/>
      <c r="Q33" s="177"/>
      <c r="R33" s="177"/>
      <c r="S33" s="177"/>
      <c r="T33" s="177"/>
      <c r="U33" s="177"/>
      <c r="V33" s="178"/>
      <c r="AP33" s="278"/>
      <c r="AQ33" s="278"/>
      <c r="BG33" s="324">
        <v>0.11600000000000001</v>
      </c>
      <c r="BH33" s="324" t="s">
        <v>416</v>
      </c>
      <c r="BI33" s="11"/>
      <c r="BJ33" s="324">
        <v>0.11600000000000001</v>
      </c>
      <c r="BK33" s="324" t="s">
        <v>416</v>
      </c>
      <c r="BM33" s="324">
        <v>0.11600000000000001</v>
      </c>
      <c r="BN33" s="324" t="s">
        <v>416</v>
      </c>
      <c r="BP33" s="324">
        <v>0.11600000000000001</v>
      </c>
      <c r="BQ33" s="324" t="s">
        <v>416</v>
      </c>
      <c r="BS33" s="324">
        <v>0.11600000000000001</v>
      </c>
      <c r="BT33" s="324" t="s">
        <v>416</v>
      </c>
      <c r="BV33" s="324">
        <v>0.11600000000000001</v>
      </c>
      <c r="BW33" s="324" t="s">
        <v>416</v>
      </c>
      <c r="CS33" s="1527"/>
      <c r="CT33" s="1527"/>
      <c r="CU33" s="1527"/>
      <c r="CV33" s="1527"/>
      <c r="CW33" s="1527"/>
      <c r="CX33" s="1527"/>
      <c r="CY33" s="1527"/>
      <c r="CZ33" s="1527"/>
      <c r="DA33" s="1527"/>
      <c r="DB33" s="1946"/>
      <c r="DC33" s="1527"/>
      <c r="DD33" s="1527"/>
      <c r="DE33" s="1527"/>
      <c r="DF33" s="1527"/>
      <c r="EV33" s="278"/>
      <c r="FG33" s="256">
        <v>8</v>
      </c>
      <c r="FH33" s="256">
        <v>5.6</v>
      </c>
      <c r="FI33" s="256">
        <v>0.1</v>
      </c>
      <c r="FJ33" s="256">
        <f t="shared" si="8"/>
        <v>16.97939928266015</v>
      </c>
      <c r="FK33" s="256">
        <f t="shared" si="9"/>
        <v>37.245133910351299</v>
      </c>
      <c r="FL33" s="256">
        <f t="shared" si="10"/>
        <v>21.908902300206648</v>
      </c>
      <c r="FM33" s="256">
        <f t="shared" si="11"/>
        <v>0.16666666666666666</v>
      </c>
      <c r="FN33" s="256">
        <f t="shared" si="6"/>
        <v>6</v>
      </c>
      <c r="FO33" s="256">
        <f t="shared" si="7"/>
        <v>19.057857758831926</v>
      </c>
    </row>
    <row r="34" spans="2:171" ht="48.75" customHeight="1">
      <c r="B34" s="253">
        <v>24</v>
      </c>
      <c r="C34" s="253">
        <v>400</v>
      </c>
      <c r="D34" s="1285" t="str">
        <f t="shared" si="0"/>
        <v>нет значений данной функции</v>
      </c>
      <c r="E34" s="1761"/>
      <c r="F34" s="1285" t="str">
        <f t="shared" si="1"/>
        <v>нет значений данной функции</v>
      </c>
      <c r="G34" s="1761"/>
      <c r="H34" s="1287" t="str">
        <f t="shared" si="2"/>
        <v>нет значений данной функции</v>
      </c>
      <c r="I34" s="1287"/>
      <c r="J34" s="1287" t="str">
        <f t="shared" si="3"/>
        <v>нет значений данной функции</v>
      </c>
      <c r="K34" s="1287"/>
      <c r="L34" s="1287" t="str">
        <f t="shared" si="4"/>
        <v>нет значений данной функции</v>
      </c>
      <c r="M34" s="1287"/>
      <c r="N34" s="1287" t="str">
        <f t="shared" si="5"/>
        <v>нет значений данной функции</v>
      </c>
      <c r="O34" s="1287"/>
      <c r="P34" s="85"/>
      <c r="Q34" s="86"/>
      <c r="R34" s="86"/>
      <c r="S34" s="86"/>
      <c r="T34" s="86"/>
      <c r="U34" s="86"/>
      <c r="V34" s="87"/>
      <c r="AP34" s="278"/>
      <c r="AQ34" s="278"/>
      <c r="AR34" s="1285" t="s">
        <v>731</v>
      </c>
      <c r="AS34" s="1286"/>
      <c r="AT34" s="1286"/>
      <c r="AU34" s="1286"/>
      <c r="AV34" s="1286"/>
      <c r="AW34" s="1286"/>
      <c r="AX34" s="1761"/>
      <c r="AY34" s="103"/>
      <c r="AZ34" s="278"/>
      <c r="BA34" s="278"/>
      <c r="BG34" s="324">
        <v>0.13100000000000001</v>
      </c>
      <c r="BH34" s="324" t="s">
        <v>416</v>
      </c>
      <c r="BI34" s="11"/>
      <c r="BJ34" s="324">
        <v>0.13100000000000001</v>
      </c>
      <c r="BK34" s="324" t="s">
        <v>416</v>
      </c>
      <c r="BM34" s="324">
        <v>0.13100000000000001</v>
      </c>
      <c r="BN34" s="324" t="s">
        <v>416</v>
      </c>
      <c r="BP34" s="324">
        <v>0.13100000000000001</v>
      </c>
      <c r="BQ34" s="324" t="s">
        <v>416</v>
      </c>
      <c r="BS34" s="324">
        <v>0.13100000000000001</v>
      </c>
      <c r="BT34" s="324" t="s">
        <v>416</v>
      </c>
      <c r="BV34" s="324">
        <v>0.13100000000000001</v>
      </c>
      <c r="BW34" s="324" t="s">
        <v>416</v>
      </c>
      <c r="CS34" s="1527"/>
      <c r="CT34" s="1527"/>
      <c r="CU34" s="1527"/>
      <c r="CV34" s="1527"/>
      <c r="CW34" s="1527"/>
      <c r="CX34" s="1527"/>
      <c r="CY34" s="1527"/>
      <c r="CZ34" s="1527"/>
      <c r="DA34" s="1527"/>
      <c r="DB34" s="1946"/>
      <c r="DC34" s="1527"/>
      <c r="DD34" s="1527"/>
      <c r="DE34" s="1527"/>
      <c r="DF34" s="1527"/>
      <c r="EV34" s="278"/>
      <c r="FG34" s="256">
        <v>11</v>
      </c>
      <c r="FH34" s="256">
        <v>5.4</v>
      </c>
      <c r="FI34" s="256">
        <v>0.11</v>
      </c>
      <c r="FJ34" s="256">
        <f t="shared" si="8"/>
        <v>17.808144204267887</v>
      </c>
      <c r="FK34" s="256">
        <f t="shared" si="9"/>
        <v>39.063025996458592</v>
      </c>
      <c r="FL34" s="256">
        <f t="shared" si="10"/>
        <v>22.978250586152114</v>
      </c>
      <c r="FM34" s="256">
        <f t="shared" si="11"/>
        <v>0.17614096918559585</v>
      </c>
      <c r="FN34" s="256">
        <f t="shared" si="6"/>
        <v>6.2928530890209098</v>
      </c>
      <c r="FO34" s="256">
        <f t="shared" si="7"/>
        <v>20.375625074700285</v>
      </c>
    </row>
    <row r="35" spans="2:171" ht="48.75" customHeight="1">
      <c r="AP35" s="278"/>
      <c r="AQ35" s="278"/>
      <c r="AR35" s="520" t="s">
        <v>402</v>
      </c>
      <c r="AS35" s="522">
        <f>'Вывод расчетов'!$AP$20</f>
        <v>4</v>
      </c>
      <c r="AT35" s="83"/>
      <c r="AU35" s="83"/>
      <c r="AV35" s="83"/>
      <c r="AW35" s="83"/>
      <c r="AX35" s="83"/>
      <c r="AY35" s="84"/>
      <c r="AZ35" s="278"/>
      <c r="BA35" s="278"/>
      <c r="BB35" s="278"/>
      <c r="BC35" s="278"/>
      <c r="BD35" s="278"/>
      <c r="BG35" s="324">
        <v>0.14899999999999999</v>
      </c>
      <c r="BH35" s="324" t="s">
        <v>416</v>
      </c>
      <c r="BI35" s="11"/>
      <c r="BJ35" s="324">
        <v>0.14899999999999999</v>
      </c>
      <c r="BK35" s="324" t="s">
        <v>416</v>
      </c>
      <c r="BM35" s="324">
        <v>0.14899999999999999</v>
      </c>
      <c r="BN35" s="324" t="s">
        <v>416</v>
      </c>
      <c r="BP35" s="324">
        <v>0.14899999999999999</v>
      </c>
      <c r="BQ35" s="324" t="s">
        <v>416</v>
      </c>
      <c r="BS35" s="324">
        <v>0.14899999999999999</v>
      </c>
      <c r="BT35" s="324" t="s">
        <v>416</v>
      </c>
      <c r="BV35" s="324">
        <v>0.14899999999999999</v>
      </c>
      <c r="BW35" s="324" t="s">
        <v>416</v>
      </c>
      <c r="CS35" s="1527"/>
      <c r="CT35" s="1527"/>
      <c r="CU35" s="1527"/>
      <c r="CV35" s="1527"/>
      <c r="CW35" s="1527"/>
      <c r="CX35" s="1527"/>
      <c r="CY35" s="1527"/>
      <c r="CZ35" s="1527"/>
      <c r="DA35" s="1527"/>
      <c r="DB35" s="1946"/>
      <c r="DC35" s="1527"/>
      <c r="DD35" s="1527"/>
      <c r="DE35" s="1527"/>
      <c r="DF35" s="1527"/>
      <c r="EV35" s="278"/>
      <c r="FG35" s="256">
        <v>14</v>
      </c>
      <c r="FH35" s="256">
        <v>5.2</v>
      </c>
      <c r="FI35" s="256">
        <v>0.12</v>
      </c>
      <c r="FJ35" s="256">
        <f t="shared" si="8"/>
        <v>18.599999999999998</v>
      </c>
      <c r="FK35" s="256">
        <f t="shared" si="9"/>
        <v>40.799999999999997</v>
      </c>
      <c r="FL35" s="256">
        <f t="shared" si="10"/>
        <v>24</v>
      </c>
      <c r="FM35" s="256">
        <f t="shared" si="11"/>
        <v>0.18516401995451029</v>
      </c>
      <c r="FN35" s="256">
        <f t="shared" si="6"/>
        <v>6.5726706900619929</v>
      </c>
      <c r="FO35" s="256">
        <f t="shared" si="7"/>
        <v>21.280053983970024</v>
      </c>
    </row>
    <row r="36" spans="2:171" ht="48.75" customHeight="1">
      <c r="AQ36" s="278"/>
      <c r="AR36" s="82"/>
      <c r="AS36" s="83"/>
      <c r="AT36" s="177"/>
      <c r="AU36" s="177"/>
      <c r="AV36" s="177"/>
      <c r="AW36" s="177"/>
      <c r="AX36" s="177"/>
      <c r="AY36" s="178"/>
      <c r="AZ36" s="278"/>
      <c r="BA36" s="278"/>
      <c r="BB36" s="278"/>
      <c r="BC36" s="278"/>
      <c r="BD36" s="278"/>
      <c r="BG36" s="324">
        <v>0.16800000000000001</v>
      </c>
      <c r="BH36" s="324" t="s">
        <v>416</v>
      </c>
      <c r="BI36" s="11"/>
      <c r="BJ36" s="324">
        <v>0.16800000000000001</v>
      </c>
      <c r="BK36" s="324" t="s">
        <v>416</v>
      </c>
      <c r="BM36" s="324">
        <v>0.16800000000000001</v>
      </c>
      <c r="BN36" s="324" t="s">
        <v>416</v>
      </c>
      <c r="BP36" s="324">
        <v>0.16800000000000001</v>
      </c>
      <c r="BQ36" s="324" t="s">
        <v>416</v>
      </c>
      <c r="BS36" s="324">
        <v>0.16800000000000001</v>
      </c>
      <c r="BT36" s="324" t="s">
        <v>416</v>
      </c>
      <c r="BV36" s="324">
        <v>0.16800000000000001</v>
      </c>
      <c r="BW36" s="324" t="s">
        <v>416</v>
      </c>
      <c r="CS36" s="1527"/>
      <c r="CT36" s="1527"/>
      <c r="CU36" s="1527"/>
      <c r="CV36" s="1527"/>
      <c r="CW36" s="1527"/>
      <c r="CX36" s="1527"/>
      <c r="CY36" s="1527"/>
      <c r="CZ36" s="1527"/>
      <c r="DA36" s="1527"/>
      <c r="DB36" s="1946"/>
      <c r="DC36" s="1527"/>
      <c r="DD36" s="1527"/>
      <c r="DE36" s="1527"/>
      <c r="DF36" s="1527"/>
      <c r="EV36" s="278"/>
      <c r="FG36" s="256">
        <v>17</v>
      </c>
      <c r="FH36" s="256">
        <v>5</v>
      </c>
      <c r="FI36" s="256">
        <v>0.13</v>
      </c>
      <c r="FJ36" s="256">
        <f t="shared" si="8"/>
        <v>19.359493795035036</v>
      </c>
      <c r="FK36" s="256">
        <f t="shared" si="9"/>
        <v>42.465986389109105</v>
      </c>
      <c r="FL36" s="256">
        <f t="shared" si="10"/>
        <v>24.979991993593593</v>
      </c>
      <c r="FM36" s="256">
        <f t="shared" si="11"/>
        <v>0.19379255804998177</v>
      </c>
      <c r="FN36" s="256">
        <f t="shared" si="6"/>
        <v>6.8410525505948279</v>
      </c>
      <c r="FO36" s="256">
        <f t="shared" si="7"/>
        <v>21.984298846909098</v>
      </c>
    </row>
    <row r="37" spans="2:171" ht="48.75" customHeight="1">
      <c r="AP37" s="278"/>
      <c r="AQ37" s="278"/>
      <c r="AR37" s="176"/>
      <c r="AS37" s="177"/>
      <c r="AT37" s="177"/>
      <c r="AU37" s="177"/>
      <c r="AV37" s="177"/>
      <c r="AW37" s="177"/>
      <c r="AX37" s="177"/>
      <c r="AY37" s="178"/>
      <c r="AZ37" s="278"/>
      <c r="BA37" s="278"/>
      <c r="BB37" s="278"/>
      <c r="BC37" s="278"/>
      <c r="BD37" s="278"/>
      <c r="BG37" s="324">
        <v>0.191</v>
      </c>
      <c r="BH37" s="324" t="s">
        <v>416</v>
      </c>
      <c r="BI37" s="11"/>
      <c r="BJ37" s="324">
        <v>0.191</v>
      </c>
      <c r="BK37" s="324" t="s">
        <v>416</v>
      </c>
      <c r="BM37" s="324">
        <v>0.191</v>
      </c>
      <c r="BN37" s="324" t="s">
        <v>416</v>
      </c>
      <c r="BP37" s="324">
        <v>0.191</v>
      </c>
      <c r="BQ37" s="324" t="s">
        <v>416</v>
      </c>
      <c r="BS37" s="324">
        <v>0.191</v>
      </c>
      <c r="BT37" s="324" t="s">
        <v>416</v>
      </c>
      <c r="BV37" s="324">
        <v>0.191</v>
      </c>
      <c r="BW37" s="324" t="s">
        <v>416</v>
      </c>
      <c r="CS37" s="1527"/>
      <c r="CT37" s="1527"/>
      <c r="CU37" s="1527"/>
      <c r="CV37" s="1527"/>
      <c r="CW37" s="1527"/>
      <c r="CX37" s="1527"/>
      <c r="CY37" s="1527"/>
      <c r="CZ37" s="1527"/>
      <c r="DA37" s="1527"/>
      <c r="DB37" s="1946"/>
      <c r="DC37" s="1527"/>
      <c r="DD37" s="1527"/>
      <c r="DE37" s="1527"/>
      <c r="DF37" s="1527"/>
      <c r="DG37" s="278"/>
      <c r="EV37" s="278"/>
      <c r="FG37" s="256">
        <v>20</v>
      </c>
      <c r="FH37" s="256">
        <v>4.8</v>
      </c>
      <c r="FI37" s="256">
        <v>0.14000000000000001</v>
      </c>
      <c r="FJ37" s="256">
        <f t="shared" si="8"/>
        <v>20.09029616506437</v>
      </c>
      <c r="FK37" s="256">
        <f t="shared" si="9"/>
        <v>44.069036749173456</v>
      </c>
      <c r="FL37" s="256">
        <f t="shared" si="10"/>
        <v>25.922962793631442</v>
      </c>
      <c r="FM37" s="256">
        <f t="shared" si="11"/>
        <v>0.20207259421636903</v>
      </c>
      <c r="FN37" s="256">
        <f t="shared" si="6"/>
        <v>7.0992957397195386</v>
      </c>
      <c r="FO37" s="256">
        <f t="shared" si="7"/>
        <v>22.58039633545879</v>
      </c>
    </row>
    <row r="38" spans="2:171" ht="48.75" customHeight="1">
      <c r="B38" s="756" t="s">
        <v>506</v>
      </c>
      <c r="C38" s="987" t="s">
        <v>507</v>
      </c>
      <c r="D38" s="988"/>
      <c r="E38" s="988"/>
      <c r="F38" s="988"/>
      <c r="G38" s="988"/>
      <c r="H38" s="988"/>
      <c r="I38" s="988"/>
      <c r="J38" s="988"/>
      <c r="K38" s="988"/>
      <c r="L38" s="989"/>
      <c r="M38" s="981"/>
      <c r="O38" s="1121" t="s">
        <v>703</v>
      </c>
      <c r="P38" s="1122"/>
      <c r="Q38" s="1122"/>
      <c r="R38" s="1123"/>
      <c r="S38" s="259"/>
      <c r="AR38" s="176"/>
      <c r="AS38" s="177"/>
      <c r="AT38" s="177"/>
      <c r="AU38" s="177"/>
      <c r="AV38" s="177"/>
      <c r="AW38" s="177"/>
      <c r="AX38" s="177"/>
      <c r="AY38" s="178"/>
      <c r="AZ38" s="278"/>
      <c r="BA38" s="278"/>
      <c r="BB38" s="278"/>
      <c r="BC38" s="278"/>
      <c r="BD38" s="278"/>
      <c r="BG38" s="324">
        <v>0.22500000000000001</v>
      </c>
      <c r="BH38" s="324" t="s">
        <v>416</v>
      </c>
      <c r="BI38" s="11"/>
      <c r="BJ38" s="324">
        <v>0.22500000000000001</v>
      </c>
      <c r="BK38" s="324" t="s">
        <v>416</v>
      </c>
      <c r="BM38" s="324">
        <v>0.22500000000000001</v>
      </c>
      <c r="BN38" s="324" t="s">
        <v>416</v>
      </c>
      <c r="BP38" s="324">
        <v>0.22500000000000001</v>
      </c>
      <c r="BQ38" s="324" t="s">
        <v>416</v>
      </c>
      <c r="BS38" s="324">
        <v>0.22500000000000001</v>
      </c>
      <c r="BT38" s="324" t="s">
        <v>416</v>
      </c>
      <c r="BV38" s="324">
        <v>0.22500000000000001</v>
      </c>
      <c r="BW38" s="324" t="s">
        <v>416</v>
      </c>
      <c r="CS38" s="1527"/>
      <c r="CT38" s="1527"/>
      <c r="CU38" s="1527"/>
      <c r="CV38" s="1527"/>
      <c r="CW38" s="1527"/>
      <c r="CX38" s="1527"/>
      <c r="CY38" s="1527"/>
      <c r="CZ38" s="1527"/>
      <c r="DA38" s="1527"/>
      <c r="DB38" s="1946"/>
      <c r="DC38" s="1527"/>
      <c r="DD38" s="1527"/>
      <c r="DE38" s="1527"/>
      <c r="DF38" s="1527"/>
      <c r="DG38" s="278"/>
      <c r="EV38" s="278"/>
      <c r="FG38" s="256">
        <v>23</v>
      </c>
      <c r="FH38" s="256">
        <v>4.5999999999999996</v>
      </c>
      <c r="FI38" s="256">
        <v>0.15</v>
      </c>
      <c r="FJ38" s="256">
        <f t="shared" si="8"/>
        <v>20.795432190748045</v>
      </c>
      <c r="FK38" s="256">
        <f t="shared" si="9"/>
        <v>45.615786740995709</v>
      </c>
      <c r="FL38" s="256">
        <f t="shared" si="10"/>
        <v>26.832815729997478</v>
      </c>
      <c r="FM38" s="256">
        <f t="shared" si="11"/>
        <v>0.21004201260420147</v>
      </c>
      <c r="FN38" s="256">
        <f t="shared" si="6"/>
        <v>7.3484692283495336</v>
      </c>
      <c r="FO38" s="256">
        <f t="shared" si="7"/>
        <v>23.111497821993634</v>
      </c>
    </row>
    <row r="39" spans="2:171" ht="48.75" customHeight="1">
      <c r="B39" s="756"/>
      <c r="C39" s="993"/>
      <c r="D39" s="994"/>
      <c r="E39" s="994"/>
      <c r="F39" s="994"/>
      <c r="G39" s="994"/>
      <c r="H39" s="994"/>
      <c r="I39" s="994"/>
      <c r="J39" s="994"/>
      <c r="K39" s="994"/>
      <c r="L39" s="995"/>
      <c r="M39" s="981"/>
      <c r="O39" s="176"/>
      <c r="P39" s="177"/>
      <c r="Q39" s="177"/>
      <c r="R39" s="177"/>
      <c r="S39" s="178"/>
      <c r="U39" s="545" t="s">
        <v>1034</v>
      </c>
      <c r="V39" s="589">
        <f>'Вывод расчетов'!$AX$25</f>
        <v>0.313</v>
      </c>
      <c r="AR39" s="176"/>
      <c r="AS39" s="177"/>
      <c r="AT39" s="177"/>
      <c r="AU39" s="177"/>
      <c r="AV39" s="177"/>
      <c r="AW39" s="177"/>
      <c r="AX39" s="177"/>
      <c r="AY39" s="178"/>
      <c r="AZ39" s="278"/>
      <c r="BA39" s="278"/>
      <c r="BB39" s="278"/>
      <c r="BC39" s="278"/>
      <c r="BD39" s="278"/>
      <c r="BG39" s="324">
        <v>0.27200000000000002</v>
      </c>
      <c r="BH39" s="324"/>
      <c r="BI39" s="11"/>
      <c r="BJ39" s="324">
        <v>0.27200000000000002</v>
      </c>
      <c r="BK39" s="324"/>
      <c r="BM39" s="324">
        <v>0.27200000000000002</v>
      </c>
      <c r="BN39" s="324"/>
      <c r="BP39" s="324">
        <v>0.27200000000000002</v>
      </c>
      <c r="BQ39" s="324"/>
      <c r="BS39" s="324">
        <v>0.27200000000000002</v>
      </c>
      <c r="BT39" s="324" t="s">
        <v>416</v>
      </c>
      <c r="BV39" s="324">
        <v>0.27200000000000002</v>
      </c>
      <c r="BW39" s="324" t="s">
        <v>416</v>
      </c>
      <c r="CS39" s="1527"/>
      <c r="CT39" s="1527"/>
      <c r="CU39" s="1527"/>
      <c r="CV39" s="1527"/>
      <c r="CW39" s="1527"/>
      <c r="CX39" s="1527"/>
      <c r="CY39" s="1527"/>
      <c r="CZ39" s="1527"/>
      <c r="DA39" s="1527"/>
      <c r="DB39" s="1946"/>
      <c r="DC39" s="1527"/>
      <c r="DD39" s="1527"/>
      <c r="DE39" s="1527"/>
      <c r="DF39" s="1527"/>
      <c r="DG39" s="278"/>
      <c r="EV39" s="278"/>
      <c r="FG39" s="256">
        <v>26</v>
      </c>
      <c r="FH39" s="256">
        <v>4.4000000000000004</v>
      </c>
      <c r="FI39" s="256">
        <v>0.16</v>
      </c>
      <c r="FJ39" s="256">
        <f t="shared" si="8"/>
        <v>21.477430013854079</v>
      </c>
      <c r="FK39" s="256">
        <f t="shared" si="9"/>
        <v>47.111781965873462</v>
      </c>
      <c r="FL39" s="256">
        <f t="shared" si="10"/>
        <v>27.712812921102035</v>
      </c>
      <c r="FM39" s="256">
        <f t="shared" si="11"/>
        <v>0.21773242158072695</v>
      </c>
      <c r="FN39" s="256">
        <f t="shared" si="6"/>
        <v>7.5894663844041101</v>
      </c>
      <c r="FO39" s="256">
        <f t="shared" si="7"/>
        <v>23.599726817344976</v>
      </c>
    </row>
    <row r="40" spans="2:171" ht="48.75" customHeight="1">
      <c r="B40" s="257" t="s">
        <v>402</v>
      </c>
      <c r="C40" s="257" t="s">
        <v>402</v>
      </c>
      <c r="D40" s="257">
        <v>2</v>
      </c>
      <c r="E40" s="257">
        <v>4</v>
      </c>
      <c r="F40" s="257">
        <v>6</v>
      </c>
      <c r="G40" s="257" t="s">
        <v>403</v>
      </c>
      <c r="H40" s="103"/>
      <c r="I40" s="257">
        <v>2</v>
      </c>
      <c r="J40" s="257">
        <v>4</v>
      </c>
      <c r="K40" s="257">
        <v>6</v>
      </c>
      <c r="L40" s="257">
        <v>8</v>
      </c>
      <c r="M40" s="623">
        <v>12</v>
      </c>
      <c r="O40" s="176"/>
      <c r="P40" s="177"/>
      <c r="Q40" s="177"/>
      <c r="R40" s="177"/>
      <c r="S40" s="178"/>
      <c r="AR40" s="176"/>
      <c r="AS40" s="177"/>
      <c r="AT40" s="177"/>
      <c r="AU40" s="177"/>
      <c r="AV40" s="177"/>
      <c r="AW40" s="177"/>
      <c r="AX40" s="177"/>
      <c r="AY40" s="178"/>
      <c r="AZ40" s="278"/>
      <c r="BA40" s="278"/>
      <c r="BB40" s="278"/>
      <c r="BC40" s="278"/>
      <c r="BD40" s="278"/>
      <c r="BG40" s="324">
        <v>0.313</v>
      </c>
      <c r="BH40" s="324"/>
      <c r="BI40" s="11"/>
      <c r="BJ40" s="324">
        <v>0.313</v>
      </c>
      <c r="BK40" s="324"/>
      <c r="BM40" s="324">
        <v>0.313</v>
      </c>
      <c r="BN40" s="324"/>
      <c r="BP40" s="324">
        <v>0.313</v>
      </c>
      <c r="BQ40" s="324"/>
      <c r="BS40" s="324">
        <v>0.313</v>
      </c>
      <c r="BT40" s="324" t="s">
        <v>416</v>
      </c>
      <c r="BV40" s="324">
        <v>0.313</v>
      </c>
      <c r="BW40" s="324" t="s">
        <v>416</v>
      </c>
      <c r="CS40" s="1527"/>
      <c r="CT40" s="1527"/>
      <c r="CU40" s="1527"/>
      <c r="CV40" s="1527"/>
      <c r="CW40" s="1527"/>
      <c r="CX40" s="1527"/>
      <c r="CY40" s="1527"/>
      <c r="CZ40" s="1527"/>
      <c r="DA40" s="1527"/>
      <c r="DB40" s="1946"/>
      <c r="DC40" s="1527"/>
      <c r="DD40" s="1527"/>
      <c r="DE40" s="1527"/>
      <c r="DF40" s="1527"/>
      <c r="DG40" s="278"/>
      <c r="EV40" s="278"/>
      <c r="FG40" s="256">
        <v>29</v>
      </c>
      <c r="FH40" s="256">
        <v>4.2</v>
      </c>
      <c r="FI40" s="256">
        <v>0.17</v>
      </c>
      <c r="FJ40" s="256">
        <f t="shared" si="8"/>
        <v>22.138428128482833</v>
      </c>
      <c r="FK40" s="256">
        <f t="shared" si="9"/>
        <v>48.561713314091378</v>
      </c>
      <c r="FL40" s="256">
        <f t="shared" si="10"/>
        <v>28.565713714171398</v>
      </c>
      <c r="FM40" s="256">
        <f t="shared" si="11"/>
        <v>0.22517050070105746</v>
      </c>
      <c r="FN40" s="256">
        <f t="shared" si="6"/>
        <v>7.8230428862431785</v>
      </c>
      <c r="FO40" s="256">
        <f t="shared" si="7"/>
        <v>24.057397518893204</v>
      </c>
    </row>
    <row r="41" spans="2:171" ht="48.75" customHeight="1">
      <c r="B41" s="1287" t="s">
        <v>404</v>
      </c>
      <c r="C41" s="257" t="s">
        <v>404</v>
      </c>
      <c r="D41" s="257" t="s">
        <v>405</v>
      </c>
      <c r="E41" s="257" t="s">
        <v>406</v>
      </c>
      <c r="F41" s="257" t="s">
        <v>407</v>
      </c>
      <c r="G41" s="257" t="s">
        <v>408</v>
      </c>
      <c r="H41" s="624" t="s">
        <v>1191</v>
      </c>
      <c r="I41" s="623">
        <v>0.52</v>
      </c>
      <c r="J41" s="623">
        <v>0.64</v>
      </c>
      <c r="K41" s="640">
        <v>0.7</v>
      </c>
      <c r="L41" s="623">
        <v>0.74</v>
      </c>
      <c r="M41" s="623">
        <v>0.74</v>
      </c>
      <c r="O41" s="176"/>
      <c r="P41" s="177"/>
      <c r="Q41" s="177"/>
      <c r="R41" s="177"/>
      <c r="S41" s="178"/>
      <c r="AR41" s="176"/>
      <c r="AS41" s="177"/>
      <c r="AT41" s="177"/>
      <c r="AU41" s="177"/>
      <c r="AV41" s="177"/>
      <c r="AW41" s="177"/>
      <c r="AX41" s="177"/>
      <c r="AY41" s="178"/>
      <c r="AZ41" s="278"/>
      <c r="BA41" s="278"/>
      <c r="BG41" s="324">
        <v>0.34899999999999998</v>
      </c>
      <c r="BH41" s="324"/>
      <c r="BI41" s="11"/>
      <c r="BJ41" s="324">
        <v>0.34899999999999998</v>
      </c>
      <c r="BK41" s="324"/>
      <c r="BM41" s="324">
        <v>0.34899999999999998</v>
      </c>
      <c r="BN41" s="324"/>
      <c r="BP41" s="324">
        <v>0.34899999999999998</v>
      </c>
      <c r="BQ41" s="324"/>
      <c r="BS41" s="324">
        <v>0.34899999999999998</v>
      </c>
      <c r="BT41" s="324" t="s">
        <v>416</v>
      </c>
      <c r="BV41" s="324">
        <v>0.34899999999999998</v>
      </c>
      <c r="BW41" s="324" t="s">
        <v>416</v>
      </c>
      <c r="CS41" s="1527"/>
      <c r="CT41" s="1527"/>
      <c r="CU41" s="1527"/>
      <c r="CV41" s="1527"/>
      <c r="CW41" s="1527"/>
      <c r="CX41" s="1527"/>
      <c r="CY41" s="1527"/>
      <c r="CZ41" s="1527"/>
      <c r="DA41" s="1527"/>
      <c r="DB41" s="1946"/>
      <c r="DC41" s="1527"/>
      <c r="DD41" s="1527"/>
      <c r="DE41" s="1527"/>
      <c r="DF41" s="1527"/>
      <c r="DG41" s="278"/>
      <c r="EV41" s="278"/>
      <c r="FG41" s="256">
        <v>32</v>
      </c>
      <c r="FH41" s="256">
        <v>4</v>
      </c>
      <c r="FI41" s="256">
        <v>0.18</v>
      </c>
      <c r="FJ41" s="256">
        <f t="shared" si="8"/>
        <v>22.780254607883556</v>
      </c>
      <c r="FK41" s="256">
        <f t="shared" si="9"/>
        <v>49.969590752776838</v>
      </c>
      <c r="FL41" s="256">
        <f t="shared" si="10"/>
        <v>29.393876913398138</v>
      </c>
      <c r="FM41" s="256">
        <f t="shared" si="11"/>
        <v>0.232379000772445</v>
      </c>
      <c r="FN41" s="256">
        <f t="shared" si="6"/>
        <v>8.0498447189992426</v>
      </c>
      <c r="FO41" s="256">
        <f t="shared" si="7"/>
        <v>24.491881491472405</v>
      </c>
    </row>
    <row r="42" spans="2:171" ht="48.75" customHeight="1">
      <c r="B42" s="1287"/>
      <c r="C42" s="82"/>
      <c r="D42" s="83"/>
      <c r="E42" s="83"/>
      <c r="F42" s="83"/>
      <c r="G42" s="84"/>
      <c r="H42" s="620" t="s">
        <v>1190</v>
      </c>
      <c r="I42" s="623">
        <v>0.56999999999999995</v>
      </c>
      <c r="J42" s="623">
        <v>0.68</v>
      </c>
      <c r="K42" s="623">
        <v>0.72</v>
      </c>
      <c r="L42" s="623">
        <v>0.77</v>
      </c>
      <c r="M42" s="623">
        <v>0.77</v>
      </c>
      <c r="O42" s="176"/>
      <c r="P42" s="177"/>
      <c r="Q42" s="177"/>
      <c r="R42" s="177"/>
      <c r="S42" s="178"/>
      <c r="AR42" s="85"/>
      <c r="AS42" s="86"/>
      <c r="AT42" s="86"/>
      <c r="AU42" s="86"/>
      <c r="AV42" s="86"/>
      <c r="AW42" s="86"/>
      <c r="AX42" s="86"/>
      <c r="AY42" s="87"/>
      <c r="AZ42" s="278"/>
      <c r="BA42" s="278"/>
      <c r="BG42" s="324">
        <v>0.39200000000000002</v>
      </c>
      <c r="BH42" s="324"/>
      <c r="BI42" s="11"/>
      <c r="BJ42" s="324">
        <v>0.39200000000000002</v>
      </c>
      <c r="BK42" s="324"/>
      <c r="BM42" s="324">
        <v>0.39200000000000002</v>
      </c>
      <c r="BN42" s="324"/>
      <c r="BP42" s="324">
        <v>0.39200000000000002</v>
      </c>
      <c r="BQ42" s="324"/>
      <c r="BS42" s="324">
        <v>0.39200000000000002</v>
      </c>
      <c r="BT42" s="324" t="s">
        <v>416</v>
      </c>
      <c r="BV42" s="324">
        <v>0.39200000000000002</v>
      </c>
      <c r="BW42" s="324" t="s">
        <v>416</v>
      </c>
      <c r="DG42" s="278"/>
      <c r="DK42" s="278"/>
      <c r="DL42" s="278"/>
      <c r="DM42" s="278"/>
      <c r="DN42" s="278"/>
      <c r="EV42" s="278"/>
      <c r="FG42" s="256">
        <v>35</v>
      </c>
      <c r="FH42" s="256">
        <v>3.8</v>
      </c>
      <c r="FI42" s="256">
        <v>0.19</v>
      </c>
      <c r="FJ42" s="256">
        <f t="shared" si="8"/>
        <v>23.404486749339327</v>
      </c>
      <c r="FK42" s="256">
        <f t="shared" si="9"/>
        <v>51.338874159841104</v>
      </c>
      <c r="FL42" s="256">
        <f t="shared" si="10"/>
        <v>30.199337741082999</v>
      </c>
      <c r="FM42" s="256">
        <f>FI42*2/((((FI42+0.02)*12)^(1/2)))</f>
        <v>0.23937749957251059</v>
      </c>
      <c r="FN42" s="256">
        <f t="shared" si="6"/>
        <v>8.270429251254134</v>
      </c>
      <c r="FO42" s="256">
        <f t="shared" si="7"/>
        <v>24.907882495169169</v>
      </c>
    </row>
    <row r="43" spans="2:171" ht="48.75" customHeight="1">
      <c r="B43" s="1287"/>
      <c r="C43" s="176"/>
      <c r="D43" s="612" t="s">
        <v>402</v>
      </c>
      <c r="E43" s="614">
        <f>'Вывод расчетов'!$AP$20</f>
        <v>4</v>
      </c>
      <c r="F43" s="177"/>
      <c r="G43" s="178"/>
      <c r="H43" s="620" t="s">
        <v>1663</v>
      </c>
      <c r="I43" s="623">
        <f>(I41+I42)/2</f>
        <v>0.54499999999999993</v>
      </c>
      <c r="J43" s="623">
        <f>(J41+J42)/2</f>
        <v>0.66</v>
      </c>
      <c r="K43" s="623">
        <f>(K41+K42)/2</f>
        <v>0.71</v>
      </c>
      <c r="L43" s="623">
        <f>(L41+L42)/2</f>
        <v>0.755</v>
      </c>
      <c r="M43" s="623">
        <f>(M41+M42)/2</f>
        <v>0.755</v>
      </c>
      <c r="O43" s="176"/>
      <c r="P43" s="177"/>
      <c r="Q43" s="177"/>
      <c r="R43" s="177"/>
      <c r="S43" s="178"/>
      <c r="BG43" s="324">
        <v>0.437</v>
      </c>
      <c r="BH43" s="324"/>
      <c r="BI43" s="11"/>
      <c r="BJ43" s="324">
        <v>0.437</v>
      </c>
      <c r="BK43" s="324"/>
      <c r="BM43" s="324">
        <v>0.437</v>
      </c>
      <c r="BN43" s="324"/>
      <c r="BP43" s="324">
        <v>0.437</v>
      </c>
      <c r="BQ43" s="324"/>
      <c r="BS43" s="324">
        <v>0.437</v>
      </c>
      <c r="BT43" s="324" t="s">
        <v>416</v>
      </c>
      <c r="BV43" s="324">
        <v>0.437</v>
      </c>
      <c r="BW43" s="324" t="s">
        <v>416</v>
      </c>
      <c r="DG43" s="278"/>
      <c r="DK43" s="278"/>
      <c r="DL43" s="278"/>
      <c r="DM43" s="278"/>
      <c r="DN43" s="278"/>
      <c r="EV43" s="278"/>
      <c r="FG43" s="256">
        <v>38</v>
      </c>
      <c r="FH43" s="256">
        <v>3.6</v>
      </c>
      <c r="FI43" s="256">
        <v>0.2</v>
      </c>
      <c r="FJ43" s="256">
        <f t="shared" si="8"/>
        <v>24.012496746485986</v>
      </c>
      <c r="FK43" s="256">
        <f t="shared" si="9"/>
        <v>52.672573508420868</v>
      </c>
      <c r="FL43" s="256">
        <f t="shared" si="10"/>
        <v>30.983866769659336</v>
      </c>
      <c r="FM43" s="256">
        <f t="shared" si="11"/>
        <v>0.24618298195866548</v>
      </c>
      <c r="FN43" s="256">
        <f t="shared" si="6"/>
        <v>8.4852813742385713</v>
      </c>
      <c r="FO43" s="256">
        <f t="shared" si="7"/>
        <v>25.308574351081656</v>
      </c>
    </row>
    <row r="44" spans="2:171" ht="48.75" customHeight="1">
      <c r="B44" s="1287"/>
      <c r="C44" s="176"/>
      <c r="D44" s="177"/>
      <c r="E44" s="177"/>
      <c r="F44" s="177"/>
      <c r="G44" s="178"/>
      <c r="H44" s="624" t="s">
        <v>1191</v>
      </c>
      <c r="I44" s="179"/>
      <c r="J44" s="623">
        <f>IF($E$43=2,I41,IF($E$43=4,J41,IF($E$43=6,K41,IF($E$43=8,L41,IF(E43=12,M41,"некорректноезначениечастотывращения")))))</f>
        <v>0.64</v>
      </c>
      <c r="K44" s="177"/>
      <c r="L44" s="177"/>
      <c r="M44" s="178"/>
      <c r="O44" s="85"/>
      <c r="P44" s="86"/>
      <c r="Q44" s="86"/>
      <c r="R44" s="86"/>
      <c r="S44" s="87"/>
      <c r="AO44" s="278"/>
      <c r="AP44" s="278"/>
      <c r="AQ44" s="278"/>
      <c r="AR44" s="278"/>
      <c r="AS44" s="12"/>
      <c r="AT44" s="12"/>
      <c r="AU44" s="12"/>
      <c r="AV44" s="12"/>
      <c r="BG44" s="324">
        <v>0.53</v>
      </c>
      <c r="BH44" s="324"/>
      <c r="BI44" s="11"/>
      <c r="BJ44" s="324">
        <v>0.53</v>
      </c>
      <c r="BK44" s="324"/>
      <c r="BM44" s="324">
        <v>0.53</v>
      </c>
      <c r="BN44" s="324"/>
      <c r="BP44" s="324">
        <v>0.53</v>
      </c>
      <c r="BQ44" s="324"/>
      <c r="BS44" s="324">
        <v>0.53</v>
      </c>
      <c r="BT44" s="324"/>
      <c r="BV44" s="324">
        <v>0.53</v>
      </c>
      <c r="BW44" s="324"/>
      <c r="DG44" s="278"/>
      <c r="DK44" s="278"/>
      <c r="DL44" s="278"/>
      <c r="DM44" s="278"/>
      <c r="DN44" s="278"/>
      <c r="EV44" s="278"/>
      <c r="FG44" s="256">
        <v>41</v>
      </c>
      <c r="FH44" s="256">
        <v>3.4</v>
      </c>
      <c r="FI44" s="256">
        <v>0.21</v>
      </c>
      <c r="FJ44" s="256">
        <f t="shared" si="8"/>
        <v>24.605487192900693</v>
      </c>
      <c r="FK44" s="256">
        <f t="shared" si="9"/>
        <v>53.97332674571765</v>
      </c>
      <c r="FL44" s="256">
        <f t="shared" si="10"/>
        <v>31.749015732775089</v>
      </c>
      <c r="FM44" s="256">
        <f t="shared" si="11"/>
        <v>0.2528102914801153</v>
      </c>
      <c r="FN44" s="256">
        <f t="shared" si="6"/>
        <v>8.6948260477136632</v>
      </c>
      <c r="FO44" s="256">
        <f t="shared" si="7"/>
        <v>25.696205258858928</v>
      </c>
    </row>
    <row r="45" spans="2:171" ht="48.75" customHeight="1">
      <c r="B45" s="1287"/>
      <c r="C45" s="176"/>
      <c r="D45" s="177"/>
      <c r="E45" s="177"/>
      <c r="F45" s="177"/>
      <c r="G45" s="178"/>
      <c r="H45" s="620" t="s">
        <v>1190</v>
      </c>
      <c r="I45" s="179"/>
      <c r="J45" s="623">
        <f>IF($E$43=2,I42,IF($E$43=4,J42,IF($E$43=6,K42,IF($E$43=8,L42,IF($E$43=12,M42,"некорректноезначениечастотывращения")))))</f>
        <v>0.68</v>
      </c>
      <c r="K45" s="177"/>
      <c r="L45" s="177"/>
      <c r="M45" s="178"/>
      <c r="AO45" s="278"/>
      <c r="AP45" s="278"/>
      <c r="AQ45" s="278"/>
      <c r="AR45" s="278"/>
      <c r="AS45" s="12"/>
      <c r="AT45" s="12"/>
      <c r="AU45" s="12"/>
      <c r="AV45" s="12"/>
      <c r="BG45" s="324">
        <v>0.59</v>
      </c>
      <c r="BH45" s="324"/>
      <c r="BI45" s="11"/>
      <c r="BJ45" s="324">
        <v>0.59</v>
      </c>
      <c r="BK45" s="324"/>
      <c r="BM45" s="324">
        <v>0.59</v>
      </c>
      <c r="BN45" s="324"/>
      <c r="BP45" s="324">
        <v>0.59</v>
      </c>
      <c r="BQ45" s="324"/>
      <c r="BS45" s="324">
        <v>0.59</v>
      </c>
      <c r="BT45" s="324"/>
      <c r="BV45" s="324">
        <v>0.59</v>
      </c>
      <c r="BW45" s="324"/>
      <c r="BZ45" s="657"/>
      <c r="CA45" s="657"/>
      <c r="CB45" s="657"/>
      <c r="CC45" s="657"/>
      <c r="CD45" s="657"/>
      <c r="CE45" s="657"/>
      <c r="CF45" s="657"/>
      <c r="CG45" s="657"/>
      <c r="CH45" s="657"/>
      <c r="CI45" s="657"/>
      <c r="CJ45" s="657"/>
      <c r="CK45" s="657"/>
      <c r="CL45" s="657"/>
      <c r="DG45" s="278"/>
      <c r="DK45" s="278"/>
      <c r="DL45" s="278"/>
      <c r="DM45" s="278"/>
      <c r="DN45" s="278"/>
      <c r="EV45" s="278"/>
      <c r="FG45" s="256">
        <v>44</v>
      </c>
      <c r="FH45" s="256">
        <v>3.2</v>
      </c>
      <c r="FI45" s="256">
        <v>0.22</v>
      </c>
      <c r="FJ45" s="256">
        <f t="shared" si="8"/>
        <v>25.184519054371478</v>
      </c>
      <c r="FK45" s="256">
        <f t="shared" si="9"/>
        <v>55.243461151524528</v>
      </c>
      <c r="FL45" s="256">
        <f t="shared" si="10"/>
        <v>32.496153618543843</v>
      </c>
      <c r="FM45" s="256">
        <f t="shared" si="11"/>
        <v>0.25927248643506745</v>
      </c>
      <c r="FN45" s="256">
        <f t="shared" si="6"/>
        <v>8.8994381845147963</v>
      </c>
      <c r="FO45" s="256">
        <f t="shared" si="7"/>
        <v>26.072436167071277</v>
      </c>
    </row>
    <row r="46" spans="2:171" ht="48.75" customHeight="1">
      <c r="B46" s="1287"/>
      <c r="C46" s="85"/>
      <c r="D46" s="86"/>
      <c r="E46" s="86"/>
      <c r="F46" s="86"/>
      <c r="G46" s="87"/>
      <c r="H46" s="620" t="s">
        <v>1663</v>
      </c>
      <c r="I46" s="179"/>
      <c r="J46" s="623">
        <f>IF($E$43=2,I43,IF($E$43=4,J43,IF($E$43=6,K43,IF($E$43=8,L43,IF($E$43=12,M43,"некорректноезначениечастотывращения")))))</f>
        <v>0.66</v>
      </c>
      <c r="K46" s="86"/>
      <c r="L46" s="86"/>
      <c r="M46" s="87"/>
      <c r="AL46" s="278"/>
      <c r="AM46" s="278"/>
      <c r="AN46" s="278"/>
      <c r="AO46" s="278"/>
      <c r="AP46" s="278"/>
      <c r="AQ46" s="278"/>
      <c r="AR46" s="278"/>
      <c r="AS46" s="88"/>
      <c r="AT46" s="88"/>
      <c r="AU46" s="12"/>
      <c r="AV46" s="12"/>
      <c r="BG46" s="324">
        <v>0.66</v>
      </c>
      <c r="BH46" s="324"/>
      <c r="BI46" s="11"/>
      <c r="BJ46" s="324">
        <v>0.66</v>
      </c>
      <c r="BK46" s="324"/>
      <c r="BM46" s="324">
        <v>0.66</v>
      </c>
      <c r="BN46" s="324"/>
      <c r="BP46" s="324">
        <v>0.66</v>
      </c>
      <c r="BQ46" s="324"/>
      <c r="BS46" s="324">
        <v>0.66</v>
      </c>
      <c r="BT46" s="324"/>
      <c r="BV46" s="324">
        <v>0.66</v>
      </c>
      <c r="BW46" s="324"/>
      <c r="BZ46" s="657"/>
      <c r="CA46" s="657"/>
      <c r="CB46" s="657"/>
      <c r="CC46" s="657"/>
      <c r="CD46" s="657"/>
      <c r="CE46" s="657"/>
      <c r="CF46" s="657"/>
      <c r="CG46" s="657"/>
      <c r="CH46" s="657"/>
      <c r="CI46" s="657"/>
      <c r="CJ46" s="657"/>
      <c r="CK46" s="657"/>
      <c r="CL46" s="657"/>
      <c r="DG46" s="278"/>
      <c r="DK46" s="278"/>
      <c r="DL46" s="278"/>
      <c r="DM46" s="278"/>
      <c r="DN46" s="278"/>
      <c r="EV46" s="278"/>
      <c r="FG46" s="256">
        <v>47</v>
      </c>
      <c r="FH46" s="256">
        <v>3</v>
      </c>
      <c r="FI46" s="256">
        <v>0.23</v>
      </c>
      <c r="FJ46" s="256">
        <f t="shared" si="8"/>
        <v>25.750533975046036</v>
      </c>
      <c r="FK46" s="256">
        <f t="shared" si="9"/>
        <v>56.485042267842914</v>
      </c>
      <c r="FL46" s="256">
        <f t="shared" si="10"/>
        <v>33.226495451672299</v>
      </c>
      <c r="FM46" s="256">
        <f t="shared" si="11"/>
        <v>0.26558112382722787</v>
      </c>
      <c r="FN46" s="256">
        <f t="shared" si="6"/>
        <v>9.0994505328618622</v>
      </c>
      <c r="FO46" s="256">
        <f t="shared" si="7"/>
        <v>26.438539314416712</v>
      </c>
    </row>
    <row r="47" spans="2:171" ht="48.75" customHeight="1">
      <c r="AL47" s="278"/>
      <c r="AM47" s="278"/>
      <c r="AN47" s="278"/>
      <c r="AS47" s="12"/>
      <c r="AT47" s="12"/>
      <c r="AU47" s="12"/>
      <c r="AV47" s="12"/>
      <c r="BZ47" s="657"/>
      <c r="CA47" s="657"/>
      <c r="CB47" s="657"/>
      <c r="CC47" s="657"/>
      <c r="CD47" s="657"/>
      <c r="CE47" s="657"/>
      <c r="CF47" s="657"/>
      <c r="CG47" s="657"/>
      <c r="CH47" s="657"/>
      <c r="CI47" s="657"/>
      <c r="CJ47" s="657"/>
      <c r="CK47" s="657"/>
      <c r="CL47" s="657"/>
      <c r="DG47" s="278"/>
      <c r="EV47" s="278"/>
      <c r="FG47" s="256">
        <v>50</v>
      </c>
      <c r="FH47" s="256">
        <v>2.8</v>
      </c>
      <c r="FI47" s="256">
        <v>0.24</v>
      </c>
      <c r="FJ47" s="256">
        <f t="shared" si="8"/>
        <v>26.304372260139569</v>
      </c>
      <c r="FK47" s="256">
        <f t="shared" si="9"/>
        <v>57.699913344822278</v>
      </c>
      <c r="FL47" s="256">
        <f t="shared" si="10"/>
        <v>33.941125496954278</v>
      </c>
      <c r="FM47" s="256">
        <f t="shared" si="11"/>
        <v>0.27174648819470298</v>
      </c>
      <c r="FN47" s="256">
        <f t="shared" si="6"/>
        <v>9.2951600308978009</v>
      </c>
      <c r="FO47" s="256">
        <f t="shared" si="7"/>
        <v>26.795519693127666</v>
      </c>
    </row>
    <row r="48" spans="2:171" ht="48.75" customHeight="1">
      <c r="B48" s="1285" t="s">
        <v>511</v>
      </c>
      <c r="C48" s="1286"/>
      <c r="D48" s="1286"/>
      <c r="E48" s="1286"/>
      <c r="F48" s="1286"/>
      <c r="G48" s="1761"/>
      <c r="H48" s="259" t="s">
        <v>502</v>
      </c>
      <c r="AL48" s="278"/>
      <c r="AM48" s="278"/>
      <c r="AN48" s="278"/>
      <c r="AS48" s="12"/>
      <c r="AT48" s="12"/>
      <c r="AU48" s="12"/>
      <c r="AV48" s="12"/>
      <c r="BB48" s="278"/>
      <c r="BC48" s="278"/>
      <c r="BD48" s="278"/>
      <c r="BE48" s="278"/>
      <c r="BF48" s="278"/>
      <c r="BZ48" s="657"/>
      <c r="CA48" s="657"/>
      <c r="CB48" s="657"/>
      <c r="CC48" s="657"/>
      <c r="CD48" s="657"/>
      <c r="CE48" s="657"/>
      <c r="CF48" s="657"/>
      <c r="CG48" s="657"/>
      <c r="CH48" s="657"/>
      <c r="CI48" s="657"/>
      <c r="CJ48" s="657"/>
      <c r="CK48" s="657"/>
      <c r="CL48" s="657"/>
      <c r="DD48" s="278"/>
      <c r="DE48" s="278"/>
      <c r="DF48" s="278"/>
      <c r="DG48" s="278"/>
      <c r="EV48" s="278"/>
      <c r="FG48" s="256">
        <v>53</v>
      </c>
      <c r="FH48" s="256">
        <v>2.6</v>
      </c>
      <c r="FI48" s="256">
        <v>0.25</v>
      </c>
      <c r="FJ48" s="256">
        <f t="shared" si="8"/>
        <v>26.846787517317598</v>
      </c>
      <c r="FK48" s="256">
        <f t="shared" si="9"/>
        <v>58.889727457341827</v>
      </c>
      <c r="FL48" s="256">
        <f t="shared" si="10"/>
        <v>34.641016151377542</v>
      </c>
      <c r="FM48" s="256">
        <f t="shared" si="11"/>
        <v>0.27777777777777779</v>
      </c>
      <c r="FN48" s="256">
        <f t="shared" si="6"/>
        <v>9.4868329805051381</v>
      </c>
      <c r="FO48" s="256">
        <f t="shared" si="7"/>
        <v>27.144192199026602</v>
      </c>
    </row>
    <row r="49" spans="2:171" ht="48.75" customHeight="1">
      <c r="B49" s="125" t="s">
        <v>500</v>
      </c>
      <c r="C49" s="257">
        <v>2</v>
      </c>
      <c r="D49" s="257">
        <v>3</v>
      </c>
      <c r="E49" s="257">
        <v>4</v>
      </c>
      <c r="F49" s="257">
        <v>5</v>
      </c>
      <c r="G49" s="257">
        <v>6</v>
      </c>
      <c r="H49" s="257" t="s">
        <v>501</v>
      </c>
      <c r="Z49" s="263"/>
      <c r="AA49" s="263"/>
      <c r="AB49" s="263"/>
      <c r="AC49" s="263"/>
      <c r="AL49" s="278"/>
      <c r="AM49" s="278"/>
      <c r="AN49" s="278"/>
      <c r="AP49" s="987" t="s">
        <v>1792</v>
      </c>
      <c r="AQ49" s="988"/>
      <c r="AR49" s="988"/>
      <c r="AS49" s="988"/>
      <c r="AT49" s="988"/>
      <c r="AU49" s="989"/>
      <c r="AV49" s="103"/>
      <c r="BB49" s="278"/>
      <c r="BC49" s="278"/>
      <c r="BD49" s="278"/>
      <c r="BE49" s="278"/>
      <c r="BF49" s="278"/>
      <c r="BI49" s="278"/>
      <c r="BJ49" s="278"/>
      <c r="BK49" s="278"/>
      <c r="BL49" s="278"/>
      <c r="BM49" s="278"/>
      <c r="BN49" s="278"/>
      <c r="BO49" s="278"/>
      <c r="BP49" s="278"/>
      <c r="BQ49" s="278"/>
      <c r="BR49" s="278"/>
      <c r="BZ49" s="657"/>
      <c r="CA49" s="657"/>
      <c r="CB49" s="657"/>
      <c r="CC49" s="657"/>
      <c r="CD49" s="657"/>
      <c r="CE49" s="657"/>
      <c r="CF49" s="657"/>
      <c r="CG49" s="657"/>
      <c r="CH49" s="657"/>
      <c r="CI49" s="657"/>
      <c r="CJ49" s="657"/>
      <c r="CK49" s="657"/>
      <c r="CL49" s="657"/>
      <c r="EV49" s="278"/>
      <c r="FG49" s="256">
        <v>56</v>
      </c>
      <c r="FH49" s="256">
        <v>2.4</v>
      </c>
      <c r="FI49" s="256">
        <v>0.26</v>
      </c>
      <c r="FJ49" s="256">
        <f t="shared" si="8"/>
        <v>27.378458685616327</v>
      </c>
      <c r="FK49" s="256">
        <f t="shared" si="9"/>
        <v>60.05597389102936</v>
      </c>
      <c r="FL49" s="256">
        <f t="shared" si="10"/>
        <v>35.327043465311391</v>
      </c>
      <c r="FM49" s="256">
        <f t="shared" si="11"/>
        <v>0.28368325730679006</v>
      </c>
      <c r="FN49" s="256">
        <f t="shared" si="6"/>
        <v>9.6747092979582607</v>
      </c>
      <c r="FO49" s="256">
        <f t="shared" si="7"/>
        <v>27.48523232616698</v>
      </c>
    </row>
    <row r="50" spans="2:171" ht="48.75" customHeight="1">
      <c r="B50" s="257">
        <v>1</v>
      </c>
      <c r="C50" s="257">
        <v>0.96599999999999997</v>
      </c>
      <c r="D50" s="257">
        <v>0.96</v>
      </c>
      <c r="E50" s="257">
        <v>0.95799999999999996</v>
      </c>
      <c r="F50" s="257">
        <v>0.95699999999999996</v>
      </c>
      <c r="G50" s="257">
        <v>0.95699999999999996</v>
      </c>
      <c r="H50" s="257">
        <v>0.95499999999999996</v>
      </c>
      <c r="Z50" s="263"/>
      <c r="AA50" s="263"/>
      <c r="AB50" s="263"/>
      <c r="AC50" s="263"/>
      <c r="AD50" s="1121" t="s">
        <v>700</v>
      </c>
      <c r="AE50" s="1122"/>
      <c r="AF50" s="1122"/>
      <c r="AG50" s="1122"/>
      <c r="AH50" s="1122"/>
      <c r="AI50" s="1123"/>
      <c r="AJ50" s="259"/>
      <c r="AL50" s="278"/>
      <c r="AM50" s="278"/>
      <c r="AN50" s="278"/>
      <c r="AP50" s="990"/>
      <c r="AQ50" s="991"/>
      <c r="AR50" s="991"/>
      <c r="AS50" s="991"/>
      <c r="AT50" s="991"/>
      <c r="AU50" s="992"/>
      <c r="AV50" s="100"/>
      <c r="BB50" s="278"/>
      <c r="BC50" s="278"/>
      <c r="BD50" s="278"/>
      <c r="BE50" s="278"/>
      <c r="BF50" s="278"/>
      <c r="BG50" s="278"/>
      <c r="BI50" s="278"/>
      <c r="BJ50" s="278"/>
      <c r="BK50" s="278"/>
      <c r="BL50" s="278"/>
      <c r="BM50" s="278"/>
      <c r="BN50" s="278"/>
      <c r="BO50" s="278"/>
      <c r="BP50" s="278"/>
      <c r="BQ50" s="278"/>
      <c r="BR50" s="278"/>
      <c r="BZ50" s="657"/>
      <c r="CA50" s="657"/>
      <c r="CB50" s="657"/>
      <c r="CC50" s="657"/>
      <c r="CD50" s="657"/>
      <c r="CE50" s="657"/>
      <c r="CF50" s="657"/>
      <c r="CG50" s="657"/>
      <c r="CH50" s="657"/>
      <c r="CI50" s="657"/>
      <c r="CJ50" s="657"/>
      <c r="CK50" s="657"/>
      <c r="CL50" s="657"/>
      <c r="CM50" s="278"/>
      <c r="CN50" s="341"/>
      <c r="CO50" s="1285" t="s">
        <v>1198</v>
      </c>
      <c r="CP50" s="1286"/>
      <c r="CQ50" s="1286"/>
      <c r="CR50" s="1286"/>
      <c r="CS50" s="1286"/>
      <c r="CT50" s="1286"/>
      <c r="CU50" s="1286"/>
      <c r="CV50" s="1286"/>
      <c r="CW50" s="1286"/>
      <c r="CX50" s="1286"/>
      <c r="CY50" s="1286"/>
      <c r="CZ50" s="1286"/>
      <c r="DA50" s="1286"/>
      <c r="DB50" s="1286"/>
      <c r="DC50" s="1286"/>
      <c r="DD50" s="1286"/>
      <c r="DE50" s="1286"/>
      <c r="DF50" s="1286"/>
      <c r="DG50" s="1286"/>
      <c r="DH50" s="1286"/>
      <c r="DI50" s="1286"/>
      <c r="DJ50" s="1286"/>
      <c r="DK50" s="127"/>
      <c r="DL50" s="278"/>
      <c r="EJ50" s="278"/>
      <c r="EK50" s="278"/>
      <c r="EL50" s="278"/>
      <c r="EM50" s="278"/>
      <c r="EN50" s="278"/>
      <c r="EO50" s="278"/>
      <c r="FG50" s="256">
        <v>59</v>
      </c>
      <c r="FH50" s="256">
        <v>2.2000000000000002</v>
      </c>
      <c r="FI50" s="256">
        <v>0.27</v>
      </c>
      <c r="FJ50" s="256">
        <f t="shared" si="8"/>
        <v>27.900000000000002</v>
      </c>
      <c r="FK50" s="256">
        <f t="shared" si="9"/>
        <v>61.2</v>
      </c>
      <c r="FL50" s="256">
        <f t="shared" si="10"/>
        <v>36</v>
      </c>
      <c r="FM50" s="256">
        <f t="shared" si="11"/>
        <v>0.28947038440620459</v>
      </c>
      <c r="FN50" s="256">
        <f t="shared" si="6"/>
        <v>9.8590060350929907</v>
      </c>
      <c r="FO50" s="256">
        <f t="shared" si="7"/>
        <v>27.819210520823351</v>
      </c>
    </row>
    <row r="51" spans="2:171" ht="48.75" customHeight="1">
      <c r="B51" s="257">
        <v>3</v>
      </c>
      <c r="C51" s="257">
        <v>0.70699999999999996</v>
      </c>
      <c r="D51" s="257">
        <v>0.66700000000000004</v>
      </c>
      <c r="E51" s="257">
        <v>0.65400000000000003</v>
      </c>
      <c r="F51" s="257">
        <v>0.64600000000000002</v>
      </c>
      <c r="G51" s="257">
        <v>0.64400000000000002</v>
      </c>
      <c r="H51" s="257">
        <v>0.63600000000000001</v>
      </c>
      <c r="W51" s="263"/>
      <c r="X51" s="263"/>
      <c r="Y51" s="119"/>
      <c r="Z51" s="263"/>
      <c r="AA51" s="263"/>
      <c r="AB51" s="263"/>
      <c r="AC51" s="263"/>
      <c r="AD51" s="1287" t="s">
        <v>698</v>
      </c>
      <c r="AE51" s="1287"/>
      <c r="AF51" s="257">
        <v>2</v>
      </c>
      <c r="AG51" s="257">
        <v>4</v>
      </c>
      <c r="AH51" s="257">
        <v>6</v>
      </c>
      <c r="AI51" s="257">
        <v>8</v>
      </c>
      <c r="AJ51" s="257">
        <v>10</v>
      </c>
      <c r="AL51" s="278"/>
      <c r="AM51" s="278"/>
      <c r="AN51" s="278"/>
      <c r="AP51" s="993"/>
      <c r="AQ51" s="994"/>
      <c r="AR51" s="994"/>
      <c r="AS51" s="994"/>
      <c r="AT51" s="994"/>
      <c r="AU51" s="995"/>
      <c r="AV51" s="104"/>
      <c r="BB51" s="278"/>
      <c r="BC51" s="278"/>
      <c r="BD51" s="278"/>
      <c r="BE51" s="278"/>
      <c r="BF51" s="278"/>
      <c r="BG51" s="278"/>
      <c r="BI51" s="11"/>
      <c r="BO51" s="278"/>
      <c r="BP51" s="278"/>
      <c r="BQ51" s="278"/>
      <c r="BR51" s="278"/>
      <c r="BZ51" s="657"/>
      <c r="CA51" s="657"/>
      <c r="CB51" s="657"/>
      <c r="CC51" s="657"/>
      <c r="CD51" s="657"/>
      <c r="CE51" s="657"/>
      <c r="CF51" s="657"/>
      <c r="CG51" s="657"/>
      <c r="CH51" s="657"/>
      <c r="CI51" s="657"/>
      <c r="CJ51" s="657"/>
      <c r="CK51" s="657"/>
      <c r="CL51" s="657"/>
      <c r="CM51" s="278"/>
      <c r="CN51" s="342"/>
      <c r="CO51" s="290"/>
      <c r="CP51" s="291"/>
      <c r="CQ51" s="291"/>
      <c r="CR51" s="328"/>
      <c r="CS51" s="291"/>
      <c r="CT51" s="291"/>
      <c r="CU51" s="291"/>
      <c r="CV51" s="328"/>
      <c r="CW51" s="291"/>
      <c r="CX51" s="291"/>
      <c r="CY51" s="291"/>
      <c r="CZ51" s="328"/>
      <c r="DA51" s="291"/>
      <c r="DB51" s="291"/>
      <c r="DC51" s="291"/>
      <c r="DD51" s="328"/>
      <c r="DE51" s="291"/>
      <c r="DF51" s="291"/>
      <c r="DG51" s="291"/>
      <c r="DH51" s="328"/>
      <c r="DI51" s="291"/>
      <c r="DJ51" s="291"/>
      <c r="DK51" s="292"/>
      <c r="EJ51" s="278"/>
      <c r="EK51" s="278"/>
      <c r="EL51" s="278"/>
      <c r="EM51" s="278"/>
      <c r="EN51" s="278"/>
      <c r="EO51" s="278"/>
      <c r="FG51" s="256">
        <v>62</v>
      </c>
      <c r="FH51" s="256">
        <v>2</v>
      </c>
      <c r="FI51" s="256">
        <v>0.28000000000000003</v>
      </c>
      <c r="FJ51" s="256">
        <f t="shared" si="8"/>
        <v>28.41196930872621</v>
      </c>
      <c r="FK51" s="256">
        <f t="shared" si="9"/>
        <v>62.323029451399428</v>
      </c>
      <c r="FL51" s="256">
        <f t="shared" si="10"/>
        <v>36.660605559646726</v>
      </c>
      <c r="FM51" s="256">
        <f t="shared" si="11"/>
        <v>0.29514591494904874</v>
      </c>
      <c r="FN51" s="256">
        <f t="shared" si="6"/>
        <v>10.039920318408907</v>
      </c>
      <c r="FO51" s="256">
        <f t="shared" si="7"/>
        <v>28.146616125680204</v>
      </c>
    </row>
    <row r="52" spans="2:171" ht="48.75" customHeight="1">
      <c r="B52" s="257">
        <v>5</v>
      </c>
      <c r="C52" s="257">
        <v>0.25900000000000001</v>
      </c>
      <c r="D52" s="257">
        <v>0.217</v>
      </c>
      <c r="E52" s="257">
        <v>0.20499999999999999</v>
      </c>
      <c r="F52" s="257">
        <v>0.2</v>
      </c>
      <c r="G52" s="257">
        <v>0.19700000000000001</v>
      </c>
      <c r="H52" s="257">
        <v>0.191</v>
      </c>
      <c r="U52" s="1285" t="s">
        <v>635</v>
      </c>
      <c r="V52" s="1286"/>
      <c r="W52" s="1286"/>
      <c r="X52" s="1286"/>
      <c r="Y52" s="594" t="s">
        <v>442</v>
      </c>
      <c r="Z52" s="263"/>
      <c r="AA52" s="263"/>
      <c r="AB52" s="263"/>
      <c r="AC52" s="263"/>
      <c r="AD52" s="1452" t="s">
        <v>111</v>
      </c>
      <c r="AE52" s="1452"/>
      <c r="AF52" s="257">
        <v>1</v>
      </c>
      <c r="AG52" s="257" t="s">
        <v>740</v>
      </c>
      <c r="AH52" s="257" t="s">
        <v>741</v>
      </c>
      <c r="AI52" s="257" t="s">
        <v>742</v>
      </c>
      <c r="AJ52" s="257" t="s">
        <v>743</v>
      </c>
      <c r="AL52" s="278"/>
      <c r="AM52" s="278"/>
      <c r="AN52" s="278"/>
      <c r="AP52" s="516" t="s">
        <v>430</v>
      </c>
      <c r="AQ52" s="515">
        <f>'Вывод расчетов'!$AP$53</f>
        <v>0.16707940000000002</v>
      </c>
      <c r="AR52" s="639" t="s">
        <v>706</v>
      </c>
      <c r="AS52" s="83"/>
      <c r="AT52" s="83"/>
      <c r="AU52" s="83"/>
      <c r="AV52" s="84"/>
      <c r="BB52" s="278"/>
      <c r="BC52" s="278"/>
      <c r="BD52" s="278"/>
      <c r="BE52" s="278"/>
      <c r="BF52" s="278"/>
      <c r="BG52" s="278"/>
      <c r="BO52" s="278"/>
      <c r="BP52" s="278"/>
      <c r="BQ52" s="278"/>
      <c r="BR52" s="278"/>
      <c r="BZ52" s="657"/>
      <c r="CA52" s="657"/>
      <c r="CB52" s="657"/>
      <c r="CC52" s="657"/>
      <c r="CD52" s="657"/>
      <c r="CE52" s="657"/>
      <c r="CF52" s="657"/>
      <c r="CG52" s="657"/>
      <c r="CH52" s="657"/>
      <c r="CI52" s="657"/>
      <c r="CJ52" s="657"/>
      <c r="CK52" s="657"/>
      <c r="CL52" s="657"/>
      <c r="CM52" s="278"/>
      <c r="CN52" s="342"/>
      <c r="CO52" s="334" t="s">
        <v>718</v>
      </c>
      <c r="CP52" s="334" t="s">
        <v>1141</v>
      </c>
      <c r="CQ52" s="334" t="s">
        <v>1142</v>
      </c>
      <c r="CR52" s="981"/>
      <c r="CS52" s="334" t="s">
        <v>718</v>
      </c>
      <c r="CT52" s="334" t="s">
        <v>1150</v>
      </c>
      <c r="CU52" s="334" t="s">
        <v>1151</v>
      </c>
      <c r="CV52" s="981"/>
      <c r="CW52" s="334" t="s">
        <v>718</v>
      </c>
      <c r="CX52" s="334" t="s">
        <v>1181</v>
      </c>
      <c r="CY52" s="334" t="s">
        <v>1188</v>
      </c>
      <c r="CZ52" s="981"/>
      <c r="DA52" s="334" t="s">
        <v>718</v>
      </c>
      <c r="DB52" s="334" t="s">
        <v>1187</v>
      </c>
      <c r="DC52" s="334" t="s">
        <v>1182</v>
      </c>
      <c r="DD52" s="981"/>
      <c r="DE52" s="334" t="s">
        <v>718</v>
      </c>
      <c r="DF52" s="334" t="s">
        <v>1183</v>
      </c>
      <c r="DG52" s="334" t="s">
        <v>1184</v>
      </c>
      <c r="DH52" s="981"/>
      <c r="DI52" s="334" t="s">
        <v>718</v>
      </c>
      <c r="DJ52" s="334" t="s">
        <v>1185</v>
      </c>
      <c r="DK52" s="334" t="s">
        <v>1186</v>
      </c>
      <c r="EJ52" s="278"/>
      <c r="EK52" s="278"/>
      <c r="EL52" s="278"/>
      <c r="EM52" s="278"/>
      <c r="EN52" s="278"/>
      <c r="EO52" s="278"/>
      <c r="FG52" s="256">
        <v>65</v>
      </c>
      <c r="FH52" s="256">
        <v>1.8</v>
      </c>
      <c r="FI52" s="256">
        <v>0.28999999999999998</v>
      </c>
      <c r="FJ52" s="256">
        <f t="shared" si="8"/>
        <v>28.914875064575327</v>
      </c>
      <c r="FK52" s="256">
        <f t="shared" si="9"/>
        <v>63.426177561003939</v>
      </c>
      <c r="FL52" s="256">
        <f t="shared" si="10"/>
        <v>37.309516212355256</v>
      </c>
      <c r="FM52" s="256">
        <f t="shared" si="11"/>
        <v>0.30071599147182332</v>
      </c>
      <c r="FN52" s="256">
        <f t="shared" si="6"/>
        <v>10.217631819555841</v>
      </c>
      <c r="FO52" s="256">
        <f t="shared" si="7"/>
        <v>28.467874502641394</v>
      </c>
    </row>
    <row r="53" spans="2:171" ht="48.75" customHeight="1">
      <c r="B53" s="257">
        <v>7</v>
      </c>
      <c r="C53" s="257">
        <v>-0.25900000000000001</v>
      </c>
      <c r="D53" s="257">
        <v>-0.17699999999999999</v>
      </c>
      <c r="E53" s="257">
        <v>-0.158</v>
      </c>
      <c r="F53" s="257">
        <v>-0.14899999999999999</v>
      </c>
      <c r="G53" s="257">
        <v>-0.14499999999999999</v>
      </c>
      <c r="H53" s="257">
        <v>-0.13600000000000001</v>
      </c>
      <c r="M53" s="328"/>
      <c r="U53" s="1285" t="s">
        <v>635</v>
      </c>
      <c r="V53" s="1286"/>
      <c r="W53" s="1286"/>
      <c r="X53" s="1286"/>
      <c r="Y53" s="594" t="s">
        <v>440</v>
      </c>
      <c r="Z53" s="263"/>
      <c r="AA53" s="263"/>
      <c r="AB53" s="263"/>
      <c r="AC53" s="263"/>
      <c r="AD53" s="1287" t="s">
        <v>699</v>
      </c>
      <c r="AE53" s="1287"/>
      <c r="AF53" s="257" t="s">
        <v>416</v>
      </c>
      <c r="AG53" s="257">
        <v>1</v>
      </c>
      <c r="AH53" s="257">
        <v>1</v>
      </c>
      <c r="AI53" s="257">
        <v>1</v>
      </c>
      <c r="AJ53" s="257">
        <v>1</v>
      </c>
      <c r="AL53" s="278"/>
      <c r="AM53" s="278"/>
      <c r="AN53" s="278"/>
      <c r="AP53" s="82"/>
      <c r="AQ53" s="83"/>
      <c r="AR53" s="177"/>
      <c r="AS53" s="177"/>
      <c r="AT53" s="177"/>
      <c r="AU53" s="177"/>
      <c r="AV53" s="178"/>
      <c r="BD53" s="278"/>
      <c r="BE53" s="278"/>
      <c r="BF53" s="278"/>
      <c r="BG53" s="278"/>
      <c r="BH53" s="278"/>
      <c r="BZ53" s="657"/>
      <c r="CA53" s="657"/>
      <c r="CB53" s="657"/>
      <c r="CC53" s="657"/>
      <c r="CD53" s="657"/>
      <c r="CE53" s="657"/>
      <c r="CF53" s="657"/>
      <c r="CG53" s="657"/>
      <c r="CH53" s="657"/>
      <c r="CI53" s="657"/>
      <c r="CJ53" s="657"/>
      <c r="CK53" s="657"/>
      <c r="CL53" s="657"/>
      <c r="CM53" s="278"/>
      <c r="CN53" s="342"/>
      <c r="CO53" s="335">
        <v>8.8999999999999996E-2</v>
      </c>
      <c r="CP53" s="334">
        <v>16000</v>
      </c>
      <c r="CQ53" s="334">
        <v>17000</v>
      </c>
      <c r="CR53" s="981"/>
      <c r="CS53" s="335">
        <v>8.8999999999999996E-2</v>
      </c>
      <c r="CT53" s="334"/>
      <c r="CU53" s="334"/>
      <c r="CV53" s="981"/>
      <c r="CW53" s="335">
        <v>8.8999999999999996E-2</v>
      </c>
      <c r="CX53" s="334"/>
      <c r="CY53" s="334"/>
      <c r="CZ53" s="981"/>
      <c r="DA53" s="335">
        <v>8.8999999999999996E-2</v>
      </c>
      <c r="DB53" s="334"/>
      <c r="DC53" s="334"/>
      <c r="DD53" s="981"/>
      <c r="DE53" s="335">
        <v>8.8999999999999996E-2</v>
      </c>
      <c r="DF53" s="334"/>
      <c r="DG53" s="334"/>
      <c r="DH53" s="981"/>
      <c r="DI53" s="335">
        <v>8.8999999999999996E-2</v>
      </c>
      <c r="DJ53" s="334"/>
      <c r="DK53" s="334"/>
      <c r="EJ53" s="278"/>
      <c r="EK53" s="278"/>
      <c r="EL53" s="278"/>
      <c r="EM53" s="278"/>
      <c r="EN53" s="278"/>
      <c r="EO53" s="278"/>
      <c r="FG53" s="256">
        <v>68</v>
      </c>
      <c r="FH53" s="256">
        <v>1.6</v>
      </c>
      <c r="FI53" s="256">
        <v>0.3</v>
      </c>
      <c r="FJ53" s="256">
        <f t="shared" si="8"/>
        <v>29.409182239565926</v>
      </c>
      <c r="FK53" s="256">
        <f t="shared" si="9"/>
        <v>64.510464267434941</v>
      </c>
      <c r="FL53" s="256">
        <f t="shared" si="10"/>
        <v>37.947331922020552</v>
      </c>
      <c r="FM53" s="256">
        <f>FI53*2/((((FI53+0.02)*12)^(1/2)))</f>
        <v>0.30618621784789729</v>
      </c>
      <c r="FN53" s="256">
        <f t="shared" si="6"/>
        <v>10.392304845413264</v>
      </c>
      <c r="FO53" s="256">
        <f t="shared" si="7"/>
        <v>28.783359568397731</v>
      </c>
    </row>
    <row r="54" spans="2:171" ht="48.75" customHeight="1">
      <c r="B54" s="257">
        <v>9</v>
      </c>
      <c r="C54" s="257">
        <v>-0.70699999999999996</v>
      </c>
      <c r="D54" s="257">
        <v>-0.33300000000000002</v>
      </c>
      <c r="E54" s="257">
        <v>-0.27</v>
      </c>
      <c r="F54" s="257">
        <v>-0.247</v>
      </c>
      <c r="G54" s="257">
        <v>-0.23599999999999999</v>
      </c>
      <c r="H54" s="257">
        <v>-0.21199999999999999</v>
      </c>
      <c r="U54" s="1069" t="s">
        <v>715</v>
      </c>
      <c r="V54" s="1070"/>
      <c r="W54" s="1070"/>
      <c r="X54" s="1071"/>
      <c r="Y54" s="594" t="s">
        <v>714</v>
      </c>
      <c r="Z54" s="263"/>
      <c r="AA54" s="263"/>
      <c r="AB54" s="263"/>
      <c r="AC54" s="263"/>
      <c r="AD54" s="1287"/>
      <c r="AE54" s="1287"/>
      <c r="AF54" s="257" t="s">
        <v>416</v>
      </c>
      <c r="AG54" s="257">
        <v>2</v>
      </c>
      <c r="AH54" s="257">
        <v>2</v>
      </c>
      <c r="AI54" s="257">
        <v>2</v>
      </c>
      <c r="AJ54" s="257">
        <v>2</v>
      </c>
      <c r="AL54" s="278"/>
      <c r="AM54" s="278"/>
      <c r="AN54" s="278"/>
      <c r="AP54" s="176"/>
      <c r="AQ54" s="177"/>
      <c r="AR54" s="177"/>
      <c r="AS54" s="177"/>
      <c r="AT54" s="177"/>
      <c r="AU54" s="177"/>
      <c r="AV54" s="178"/>
      <c r="BG54" s="278"/>
      <c r="BH54" s="278"/>
      <c r="BZ54" s="657"/>
      <c r="CA54" s="657"/>
      <c r="CB54" s="657"/>
      <c r="CC54" s="657"/>
      <c r="CD54" s="657"/>
      <c r="CE54" s="657"/>
      <c r="CF54" s="657"/>
      <c r="CG54" s="657"/>
      <c r="CH54" s="657"/>
      <c r="CI54" s="657"/>
      <c r="CJ54" s="657"/>
      <c r="CK54" s="657"/>
      <c r="CL54" s="657"/>
      <c r="CM54" s="278"/>
      <c r="CN54" s="342"/>
      <c r="CO54" s="335">
        <v>0.1</v>
      </c>
      <c r="CP54" s="334">
        <v>16000</v>
      </c>
      <c r="CQ54" s="334">
        <v>18000</v>
      </c>
      <c r="CR54" s="981"/>
      <c r="CS54" s="335">
        <v>0.1</v>
      </c>
      <c r="CT54" s="334"/>
      <c r="CU54" s="334"/>
      <c r="CV54" s="981"/>
      <c r="CW54" s="335">
        <v>0.1</v>
      </c>
      <c r="CX54" s="334"/>
      <c r="CY54" s="334"/>
      <c r="CZ54" s="981"/>
      <c r="DA54" s="335">
        <v>0.1</v>
      </c>
      <c r="DB54" s="334"/>
      <c r="DC54" s="334"/>
      <c r="DD54" s="981"/>
      <c r="DE54" s="335">
        <v>0.1</v>
      </c>
      <c r="DF54" s="334"/>
      <c r="DG54" s="334"/>
      <c r="DH54" s="981"/>
      <c r="DI54" s="335">
        <v>0.1</v>
      </c>
      <c r="DJ54" s="334"/>
      <c r="DK54" s="334"/>
      <c r="EJ54" s="278"/>
      <c r="EK54" s="278"/>
      <c r="EL54" s="278"/>
      <c r="EM54" s="278"/>
      <c r="EN54" s="278"/>
      <c r="EO54" s="278"/>
      <c r="FG54" s="256">
        <v>48</v>
      </c>
      <c r="FH54" s="256">
        <v>1.4</v>
      </c>
      <c r="FI54" s="256">
        <v>0.31</v>
      </c>
      <c r="FJ54" s="256">
        <f t="shared" si="8"/>
        <v>29.89531735907816</v>
      </c>
      <c r="FK54" s="256">
        <f t="shared" si="9"/>
        <v>65.576825174752088</v>
      </c>
      <c r="FL54" s="256">
        <f t="shared" si="10"/>
        <v>38.57460304397182</v>
      </c>
      <c r="FM54" s="256">
        <f t="shared" si="11"/>
        <v>0.31156172273035576</v>
      </c>
      <c r="FN54" s="256">
        <f t="shared" si="6"/>
        <v>10.564090116995404</v>
      </c>
      <c r="FO54" s="256">
        <f t="shared" si="7"/>
        <v>29.091077444168253</v>
      </c>
    </row>
    <row r="55" spans="2:171" ht="48.75" customHeight="1">
      <c r="B55" s="257">
        <v>11</v>
      </c>
      <c r="C55" s="257">
        <v>-0.96599999999999997</v>
      </c>
      <c r="D55" s="257">
        <v>-0.17699999999999999</v>
      </c>
      <c r="E55" s="257">
        <v>-0.126</v>
      </c>
      <c r="F55" s="257">
        <v>-0.11</v>
      </c>
      <c r="G55" s="257">
        <v>-0.10199999999999999</v>
      </c>
      <c r="H55" s="257">
        <v>-8.6999999999999994E-2</v>
      </c>
      <c r="W55" s="263"/>
      <c r="X55" s="263"/>
      <c r="Y55" s="119"/>
      <c r="Z55" s="263"/>
      <c r="AA55" s="263"/>
      <c r="AB55" s="263"/>
      <c r="AC55" s="263"/>
      <c r="AD55" s="1287"/>
      <c r="AE55" s="1287"/>
      <c r="AF55" s="257" t="s">
        <v>416</v>
      </c>
      <c r="AG55" s="257" t="s">
        <v>416</v>
      </c>
      <c r="AH55" s="257">
        <v>3</v>
      </c>
      <c r="AI55" s="257">
        <v>4</v>
      </c>
      <c r="AJ55" s="257">
        <v>5</v>
      </c>
      <c r="AP55" s="176"/>
      <c r="AQ55" s="177"/>
      <c r="AR55" s="177"/>
      <c r="AS55" s="177"/>
      <c r="AT55" s="177"/>
      <c r="AU55" s="177"/>
      <c r="AV55" s="178"/>
      <c r="AX55" s="756" t="s">
        <v>1174</v>
      </c>
      <c r="AY55" s="756"/>
      <c r="AZ55" s="756"/>
      <c r="BA55" s="756"/>
      <c r="BB55" s="756"/>
      <c r="BC55" s="756"/>
      <c r="BD55" s="756"/>
      <c r="BE55" s="756"/>
      <c r="BF55" s="127"/>
      <c r="BG55" s="278"/>
      <c r="BH55" s="756" t="s">
        <v>1175</v>
      </c>
      <c r="BI55" s="756"/>
      <c r="BJ55" s="756"/>
      <c r="BK55" s="756"/>
      <c r="BL55" s="756"/>
      <c r="BM55" s="756"/>
      <c r="BN55" s="756"/>
      <c r="BO55" s="756"/>
      <c r="BP55" s="127"/>
      <c r="BZ55" s="657"/>
      <c r="CA55" s="657"/>
      <c r="CB55" s="657"/>
      <c r="CC55" s="657"/>
      <c r="CD55" s="657"/>
      <c r="CE55" s="657"/>
      <c r="CF55" s="657"/>
      <c r="CG55" s="657"/>
      <c r="CH55" s="657"/>
      <c r="CI55" s="657"/>
      <c r="CJ55" s="657"/>
      <c r="CK55" s="657"/>
      <c r="CL55" s="657"/>
      <c r="CM55" s="278"/>
      <c r="CN55" s="342"/>
      <c r="CO55" s="335">
        <v>0.11600000000000001</v>
      </c>
      <c r="CP55" s="334">
        <v>17000</v>
      </c>
      <c r="CQ55" s="334">
        <v>19000</v>
      </c>
      <c r="CR55" s="981"/>
      <c r="CS55" s="335">
        <v>0.11600000000000001</v>
      </c>
      <c r="CT55" s="334"/>
      <c r="CU55" s="334"/>
      <c r="CV55" s="981"/>
      <c r="CW55" s="335">
        <v>0.11600000000000001</v>
      </c>
      <c r="CX55" s="334"/>
      <c r="CY55" s="334"/>
      <c r="CZ55" s="981"/>
      <c r="DA55" s="335">
        <v>0.11600000000000001</v>
      </c>
      <c r="DB55" s="334"/>
      <c r="DC55" s="334"/>
      <c r="DD55" s="981"/>
      <c r="DE55" s="335">
        <v>0.11600000000000001</v>
      </c>
      <c r="DF55" s="334"/>
      <c r="DG55" s="334"/>
      <c r="DH55" s="981"/>
      <c r="DI55" s="335">
        <v>0.11600000000000001</v>
      </c>
      <c r="DJ55" s="334"/>
      <c r="DK55" s="334"/>
      <c r="EJ55" s="278"/>
      <c r="EK55" s="278"/>
      <c r="EL55" s="278"/>
      <c r="EM55" s="278"/>
      <c r="EN55" s="278"/>
      <c r="EO55" s="278"/>
      <c r="FG55" s="256">
        <v>50</v>
      </c>
      <c r="FH55" s="256">
        <v>1.2</v>
      </c>
      <c r="FI55" s="256">
        <v>0.32</v>
      </c>
      <c r="FJ55" s="256">
        <f t="shared" si="8"/>
        <v>30.373672810511408</v>
      </c>
      <c r="FK55" s="256">
        <f t="shared" si="9"/>
        <v>66.626121003702437</v>
      </c>
      <c r="FL55" s="256">
        <f t="shared" si="10"/>
        <v>39.191835884530846</v>
      </c>
      <c r="FM55" s="256">
        <f t="shared" si="11"/>
        <v>0.31684721375253577</v>
      </c>
      <c r="FN55" s="256">
        <f t="shared" si="6"/>
        <v>10.733126291998991</v>
      </c>
      <c r="FO55" s="256">
        <f t="shared" si="7"/>
        <v>29.396725539109795</v>
      </c>
    </row>
    <row r="56" spans="2:171" ht="48.75" customHeight="1">
      <c r="W56" s="88"/>
      <c r="X56" s="88"/>
      <c r="Y56" s="88"/>
      <c r="Z56" s="88"/>
      <c r="AA56" s="88"/>
      <c r="AB56" s="88"/>
      <c r="AP56" s="176"/>
      <c r="AQ56" s="177"/>
      <c r="AR56" s="177"/>
      <c r="AS56" s="177"/>
      <c r="AT56" s="177"/>
      <c r="AU56" s="177"/>
      <c r="AV56" s="178"/>
      <c r="AX56" s="2013"/>
      <c r="AY56" s="987" t="s">
        <v>1176</v>
      </c>
      <c r="AZ56" s="988"/>
      <c r="BA56" s="988"/>
      <c r="BB56" s="988"/>
      <c r="BC56" s="988"/>
      <c r="BD56" s="988"/>
      <c r="BE56" s="989"/>
      <c r="BF56" s="2013"/>
      <c r="BG56" s="278"/>
      <c r="BH56" s="2013"/>
      <c r="BI56" s="987" t="s">
        <v>1176</v>
      </c>
      <c r="BJ56" s="988"/>
      <c r="BK56" s="988"/>
      <c r="BL56" s="988"/>
      <c r="BM56" s="988"/>
      <c r="BN56" s="988"/>
      <c r="BO56" s="989"/>
      <c r="BP56" s="2013"/>
      <c r="BZ56" s="657"/>
      <c r="CA56" s="657"/>
      <c r="CB56" s="657"/>
      <c r="CC56" s="657"/>
      <c r="CD56" s="657"/>
      <c r="CE56" s="657"/>
      <c r="CF56" s="657"/>
      <c r="CG56" s="657"/>
      <c r="CH56" s="657"/>
      <c r="CI56" s="657"/>
      <c r="CJ56" s="657"/>
      <c r="CK56" s="657"/>
      <c r="CL56" s="657"/>
      <c r="CM56" s="278"/>
      <c r="CN56" s="342"/>
      <c r="CO56" s="335">
        <v>0.13100000000000001</v>
      </c>
      <c r="CP56" s="334">
        <v>19000</v>
      </c>
      <c r="CQ56" s="334">
        <v>21000</v>
      </c>
      <c r="CR56" s="981"/>
      <c r="CS56" s="335">
        <v>0.13100000000000001</v>
      </c>
      <c r="CT56" s="334"/>
      <c r="CU56" s="334"/>
      <c r="CV56" s="981"/>
      <c r="CW56" s="335">
        <v>0.13100000000000001</v>
      </c>
      <c r="CX56" s="334"/>
      <c r="CY56" s="334"/>
      <c r="CZ56" s="981"/>
      <c r="DA56" s="335">
        <v>0.13100000000000001</v>
      </c>
      <c r="DB56" s="334"/>
      <c r="DC56" s="334"/>
      <c r="DD56" s="981"/>
      <c r="DE56" s="335">
        <v>0.13100000000000001</v>
      </c>
      <c r="DF56" s="334"/>
      <c r="DG56" s="334"/>
      <c r="DH56" s="981"/>
      <c r="DI56" s="335">
        <v>0.13100000000000001</v>
      </c>
      <c r="DJ56" s="334"/>
      <c r="DK56" s="334"/>
      <c r="EJ56" s="278"/>
      <c r="EK56" s="278"/>
      <c r="EL56" s="278"/>
      <c r="EM56" s="278"/>
      <c r="EN56" s="278"/>
      <c r="EO56" s="278"/>
      <c r="FG56" s="256">
        <v>52</v>
      </c>
      <c r="FH56" s="256">
        <v>1</v>
      </c>
      <c r="FI56" s="256">
        <v>0.33</v>
      </c>
      <c r="FJ56" s="256">
        <f t="shared" si="8"/>
        <v>30.844610550305219</v>
      </c>
      <c r="FK56" s="256">
        <f t="shared" si="9"/>
        <v>67.659145723250163</v>
      </c>
      <c r="FL56" s="256">
        <f t="shared" si="10"/>
        <v>39.799497484264798</v>
      </c>
      <c r="FM56" s="256">
        <f t="shared" si="11"/>
        <v>0.32204702407301594</v>
      </c>
      <c r="FN56" s="256">
        <f t="shared" si="6"/>
        <v>10.89954127475097</v>
      </c>
      <c r="FO56" s="256">
        <f t="shared" si="7"/>
        <v>29.6973109060526</v>
      </c>
    </row>
    <row r="57" spans="2:171" ht="48.75" customHeight="1">
      <c r="W57" s="88"/>
      <c r="X57" s="88"/>
      <c r="Y57" s="88"/>
      <c r="Z57" s="88"/>
      <c r="AA57" s="88"/>
      <c r="AB57" s="88"/>
      <c r="AP57" s="176"/>
      <c r="AQ57" s="177"/>
      <c r="AR57" s="177"/>
      <c r="AS57" s="177"/>
      <c r="AT57" s="177"/>
      <c r="AU57" s="177"/>
      <c r="AV57" s="178"/>
      <c r="AX57" s="2014"/>
      <c r="AY57" s="990"/>
      <c r="AZ57" s="991"/>
      <c r="BA57" s="991"/>
      <c r="BB57" s="991"/>
      <c r="BC57" s="991"/>
      <c r="BD57" s="991"/>
      <c r="BE57" s="992"/>
      <c r="BF57" s="2014"/>
      <c r="BG57" s="278"/>
      <c r="BH57" s="2014"/>
      <c r="BI57" s="990"/>
      <c r="BJ57" s="991"/>
      <c r="BK57" s="991"/>
      <c r="BL57" s="991"/>
      <c r="BM57" s="991"/>
      <c r="BN57" s="991"/>
      <c r="BO57" s="992"/>
      <c r="BP57" s="2014"/>
      <c r="BZ57" s="657"/>
      <c r="CA57" s="657"/>
      <c r="CB57" s="657"/>
      <c r="CC57" s="657"/>
      <c r="CD57" s="657"/>
      <c r="CE57" s="657"/>
      <c r="CF57" s="657"/>
      <c r="CG57" s="657"/>
      <c r="CH57" s="657"/>
      <c r="CI57" s="657"/>
      <c r="CJ57" s="657"/>
      <c r="CK57" s="657"/>
      <c r="CL57" s="657"/>
      <c r="CM57" s="278"/>
      <c r="CN57" s="342"/>
      <c r="CO57" s="335">
        <v>0.14899999999999999</v>
      </c>
      <c r="CP57" s="334">
        <v>20750</v>
      </c>
      <c r="CQ57" s="334">
        <v>22750</v>
      </c>
      <c r="CR57" s="981"/>
      <c r="CS57" s="335">
        <v>0.14899999999999999</v>
      </c>
      <c r="CT57" s="334"/>
      <c r="CU57" s="334"/>
      <c r="CV57" s="981"/>
      <c r="CW57" s="335">
        <v>0.14899999999999999</v>
      </c>
      <c r="CX57" s="334"/>
      <c r="CY57" s="334"/>
      <c r="CZ57" s="981"/>
      <c r="DA57" s="335">
        <v>0.14899999999999999</v>
      </c>
      <c r="DB57" s="334"/>
      <c r="DC57" s="334"/>
      <c r="DD57" s="981"/>
      <c r="DE57" s="335">
        <v>0.14899999999999999</v>
      </c>
      <c r="DF57" s="334"/>
      <c r="DG57" s="334"/>
      <c r="DH57" s="981"/>
      <c r="DI57" s="335">
        <v>0.14899999999999999</v>
      </c>
      <c r="DJ57" s="334"/>
      <c r="DK57" s="334"/>
      <c r="EJ57" s="278"/>
      <c r="EK57" s="278"/>
      <c r="EL57" s="278"/>
      <c r="EM57" s="278"/>
      <c r="EN57" s="278"/>
      <c r="EO57" s="278"/>
      <c r="FG57" s="256">
        <v>54</v>
      </c>
      <c r="FH57" s="256">
        <v>0.8</v>
      </c>
      <c r="FI57" s="256">
        <v>0.34</v>
      </c>
      <c r="FJ57" s="256">
        <f t="shared" si="8"/>
        <v>31.308465308922443</v>
      </c>
      <c r="FK57" s="256">
        <f t="shared" si="9"/>
        <v>68.676633580862131</v>
      </c>
      <c r="FL57" s="256">
        <f t="shared" si="10"/>
        <v>40.39801975344831</v>
      </c>
      <c r="FM57" s="256">
        <f t="shared" si="11"/>
        <v>0.32716515254078793</v>
      </c>
      <c r="FN57" s="256">
        <f t="shared" si="6"/>
        <v>11.063453348751466</v>
      </c>
      <c r="FO57" s="256">
        <f t="shared" si="7"/>
        <v>29.993110036965906</v>
      </c>
    </row>
    <row r="58" spans="2:171" ht="48.75" customHeight="1">
      <c r="W58" s="88"/>
      <c r="X58" s="88"/>
      <c r="Y58" s="88"/>
      <c r="Z58" s="88"/>
      <c r="AA58" s="88"/>
      <c r="AB58" s="88"/>
      <c r="AE58" s="987" t="s">
        <v>719</v>
      </c>
      <c r="AF58" s="988"/>
      <c r="AG58" s="988"/>
      <c r="AH58" s="988"/>
      <c r="AI58" s="988"/>
      <c r="AJ58" s="988"/>
      <c r="AK58" s="988"/>
      <c r="AL58" s="988"/>
      <c r="AM58" s="988"/>
      <c r="AN58" s="970"/>
      <c r="AP58" s="176"/>
      <c r="AQ58" s="177"/>
      <c r="AR58" s="177"/>
      <c r="AS58" s="177"/>
      <c r="AT58" s="177"/>
      <c r="AU58" s="177"/>
      <c r="AV58" s="178"/>
      <c r="AX58" s="2014"/>
      <c r="AY58" s="990"/>
      <c r="AZ58" s="991"/>
      <c r="BA58" s="991"/>
      <c r="BB58" s="991"/>
      <c r="BC58" s="991"/>
      <c r="BD58" s="991"/>
      <c r="BE58" s="992"/>
      <c r="BF58" s="2015"/>
      <c r="BG58" s="278"/>
      <c r="BH58" s="2015"/>
      <c r="BI58" s="990"/>
      <c r="BJ58" s="991"/>
      <c r="BK58" s="991"/>
      <c r="BL58" s="991"/>
      <c r="BM58" s="991"/>
      <c r="BN58" s="991"/>
      <c r="BO58" s="992"/>
      <c r="BP58" s="2015"/>
      <c r="BZ58" s="657"/>
      <c r="CA58" s="657"/>
      <c r="CB58" s="657"/>
      <c r="CC58" s="657"/>
      <c r="CD58" s="657"/>
      <c r="CE58" s="657"/>
      <c r="CF58" s="657"/>
      <c r="CG58" s="657"/>
      <c r="CH58" s="657"/>
      <c r="CI58" s="657"/>
      <c r="CJ58" s="657"/>
      <c r="CK58" s="657"/>
      <c r="CL58" s="657"/>
      <c r="CM58" s="278"/>
      <c r="CN58" s="342"/>
      <c r="CO58" s="335">
        <v>0.16800000000000001</v>
      </c>
      <c r="CP58" s="334">
        <v>21750</v>
      </c>
      <c r="CQ58" s="334">
        <v>23750</v>
      </c>
      <c r="CR58" s="981"/>
      <c r="CS58" s="335">
        <v>0.16800000000000001</v>
      </c>
      <c r="CT58" s="334"/>
      <c r="CU58" s="334"/>
      <c r="CV58" s="981"/>
      <c r="CW58" s="335">
        <v>0.16800000000000001</v>
      </c>
      <c r="CX58" s="334"/>
      <c r="CY58" s="334"/>
      <c r="CZ58" s="981"/>
      <c r="DA58" s="335">
        <v>0.16800000000000001</v>
      </c>
      <c r="DB58" s="334"/>
      <c r="DC58" s="334"/>
      <c r="DD58" s="981"/>
      <c r="DE58" s="335">
        <v>0.16800000000000001</v>
      </c>
      <c r="DF58" s="334"/>
      <c r="DG58" s="334"/>
      <c r="DH58" s="981"/>
      <c r="DI58" s="335">
        <v>0.16800000000000001</v>
      </c>
      <c r="DJ58" s="334"/>
      <c r="DK58" s="334"/>
      <c r="EJ58" s="278"/>
      <c r="EK58" s="278"/>
      <c r="EL58" s="278"/>
      <c r="EM58" s="278"/>
      <c r="EN58" s="278"/>
      <c r="EO58" s="278"/>
      <c r="FG58" s="256">
        <v>56</v>
      </c>
      <c r="FH58" s="256">
        <v>0.6</v>
      </c>
      <c r="FI58" s="256">
        <v>0.35</v>
      </c>
      <c r="FJ58" s="256">
        <f t="shared" si="8"/>
        <v>31.76554737447475</v>
      </c>
      <c r="FK58" s="256">
        <f t="shared" si="9"/>
        <v>69.679265208525266</v>
      </c>
      <c r="FL58" s="256">
        <f t="shared" si="10"/>
        <v>40.987803063838385</v>
      </c>
      <c r="FM58" s="256">
        <f t="shared" si="11"/>
        <v>0.33220529851337466</v>
      </c>
      <c r="FN58" s="256">
        <f t="shared" si="6"/>
        <v>11.224972160321823</v>
      </c>
      <c r="FO58" s="256">
        <f t="shared" si="7"/>
        <v>30.284371366959171</v>
      </c>
    </row>
    <row r="59" spans="2:171" ht="48.75" customHeight="1">
      <c r="W59" s="88"/>
      <c r="X59" s="88"/>
      <c r="Y59" s="88"/>
      <c r="Z59" s="88"/>
      <c r="AA59" s="88"/>
      <c r="AB59" s="88"/>
      <c r="AE59" s="993"/>
      <c r="AF59" s="994"/>
      <c r="AG59" s="994"/>
      <c r="AH59" s="994"/>
      <c r="AI59" s="994"/>
      <c r="AJ59" s="994"/>
      <c r="AK59" s="994"/>
      <c r="AL59" s="994"/>
      <c r="AM59" s="994"/>
      <c r="AN59" s="972"/>
      <c r="AP59" s="85"/>
      <c r="AQ59" s="86"/>
      <c r="AR59" s="86"/>
      <c r="AS59" s="86"/>
      <c r="AT59" s="86"/>
      <c r="AU59" s="86"/>
      <c r="AV59" s="87"/>
      <c r="AX59" s="596" t="s">
        <v>1034</v>
      </c>
      <c r="AY59" s="597">
        <f>'Вывод расчетов'!$AX$25</f>
        <v>0.313</v>
      </c>
      <c r="AZ59" s="596" t="s">
        <v>402</v>
      </c>
      <c r="BA59" s="599">
        <f>'Вывод расчетов'!$AP$20</f>
        <v>4</v>
      </c>
      <c r="BB59" s="861" t="s">
        <v>885</v>
      </c>
      <c r="BC59" s="861"/>
      <c r="BD59" s="861"/>
      <c r="BE59" s="630" t="str">
        <f>'Вывод расчетов'!$M$67</f>
        <v>IP44</v>
      </c>
      <c r="BF59" s="84"/>
      <c r="BG59" s="278"/>
      <c r="BH59" s="604" t="s">
        <v>1034</v>
      </c>
      <c r="BI59" s="605">
        <f>'Вывод расчетов'!$AX$25</f>
        <v>0.313</v>
      </c>
      <c r="BJ59" s="604" t="s">
        <v>402</v>
      </c>
      <c r="BK59" s="606">
        <f>'Вывод расчетов'!$AP$20</f>
        <v>4</v>
      </c>
      <c r="BL59" s="861" t="s">
        <v>885</v>
      </c>
      <c r="BM59" s="861"/>
      <c r="BN59" s="861"/>
      <c r="BO59" s="630" t="str">
        <f>'Вывод расчетов'!$M$67</f>
        <v>IP44</v>
      </c>
      <c r="BP59" s="84"/>
      <c r="BZ59" s="657"/>
      <c r="CA59" s="657"/>
      <c r="CB59" s="657"/>
      <c r="CC59" s="657"/>
      <c r="CD59" s="657"/>
      <c r="CE59" s="657"/>
      <c r="CF59" s="657"/>
      <c r="CG59" s="657"/>
      <c r="CH59" s="657"/>
      <c r="CI59" s="657"/>
      <c r="CJ59" s="657"/>
      <c r="CK59" s="657"/>
      <c r="CL59" s="657"/>
      <c r="CM59" s="278"/>
      <c r="CN59" s="342"/>
      <c r="CO59" s="335">
        <v>0.191</v>
      </c>
      <c r="CP59" s="334">
        <v>23000</v>
      </c>
      <c r="CQ59" s="334">
        <v>25000</v>
      </c>
      <c r="CR59" s="981"/>
      <c r="CS59" s="335">
        <v>0.191</v>
      </c>
      <c r="CT59" s="334"/>
      <c r="CU59" s="334"/>
      <c r="CV59" s="981"/>
      <c r="CW59" s="335">
        <v>0.191</v>
      </c>
      <c r="CX59" s="334"/>
      <c r="CY59" s="334"/>
      <c r="CZ59" s="981"/>
      <c r="DA59" s="335">
        <v>0.191</v>
      </c>
      <c r="DB59" s="334"/>
      <c r="DC59" s="334"/>
      <c r="DD59" s="981"/>
      <c r="DE59" s="335">
        <v>0.191</v>
      </c>
      <c r="DF59" s="334"/>
      <c r="DG59" s="334"/>
      <c r="DH59" s="981"/>
      <c r="DI59" s="335">
        <v>0.191</v>
      </c>
      <c r="DJ59" s="334"/>
      <c r="DK59" s="334"/>
      <c r="EJ59" s="278"/>
      <c r="EK59" s="278"/>
      <c r="EL59" s="278"/>
      <c r="EM59" s="278"/>
      <c r="EN59" s="278"/>
      <c r="EO59" s="278"/>
      <c r="EU59" s="278"/>
      <c r="EV59" s="278"/>
      <c r="EW59" s="278"/>
      <c r="EX59" s="278"/>
      <c r="EY59" s="278"/>
      <c r="EZ59" s="278"/>
      <c r="FG59" s="256">
        <v>58</v>
      </c>
      <c r="FH59" s="256">
        <v>0.4</v>
      </c>
      <c r="FI59" s="256">
        <v>0.36</v>
      </c>
      <c r="FJ59" s="256">
        <f t="shared" si="8"/>
        <v>32.21614502078112</v>
      </c>
      <c r="FK59" s="256">
        <f t="shared" si="9"/>
        <v>70.667672948810207</v>
      </c>
      <c r="FL59" s="256">
        <f t="shared" si="10"/>
        <v>41.569219381653056</v>
      </c>
      <c r="FM59" s="256">
        <f t="shared" si="11"/>
        <v>0.33717089216940982</v>
      </c>
      <c r="FN59" s="256">
        <f t="shared" si="6"/>
        <v>11.384199576606166</v>
      </c>
      <c r="FO59" s="256">
        <f t="shared" si="7"/>
        <v>30.571319531816371</v>
      </c>
    </row>
    <row r="60" spans="2:171" ht="48.75" customHeight="1">
      <c r="B60" s="756" t="s">
        <v>508</v>
      </c>
      <c r="C60" s="756"/>
      <c r="D60" s="756"/>
      <c r="E60" s="756"/>
      <c r="F60" s="756"/>
      <c r="G60" s="756"/>
      <c r="H60" s="756"/>
      <c r="I60" s="756"/>
      <c r="J60" s="756"/>
      <c r="K60" s="756"/>
      <c r="L60" s="756"/>
      <c r="M60" s="756"/>
      <c r="N60" s="756"/>
      <c r="O60" s="756"/>
      <c r="P60" s="756"/>
      <c r="Q60" s="756"/>
      <c r="R60" s="756"/>
      <c r="S60" s="756"/>
      <c r="T60" s="756"/>
      <c r="U60" s="259"/>
      <c r="W60" s="88"/>
      <c r="X60" s="88"/>
      <c r="Y60" s="88"/>
      <c r="Z60" s="88"/>
      <c r="AA60" s="88"/>
      <c r="AB60" s="88"/>
      <c r="AE60" s="603" t="s">
        <v>402</v>
      </c>
      <c r="AF60" s="601">
        <f>'Вывод расчетов'!$AP$20</f>
        <v>4</v>
      </c>
      <c r="AG60" s="603" t="s">
        <v>1586</v>
      </c>
      <c r="AH60" s="883">
        <f>'Вывод расчетов'!$AP$5</f>
        <v>30000</v>
      </c>
      <c r="AI60" s="884"/>
      <c r="AJ60" s="619" t="s">
        <v>3</v>
      </c>
      <c r="AK60" s="83"/>
      <c r="AL60" s="83"/>
      <c r="AM60" s="83"/>
      <c r="AN60" s="84"/>
      <c r="AS60" s="12"/>
      <c r="AT60" s="12"/>
      <c r="AU60" s="12"/>
      <c r="AV60" s="12"/>
      <c r="AX60" s="176"/>
      <c r="AY60" s="177"/>
      <c r="AZ60" s="177"/>
      <c r="BA60" s="177"/>
      <c r="BB60" s="177"/>
      <c r="BC60" s="177"/>
      <c r="BD60" s="177"/>
      <c r="BE60" s="177"/>
      <c r="BF60" s="178"/>
      <c r="BG60" s="278"/>
      <c r="BH60" s="176"/>
      <c r="BI60" s="177"/>
      <c r="BJ60" s="177"/>
      <c r="BK60" s="177"/>
      <c r="BL60" s="177"/>
      <c r="BM60" s="177"/>
      <c r="BN60" s="177"/>
      <c r="BO60" s="177"/>
      <c r="BP60" s="178"/>
      <c r="BZ60" s="657"/>
      <c r="CA60" s="657"/>
      <c r="CB60" s="657"/>
      <c r="CC60" s="657"/>
      <c r="CD60" s="657"/>
      <c r="CE60" s="657"/>
      <c r="CF60" s="657"/>
      <c r="CG60" s="657"/>
      <c r="CH60" s="657"/>
      <c r="CI60" s="657"/>
      <c r="CJ60" s="657"/>
      <c r="CK60" s="657"/>
      <c r="CL60" s="657"/>
      <c r="CM60" s="278"/>
      <c r="CN60" s="342"/>
      <c r="CO60" s="335">
        <v>0.22500000000000001</v>
      </c>
      <c r="CP60" s="334">
        <v>24250</v>
      </c>
      <c r="CQ60" s="334">
        <v>26250</v>
      </c>
      <c r="CR60" s="981"/>
      <c r="CS60" s="335">
        <v>0.22500000000000001</v>
      </c>
      <c r="CT60" s="334"/>
      <c r="CU60" s="334"/>
      <c r="CV60" s="981"/>
      <c r="CW60" s="335">
        <v>0.22500000000000001</v>
      </c>
      <c r="CX60" s="334"/>
      <c r="CY60" s="334"/>
      <c r="CZ60" s="981"/>
      <c r="DA60" s="335">
        <v>0.22500000000000001</v>
      </c>
      <c r="DB60" s="334"/>
      <c r="DC60" s="334"/>
      <c r="DD60" s="981"/>
      <c r="DE60" s="335">
        <v>0.22500000000000001</v>
      </c>
      <c r="DF60" s="334"/>
      <c r="DG60" s="334"/>
      <c r="DH60" s="981"/>
      <c r="DI60" s="335">
        <v>0.22500000000000001</v>
      </c>
      <c r="DJ60" s="334"/>
      <c r="DK60" s="334"/>
      <c r="EJ60" s="278"/>
      <c r="EK60" s="278"/>
      <c r="EL60" s="278"/>
      <c r="EM60" s="278"/>
      <c r="EN60" s="278"/>
      <c r="EO60" s="278"/>
      <c r="EU60" s="278"/>
      <c r="EV60" s="278"/>
      <c r="EW60" s="278"/>
      <c r="EX60" s="278"/>
      <c r="EY60" s="278"/>
      <c r="EZ60" s="278"/>
      <c r="FG60" s="256">
        <v>60</v>
      </c>
      <c r="FH60" s="256">
        <v>0.19999999999998999</v>
      </c>
      <c r="FI60" s="256">
        <v>0.37</v>
      </c>
      <c r="FJ60" s="256">
        <f t="shared" si="8"/>
        <v>32.660526633843489</v>
      </c>
      <c r="FK60" s="256">
        <f t="shared" si="9"/>
        <v>71.64244551939862</v>
      </c>
      <c r="FL60" s="256">
        <f t="shared" si="10"/>
        <v>42.142615011410953</v>
      </c>
      <c r="FM60" s="256">
        <f t="shared" si="11"/>
        <v>0.34206512100555803</v>
      </c>
      <c r="FN60" s="256">
        <f t="shared" si="6"/>
        <v>11.541230437002806</v>
      </c>
      <c r="FO60" s="256">
        <f t="shared" si="7"/>
        <v>30.854158787071718</v>
      </c>
    </row>
    <row r="61" spans="2:171" ht="48.75" customHeight="1">
      <c r="B61" s="1921" t="s">
        <v>452</v>
      </c>
      <c r="C61" s="1921" t="s">
        <v>453</v>
      </c>
      <c r="D61" s="1921" t="s">
        <v>818</v>
      </c>
      <c r="E61" s="1933"/>
      <c r="F61" s="1921" t="s">
        <v>452</v>
      </c>
      <c r="G61" s="1921" t="s">
        <v>453</v>
      </c>
      <c r="H61" s="1921" t="s">
        <v>818</v>
      </c>
      <c r="I61" s="1933"/>
      <c r="J61" s="1921" t="s">
        <v>452</v>
      </c>
      <c r="K61" s="1921" t="s">
        <v>453</v>
      </c>
      <c r="L61" s="1921" t="s">
        <v>818</v>
      </c>
      <c r="M61" s="1933"/>
      <c r="N61" s="1921" t="s">
        <v>452</v>
      </c>
      <c r="O61" s="1921" t="s">
        <v>453</v>
      </c>
      <c r="P61" s="1921" t="s">
        <v>818</v>
      </c>
      <c r="Q61" s="1933"/>
      <c r="R61" s="1957" t="s">
        <v>509</v>
      </c>
      <c r="S61" s="1958"/>
      <c r="T61" s="1958"/>
      <c r="U61" s="1985"/>
      <c r="AE61" s="176"/>
      <c r="AF61" s="177"/>
      <c r="AG61" s="177"/>
      <c r="AH61" s="177"/>
      <c r="AI61" s="177"/>
      <c r="AJ61" s="177"/>
      <c r="AK61" s="177"/>
      <c r="AL61" s="177"/>
      <c r="AM61" s="177"/>
      <c r="AN61" s="178"/>
      <c r="AX61" s="176"/>
      <c r="AY61" s="177"/>
      <c r="AZ61" s="177"/>
      <c r="BA61" s="177"/>
      <c r="BB61" s="177"/>
      <c r="BC61" s="177"/>
      <c r="BD61" s="177"/>
      <c r="BE61" s="177"/>
      <c r="BF61" s="178"/>
      <c r="BH61" s="176"/>
      <c r="BI61" s="177"/>
      <c r="BJ61" s="177"/>
      <c r="BK61" s="177"/>
      <c r="BL61" s="177"/>
      <c r="BM61" s="177"/>
      <c r="BN61" s="177"/>
      <c r="BO61" s="177"/>
      <c r="BP61" s="178"/>
      <c r="BZ61" s="657"/>
      <c r="CA61" s="657"/>
      <c r="CB61" s="657"/>
      <c r="CC61" s="657"/>
      <c r="CD61" s="657"/>
      <c r="CE61" s="657"/>
      <c r="CF61" s="657"/>
      <c r="CG61" s="657"/>
      <c r="CH61" s="657"/>
      <c r="CI61" s="657"/>
      <c r="CJ61" s="657"/>
      <c r="CK61" s="657"/>
      <c r="CL61" s="657"/>
      <c r="CM61" s="278"/>
      <c r="CN61" s="342"/>
      <c r="CO61" s="335">
        <v>0.27200000000000002</v>
      </c>
      <c r="CP61" s="334">
        <v>34750</v>
      </c>
      <c r="CQ61" s="334">
        <v>36750</v>
      </c>
      <c r="CR61" s="981"/>
      <c r="CS61" s="335">
        <v>0.27200000000000002</v>
      </c>
      <c r="CT61" s="334"/>
      <c r="CU61" s="334"/>
      <c r="CV61" s="981"/>
      <c r="CW61" s="335">
        <v>0.27200000000000002</v>
      </c>
      <c r="CX61" s="334"/>
      <c r="CY61" s="334"/>
      <c r="CZ61" s="981"/>
      <c r="DA61" s="335">
        <v>0.27200000000000002</v>
      </c>
      <c r="DB61" s="334"/>
      <c r="DC61" s="334"/>
      <c r="DD61" s="981"/>
      <c r="DE61" s="335">
        <v>0.27200000000000002</v>
      </c>
      <c r="DF61" s="334"/>
      <c r="DG61" s="334"/>
      <c r="DH61" s="981"/>
      <c r="DI61" s="335">
        <v>0.27200000000000002</v>
      </c>
      <c r="DJ61" s="334"/>
      <c r="DK61" s="334"/>
      <c r="EJ61" s="278"/>
      <c r="EK61" s="278"/>
      <c r="EL61" s="278"/>
      <c r="EM61" s="278"/>
      <c r="EN61" s="278"/>
      <c r="EO61" s="278"/>
      <c r="EU61" s="278"/>
      <c r="EV61" s="278"/>
      <c r="EW61" s="278"/>
      <c r="EX61" s="278"/>
      <c r="EY61" s="278"/>
      <c r="EZ61" s="278"/>
      <c r="FG61" s="256">
        <v>62</v>
      </c>
      <c r="FH61" s="256">
        <v>0</v>
      </c>
      <c r="FI61" s="256">
        <v>0.38</v>
      </c>
      <c r="FJ61" s="256">
        <f t="shared" si="8"/>
        <v>33.098942581297067</v>
      </c>
      <c r="FK61" s="256">
        <f t="shared" si="9"/>
        <v>72.604132113812909</v>
      </c>
      <c r="FL61" s="256">
        <f t="shared" si="10"/>
        <v>42.708313008125245</v>
      </c>
      <c r="FM61" s="256">
        <f t="shared" si="11"/>
        <v>0.34689095308660517</v>
      </c>
      <c r="FN61" s="256">
        <f t="shared" si="6"/>
        <v>11.696153213770756</v>
      </c>
      <c r="FO61" s="256">
        <f t="shared" si="7"/>
        <v>31.133075784787366</v>
      </c>
    </row>
    <row r="62" spans="2:171" ht="48.75" customHeight="1">
      <c r="B62" s="1287"/>
      <c r="C62" s="1287"/>
      <c r="D62" s="1287"/>
      <c r="E62" s="1452"/>
      <c r="F62" s="1287"/>
      <c r="G62" s="1287"/>
      <c r="H62" s="1287"/>
      <c r="I62" s="1452"/>
      <c r="J62" s="1287"/>
      <c r="K62" s="1287"/>
      <c r="L62" s="1287"/>
      <c r="M62" s="1452"/>
      <c r="N62" s="1287"/>
      <c r="O62" s="1287"/>
      <c r="P62" s="1287"/>
      <c r="Q62" s="1452"/>
      <c r="R62" s="1959"/>
      <c r="S62" s="1960"/>
      <c r="T62" s="1960"/>
      <c r="U62" s="1986"/>
      <c r="AE62" s="176"/>
      <c r="AF62" s="177"/>
      <c r="AG62" s="177"/>
      <c r="AH62" s="177"/>
      <c r="AI62" s="177"/>
      <c r="AJ62" s="177"/>
      <c r="AK62" s="177"/>
      <c r="AL62" s="177"/>
      <c r="AM62" s="177"/>
      <c r="AN62" s="178"/>
      <c r="AX62" s="176"/>
      <c r="AY62" s="177"/>
      <c r="AZ62" s="177"/>
      <c r="BA62" s="177"/>
      <c r="BB62" s="177"/>
      <c r="BC62" s="177"/>
      <c r="BD62" s="177"/>
      <c r="BE62" s="177"/>
      <c r="BF62" s="178"/>
      <c r="BH62" s="176"/>
      <c r="BI62" s="177"/>
      <c r="BJ62" s="177"/>
      <c r="BK62" s="177"/>
      <c r="BL62" s="177"/>
      <c r="BM62" s="177"/>
      <c r="BN62" s="177"/>
      <c r="BO62" s="177"/>
      <c r="BP62" s="178"/>
      <c r="BZ62" s="657"/>
      <c r="CA62" s="657"/>
      <c r="CB62" s="657"/>
      <c r="CC62" s="657"/>
      <c r="CD62" s="657"/>
      <c r="CE62" s="657"/>
      <c r="CF62" s="657"/>
      <c r="CG62" s="657"/>
      <c r="CH62" s="657"/>
      <c r="CI62" s="657"/>
      <c r="CJ62" s="657"/>
      <c r="CK62" s="657"/>
      <c r="CL62" s="657"/>
      <c r="CM62" s="278"/>
      <c r="CN62" s="342"/>
      <c r="CO62" s="335">
        <v>0.313</v>
      </c>
      <c r="CP62" s="334">
        <v>36250</v>
      </c>
      <c r="CQ62" s="334">
        <v>38250</v>
      </c>
      <c r="CR62" s="981"/>
      <c r="CS62" s="335">
        <v>0.313</v>
      </c>
      <c r="CT62" s="334"/>
      <c r="CU62" s="334"/>
      <c r="CV62" s="981"/>
      <c r="CW62" s="335">
        <v>0.313</v>
      </c>
      <c r="CX62" s="334"/>
      <c r="CY62" s="334"/>
      <c r="CZ62" s="981"/>
      <c r="DA62" s="335">
        <v>0.313</v>
      </c>
      <c r="DB62" s="334"/>
      <c r="DC62" s="334"/>
      <c r="DD62" s="981"/>
      <c r="DE62" s="335">
        <v>0.313</v>
      </c>
      <c r="DF62" s="334"/>
      <c r="DG62" s="334"/>
      <c r="DH62" s="981"/>
      <c r="DI62" s="335">
        <v>0.313</v>
      </c>
      <c r="DJ62" s="334"/>
      <c r="DK62" s="334"/>
      <c r="EJ62" s="278"/>
      <c r="EK62" s="278"/>
      <c r="EL62" s="278"/>
      <c r="EM62" s="278"/>
      <c r="EN62" s="278"/>
      <c r="EO62" s="278"/>
      <c r="EU62" s="278"/>
      <c r="EV62" s="278"/>
      <c r="EW62" s="278"/>
      <c r="EX62" s="278"/>
      <c r="EY62" s="278"/>
      <c r="EZ62" s="278"/>
      <c r="FG62" s="256">
        <v>64</v>
      </c>
      <c r="FH62" s="256">
        <v>-0.20000000000001</v>
      </c>
      <c r="FI62" s="256">
        <v>0.39</v>
      </c>
      <c r="FJ62" s="256">
        <f t="shared" si="8"/>
        <v>33.531626861815099</v>
      </c>
      <c r="FK62" s="256">
        <f t="shared" si="9"/>
        <v>73.553246019465377</v>
      </c>
      <c r="FL62" s="256">
        <f t="shared" si="10"/>
        <v>43.266615305567868</v>
      </c>
      <c r="FM62" s="256">
        <f t="shared" si="11"/>
        <v>0.35165115752029863</v>
      </c>
      <c r="FN62" s="256">
        <f t="shared" si="6"/>
        <v>11.8490505948789</v>
      </c>
      <c r="FO62" s="256">
        <f t="shared" si="7"/>
        <v>31.408241852392507</v>
      </c>
    </row>
    <row r="63" spans="2:171" ht="48.75" customHeight="1">
      <c r="B63" s="1287"/>
      <c r="C63" s="1287"/>
      <c r="D63" s="1287"/>
      <c r="E63" s="1452"/>
      <c r="F63" s="1287"/>
      <c r="G63" s="1287"/>
      <c r="H63" s="1287"/>
      <c r="I63" s="1452"/>
      <c r="J63" s="1287"/>
      <c r="K63" s="1287"/>
      <c r="L63" s="1287"/>
      <c r="M63" s="1452"/>
      <c r="N63" s="1287"/>
      <c r="O63" s="1287"/>
      <c r="P63" s="1287"/>
      <c r="Q63" s="1452"/>
      <c r="R63" s="1959"/>
      <c r="S63" s="1960"/>
      <c r="T63" s="1960"/>
      <c r="U63" s="1986"/>
      <c r="AE63" s="176"/>
      <c r="AF63" s="177"/>
      <c r="AG63" s="177"/>
      <c r="AH63" s="177"/>
      <c r="AI63" s="177"/>
      <c r="AJ63" s="177"/>
      <c r="AK63" s="177"/>
      <c r="AL63" s="177"/>
      <c r="AM63" s="177"/>
      <c r="AN63" s="178"/>
      <c r="AO63" s="88"/>
      <c r="AP63" s="88"/>
      <c r="AQ63" s="88"/>
      <c r="AX63" s="176"/>
      <c r="AY63" s="177"/>
      <c r="AZ63" s="177"/>
      <c r="BA63" s="177"/>
      <c r="BB63" s="177"/>
      <c r="BC63" s="177"/>
      <c r="BD63" s="177"/>
      <c r="BE63" s="177"/>
      <c r="BF63" s="178"/>
      <c r="BH63" s="176"/>
      <c r="BI63" s="177"/>
      <c r="BJ63" s="177"/>
      <c r="BK63" s="177"/>
      <c r="BL63" s="177"/>
      <c r="BM63" s="177"/>
      <c r="BN63" s="177"/>
      <c r="BO63" s="177"/>
      <c r="BP63" s="178"/>
      <c r="BZ63" s="657"/>
      <c r="CA63" s="657"/>
      <c r="CB63" s="657"/>
      <c r="CC63" s="657"/>
      <c r="CD63" s="657"/>
      <c r="CE63" s="657"/>
      <c r="CF63" s="657"/>
      <c r="CG63" s="657"/>
      <c r="CH63" s="657"/>
      <c r="CI63" s="657"/>
      <c r="CJ63" s="657"/>
      <c r="CK63" s="657"/>
      <c r="CL63" s="657"/>
      <c r="CM63" s="278"/>
      <c r="CN63" s="342"/>
      <c r="CO63" s="335">
        <v>0.34899999999999998</v>
      </c>
      <c r="CP63" s="334">
        <v>38250</v>
      </c>
      <c r="CQ63" s="334">
        <v>40000</v>
      </c>
      <c r="CR63" s="981"/>
      <c r="CS63" s="335">
        <v>0.34899999999999998</v>
      </c>
      <c r="CT63" s="334"/>
      <c r="CU63" s="334"/>
      <c r="CV63" s="981"/>
      <c r="CW63" s="335">
        <v>0.34899999999999998</v>
      </c>
      <c r="CX63" s="334"/>
      <c r="CY63" s="334"/>
      <c r="CZ63" s="981"/>
      <c r="DA63" s="335">
        <v>0.34899999999999998</v>
      </c>
      <c r="DB63" s="334"/>
      <c r="DC63" s="334"/>
      <c r="DD63" s="981"/>
      <c r="DE63" s="335">
        <v>0.34899999999999998</v>
      </c>
      <c r="DF63" s="334"/>
      <c r="DG63" s="334"/>
      <c r="DH63" s="981"/>
      <c r="DI63" s="335">
        <v>0.34899999999999998</v>
      </c>
      <c r="DJ63" s="334"/>
      <c r="DK63" s="334"/>
      <c r="EJ63" s="278"/>
      <c r="EK63" s="278"/>
      <c r="EL63" s="278"/>
      <c r="EM63" s="278"/>
      <c r="EN63" s="278"/>
      <c r="EO63" s="278"/>
      <c r="EU63" s="278"/>
      <c r="EV63" s="278"/>
      <c r="EW63" s="278"/>
      <c r="EX63" s="278"/>
      <c r="EY63" s="278"/>
      <c r="EZ63" s="278"/>
      <c r="FG63" s="256">
        <v>66</v>
      </c>
      <c r="FH63" s="256">
        <v>-0.40000000000001001</v>
      </c>
      <c r="FI63" s="256">
        <v>0.4</v>
      </c>
      <c r="FJ63" s="256">
        <f t="shared" si="8"/>
        <v>33.958798565320301</v>
      </c>
      <c r="FK63" s="256">
        <f t="shared" si="9"/>
        <v>74.490267820702599</v>
      </c>
      <c r="FL63" s="256">
        <f t="shared" si="10"/>
        <v>43.817804600413297</v>
      </c>
      <c r="FM63" s="256">
        <f t="shared" si="11"/>
        <v>0.35634832254989918</v>
      </c>
      <c r="FN63" s="256">
        <f t="shared" si="6"/>
        <v>12</v>
      </c>
      <c r="FO63" s="256">
        <f t="shared" si="7"/>
        <v>31.679814881132735</v>
      </c>
    </row>
    <row r="64" spans="2:171" ht="48.75" customHeight="1">
      <c r="B64" s="257">
        <v>0.08</v>
      </c>
      <c r="C64" s="257">
        <v>0.1</v>
      </c>
      <c r="D64" s="257">
        <v>5.0200000000000002E-3</v>
      </c>
      <c r="E64" s="970"/>
      <c r="F64" s="257">
        <v>0.28000000000000003</v>
      </c>
      <c r="G64" s="257">
        <v>0.315</v>
      </c>
      <c r="H64" s="257">
        <v>6.1600000000000002E-2</v>
      </c>
      <c r="I64" s="970"/>
      <c r="J64" s="257">
        <v>0.8</v>
      </c>
      <c r="K64" s="257">
        <v>0.86499999999999999</v>
      </c>
      <c r="L64" s="257">
        <v>0.503</v>
      </c>
      <c r="M64" s="970"/>
      <c r="N64" s="257">
        <v>2.2400000000000002</v>
      </c>
      <c r="O64" s="257">
        <v>2.34</v>
      </c>
      <c r="P64" s="257">
        <v>3.94</v>
      </c>
      <c r="Q64" s="970"/>
      <c r="R64" s="1959"/>
      <c r="S64" s="1960"/>
      <c r="T64" s="1960"/>
      <c r="U64" s="1986"/>
      <c r="AE64" s="176"/>
      <c r="AF64" s="177"/>
      <c r="AG64" s="177"/>
      <c r="AH64" s="177"/>
      <c r="AI64" s="177"/>
      <c r="AJ64" s="177"/>
      <c r="AK64" s="177"/>
      <c r="AL64" s="177"/>
      <c r="AM64" s="177"/>
      <c r="AN64" s="178"/>
      <c r="AO64" s="88"/>
      <c r="AP64" s="88"/>
      <c r="AQ64" s="88"/>
      <c r="AX64" s="176"/>
      <c r="AY64" s="177"/>
      <c r="AZ64" s="177"/>
      <c r="BA64" s="177"/>
      <c r="BB64" s="177"/>
      <c r="BC64" s="177"/>
      <c r="BD64" s="177"/>
      <c r="BE64" s="177"/>
      <c r="BF64" s="178"/>
      <c r="BH64" s="176"/>
      <c r="BI64" s="177"/>
      <c r="BJ64" s="177"/>
      <c r="BK64" s="177"/>
      <c r="BL64" s="177"/>
      <c r="BM64" s="177"/>
      <c r="BN64" s="177"/>
      <c r="BO64" s="177"/>
      <c r="BP64" s="178"/>
      <c r="BZ64" s="657"/>
      <c r="CA64" s="657"/>
      <c r="CB64" s="657"/>
      <c r="CC64" s="657"/>
      <c r="CD64" s="657"/>
      <c r="CE64" s="657"/>
      <c r="CF64" s="657"/>
      <c r="CG64" s="657"/>
      <c r="CH64" s="657"/>
      <c r="CI64" s="657"/>
      <c r="CJ64" s="657"/>
      <c r="CK64" s="657"/>
      <c r="CL64" s="657"/>
      <c r="CM64" s="278"/>
      <c r="CN64" s="342"/>
      <c r="CO64" s="335">
        <v>0.39200000000000002</v>
      </c>
      <c r="CP64" s="334">
        <v>39500</v>
      </c>
      <c r="CQ64" s="334">
        <v>41500</v>
      </c>
      <c r="CR64" s="981"/>
      <c r="CS64" s="335">
        <v>0.39200000000000002</v>
      </c>
      <c r="CT64" s="334"/>
      <c r="CU64" s="334"/>
      <c r="CV64" s="981"/>
      <c r="CW64" s="335">
        <v>0.39200000000000002</v>
      </c>
      <c r="CX64" s="334"/>
      <c r="CY64" s="334"/>
      <c r="CZ64" s="981"/>
      <c r="DA64" s="335">
        <v>0.39200000000000002</v>
      </c>
      <c r="DB64" s="334"/>
      <c r="DC64" s="334"/>
      <c r="DD64" s="981"/>
      <c r="DE64" s="335">
        <v>0.39200000000000002</v>
      </c>
      <c r="DF64" s="334"/>
      <c r="DG64" s="334"/>
      <c r="DH64" s="981"/>
      <c r="DI64" s="335">
        <v>0.39200000000000002</v>
      </c>
      <c r="DJ64" s="334"/>
      <c r="DK64" s="334"/>
      <c r="EJ64" s="278"/>
      <c r="EK64" s="278"/>
      <c r="EL64" s="278"/>
      <c r="EM64" s="278"/>
      <c r="EN64" s="278"/>
      <c r="EO64" s="278"/>
      <c r="EU64" s="278"/>
      <c r="EV64" s="278"/>
      <c r="EW64" s="278"/>
      <c r="EX64" s="278"/>
      <c r="EY64" s="278"/>
      <c r="EZ64" s="278"/>
    </row>
    <row r="65" spans="2:156" ht="48.75" customHeight="1">
      <c r="B65" s="257">
        <v>0.09</v>
      </c>
      <c r="C65" s="257">
        <v>0.11</v>
      </c>
      <c r="D65" s="257">
        <v>6.3600000000000002E-3</v>
      </c>
      <c r="E65" s="971"/>
      <c r="F65" s="257">
        <v>0.3</v>
      </c>
      <c r="G65" s="257">
        <v>0.33500000000000002</v>
      </c>
      <c r="H65" s="257">
        <v>7.0699999999999999E-2</v>
      </c>
      <c r="I65" s="971"/>
      <c r="J65" s="257">
        <v>0.85</v>
      </c>
      <c r="K65" s="257">
        <v>0.91500000000000004</v>
      </c>
      <c r="L65" s="257">
        <v>0.56699999999999995</v>
      </c>
      <c r="M65" s="971"/>
      <c r="N65" s="257">
        <v>2.36</v>
      </c>
      <c r="O65" s="257">
        <v>2.46</v>
      </c>
      <c r="P65" s="257">
        <v>4.3600000000000003</v>
      </c>
      <c r="Q65" s="971"/>
      <c r="R65" s="1959"/>
      <c r="S65" s="1960"/>
      <c r="T65" s="1960"/>
      <c r="U65" s="1986"/>
      <c r="AE65" s="176"/>
      <c r="AF65" s="177"/>
      <c r="AG65" s="177"/>
      <c r="AH65" s="177"/>
      <c r="AI65" s="177"/>
      <c r="AJ65" s="177"/>
      <c r="AK65" s="177"/>
      <c r="AL65" s="177"/>
      <c r="AM65" s="177"/>
      <c r="AN65" s="178"/>
      <c r="AO65" s="88"/>
      <c r="AP65" s="88"/>
      <c r="AQ65" s="88"/>
      <c r="AX65" s="176"/>
      <c r="AY65" s="177"/>
      <c r="AZ65" s="177"/>
      <c r="BA65" s="177"/>
      <c r="BB65" s="177"/>
      <c r="BC65" s="177"/>
      <c r="BD65" s="177"/>
      <c r="BE65" s="177"/>
      <c r="BF65" s="178"/>
      <c r="BH65" s="176"/>
      <c r="BI65" s="177"/>
      <c r="BJ65" s="177"/>
      <c r="BK65" s="177"/>
      <c r="BL65" s="177"/>
      <c r="BM65" s="177"/>
      <c r="BN65" s="177"/>
      <c r="BO65" s="177"/>
      <c r="BP65" s="178"/>
      <c r="BZ65" s="657"/>
      <c r="CA65" s="657"/>
      <c r="CB65" s="657"/>
      <c r="CC65" s="657"/>
      <c r="CD65" s="657"/>
      <c r="CE65" s="657"/>
      <c r="CF65" s="657"/>
      <c r="CG65" s="657"/>
      <c r="CH65" s="657"/>
      <c r="CI65" s="657"/>
      <c r="CJ65" s="657"/>
      <c r="CK65" s="657"/>
      <c r="CL65" s="657"/>
      <c r="CM65" s="278"/>
      <c r="CN65" s="342"/>
      <c r="CO65" s="335">
        <v>0.437</v>
      </c>
      <c r="CP65" s="334">
        <v>40750</v>
      </c>
      <c r="CQ65" s="334">
        <v>42750</v>
      </c>
      <c r="CR65" s="981"/>
      <c r="CS65" s="335">
        <v>0.437</v>
      </c>
      <c r="CT65" s="334"/>
      <c r="CU65" s="334"/>
      <c r="CV65" s="981"/>
      <c r="CW65" s="335">
        <v>0.437</v>
      </c>
      <c r="CX65" s="334"/>
      <c r="CY65" s="334"/>
      <c r="CZ65" s="981"/>
      <c r="DA65" s="335">
        <v>0.437</v>
      </c>
      <c r="DB65" s="334"/>
      <c r="DC65" s="334"/>
      <c r="DD65" s="981"/>
      <c r="DE65" s="335">
        <v>0.437</v>
      </c>
      <c r="DF65" s="334"/>
      <c r="DG65" s="334"/>
      <c r="DH65" s="981"/>
      <c r="DI65" s="335">
        <v>0.437</v>
      </c>
      <c r="DJ65" s="334"/>
      <c r="DK65" s="334"/>
      <c r="EJ65" s="278"/>
      <c r="EK65" s="278"/>
      <c r="EL65" s="278"/>
      <c r="EM65" s="278"/>
      <c r="EN65" s="278"/>
      <c r="EO65" s="278"/>
      <c r="EU65" s="278"/>
      <c r="EV65" s="278"/>
      <c r="EW65" s="278"/>
      <c r="EX65" s="278"/>
      <c r="EY65" s="278"/>
      <c r="EZ65" s="278"/>
    </row>
    <row r="66" spans="2:156" ht="48.75" customHeight="1">
      <c r="B66" s="257">
        <v>0.1</v>
      </c>
      <c r="C66" s="257">
        <v>0.122</v>
      </c>
      <c r="D66" s="257">
        <v>7.8499999999999993E-3</v>
      </c>
      <c r="E66" s="971"/>
      <c r="F66" s="257">
        <v>0.315</v>
      </c>
      <c r="G66" s="257">
        <v>0.35</v>
      </c>
      <c r="H66" s="257">
        <v>7.7899999999999997E-2</v>
      </c>
      <c r="I66" s="971"/>
      <c r="J66" s="257">
        <v>0.9</v>
      </c>
      <c r="K66" s="257">
        <v>0.96499999999999997</v>
      </c>
      <c r="L66" s="257">
        <v>0.63600000000000001</v>
      </c>
      <c r="M66" s="971"/>
      <c r="N66" s="257">
        <v>2.5</v>
      </c>
      <c r="O66" s="257">
        <v>2.6</v>
      </c>
      <c r="P66" s="257">
        <v>4.91</v>
      </c>
      <c r="Q66" s="971"/>
      <c r="R66" s="82"/>
      <c r="S66" s="83"/>
      <c r="T66" s="83"/>
      <c r="U66" s="84"/>
      <c r="AE66" s="176"/>
      <c r="AF66" s="177"/>
      <c r="AG66" s="177"/>
      <c r="AH66" s="177"/>
      <c r="AI66" s="177"/>
      <c r="AJ66" s="177"/>
      <c r="AK66" s="177"/>
      <c r="AL66" s="177"/>
      <c r="AM66" s="177"/>
      <c r="AN66" s="178"/>
      <c r="AO66" s="88"/>
      <c r="AP66" s="88"/>
      <c r="AQ66" s="88"/>
      <c r="AX66" s="176"/>
      <c r="AY66" s="177"/>
      <c r="AZ66" s="177"/>
      <c r="BA66" s="177"/>
      <c r="BB66" s="177"/>
      <c r="BC66" s="177"/>
      <c r="BD66" s="177"/>
      <c r="BE66" s="177"/>
      <c r="BF66" s="178"/>
      <c r="BH66" s="176"/>
      <c r="BI66" s="177"/>
      <c r="BJ66" s="177"/>
      <c r="BK66" s="177"/>
      <c r="BL66" s="177"/>
      <c r="BM66" s="177"/>
      <c r="BN66" s="177"/>
      <c r="BO66" s="177"/>
      <c r="BP66" s="178"/>
      <c r="BZ66" s="657"/>
      <c r="CA66" s="657"/>
      <c r="CB66" s="657"/>
      <c r="CC66" s="657"/>
      <c r="CD66" s="657"/>
      <c r="CE66" s="657"/>
      <c r="CF66" s="657"/>
      <c r="CG66" s="657"/>
      <c r="CH66" s="657"/>
      <c r="CI66" s="657"/>
      <c r="CJ66" s="657"/>
      <c r="CK66" s="657"/>
      <c r="CL66" s="657"/>
      <c r="CM66" s="278"/>
      <c r="CN66" s="342"/>
      <c r="CO66" s="335">
        <v>0.53</v>
      </c>
      <c r="CP66" s="334">
        <v>48000</v>
      </c>
      <c r="CQ66" s="334">
        <v>49750</v>
      </c>
      <c r="CR66" s="981"/>
      <c r="CS66" s="335">
        <v>0.53</v>
      </c>
      <c r="CT66" s="334"/>
      <c r="CU66" s="334"/>
      <c r="CV66" s="981"/>
      <c r="CW66" s="335">
        <v>0.53</v>
      </c>
      <c r="CX66" s="334"/>
      <c r="CY66" s="334"/>
      <c r="CZ66" s="981"/>
      <c r="DA66" s="335">
        <v>0.53</v>
      </c>
      <c r="DB66" s="334"/>
      <c r="DC66" s="334"/>
      <c r="DD66" s="981"/>
      <c r="DE66" s="335">
        <v>0.53</v>
      </c>
      <c r="DF66" s="334"/>
      <c r="DG66" s="334"/>
      <c r="DH66" s="981"/>
      <c r="DI66" s="335">
        <v>0.53</v>
      </c>
      <c r="DJ66" s="334"/>
      <c r="DK66" s="334"/>
      <c r="EJ66" s="278"/>
      <c r="EK66" s="278"/>
      <c r="EL66" s="278"/>
      <c r="EM66" s="278"/>
      <c r="EN66" s="278"/>
      <c r="EO66" s="278"/>
      <c r="EU66" s="278"/>
      <c r="EV66" s="278"/>
      <c r="EW66" s="278"/>
      <c r="EX66" s="278"/>
      <c r="EY66" s="278"/>
      <c r="EZ66" s="278"/>
    </row>
    <row r="67" spans="2:156" ht="48.75" customHeight="1">
      <c r="B67" s="257">
        <v>0.112</v>
      </c>
      <c r="C67" s="257">
        <v>0.13400000000000001</v>
      </c>
      <c r="D67" s="257">
        <v>9.8499999999999994E-3</v>
      </c>
      <c r="E67" s="971"/>
      <c r="F67" s="257">
        <v>0.33500000000000002</v>
      </c>
      <c r="G67" s="257">
        <v>0.37</v>
      </c>
      <c r="H67" s="257">
        <v>8.8099999999999998E-2</v>
      </c>
      <c r="I67" s="971"/>
      <c r="J67" s="257">
        <v>0.95</v>
      </c>
      <c r="K67" s="257">
        <v>1.0149999999999999</v>
      </c>
      <c r="L67" s="257">
        <v>0.70899999999999996</v>
      </c>
      <c r="M67" s="971"/>
      <c r="N67" s="82"/>
      <c r="O67" s="83"/>
      <c r="P67" s="83"/>
      <c r="Q67" s="960"/>
      <c r="R67" s="176"/>
      <c r="S67" s="177"/>
      <c r="T67" s="177"/>
      <c r="U67" s="178"/>
      <c r="AE67" s="176"/>
      <c r="AF67" s="177"/>
      <c r="AG67" s="177"/>
      <c r="AH67" s="177"/>
      <c r="AI67" s="177"/>
      <c r="AJ67" s="177"/>
      <c r="AK67" s="177"/>
      <c r="AL67" s="177"/>
      <c r="AM67" s="177"/>
      <c r="AN67" s="178"/>
      <c r="AO67" s="88"/>
      <c r="AP67" s="88"/>
      <c r="AQ67" s="88"/>
      <c r="AX67" s="176"/>
      <c r="AY67" s="177"/>
      <c r="AZ67" s="177"/>
      <c r="BA67" s="177"/>
      <c r="BB67" s="177"/>
      <c r="BC67" s="177"/>
      <c r="BD67" s="177"/>
      <c r="BE67" s="177"/>
      <c r="BF67" s="178"/>
      <c r="BH67" s="176"/>
      <c r="BI67" s="177"/>
      <c r="BJ67" s="177"/>
      <c r="BK67" s="177"/>
      <c r="BL67" s="177"/>
      <c r="BM67" s="177"/>
      <c r="BN67" s="177"/>
      <c r="BO67" s="177"/>
      <c r="BP67" s="178"/>
      <c r="BZ67" s="657"/>
      <c r="CA67" s="657"/>
      <c r="CB67" s="657"/>
      <c r="CC67" s="657"/>
      <c r="CD67" s="657"/>
      <c r="CE67" s="657"/>
      <c r="CF67" s="657"/>
      <c r="CG67" s="657"/>
      <c r="CH67" s="657"/>
      <c r="CI67" s="657"/>
      <c r="CJ67" s="657"/>
      <c r="CK67" s="657"/>
      <c r="CL67" s="657"/>
      <c r="CM67" s="278"/>
      <c r="CN67" s="342"/>
      <c r="CO67" s="335">
        <v>0.59</v>
      </c>
      <c r="CP67" s="334">
        <v>49000</v>
      </c>
      <c r="CQ67" s="334">
        <v>50750</v>
      </c>
      <c r="CR67" s="981"/>
      <c r="CS67" s="335">
        <v>0.59</v>
      </c>
      <c r="CT67" s="334"/>
      <c r="CU67" s="334"/>
      <c r="CV67" s="981"/>
      <c r="CW67" s="335">
        <v>0.59</v>
      </c>
      <c r="CX67" s="334"/>
      <c r="CY67" s="334"/>
      <c r="CZ67" s="981"/>
      <c r="DA67" s="335">
        <v>0.59</v>
      </c>
      <c r="DB67" s="334"/>
      <c r="DC67" s="334"/>
      <c r="DD67" s="981"/>
      <c r="DE67" s="335">
        <v>0.59</v>
      </c>
      <c r="DF67" s="334"/>
      <c r="DG67" s="334"/>
      <c r="DH67" s="981"/>
      <c r="DI67" s="335">
        <v>0.59</v>
      </c>
      <c r="DJ67" s="334"/>
      <c r="DK67" s="334"/>
      <c r="EJ67" s="278"/>
      <c r="EK67" s="278"/>
      <c r="EL67" s="278"/>
      <c r="EM67" s="278"/>
      <c r="EN67" s="278"/>
      <c r="EO67" s="278"/>
      <c r="EU67" s="278"/>
      <c r="EV67" s="278"/>
      <c r="EW67" s="278"/>
      <c r="EX67" s="278"/>
      <c r="EY67" s="278"/>
      <c r="EZ67" s="278"/>
    </row>
    <row r="68" spans="2:156" ht="48.75" customHeight="1">
      <c r="B68" s="257">
        <v>0.125</v>
      </c>
      <c r="C68" s="257">
        <v>0.14699999999999999</v>
      </c>
      <c r="D68" s="257">
        <v>1.227E-2</v>
      </c>
      <c r="E68" s="971"/>
      <c r="F68" s="257">
        <v>0.35499999999999998</v>
      </c>
      <c r="G68" s="257">
        <v>0.39500000000000002</v>
      </c>
      <c r="H68" s="257">
        <v>9.9000000000000005E-2</v>
      </c>
      <c r="I68" s="971"/>
      <c r="J68" s="257">
        <v>1</v>
      </c>
      <c r="K68" s="257">
        <v>1.08</v>
      </c>
      <c r="L68" s="257">
        <v>0.78500000000000003</v>
      </c>
      <c r="M68" s="971"/>
      <c r="N68" s="176"/>
      <c r="O68" s="177"/>
      <c r="P68" s="177"/>
      <c r="Q68" s="960"/>
      <c r="R68" s="176"/>
      <c r="S68" s="177"/>
      <c r="T68" s="177"/>
      <c r="U68" s="178"/>
      <c r="AE68" s="176"/>
      <c r="AF68" s="177"/>
      <c r="AG68" s="177"/>
      <c r="AH68" s="177"/>
      <c r="AI68" s="177"/>
      <c r="AJ68" s="177"/>
      <c r="AK68" s="177"/>
      <c r="AL68" s="177"/>
      <c r="AM68" s="177"/>
      <c r="AN68" s="178"/>
      <c r="AO68" s="88"/>
      <c r="AP68" s="88"/>
      <c r="AQ68" s="88"/>
      <c r="AX68" s="176"/>
      <c r="AY68" s="177"/>
      <c r="AZ68" s="177"/>
      <c r="BA68" s="177"/>
      <c r="BB68" s="177"/>
      <c r="BC68" s="177"/>
      <c r="BD68" s="177"/>
      <c r="BE68" s="177"/>
      <c r="BF68" s="178"/>
      <c r="BH68" s="176"/>
      <c r="BI68" s="177"/>
      <c r="BJ68" s="177"/>
      <c r="BK68" s="177"/>
      <c r="BL68" s="177"/>
      <c r="BM68" s="177"/>
      <c r="BN68" s="177"/>
      <c r="BO68" s="177"/>
      <c r="BP68" s="178"/>
      <c r="BZ68" s="657"/>
      <c r="CA68" s="657"/>
      <c r="CB68" s="657"/>
      <c r="CC68" s="657"/>
      <c r="CD68" s="657"/>
      <c r="CE68" s="657"/>
      <c r="CF68" s="657"/>
      <c r="CG68" s="657"/>
      <c r="CH68" s="657"/>
      <c r="CI68" s="657"/>
      <c r="CJ68" s="657"/>
      <c r="CK68" s="657"/>
      <c r="CL68" s="657"/>
      <c r="CM68" s="278"/>
      <c r="CN68" s="343"/>
      <c r="CO68" s="335">
        <v>0.66</v>
      </c>
      <c r="CP68" s="334">
        <v>50000</v>
      </c>
      <c r="CQ68" s="334">
        <v>51750</v>
      </c>
      <c r="CR68" s="981"/>
      <c r="CS68" s="335">
        <v>0.66</v>
      </c>
      <c r="CT68" s="334"/>
      <c r="CU68" s="334"/>
      <c r="CV68" s="981"/>
      <c r="CW68" s="335">
        <v>0.66</v>
      </c>
      <c r="CX68" s="334"/>
      <c r="CY68" s="334"/>
      <c r="CZ68" s="981"/>
      <c r="DA68" s="335">
        <v>0.66</v>
      </c>
      <c r="DB68" s="334"/>
      <c r="DC68" s="334"/>
      <c r="DD68" s="981"/>
      <c r="DE68" s="335">
        <v>0.66</v>
      </c>
      <c r="DF68" s="334"/>
      <c r="DG68" s="334"/>
      <c r="DH68" s="981"/>
      <c r="DI68" s="335">
        <v>0.66</v>
      </c>
      <c r="DJ68" s="334"/>
      <c r="DK68" s="334"/>
      <c r="EJ68" s="278"/>
      <c r="EK68" s="278"/>
      <c r="EL68" s="278"/>
      <c r="EM68" s="278"/>
      <c r="EN68" s="278"/>
      <c r="EO68" s="278"/>
      <c r="EU68" s="278"/>
      <c r="EV68" s="278"/>
      <c r="EW68" s="278"/>
      <c r="EX68" s="278"/>
      <c r="EY68" s="278"/>
      <c r="EZ68" s="278"/>
    </row>
    <row r="69" spans="2:156" ht="48.75" customHeight="1">
      <c r="B69" s="257">
        <v>0.13200000000000001</v>
      </c>
      <c r="C69" s="257">
        <v>0.154</v>
      </c>
      <c r="D69" s="257">
        <v>1.3679999999999999E-2</v>
      </c>
      <c r="E69" s="971"/>
      <c r="F69" s="257">
        <v>0.375</v>
      </c>
      <c r="G69" s="257">
        <v>0.41499999999999998</v>
      </c>
      <c r="H69" s="257">
        <v>0.1104</v>
      </c>
      <c r="I69" s="971"/>
      <c r="J69" s="257">
        <v>1.06</v>
      </c>
      <c r="K69" s="257">
        <v>1.1399999999999999</v>
      </c>
      <c r="L69" s="257">
        <v>0.88300000000000001</v>
      </c>
      <c r="M69" s="971"/>
      <c r="N69" s="176"/>
      <c r="O69" s="177"/>
      <c r="P69" s="177"/>
      <c r="Q69" s="960"/>
      <c r="R69" s="176"/>
      <c r="S69" s="177"/>
      <c r="T69" s="177"/>
      <c r="U69" s="178"/>
      <c r="AE69" s="176"/>
      <c r="AF69" s="177"/>
      <c r="AG69" s="177"/>
      <c r="AH69" s="177"/>
      <c r="AI69" s="177"/>
      <c r="AJ69" s="177"/>
      <c r="AK69" s="177"/>
      <c r="AL69" s="177"/>
      <c r="AM69" s="177"/>
      <c r="AN69" s="178"/>
      <c r="AO69" s="88"/>
      <c r="AP69" s="88"/>
      <c r="AQ69" s="88"/>
      <c r="AX69" s="176"/>
      <c r="AY69" s="177"/>
      <c r="AZ69" s="177"/>
      <c r="BA69" s="177"/>
      <c r="BB69" s="177"/>
      <c r="BC69" s="177"/>
      <c r="BD69" s="177"/>
      <c r="BE69" s="177"/>
      <c r="BF69" s="178"/>
      <c r="BH69" s="176"/>
      <c r="BI69" s="177"/>
      <c r="BJ69" s="177"/>
      <c r="BK69" s="177"/>
      <c r="BL69" s="177"/>
      <c r="BM69" s="177"/>
      <c r="BN69" s="177"/>
      <c r="BO69" s="177"/>
      <c r="BP69" s="178"/>
      <c r="BZ69" s="657"/>
      <c r="CA69" s="657"/>
      <c r="CB69" s="657"/>
      <c r="CC69" s="657"/>
      <c r="CD69" s="657"/>
      <c r="CE69" s="657"/>
      <c r="CF69" s="657"/>
      <c r="CG69" s="657"/>
      <c r="CH69" s="657"/>
      <c r="CI69" s="657"/>
      <c r="CJ69" s="657"/>
      <c r="CK69" s="657"/>
      <c r="CL69" s="657"/>
      <c r="CM69" s="278"/>
      <c r="CN69" s="278"/>
      <c r="DL69" s="278"/>
      <c r="DM69" s="278"/>
      <c r="DN69" s="278"/>
      <c r="DO69" s="278"/>
      <c r="DP69" s="278"/>
      <c r="DQ69" s="278"/>
      <c r="DR69" s="278"/>
      <c r="DS69" s="278"/>
      <c r="DT69" s="278"/>
      <c r="DU69" s="278"/>
      <c r="DV69" s="278"/>
      <c r="DW69" s="278"/>
      <c r="DX69" s="278"/>
      <c r="DY69" s="278"/>
      <c r="DZ69" s="278"/>
      <c r="EA69" s="278"/>
      <c r="EB69" s="278"/>
      <c r="EC69" s="278"/>
      <c r="ED69" s="278"/>
      <c r="EE69" s="278"/>
      <c r="EF69" s="278"/>
      <c r="EG69" s="278"/>
      <c r="EH69" s="278"/>
      <c r="EI69" s="278"/>
      <c r="EJ69" s="278"/>
      <c r="EK69" s="278"/>
      <c r="EL69" s="278"/>
      <c r="EM69" s="278"/>
      <c r="EN69" s="278"/>
      <c r="EO69" s="278"/>
      <c r="EU69" s="278"/>
      <c r="EV69" s="278"/>
      <c r="EW69" s="278"/>
      <c r="EX69" s="278"/>
      <c r="EY69" s="278"/>
      <c r="EZ69" s="278"/>
    </row>
    <row r="70" spans="2:156" ht="48.75" customHeight="1">
      <c r="B70" s="257">
        <v>0.14000000000000001</v>
      </c>
      <c r="C70" s="257">
        <v>0.16200000000000001</v>
      </c>
      <c r="D70" s="257">
        <v>1.5389999999999999E-2</v>
      </c>
      <c r="E70" s="971"/>
      <c r="F70" s="257">
        <v>0.4</v>
      </c>
      <c r="G70" s="257">
        <v>0.44</v>
      </c>
      <c r="H70" s="257">
        <v>0.12570000000000001</v>
      </c>
      <c r="I70" s="971"/>
      <c r="J70" s="257">
        <v>1.1200000000000001</v>
      </c>
      <c r="K70" s="257">
        <v>1.2</v>
      </c>
      <c r="L70" s="257">
        <v>0.98499999999999999</v>
      </c>
      <c r="M70" s="971"/>
      <c r="N70" s="176"/>
      <c r="O70" s="177"/>
      <c r="P70" s="177"/>
      <c r="Q70" s="960"/>
      <c r="R70" s="176"/>
      <c r="S70" s="177"/>
      <c r="T70" s="177"/>
      <c r="U70" s="178"/>
      <c r="AE70" s="176"/>
      <c r="AF70" s="177"/>
      <c r="AG70" s="177"/>
      <c r="AH70" s="177"/>
      <c r="AI70" s="177"/>
      <c r="AJ70" s="177"/>
      <c r="AK70" s="177"/>
      <c r="AL70" s="177"/>
      <c r="AM70" s="177"/>
      <c r="AN70" s="178"/>
      <c r="AO70" s="88"/>
      <c r="AP70" s="88"/>
      <c r="AQ70" s="88"/>
      <c r="AX70" s="176"/>
      <c r="AY70" s="177"/>
      <c r="AZ70" s="177"/>
      <c r="BA70" s="177"/>
      <c r="BB70" s="177"/>
      <c r="BC70" s="177"/>
      <c r="BD70" s="177"/>
      <c r="BE70" s="177"/>
      <c r="BF70" s="178"/>
      <c r="BH70" s="176"/>
      <c r="BI70" s="177"/>
      <c r="BJ70" s="177"/>
      <c r="BK70" s="177"/>
      <c r="BL70" s="177"/>
      <c r="BM70" s="177"/>
      <c r="BN70" s="177"/>
      <c r="BO70" s="177"/>
      <c r="BP70" s="178"/>
      <c r="BZ70" s="657"/>
      <c r="CA70" s="657"/>
      <c r="CB70" s="657"/>
      <c r="CC70" s="657"/>
      <c r="CD70" s="657"/>
      <c r="CE70" s="657"/>
      <c r="CF70" s="657"/>
      <c r="CG70" s="657"/>
      <c r="CH70" s="657"/>
      <c r="CI70" s="657"/>
      <c r="CJ70" s="657"/>
      <c r="CK70" s="657"/>
      <c r="CL70" s="657"/>
      <c r="CM70" s="278"/>
      <c r="CN70" s="278"/>
      <c r="DL70" s="278"/>
      <c r="DM70" s="278"/>
      <c r="DN70" s="278"/>
      <c r="DO70" s="278"/>
      <c r="DP70" s="278"/>
      <c r="DQ70" s="278"/>
      <c r="DR70" s="278"/>
      <c r="DS70" s="278"/>
      <c r="DT70" s="278"/>
      <c r="DU70" s="278"/>
      <c r="DV70" s="278"/>
      <c r="DW70" s="278"/>
      <c r="DX70" s="278"/>
      <c r="DY70" s="278"/>
      <c r="DZ70" s="278"/>
      <c r="EA70" s="278"/>
      <c r="EB70" s="278"/>
      <c r="EC70" s="278"/>
      <c r="ED70" s="278"/>
      <c r="EE70" s="278"/>
      <c r="EF70" s="278"/>
      <c r="EG70" s="278"/>
      <c r="EH70" s="278"/>
      <c r="EI70" s="278"/>
      <c r="EJ70" s="278"/>
      <c r="EK70" s="278"/>
      <c r="EL70" s="278"/>
      <c r="EM70" s="278"/>
      <c r="EN70" s="278"/>
      <c r="EO70" s="278"/>
      <c r="EU70" s="278"/>
      <c r="EV70" s="278"/>
      <c r="EW70" s="278"/>
      <c r="EX70" s="278"/>
      <c r="EY70" s="278"/>
      <c r="EZ70" s="278"/>
    </row>
    <row r="71" spans="2:156" ht="48.75" customHeight="1">
      <c r="B71" s="257">
        <v>0.15</v>
      </c>
      <c r="C71" s="257">
        <v>0.18</v>
      </c>
      <c r="D71" s="257">
        <v>1.7670000000000002E-2</v>
      </c>
      <c r="E71" s="971"/>
      <c r="F71" s="257">
        <v>0.42499999999999999</v>
      </c>
      <c r="G71" s="257">
        <v>0.46500000000000002</v>
      </c>
      <c r="H71" s="257">
        <v>0.1419</v>
      </c>
      <c r="I71" s="971"/>
      <c r="J71" s="257">
        <v>1.18</v>
      </c>
      <c r="K71" s="257">
        <v>1.26</v>
      </c>
      <c r="L71" s="257">
        <v>1.0940000000000001</v>
      </c>
      <c r="M71" s="971"/>
      <c r="N71" s="176"/>
      <c r="O71" s="177"/>
      <c r="P71" s="177"/>
      <c r="Q71" s="960"/>
      <c r="R71" s="176"/>
      <c r="S71" s="177"/>
      <c r="T71" s="177"/>
      <c r="U71" s="178"/>
      <c r="AE71" s="85"/>
      <c r="AF71" s="86"/>
      <c r="AG71" s="86"/>
      <c r="AH71" s="86"/>
      <c r="AI71" s="86"/>
      <c r="AJ71" s="86"/>
      <c r="AK71" s="86"/>
      <c r="AL71" s="86"/>
      <c r="AM71" s="86"/>
      <c r="AN71" s="87"/>
      <c r="AO71" s="88"/>
      <c r="AP71" s="88"/>
      <c r="AQ71" s="88"/>
      <c r="AX71" s="176"/>
      <c r="AY71" s="177"/>
      <c r="AZ71" s="177"/>
      <c r="BA71" s="177"/>
      <c r="BB71" s="177"/>
      <c r="BC71" s="177"/>
      <c r="BD71" s="177"/>
      <c r="BE71" s="177"/>
      <c r="BF71" s="178"/>
      <c r="BH71" s="176"/>
      <c r="BI71" s="177"/>
      <c r="BJ71" s="177"/>
      <c r="BK71" s="177"/>
      <c r="BL71" s="177"/>
      <c r="BM71" s="177"/>
      <c r="BN71" s="177"/>
      <c r="BO71" s="177"/>
      <c r="BP71" s="178"/>
      <c r="BZ71" s="657"/>
      <c r="CA71" s="657"/>
      <c r="CB71" s="657"/>
      <c r="CC71" s="657"/>
      <c r="CD71" s="657"/>
      <c r="CE71" s="657"/>
      <c r="CF71" s="657"/>
      <c r="CG71" s="657"/>
      <c r="CH71" s="657"/>
      <c r="CI71" s="657"/>
      <c r="CJ71" s="657"/>
      <c r="CK71" s="657"/>
      <c r="CL71" s="657"/>
      <c r="CM71" s="278"/>
      <c r="CN71" s="341"/>
      <c r="CO71" s="1285" t="s">
        <v>1197</v>
      </c>
      <c r="CP71" s="1286"/>
      <c r="CQ71" s="1286"/>
      <c r="CR71" s="1286"/>
      <c r="CS71" s="1286"/>
      <c r="CT71" s="1286"/>
      <c r="CU71" s="1286"/>
      <c r="CV71" s="1286"/>
      <c r="CW71" s="1286"/>
      <c r="CX71" s="1286"/>
      <c r="CY71" s="1286"/>
      <c r="CZ71" s="1286"/>
      <c r="DA71" s="1286"/>
      <c r="DB71" s="1286"/>
      <c r="DC71" s="1286"/>
      <c r="DD71" s="1286"/>
      <c r="DE71" s="1286"/>
      <c r="DF71" s="1286"/>
      <c r="DG71" s="1286"/>
      <c r="DH71" s="1286"/>
      <c r="DI71" s="1286"/>
      <c r="DJ71" s="1286"/>
      <c r="DK71" s="103"/>
      <c r="DL71" s="278"/>
      <c r="DM71" s="278"/>
      <c r="DN71" s="278"/>
      <c r="DO71" s="278"/>
      <c r="DP71" s="278"/>
      <c r="DQ71" s="278"/>
      <c r="DR71" s="278"/>
      <c r="DS71" s="278"/>
      <c r="DT71" s="278"/>
      <c r="DU71" s="278"/>
      <c r="DV71" s="278"/>
      <c r="DW71" s="278"/>
      <c r="DX71" s="278"/>
      <c r="DY71" s="278"/>
      <c r="DZ71" s="278"/>
      <c r="EA71" s="278"/>
      <c r="EB71" s="278"/>
      <c r="EC71" s="278"/>
      <c r="ED71" s="278"/>
      <c r="EE71" s="278"/>
      <c r="EF71" s="278"/>
      <c r="EG71" s="278"/>
      <c r="EH71" s="278"/>
      <c r="EI71" s="278"/>
      <c r="EJ71" s="278"/>
      <c r="EK71" s="278"/>
      <c r="EL71" s="278"/>
      <c r="EM71" s="278"/>
      <c r="EN71" s="278"/>
      <c r="EO71" s="278"/>
      <c r="EU71" s="278"/>
      <c r="EV71" s="278"/>
      <c r="EW71" s="278"/>
      <c r="EX71" s="278"/>
      <c r="EY71" s="278"/>
      <c r="EZ71" s="278"/>
    </row>
    <row r="72" spans="2:156" ht="48.75" customHeight="1">
      <c r="B72" s="257">
        <v>0.16</v>
      </c>
      <c r="C72" s="257">
        <v>0.19</v>
      </c>
      <c r="D72" s="257">
        <v>2.01E-2</v>
      </c>
      <c r="E72" s="971"/>
      <c r="F72" s="257">
        <v>0.45</v>
      </c>
      <c r="G72" s="257">
        <v>0.49</v>
      </c>
      <c r="H72" s="257">
        <v>0.159</v>
      </c>
      <c r="I72" s="971"/>
      <c r="J72" s="257">
        <v>1.25</v>
      </c>
      <c r="K72" s="257">
        <v>1.33</v>
      </c>
      <c r="L72" s="257">
        <v>1.2270000000000001</v>
      </c>
      <c r="M72" s="971"/>
      <c r="N72" s="176"/>
      <c r="O72" s="177"/>
      <c r="P72" s="177"/>
      <c r="Q72" s="960"/>
      <c r="R72" s="176"/>
      <c r="S72" s="177"/>
      <c r="T72" s="177"/>
      <c r="U72" s="178"/>
      <c r="AF72" s="88"/>
      <c r="AN72" s="88"/>
      <c r="AO72" s="88"/>
      <c r="AP72" s="88"/>
      <c r="AQ72" s="88"/>
      <c r="AX72" s="176"/>
      <c r="AY72" s="177"/>
      <c r="AZ72" s="177"/>
      <c r="BA72" s="177"/>
      <c r="BB72" s="177"/>
      <c r="BC72" s="177"/>
      <c r="BD72" s="177"/>
      <c r="BE72" s="177"/>
      <c r="BF72" s="178"/>
      <c r="BH72" s="176"/>
      <c r="BI72" s="177"/>
      <c r="BJ72" s="177"/>
      <c r="BK72" s="177"/>
      <c r="BL72" s="177"/>
      <c r="BM72" s="177"/>
      <c r="BN72" s="177"/>
      <c r="BO72" s="177"/>
      <c r="BP72" s="178"/>
      <c r="BZ72" s="657"/>
      <c r="CA72" s="657"/>
      <c r="CB72" s="657"/>
      <c r="CC72" s="657"/>
      <c r="CD72" s="657"/>
      <c r="CE72" s="657"/>
      <c r="CF72" s="657"/>
      <c r="CG72" s="657"/>
      <c r="CH72" s="657"/>
      <c r="CI72" s="657"/>
      <c r="CJ72" s="657"/>
      <c r="CK72" s="657"/>
      <c r="CL72" s="657"/>
      <c r="CM72" s="278"/>
      <c r="CN72" s="342"/>
      <c r="CO72" s="290"/>
      <c r="CP72" s="291"/>
      <c r="CQ72" s="291"/>
      <c r="CR72" s="328"/>
      <c r="CS72" s="291"/>
      <c r="CT72" s="291"/>
      <c r="CU72" s="291"/>
      <c r="CV72" s="328"/>
      <c r="CW72" s="291"/>
      <c r="CX72" s="291"/>
      <c r="CY72" s="291"/>
      <c r="CZ72" s="328"/>
      <c r="DA72" s="291"/>
      <c r="DB72" s="291"/>
      <c r="DC72" s="291"/>
      <c r="DD72" s="328"/>
      <c r="DE72" s="291"/>
      <c r="DF72" s="291"/>
      <c r="DG72" s="291"/>
      <c r="DH72" s="328"/>
      <c r="DI72" s="291"/>
      <c r="DJ72" s="291"/>
      <c r="DK72" s="292"/>
      <c r="DL72" s="278"/>
      <c r="DM72" s="278"/>
      <c r="DN72" s="278"/>
      <c r="DO72" s="278"/>
      <c r="DP72" s="278"/>
      <c r="DQ72" s="278"/>
      <c r="DR72" s="278"/>
      <c r="DS72" s="278"/>
      <c r="DT72" s="278"/>
      <c r="DU72" s="278"/>
      <c r="DV72" s="278"/>
      <c r="DW72" s="278"/>
      <c r="DX72" s="278"/>
      <c r="DY72" s="278"/>
      <c r="DZ72" s="278"/>
      <c r="EA72" s="278"/>
      <c r="EB72" s="278"/>
      <c r="EC72" s="278"/>
      <c r="ED72" s="278"/>
      <c r="EE72" s="278"/>
      <c r="EF72" s="278"/>
      <c r="EG72" s="278"/>
      <c r="EH72" s="278"/>
      <c r="EI72" s="278"/>
      <c r="EJ72" s="278"/>
      <c r="EK72" s="278"/>
      <c r="EL72" s="278"/>
      <c r="EM72" s="278"/>
      <c r="EN72" s="278"/>
      <c r="EO72" s="278"/>
      <c r="EU72" s="278"/>
      <c r="EV72" s="278"/>
      <c r="EW72" s="278"/>
      <c r="EX72" s="278"/>
      <c r="EY72" s="278"/>
      <c r="EZ72" s="278"/>
    </row>
    <row r="73" spans="2:156" ht="48.75" customHeight="1">
      <c r="B73" s="257">
        <v>0.17</v>
      </c>
      <c r="C73" s="257">
        <v>0.2</v>
      </c>
      <c r="D73" s="257">
        <v>2.2700000000000001E-2</v>
      </c>
      <c r="E73" s="971"/>
      <c r="F73" s="257">
        <v>0.47499999999999998</v>
      </c>
      <c r="G73" s="257">
        <v>0.51500000000000001</v>
      </c>
      <c r="H73" s="257">
        <v>0.1772</v>
      </c>
      <c r="I73" s="971"/>
      <c r="J73" s="257">
        <v>1.32</v>
      </c>
      <c r="K73" s="257">
        <v>1.405</v>
      </c>
      <c r="L73" s="257">
        <v>1.3680000000000001</v>
      </c>
      <c r="M73" s="971"/>
      <c r="N73" s="176"/>
      <c r="O73" s="177"/>
      <c r="P73" s="177"/>
      <c r="Q73" s="960"/>
      <c r="R73" s="176"/>
      <c r="S73" s="177"/>
      <c r="T73" s="177"/>
      <c r="U73" s="178"/>
      <c r="Y73" s="594" t="s">
        <v>439</v>
      </c>
      <c r="Z73" s="594" t="s">
        <v>440</v>
      </c>
      <c r="AA73" s="1932" t="s">
        <v>527</v>
      </c>
      <c r="AB73" s="1932"/>
      <c r="AC73" s="1932"/>
      <c r="AF73" s="88"/>
      <c r="AN73" s="88"/>
      <c r="AO73" s="88"/>
      <c r="AP73" s="88"/>
      <c r="AQ73" s="88"/>
      <c r="AX73" s="176"/>
      <c r="AY73" s="177"/>
      <c r="AZ73" s="177"/>
      <c r="BA73" s="177"/>
      <c r="BB73" s="177"/>
      <c r="BC73" s="177"/>
      <c r="BD73" s="177"/>
      <c r="BE73" s="177"/>
      <c r="BF73" s="178"/>
      <c r="BH73" s="176"/>
      <c r="BI73" s="177"/>
      <c r="BJ73" s="177"/>
      <c r="BK73" s="177"/>
      <c r="BL73" s="177"/>
      <c r="BM73" s="177"/>
      <c r="BN73" s="177"/>
      <c r="BO73" s="177"/>
      <c r="BP73" s="178"/>
      <c r="BZ73" s="657"/>
      <c r="CA73" s="657"/>
      <c r="CB73" s="657"/>
      <c r="CC73" s="657"/>
      <c r="CD73" s="657"/>
      <c r="CE73" s="657"/>
      <c r="CF73" s="657"/>
      <c r="CG73" s="657"/>
      <c r="CH73" s="657"/>
      <c r="CI73" s="657"/>
      <c r="CJ73" s="657"/>
      <c r="CK73" s="657"/>
      <c r="CL73" s="657"/>
      <c r="CM73" s="278"/>
      <c r="CN73" s="342"/>
      <c r="CO73" s="336" t="s">
        <v>718</v>
      </c>
      <c r="CP73" s="336" t="s">
        <v>1141</v>
      </c>
      <c r="CQ73" s="336" t="s">
        <v>1142</v>
      </c>
      <c r="CR73" s="981"/>
      <c r="CS73" s="336" t="s">
        <v>718</v>
      </c>
      <c r="CT73" s="336" t="s">
        <v>1150</v>
      </c>
      <c r="CU73" s="336" t="s">
        <v>1151</v>
      </c>
      <c r="CV73" s="981"/>
      <c r="CW73" s="336" t="s">
        <v>718</v>
      </c>
      <c r="CX73" s="336" t="s">
        <v>1181</v>
      </c>
      <c r="CY73" s="336" t="s">
        <v>1188</v>
      </c>
      <c r="CZ73" s="981"/>
      <c r="DA73" s="336" t="s">
        <v>718</v>
      </c>
      <c r="DB73" s="336" t="s">
        <v>1187</v>
      </c>
      <c r="DC73" s="336" t="s">
        <v>1182</v>
      </c>
      <c r="DD73" s="981"/>
      <c r="DE73" s="336" t="s">
        <v>718</v>
      </c>
      <c r="DF73" s="336" t="s">
        <v>1183</v>
      </c>
      <c r="DG73" s="336" t="s">
        <v>1184</v>
      </c>
      <c r="DH73" s="981"/>
      <c r="DI73" s="336" t="s">
        <v>718</v>
      </c>
      <c r="DJ73" s="336" t="s">
        <v>1185</v>
      </c>
      <c r="DK73" s="336" t="s">
        <v>1186</v>
      </c>
      <c r="DL73" s="278"/>
      <c r="DM73" s="278"/>
      <c r="DN73" s="278"/>
      <c r="DO73" s="278"/>
      <c r="DP73" s="278"/>
      <c r="DQ73" s="278"/>
      <c r="DR73" s="278"/>
      <c r="DS73" s="278"/>
      <c r="DT73" s="278"/>
      <c r="DU73" s="278"/>
      <c r="DV73" s="278"/>
      <c r="DW73" s="278"/>
      <c r="DX73" s="278"/>
      <c r="DY73" s="278"/>
      <c r="DZ73" s="278"/>
      <c r="EA73" s="278"/>
      <c r="EB73" s="278"/>
      <c r="EC73" s="278"/>
      <c r="ED73" s="278"/>
      <c r="EE73" s="278"/>
      <c r="EF73" s="278"/>
      <c r="EG73" s="278"/>
      <c r="EH73" s="278"/>
      <c r="EI73" s="278"/>
      <c r="EJ73" s="278"/>
      <c r="EK73" s="278"/>
      <c r="EL73" s="278"/>
      <c r="EM73" s="278"/>
      <c r="EN73" s="278"/>
      <c r="EO73" s="278"/>
      <c r="EU73" s="278"/>
      <c r="EV73" s="278"/>
      <c r="EW73" s="278"/>
      <c r="EX73" s="278"/>
      <c r="EY73" s="278"/>
      <c r="EZ73" s="278"/>
    </row>
    <row r="74" spans="2:156" ht="48.75" customHeight="1">
      <c r="B74" s="257">
        <v>0.18</v>
      </c>
      <c r="C74" s="257">
        <v>0.21</v>
      </c>
      <c r="D74" s="257">
        <v>2.5499999999999998E-2</v>
      </c>
      <c r="E74" s="971"/>
      <c r="F74" s="257">
        <v>0.5</v>
      </c>
      <c r="G74" s="257">
        <v>0.54500000000000004</v>
      </c>
      <c r="H74" s="257">
        <v>0.1963</v>
      </c>
      <c r="I74" s="971"/>
      <c r="J74" s="257">
        <v>1.4</v>
      </c>
      <c r="K74" s="257">
        <v>1.4850000000000001</v>
      </c>
      <c r="L74" s="257">
        <v>1.5389999999999999</v>
      </c>
      <c r="M74" s="971"/>
      <c r="N74" s="176"/>
      <c r="O74" s="177"/>
      <c r="P74" s="177"/>
      <c r="Q74" s="960"/>
      <c r="R74" s="176"/>
      <c r="S74" s="177"/>
      <c r="T74" s="177"/>
      <c r="U74" s="178"/>
      <c r="Y74" s="594" t="s">
        <v>439</v>
      </c>
      <c r="Z74" s="594" t="s">
        <v>440</v>
      </c>
      <c r="AA74" s="1932" t="s">
        <v>528</v>
      </c>
      <c r="AB74" s="1932"/>
      <c r="AC74" s="1932"/>
      <c r="AF74" s="88"/>
      <c r="AN74" s="88"/>
      <c r="AO74" s="88"/>
      <c r="AP74" s="88"/>
      <c r="AQ74" s="88"/>
      <c r="AX74" s="176"/>
      <c r="AY74" s="177"/>
      <c r="AZ74" s="177"/>
      <c r="BA74" s="177"/>
      <c r="BB74" s="177"/>
      <c r="BC74" s="177"/>
      <c r="BD74" s="177"/>
      <c r="BE74" s="177"/>
      <c r="BF74" s="178"/>
      <c r="BH74" s="176"/>
      <c r="BI74" s="177"/>
      <c r="BJ74" s="177"/>
      <c r="BK74" s="177"/>
      <c r="BL74" s="177"/>
      <c r="BM74" s="177"/>
      <c r="BN74" s="177"/>
      <c r="BO74" s="177"/>
      <c r="BP74" s="178"/>
      <c r="BZ74" s="657"/>
      <c r="CA74" s="657"/>
      <c r="CB74" s="657"/>
      <c r="CC74" s="657"/>
      <c r="CD74" s="657"/>
      <c r="CE74" s="657"/>
      <c r="CF74" s="657"/>
      <c r="CG74" s="657"/>
      <c r="CH74" s="657"/>
      <c r="CI74" s="657"/>
      <c r="CJ74" s="657"/>
      <c r="CK74" s="657"/>
      <c r="CL74" s="657"/>
      <c r="CM74" s="278"/>
      <c r="CN74" s="342"/>
      <c r="CO74" s="337">
        <v>8.8999999999999996E-2</v>
      </c>
      <c r="CP74" s="336">
        <v>16000</v>
      </c>
      <c r="CQ74" s="336">
        <v>17000</v>
      </c>
      <c r="CR74" s="981"/>
      <c r="CS74" s="337">
        <v>8.8999999999999996E-2</v>
      </c>
      <c r="CT74" s="336"/>
      <c r="CU74" s="336"/>
      <c r="CV74" s="981"/>
      <c r="CW74" s="337">
        <v>8.8999999999999996E-2</v>
      </c>
      <c r="CX74" s="336"/>
      <c r="CY74" s="336"/>
      <c r="CZ74" s="981"/>
      <c r="DA74" s="337">
        <v>8.8999999999999996E-2</v>
      </c>
      <c r="DB74" s="336"/>
      <c r="DC74" s="336"/>
      <c r="DD74" s="981"/>
      <c r="DE74" s="337">
        <v>8.8999999999999996E-2</v>
      </c>
      <c r="DF74" s="336"/>
      <c r="DG74" s="336"/>
      <c r="DH74" s="981"/>
      <c r="DI74" s="337">
        <v>8.8999999999999996E-2</v>
      </c>
      <c r="DJ74" s="336"/>
      <c r="DK74" s="336"/>
      <c r="DL74" s="278"/>
      <c r="DM74" s="278"/>
      <c r="DN74" s="278"/>
      <c r="DO74" s="278"/>
      <c r="DP74" s="278"/>
      <c r="DQ74" s="278"/>
      <c r="DR74" s="278"/>
      <c r="DS74" s="278"/>
      <c r="DT74" s="278"/>
      <c r="DU74" s="278"/>
      <c r="DV74" s="278"/>
      <c r="DW74" s="278"/>
      <c r="DX74" s="278"/>
      <c r="DY74" s="278"/>
      <c r="DZ74" s="278"/>
      <c r="EA74" s="278"/>
      <c r="EB74" s="278"/>
      <c r="EC74" s="278"/>
      <c r="ED74" s="278"/>
      <c r="EE74" s="278"/>
      <c r="EF74" s="278"/>
      <c r="EG74" s="278"/>
      <c r="EH74" s="278"/>
      <c r="EI74" s="278"/>
      <c r="EJ74" s="278"/>
      <c r="EK74" s="278"/>
      <c r="EL74" s="278"/>
      <c r="EM74" s="278"/>
      <c r="EN74" s="278"/>
      <c r="EO74" s="278"/>
    </row>
    <row r="75" spans="2:156" ht="48.75" customHeight="1">
      <c r="B75" s="257">
        <v>0.19</v>
      </c>
      <c r="C75" s="257">
        <v>0.22</v>
      </c>
      <c r="D75" s="257">
        <v>0.28399999999999997</v>
      </c>
      <c r="E75" s="971"/>
      <c r="F75" s="257">
        <v>0.53</v>
      </c>
      <c r="G75" s="257">
        <v>0.58499999999999996</v>
      </c>
      <c r="H75" s="257">
        <v>0.221</v>
      </c>
      <c r="I75" s="971"/>
      <c r="J75" s="257">
        <v>1.5</v>
      </c>
      <c r="K75" s="257">
        <v>1.585</v>
      </c>
      <c r="L75" s="257">
        <v>1.7669999999999999</v>
      </c>
      <c r="M75" s="971"/>
      <c r="N75" s="176"/>
      <c r="O75" s="177"/>
      <c r="P75" s="177"/>
      <c r="Q75" s="960"/>
      <c r="R75" s="176"/>
      <c r="S75" s="177"/>
      <c r="T75" s="177"/>
      <c r="U75" s="178"/>
      <c r="Y75" s="1285" t="s">
        <v>635</v>
      </c>
      <c r="Z75" s="1286"/>
      <c r="AA75" s="1286"/>
      <c r="AB75" s="1286"/>
      <c r="AC75" s="279" t="s">
        <v>442</v>
      </c>
      <c r="AF75" s="88"/>
      <c r="AN75" s="88"/>
      <c r="AO75" s="88"/>
      <c r="AP75" s="88"/>
      <c r="AQ75" s="88"/>
      <c r="AX75" s="176"/>
      <c r="AY75" s="177"/>
      <c r="AZ75" s="177"/>
      <c r="BA75" s="177"/>
      <c r="BB75" s="177"/>
      <c r="BC75" s="177"/>
      <c r="BD75" s="177"/>
      <c r="BE75" s="177"/>
      <c r="BF75" s="178"/>
      <c r="BH75" s="176"/>
      <c r="BI75" s="177"/>
      <c r="BJ75" s="177"/>
      <c r="BK75" s="177"/>
      <c r="BL75" s="177"/>
      <c r="BM75" s="177"/>
      <c r="BN75" s="177"/>
      <c r="BO75" s="177"/>
      <c r="BP75" s="178"/>
      <c r="BZ75" s="657"/>
      <c r="CA75" s="657"/>
      <c r="CB75" s="657"/>
      <c r="CC75" s="657"/>
      <c r="CD75" s="657"/>
      <c r="CE75" s="657"/>
      <c r="CF75" s="657"/>
      <c r="CG75" s="657"/>
      <c r="CH75" s="657"/>
      <c r="CI75" s="657"/>
      <c r="CJ75" s="657"/>
      <c r="CK75" s="657"/>
      <c r="CL75" s="657"/>
      <c r="CM75" s="278"/>
      <c r="CN75" s="342"/>
      <c r="CO75" s="337">
        <v>0.1</v>
      </c>
      <c r="CP75" s="336">
        <v>16000</v>
      </c>
      <c r="CQ75" s="336">
        <v>18000</v>
      </c>
      <c r="CR75" s="981"/>
      <c r="CS75" s="337">
        <v>0.1</v>
      </c>
      <c r="CT75" s="336"/>
      <c r="CU75" s="336"/>
      <c r="CV75" s="981"/>
      <c r="CW75" s="337">
        <v>0.1</v>
      </c>
      <c r="CX75" s="336"/>
      <c r="CY75" s="336"/>
      <c r="CZ75" s="981"/>
      <c r="DA75" s="337">
        <v>0.1</v>
      </c>
      <c r="DB75" s="336"/>
      <c r="DC75" s="336"/>
      <c r="DD75" s="981"/>
      <c r="DE75" s="337">
        <v>0.1</v>
      </c>
      <c r="DF75" s="336"/>
      <c r="DG75" s="336"/>
      <c r="DH75" s="981"/>
      <c r="DI75" s="337">
        <v>0.1</v>
      </c>
      <c r="DJ75" s="336"/>
      <c r="DK75" s="336"/>
      <c r="DL75" s="278"/>
      <c r="DM75" s="278"/>
      <c r="DN75" s="278"/>
      <c r="DO75" s="278"/>
      <c r="DP75" s="278"/>
      <c r="DQ75" s="278"/>
      <c r="DR75" s="278"/>
      <c r="DS75" s="278"/>
      <c r="DT75" s="278"/>
      <c r="DU75" s="278"/>
      <c r="DV75" s="278"/>
      <c r="DW75" s="278"/>
      <c r="DX75" s="278"/>
      <c r="DY75" s="278"/>
      <c r="DZ75" s="278"/>
      <c r="EA75" s="278"/>
      <c r="EB75" s="278"/>
      <c r="EC75" s="278"/>
      <c r="ED75" s="278"/>
      <c r="EE75" s="278"/>
      <c r="EF75" s="278"/>
      <c r="EG75" s="278"/>
      <c r="EH75" s="278"/>
      <c r="EI75" s="278"/>
      <c r="EJ75" s="278"/>
      <c r="EK75" s="278"/>
      <c r="EL75" s="278"/>
      <c r="EM75" s="278"/>
      <c r="EN75" s="278"/>
      <c r="EO75" s="278"/>
    </row>
    <row r="76" spans="2:156" ht="48.75" customHeight="1">
      <c r="B76" s="257">
        <v>0.2</v>
      </c>
      <c r="C76" s="257">
        <v>0.23</v>
      </c>
      <c r="D76" s="257">
        <v>3.1399999999999997E-2</v>
      </c>
      <c r="E76" s="971"/>
      <c r="F76" s="257">
        <v>0.56000000000000005</v>
      </c>
      <c r="G76" s="257">
        <v>0.61499999999999999</v>
      </c>
      <c r="H76" s="257">
        <v>0.246</v>
      </c>
      <c r="I76" s="971"/>
      <c r="J76" s="257">
        <v>1.6</v>
      </c>
      <c r="K76" s="257">
        <v>1.6850000000000001</v>
      </c>
      <c r="L76" s="257">
        <v>2.0110000000000001</v>
      </c>
      <c r="M76" s="971"/>
      <c r="N76" s="176"/>
      <c r="O76" s="177"/>
      <c r="P76" s="177"/>
      <c r="Q76" s="960"/>
      <c r="R76" s="176"/>
      <c r="S76" s="177"/>
      <c r="T76" s="177"/>
      <c r="U76" s="178"/>
      <c r="Y76" s="1285" t="s">
        <v>635</v>
      </c>
      <c r="Z76" s="1286"/>
      <c r="AA76" s="1286"/>
      <c r="AB76" s="1286"/>
      <c r="AC76" s="279" t="s">
        <v>440</v>
      </c>
      <c r="AF76" s="88"/>
      <c r="AN76" s="88"/>
      <c r="AO76" s="88"/>
      <c r="AP76" s="88"/>
      <c r="AQ76" s="88"/>
      <c r="AX76" s="176"/>
      <c r="AY76" s="177"/>
      <c r="AZ76" s="177"/>
      <c r="BA76" s="177"/>
      <c r="BB76" s="177"/>
      <c r="BC76" s="177"/>
      <c r="BD76" s="177"/>
      <c r="BE76" s="177"/>
      <c r="BF76" s="178"/>
      <c r="BH76" s="85"/>
      <c r="BI76" s="86"/>
      <c r="BJ76" s="86"/>
      <c r="BK76" s="86"/>
      <c r="BL76" s="86"/>
      <c r="BM76" s="86"/>
      <c r="BN76" s="86"/>
      <c r="BO76" s="86"/>
      <c r="BP76" s="87"/>
      <c r="BZ76" s="657"/>
      <c r="CA76" s="657"/>
      <c r="CB76" s="657"/>
      <c r="CC76" s="657"/>
      <c r="CD76" s="657"/>
      <c r="CE76" s="657"/>
      <c r="CF76" s="657"/>
      <c r="CG76" s="657"/>
      <c r="CH76" s="657"/>
      <c r="CI76" s="657"/>
      <c r="CJ76" s="657"/>
      <c r="CK76" s="657"/>
      <c r="CL76" s="657"/>
      <c r="CM76" s="278"/>
      <c r="CN76" s="342"/>
      <c r="CO76" s="337">
        <v>0.11600000000000001</v>
      </c>
      <c r="CP76" s="336">
        <v>17000</v>
      </c>
      <c r="CQ76" s="336">
        <v>19000</v>
      </c>
      <c r="CR76" s="981"/>
      <c r="CS76" s="337">
        <v>0.11600000000000001</v>
      </c>
      <c r="CT76" s="336"/>
      <c r="CU76" s="336"/>
      <c r="CV76" s="981"/>
      <c r="CW76" s="337">
        <v>0.11600000000000001</v>
      </c>
      <c r="CX76" s="336"/>
      <c r="CY76" s="336"/>
      <c r="CZ76" s="981"/>
      <c r="DA76" s="337">
        <v>0.11600000000000001</v>
      </c>
      <c r="DB76" s="336"/>
      <c r="DC76" s="336"/>
      <c r="DD76" s="981"/>
      <c r="DE76" s="337">
        <v>0.11600000000000001</v>
      </c>
      <c r="DF76" s="336"/>
      <c r="DG76" s="336"/>
      <c r="DH76" s="981"/>
      <c r="DI76" s="337">
        <v>0.11600000000000001</v>
      </c>
      <c r="DJ76" s="336"/>
      <c r="DK76" s="336"/>
      <c r="DL76" s="278"/>
      <c r="DM76" s="278"/>
      <c r="DN76" s="278"/>
      <c r="DO76" s="278"/>
      <c r="DP76" s="278"/>
      <c r="DQ76" s="278"/>
      <c r="DR76" s="278"/>
      <c r="DS76" s="278"/>
      <c r="DT76" s="278"/>
      <c r="DU76" s="278"/>
      <c r="DV76" s="278"/>
      <c r="DW76" s="278"/>
      <c r="DX76" s="278"/>
      <c r="DY76" s="278"/>
      <c r="DZ76" s="278"/>
      <c r="EA76" s="278"/>
      <c r="EB76" s="278"/>
      <c r="EC76" s="278"/>
      <c r="ED76" s="278"/>
      <c r="EE76" s="278"/>
      <c r="EF76" s="278"/>
      <c r="EG76" s="278"/>
      <c r="EH76" s="278"/>
      <c r="EI76" s="278"/>
      <c r="EJ76" s="278"/>
      <c r="EK76" s="278"/>
      <c r="EL76" s="278"/>
      <c r="EM76" s="278"/>
      <c r="EN76" s="278"/>
      <c r="EO76" s="278"/>
    </row>
    <row r="77" spans="2:156" ht="48.75" customHeight="1">
      <c r="B77" s="257">
        <v>0.21199999999999999</v>
      </c>
      <c r="C77" s="257">
        <v>0.24199999999999999</v>
      </c>
      <c r="D77" s="257">
        <v>3.5299999999999998E-2</v>
      </c>
      <c r="E77" s="971"/>
      <c r="F77" s="257">
        <v>0.6</v>
      </c>
      <c r="G77" s="257">
        <v>0.65500000000000003</v>
      </c>
      <c r="H77" s="257">
        <v>0.28299999999999997</v>
      </c>
      <c r="I77" s="971"/>
      <c r="J77" s="257">
        <v>1.7</v>
      </c>
      <c r="K77" s="257">
        <v>1.7849999999999999</v>
      </c>
      <c r="L77" s="257">
        <v>2.27</v>
      </c>
      <c r="M77" s="971"/>
      <c r="N77" s="176"/>
      <c r="O77" s="177"/>
      <c r="P77" s="177"/>
      <c r="Q77" s="960"/>
      <c r="R77" s="176"/>
      <c r="S77" s="177"/>
      <c r="T77" s="177"/>
      <c r="U77" s="178"/>
      <c r="AF77" s="88"/>
      <c r="AG77" s="88"/>
      <c r="AH77" s="88"/>
      <c r="AI77" s="88"/>
      <c r="AJ77" s="88"/>
      <c r="AK77" s="88"/>
      <c r="AL77" s="88"/>
      <c r="AM77" s="88"/>
      <c r="AN77" s="88"/>
      <c r="AO77" s="88"/>
      <c r="AP77" s="88"/>
      <c r="AQ77" s="88"/>
      <c r="AX77" s="176"/>
      <c r="AY77" s="177"/>
      <c r="AZ77" s="177"/>
      <c r="BA77" s="177"/>
      <c r="BB77" s="177"/>
      <c r="BC77" s="177"/>
      <c r="BD77" s="177"/>
      <c r="BE77" s="177"/>
      <c r="BF77" s="178"/>
      <c r="BZ77" s="657"/>
      <c r="CA77" s="657"/>
      <c r="CB77" s="657"/>
      <c r="CC77" s="657"/>
      <c r="CD77" s="657"/>
      <c r="CE77" s="657"/>
      <c r="CF77" s="657"/>
      <c r="CG77" s="657"/>
      <c r="CH77" s="657"/>
      <c r="CI77" s="657"/>
      <c r="CJ77" s="657"/>
      <c r="CK77" s="657"/>
      <c r="CL77" s="657"/>
      <c r="CM77" s="278"/>
      <c r="CN77" s="342"/>
      <c r="CO77" s="337">
        <v>0.13100000000000001</v>
      </c>
      <c r="CP77" s="336">
        <v>19000</v>
      </c>
      <c r="CQ77" s="336">
        <v>21000</v>
      </c>
      <c r="CR77" s="981"/>
      <c r="CS77" s="337">
        <v>0.13100000000000001</v>
      </c>
      <c r="CT77" s="336"/>
      <c r="CU77" s="336"/>
      <c r="CV77" s="981"/>
      <c r="CW77" s="337">
        <v>0.13100000000000001</v>
      </c>
      <c r="CX77" s="336"/>
      <c r="CY77" s="336"/>
      <c r="CZ77" s="981"/>
      <c r="DA77" s="337">
        <v>0.13100000000000001</v>
      </c>
      <c r="DB77" s="336"/>
      <c r="DC77" s="336"/>
      <c r="DD77" s="981"/>
      <c r="DE77" s="337">
        <v>0.13100000000000001</v>
      </c>
      <c r="DF77" s="336"/>
      <c r="DG77" s="336"/>
      <c r="DH77" s="981"/>
      <c r="DI77" s="337">
        <v>0.13100000000000001</v>
      </c>
      <c r="DJ77" s="336"/>
      <c r="DK77" s="336"/>
      <c r="DL77" s="278"/>
      <c r="DM77" s="278"/>
      <c r="DN77" s="278"/>
      <c r="DO77" s="278"/>
      <c r="DP77" s="278"/>
      <c r="DQ77" s="278"/>
      <c r="DR77" s="278"/>
      <c r="DS77" s="278"/>
      <c r="DT77" s="278"/>
      <c r="DU77" s="278"/>
      <c r="DV77" s="278"/>
      <c r="DW77" s="278"/>
      <c r="DX77" s="278"/>
      <c r="DY77" s="278"/>
      <c r="DZ77" s="278"/>
      <c r="EA77" s="278"/>
      <c r="EB77" s="278"/>
      <c r="EC77" s="278"/>
      <c r="ED77" s="278"/>
      <c r="EE77" s="278"/>
      <c r="EF77" s="278"/>
      <c r="EG77" s="278"/>
      <c r="EH77" s="278"/>
      <c r="EI77" s="278"/>
      <c r="EJ77" s="278"/>
      <c r="EK77" s="278"/>
      <c r="EL77" s="278"/>
      <c r="EM77" s="278"/>
      <c r="EN77" s="278"/>
      <c r="EO77" s="278"/>
    </row>
    <row r="78" spans="2:156" ht="48.75" customHeight="1">
      <c r="B78" s="257">
        <v>0.224</v>
      </c>
      <c r="C78" s="257">
        <v>0.25900000000000001</v>
      </c>
      <c r="D78" s="257">
        <v>3.9399999999999998E-2</v>
      </c>
      <c r="E78" s="971"/>
      <c r="F78" s="257">
        <v>0.63</v>
      </c>
      <c r="G78" s="257">
        <v>0.69</v>
      </c>
      <c r="H78" s="257">
        <v>0.312</v>
      </c>
      <c r="I78" s="971"/>
      <c r="J78" s="257">
        <v>1.8</v>
      </c>
      <c r="K78" s="257">
        <v>1.895</v>
      </c>
      <c r="L78" s="257">
        <v>2.54</v>
      </c>
      <c r="M78" s="971"/>
      <c r="N78" s="176"/>
      <c r="O78" s="177"/>
      <c r="P78" s="177"/>
      <c r="Q78" s="960"/>
      <c r="R78" s="176"/>
      <c r="S78" s="177"/>
      <c r="T78" s="177"/>
      <c r="U78" s="178"/>
      <c r="AF78" s="88"/>
      <c r="AG78" s="88"/>
      <c r="AH78" s="88"/>
      <c r="AI78" s="88"/>
      <c r="AJ78" s="88"/>
      <c r="AK78" s="88"/>
      <c r="AL78" s="88"/>
      <c r="AM78" s="88"/>
      <c r="AN78" s="88"/>
      <c r="AO78" s="88"/>
      <c r="AP78" s="88"/>
      <c r="AQ78" s="88"/>
      <c r="AX78" s="85"/>
      <c r="AY78" s="86"/>
      <c r="AZ78" s="86"/>
      <c r="BA78" s="86"/>
      <c r="BB78" s="86"/>
      <c r="BC78" s="86"/>
      <c r="BD78" s="86"/>
      <c r="BE78" s="86"/>
      <c r="BF78" s="87"/>
      <c r="BZ78" s="657"/>
      <c r="CA78" s="657"/>
      <c r="CB78" s="657"/>
      <c r="CC78" s="657"/>
      <c r="CD78" s="657"/>
      <c r="CE78" s="657"/>
      <c r="CF78" s="657"/>
      <c r="CG78" s="657"/>
      <c r="CH78" s="657"/>
      <c r="CI78" s="657"/>
      <c r="CJ78" s="657"/>
      <c r="CK78" s="657"/>
      <c r="CL78" s="657"/>
      <c r="CM78" s="278"/>
      <c r="CN78" s="342"/>
      <c r="CO78" s="337">
        <v>0.14899999999999999</v>
      </c>
      <c r="CP78" s="336">
        <v>20750</v>
      </c>
      <c r="CQ78" s="336">
        <v>22750</v>
      </c>
      <c r="CR78" s="981"/>
      <c r="CS78" s="337">
        <v>0.14899999999999999</v>
      </c>
      <c r="CT78" s="336"/>
      <c r="CU78" s="336"/>
      <c r="CV78" s="981"/>
      <c r="CW78" s="337">
        <v>0.14899999999999999</v>
      </c>
      <c r="CX78" s="336"/>
      <c r="CY78" s="336"/>
      <c r="CZ78" s="981"/>
      <c r="DA78" s="337">
        <v>0.14899999999999999</v>
      </c>
      <c r="DB78" s="336"/>
      <c r="DC78" s="336"/>
      <c r="DD78" s="981"/>
      <c r="DE78" s="337">
        <v>0.14899999999999999</v>
      </c>
      <c r="DF78" s="336"/>
      <c r="DG78" s="336"/>
      <c r="DH78" s="981"/>
      <c r="DI78" s="337">
        <v>0.14899999999999999</v>
      </c>
      <c r="DJ78" s="336"/>
      <c r="DK78" s="336"/>
      <c r="DL78" s="278"/>
      <c r="DM78" s="278"/>
      <c r="DN78" s="278"/>
      <c r="DO78" s="278"/>
      <c r="DP78" s="278"/>
      <c r="DQ78" s="278"/>
      <c r="DR78" s="278"/>
      <c r="DS78" s="278"/>
      <c r="DT78" s="278"/>
      <c r="DU78" s="278"/>
      <c r="DV78" s="278"/>
      <c r="DW78" s="278"/>
      <c r="DX78" s="278"/>
      <c r="DY78" s="278"/>
      <c r="DZ78" s="278"/>
      <c r="EA78" s="278"/>
      <c r="EB78" s="278"/>
      <c r="EC78" s="278"/>
      <c r="ED78" s="278"/>
      <c r="EE78" s="278"/>
      <c r="EF78" s="278"/>
      <c r="EG78" s="278"/>
      <c r="EH78" s="278"/>
      <c r="EI78" s="278"/>
      <c r="EJ78" s="278"/>
      <c r="EK78" s="278"/>
      <c r="EL78" s="278"/>
      <c r="EM78" s="278"/>
      <c r="EN78" s="278"/>
      <c r="EO78" s="278"/>
    </row>
    <row r="79" spans="2:156" ht="48.75" customHeight="1">
      <c r="B79" s="257">
        <v>0.23599999999999999</v>
      </c>
      <c r="C79" s="257">
        <v>0.27100000000000002</v>
      </c>
      <c r="D79" s="257">
        <v>4.3700000000000003E-2</v>
      </c>
      <c r="E79" s="971"/>
      <c r="F79" s="257">
        <v>0.67</v>
      </c>
      <c r="G79" s="257">
        <v>0.73</v>
      </c>
      <c r="H79" s="257">
        <v>0.35299999999999998</v>
      </c>
      <c r="I79" s="971"/>
      <c r="J79" s="257">
        <v>1.9</v>
      </c>
      <c r="K79" s="257">
        <v>1.9950000000000001</v>
      </c>
      <c r="L79" s="257">
        <v>2.83</v>
      </c>
      <c r="M79" s="971"/>
      <c r="N79" s="176"/>
      <c r="O79" s="177"/>
      <c r="P79" s="177"/>
      <c r="Q79" s="960"/>
      <c r="R79" s="176"/>
      <c r="S79" s="177"/>
      <c r="T79" s="177"/>
      <c r="U79" s="178"/>
      <c r="X79" s="88"/>
      <c r="Y79" s="259"/>
      <c r="Z79" s="88"/>
      <c r="AF79" s="88"/>
      <c r="AG79" s="88"/>
      <c r="AH79" s="88"/>
      <c r="AI79" s="88"/>
      <c r="AJ79" s="88"/>
      <c r="AK79" s="88"/>
      <c r="AL79" s="88"/>
      <c r="AM79" s="88"/>
      <c r="AN79" s="88"/>
      <c r="AO79" s="88"/>
      <c r="AP79" s="88"/>
      <c r="AQ79" s="88"/>
      <c r="BZ79" s="657"/>
      <c r="CA79" s="657"/>
      <c r="CB79" s="657"/>
      <c r="CC79" s="657"/>
      <c r="CD79" s="657"/>
      <c r="CE79" s="657"/>
      <c r="CF79" s="657"/>
      <c r="CG79" s="657"/>
      <c r="CH79" s="657"/>
      <c r="CI79" s="657"/>
      <c r="CJ79" s="657"/>
      <c r="CK79" s="657"/>
      <c r="CL79" s="657"/>
      <c r="CM79" s="278"/>
      <c r="CN79" s="342"/>
      <c r="CO79" s="337">
        <v>0.16800000000000001</v>
      </c>
      <c r="CP79" s="336">
        <v>21750</v>
      </c>
      <c r="CQ79" s="336">
        <v>23750</v>
      </c>
      <c r="CR79" s="981"/>
      <c r="CS79" s="337">
        <v>0.16800000000000001</v>
      </c>
      <c r="CT79" s="336"/>
      <c r="CU79" s="336"/>
      <c r="CV79" s="981"/>
      <c r="CW79" s="337">
        <v>0.16800000000000001</v>
      </c>
      <c r="CX79" s="336"/>
      <c r="CY79" s="336"/>
      <c r="CZ79" s="981"/>
      <c r="DA79" s="337">
        <v>0.16800000000000001</v>
      </c>
      <c r="DB79" s="336"/>
      <c r="DC79" s="336"/>
      <c r="DD79" s="981"/>
      <c r="DE79" s="337">
        <v>0.16800000000000001</v>
      </c>
      <c r="DF79" s="336"/>
      <c r="DG79" s="336"/>
      <c r="DH79" s="981"/>
      <c r="DI79" s="337">
        <v>0.16800000000000001</v>
      </c>
      <c r="DJ79" s="336"/>
      <c r="DK79" s="336"/>
      <c r="DL79" s="278"/>
      <c r="DM79" s="278"/>
      <c r="DN79" s="278"/>
      <c r="DO79" s="278"/>
      <c r="DP79" s="278"/>
      <c r="DQ79" s="278"/>
      <c r="DR79" s="278"/>
      <c r="DS79" s="278"/>
      <c r="DT79" s="278"/>
      <c r="DU79" s="278"/>
      <c r="DV79" s="278"/>
      <c r="DW79" s="278"/>
      <c r="DX79" s="278"/>
      <c r="DY79" s="278"/>
      <c r="DZ79" s="278"/>
      <c r="EA79" s="278"/>
      <c r="EB79" s="278"/>
      <c r="EC79" s="278"/>
      <c r="ED79" s="278"/>
      <c r="EE79" s="278"/>
      <c r="EF79" s="278"/>
      <c r="EG79" s="278"/>
      <c r="EH79" s="278"/>
      <c r="EI79" s="278"/>
      <c r="EJ79" s="278"/>
      <c r="EK79" s="278"/>
      <c r="EL79" s="278"/>
      <c r="EM79" s="278"/>
      <c r="EN79" s="278"/>
      <c r="EO79" s="278"/>
    </row>
    <row r="80" spans="2:156" ht="48.75" customHeight="1">
      <c r="B80" s="257">
        <v>0.25</v>
      </c>
      <c r="C80" s="257">
        <v>0.28499999999999998</v>
      </c>
      <c r="D80" s="257">
        <v>4.9099999999999998E-2</v>
      </c>
      <c r="E80" s="971"/>
      <c r="F80" s="257">
        <v>0.71</v>
      </c>
      <c r="G80" s="257">
        <v>0.77</v>
      </c>
      <c r="H80" s="257">
        <v>0.39600000000000002</v>
      </c>
      <c r="I80" s="971"/>
      <c r="J80" s="257">
        <v>2</v>
      </c>
      <c r="K80" s="257">
        <v>2.0950000000000002</v>
      </c>
      <c r="L80" s="257">
        <v>3.14</v>
      </c>
      <c r="M80" s="971"/>
      <c r="N80" s="176"/>
      <c r="O80" s="177"/>
      <c r="P80" s="177"/>
      <c r="Q80" s="960"/>
      <c r="R80" s="176"/>
      <c r="S80" s="177"/>
      <c r="T80" s="177"/>
      <c r="U80" s="178"/>
      <c r="X80" s="88"/>
      <c r="Y80" s="88"/>
      <c r="Z80" s="88"/>
      <c r="AF80" s="88"/>
      <c r="AG80" s="88"/>
      <c r="AH80" s="88"/>
      <c r="AI80" s="88"/>
      <c r="AJ80" s="88"/>
      <c r="AK80" s="88"/>
      <c r="AL80" s="88"/>
      <c r="AM80" s="88"/>
      <c r="AN80" s="88"/>
      <c r="AO80" s="88"/>
      <c r="AP80" s="88"/>
      <c r="AQ80" s="88"/>
      <c r="BZ80" s="657"/>
      <c r="CA80" s="657"/>
      <c r="CB80" s="657"/>
      <c r="CC80" s="657"/>
      <c r="CD80" s="657"/>
      <c r="CE80" s="657"/>
      <c r="CF80" s="657"/>
      <c r="CG80" s="657"/>
      <c r="CH80" s="657"/>
      <c r="CI80" s="657"/>
      <c r="CJ80" s="657"/>
      <c r="CK80" s="657"/>
      <c r="CL80" s="657"/>
      <c r="CM80" s="278"/>
      <c r="CN80" s="342"/>
      <c r="CO80" s="337">
        <v>0.191</v>
      </c>
      <c r="CP80" s="336">
        <v>23000</v>
      </c>
      <c r="CQ80" s="336">
        <v>25000</v>
      </c>
      <c r="CR80" s="981"/>
      <c r="CS80" s="337">
        <v>0.191</v>
      </c>
      <c r="CT80" s="336"/>
      <c r="CU80" s="336"/>
      <c r="CV80" s="981"/>
      <c r="CW80" s="337">
        <v>0.191</v>
      </c>
      <c r="CX80" s="336"/>
      <c r="CY80" s="336"/>
      <c r="CZ80" s="981"/>
      <c r="DA80" s="337">
        <v>0.191</v>
      </c>
      <c r="DB80" s="336"/>
      <c r="DC80" s="336"/>
      <c r="DD80" s="981"/>
      <c r="DE80" s="337">
        <v>0.191</v>
      </c>
      <c r="DF80" s="336"/>
      <c r="DG80" s="336"/>
      <c r="DH80" s="981"/>
      <c r="DI80" s="337">
        <v>0.191</v>
      </c>
      <c r="DJ80" s="336"/>
      <c r="DK80" s="336"/>
      <c r="DL80" s="278"/>
      <c r="DM80" s="278"/>
      <c r="DN80" s="278"/>
      <c r="DO80" s="278"/>
      <c r="DP80" s="278"/>
      <c r="DQ80" s="278"/>
      <c r="DR80" s="278"/>
      <c r="DS80" s="278"/>
      <c r="DT80" s="278"/>
      <c r="DU80" s="278"/>
      <c r="DV80" s="278"/>
      <c r="DW80" s="278"/>
      <c r="DX80" s="278"/>
      <c r="DY80" s="278"/>
      <c r="DZ80" s="278"/>
      <c r="EA80" s="278"/>
      <c r="EB80" s="278"/>
      <c r="EC80" s="278"/>
      <c r="ED80" s="278"/>
      <c r="EE80" s="278"/>
      <c r="EF80" s="278"/>
      <c r="EG80" s="278"/>
      <c r="EH80" s="278"/>
      <c r="EI80" s="278"/>
      <c r="EJ80" s="278"/>
      <c r="EK80" s="278"/>
      <c r="EL80" s="278"/>
      <c r="EM80" s="278"/>
      <c r="EN80" s="278"/>
      <c r="EO80" s="278"/>
    </row>
    <row r="81" spans="2:147" ht="48.75" customHeight="1">
      <c r="B81" s="257">
        <v>0.26500000000000001</v>
      </c>
      <c r="C81" s="257">
        <v>0.3</v>
      </c>
      <c r="D81" s="257">
        <v>5.5199999999999999E-2</v>
      </c>
      <c r="E81" s="972"/>
      <c r="F81" s="257">
        <v>0.75</v>
      </c>
      <c r="G81" s="257">
        <v>0.81499999999999995</v>
      </c>
      <c r="H81" s="257">
        <v>0.442</v>
      </c>
      <c r="I81" s="972"/>
      <c r="J81" s="257">
        <v>2.12</v>
      </c>
      <c r="K81" s="257">
        <v>2.2200000000000002</v>
      </c>
      <c r="L81" s="257">
        <v>3.53</v>
      </c>
      <c r="M81" s="972"/>
      <c r="N81" s="85"/>
      <c r="O81" s="86"/>
      <c r="P81" s="86"/>
      <c r="Q81" s="962"/>
      <c r="R81" s="85"/>
      <c r="S81" s="86"/>
      <c r="T81" s="86"/>
      <c r="U81" s="87"/>
      <c r="X81" s="88"/>
      <c r="Y81" s="88"/>
      <c r="Z81" s="88"/>
      <c r="AF81" s="88"/>
      <c r="AG81" s="88"/>
      <c r="AH81" s="88"/>
      <c r="AI81" s="88"/>
      <c r="AJ81" s="88"/>
      <c r="AK81" s="88"/>
      <c r="AL81" s="88"/>
      <c r="AM81" s="88"/>
      <c r="AN81" s="88"/>
      <c r="AO81" s="88"/>
      <c r="AP81" s="88"/>
      <c r="AQ81" s="88"/>
      <c r="BZ81" s="657"/>
      <c r="CA81" s="657"/>
      <c r="CB81" s="657"/>
      <c r="CC81" s="657"/>
      <c r="CD81" s="657"/>
      <c r="CE81" s="657"/>
      <c r="CF81" s="657"/>
      <c r="CG81" s="657"/>
      <c r="CH81" s="657"/>
      <c r="CI81" s="657"/>
      <c r="CJ81" s="657"/>
      <c r="CK81" s="657"/>
      <c r="CL81" s="657"/>
      <c r="CM81" s="278"/>
      <c r="CN81" s="342"/>
      <c r="CO81" s="337">
        <v>0.22500000000000001</v>
      </c>
      <c r="CP81" s="336">
        <v>24250</v>
      </c>
      <c r="CQ81" s="336">
        <v>26250</v>
      </c>
      <c r="CR81" s="981"/>
      <c r="CS81" s="337">
        <v>0.22500000000000001</v>
      </c>
      <c r="CT81" s="336"/>
      <c r="CU81" s="336"/>
      <c r="CV81" s="981"/>
      <c r="CW81" s="337">
        <v>0.22500000000000001</v>
      </c>
      <c r="CX81" s="336"/>
      <c r="CY81" s="336"/>
      <c r="CZ81" s="981"/>
      <c r="DA81" s="337">
        <v>0.22500000000000001</v>
      </c>
      <c r="DB81" s="336"/>
      <c r="DC81" s="336"/>
      <c r="DD81" s="981"/>
      <c r="DE81" s="337">
        <v>0.22500000000000001</v>
      </c>
      <c r="DF81" s="336"/>
      <c r="DG81" s="336"/>
      <c r="DH81" s="981"/>
      <c r="DI81" s="337">
        <v>0.22500000000000001</v>
      </c>
      <c r="DJ81" s="336"/>
      <c r="DK81" s="336"/>
      <c r="DL81" s="278"/>
      <c r="DM81" s="278"/>
      <c r="DN81" s="278"/>
      <c r="DO81" s="278"/>
      <c r="DP81" s="278"/>
      <c r="DQ81" s="278"/>
      <c r="DR81" s="278"/>
      <c r="DS81" s="278"/>
      <c r="DT81" s="278"/>
      <c r="DU81" s="278"/>
      <c r="DV81" s="278"/>
      <c r="DW81" s="278"/>
      <c r="DX81" s="278"/>
      <c r="DY81" s="278"/>
      <c r="DZ81" s="278"/>
      <c r="EA81" s="278"/>
      <c r="EB81" s="278"/>
      <c r="EC81" s="278"/>
      <c r="ED81" s="278"/>
      <c r="EE81" s="278"/>
      <c r="EF81" s="278"/>
      <c r="EG81" s="278"/>
      <c r="EH81" s="278"/>
      <c r="EI81" s="278"/>
      <c r="EJ81" s="278"/>
      <c r="EK81" s="278"/>
      <c r="EL81" s="278"/>
      <c r="EM81" s="278"/>
      <c r="EN81" s="278"/>
      <c r="EO81" s="278"/>
      <c r="EP81" s="278"/>
      <c r="EQ81" s="278"/>
    </row>
    <row r="82" spans="2:147" ht="48.75" customHeight="1">
      <c r="BZ82" s="657"/>
      <c r="CA82" s="657"/>
      <c r="CB82" s="657"/>
      <c r="CC82" s="657"/>
      <c r="CD82" s="657"/>
      <c r="CE82" s="657"/>
      <c r="CF82" s="657"/>
      <c r="CG82" s="657"/>
      <c r="CH82" s="657"/>
      <c r="CI82" s="657"/>
      <c r="CJ82" s="657"/>
      <c r="CK82" s="657"/>
      <c r="CL82" s="657"/>
      <c r="CM82" s="278"/>
      <c r="CN82" s="342"/>
      <c r="CO82" s="337">
        <v>0.27200000000000002</v>
      </c>
      <c r="CP82" s="336">
        <v>34750</v>
      </c>
      <c r="CQ82" s="336">
        <v>36750</v>
      </c>
      <c r="CR82" s="981"/>
      <c r="CS82" s="337">
        <v>0.27200000000000002</v>
      </c>
      <c r="CT82" s="336"/>
      <c r="CU82" s="336"/>
      <c r="CV82" s="981"/>
      <c r="CW82" s="337">
        <v>0.27200000000000002</v>
      </c>
      <c r="CX82" s="336"/>
      <c r="CY82" s="336"/>
      <c r="CZ82" s="981"/>
      <c r="DA82" s="337">
        <v>0.27200000000000002</v>
      </c>
      <c r="DB82" s="336"/>
      <c r="DC82" s="336"/>
      <c r="DD82" s="981"/>
      <c r="DE82" s="337">
        <v>0.27200000000000002</v>
      </c>
      <c r="DF82" s="336"/>
      <c r="DG82" s="336"/>
      <c r="DH82" s="981"/>
      <c r="DI82" s="337">
        <v>0.27200000000000002</v>
      </c>
      <c r="DJ82" s="336"/>
      <c r="DK82" s="336"/>
      <c r="DL82" s="278"/>
      <c r="DM82" s="278"/>
      <c r="DN82" s="278"/>
      <c r="DO82" s="278"/>
      <c r="DP82" s="278"/>
      <c r="DQ82" s="278"/>
      <c r="DR82" s="278"/>
      <c r="DS82" s="278"/>
      <c r="DT82" s="278"/>
      <c r="DU82" s="278"/>
      <c r="DV82" s="278"/>
      <c r="DW82" s="278"/>
      <c r="DX82" s="278"/>
      <c r="DY82" s="278"/>
      <c r="DZ82" s="278"/>
      <c r="EA82" s="278"/>
      <c r="EB82" s="278"/>
      <c r="EC82" s="278"/>
      <c r="ED82" s="278"/>
      <c r="EE82" s="278"/>
      <c r="EF82" s="278"/>
      <c r="EG82" s="278"/>
      <c r="EH82" s="278"/>
      <c r="EI82" s="278"/>
      <c r="EJ82" s="278"/>
      <c r="EK82" s="278"/>
      <c r="EL82" s="278"/>
      <c r="EM82" s="278"/>
      <c r="EN82" s="278"/>
      <c r="EO82" s="278"/>
      <c r="EP82" s="278"/>
      <c r="EQ82" s="278"/>
    </row>
    <row r="83" spans="2:147" ht="48.75" customHeight="1">
      <c r="BZ83" s="657"/>
      <c r="CA83" s="657"/>
      <c r="CB83" s="657"/>
      <c r="CC83" s="657"/>
      <c r="CD83" s="657"/>
      <c r="CE83" s="657"/>
      <c r="CF83" s="657"/>
      <c r="CG83" s="657"/>
      <c r="CH83" s="657"/>
      <c r="CI83" s="657"/>
      <c r="CJ83" s="657"/>
      <c r="CK83" s="657"/>
      <c r="CL83" s="657"/>
      <c r="CM83" s="278"/>
      <c r="CN83" s="342"/>
      <c r="CO83" s="337">
        <v>0.313</v>
      </c>
      <c r="CP83" s="336">
        <v>36250</v>
      </c>
      <c r="CQ83" s="336">
        <v>38250</v>
      </c>
      <c r="CR83" s="981"/>
      <c r="CS83" s="337">
        <v>0.313</v>
      </c>
      <c r="CT83" s="336"/>
      <c r="CU83" s="336"/>
      <c r="CV83" s="981"/>
      <c r="CW83" s="337">
        <v>0.313</v>
      </c>
      <c r="CX83" s="336"/>
      <c r="CY83" s="336"/>
      <c r="CZ83" s="981"/>
      <c r="DA83" s="337">
        <v>0.313</v>
      </c>
      <c r="DB83" s="336"/>
      <c r="DC83" s="336"/>
      <c r="DD83" s="981"/>
      <c r="DE83" s="337">
        <v>0.313</v>
      </c>
      <c r="DF83" s="336"/>
      <c r="DG83" s="336"/>
      <c r="DH83" s="981"/>
      <c r="DI83" s="337">
        <v>0.313</v>
      </c>
      <c r="DJ83" s="336"/>
      <c r="DK83" s="336"/>
      <c r="DL83" s="278"/>
      <c r="DM83" s="278"/>
      <c r="DN83" s="278"/>
      <c r="DO83" s="278"/>
      <c r="DP83" s="278"/>
      <c r="DQ83" s="278"/>
      <c r="DR83" s="278"/>
      <c r="DS83" s="278"/>
      <c r="DT83" s="278"/>
      <c r="DU83" s="278"/>
      <c r="DV83" s="278"/>
      <c r="DW83" s="278"/>
      <c r="DX83" s="278"/>
      <c r="DY83" s="278"/>
      <c r="DZ83" s="278"/>
      <c r="EA83" s="278"/>
      <c r="EB83" s="278"/>
      <c r="EC83" s="278"/>
      <c r="ED83" s="278"/>
      <c r="EE83" s="278"/>
      <c r="EF83" s="278"/>
      <c r="EG83" s="278"/>
      <c r="EH83" s="278"/>
      <c r="EI83" s="278"/>
      <c r="EJ83" s="278"/>
      <c r="EK83" s="278"/>
      <c r="EL83" s="278"/>
      <c r="EM83" s="278"/>
      <c r="EN83" s="278"/>
      <c r="EO83" s="278"/>
      <c r="EP83" s="278"/>
      <c r="EQ83" s="278"/>
    </row>
    <row r="84" spans="2:147" ht="48.75" customHeight="1">
      <c r="AI84" s="12"/>
      <c r="BF84" s="278"/>
      <c r="BG84" s="278"/>
      <c r="BH84" s="278"/>
      <c r="BI84" s="278"/>
      <c r="BZ84" s="657"/>
      <c r="CA84" s="657"/>
      <c r="CB84" s="657"/>
      <c r="CC84" s="657"/>
      <c r="CD84" s="657"/>
      <c r="CE84" s="657"/>
      <c r="CF84" s="657"/>
      <c r="CG84" s="657"/>
      <c r="CH84" s="657"/>
      <c r="CI84" s="657"/>
      <c r="CJ84" s="657"/>
      <c r="CK84" s="657"/>
      <c r="CL84" s="657"/>
      <c r="CM84" s="278"/>
      <c r="CN84" s="342"/>
      <c r="CO84" s="337">
        <v>0.34899999999999998</v>
      </c>
      <c r="CP84" s="336">
        <v>38250</v>
      </c>
      <c r="CQ84" s="336">
        <v>40000</v>
      </c>
      <c r="CR84" s="981"/>
      <c r="CS84" s="337">
        <v>0.34899999999999998</v>
      </c>
      <c r="CT84" s="336"/>
      <c r="CU84" s="336"/>
      <c r="CV84" s="981"/>
      <c r="CW84" s="337">
        <v>0.34899999999999998</v>
      </c>
      <c r="CX84" s="336"/>
      <c r="CY84" s="336"/>
      <c r="CZ84" s="981"/>
      <c r="DA84" s="337">
        <v>0.34899999999999998</v>
      </c>
      <c r="DB84" s="336"/>
      <c r="DC84" s="336"/>
      <c r="DD84" s="981"/>
      <c r="DE84" s="337">
        <v>0.34899999999999998</v>
      </c>
      <c r="DF84" s="336"/>
      <c r="DG84" s="336"/>
      <c r="DH84" s="981"/>
      <c r="DI84" s="337">
        <v>0.34899999999999998</v>
      </c>
      <c r="DJ84" s="336"/>
      <c r="DK84" s="336"/>
      <c r="DL84" s="278"/>
      <c r="DM84" s="278"/>
      <c r="DN84" s="278"/>
      <c r="DO84" s="278"/>
      <c r="DP84" s="278"/>
      <c r="DQ84" s="278"/>
      <c r="DR84" s="278"/>
      <c r="DS84" s="278"/>
      <c r="DT84" s="278"/>
      <c r="DU84" s="278"/>
      <c r="DV84" s="278"/>
      <c r="DW84" s="278"/>
      <c r="DX84" s="278"/>
      <c r="DY84" s="278"/>
      <c r="DZ84" s="278"/>
      <c r="EA84" s="278"/>
      <c r="EB84" s="278"/>
      <c r="EC84" s="278"/>
      <c r="ED84" s="278"/>
      <c r="EE84" s="278"/>
      <c r="EF84" s="278"/>
      <c r="EG84" s="278"/>
      <c r="EH84" s="278"/>
      <c r="EI84" s="278"/>
      <c r="EJ84" s="278"/>
      <c r="EK84" s="278"/>
      <c r="EL84" s="278"/>
      <c r="EM84" s="278"/>
      <c r="EN84" s="278"/>
      <c r="EO84" s="278"/>
      <c r="EP84" s="278"/>
      <c r="EQ84" s="278"/>
    </row>
    <row r="85" spans="2:147" ht="48.75" customHeight="1">
      <c r="B85" s="970"/>
      <c r="C85" s="654" t="s">
        <v>402</v>
      </c>
      <c r="D85" s="645">
        <f>'Вывод расчетов'!$AP$20</f>
        <v>4</v>
      </c>
      <c r="E85" s="861" t="s">
        <v>885</v>
      </c>
      <c r="F85" s="861"/>
      <c r="G85" s="861"/>
      <c r="H85" s="644" t="str">
        <f>'Вывод расчетов'!$M$67</f>
        <v>IP44</v>
      </c>
      <c r="I85" s="1285" t="s">
        <v>510</v>
      </c>
      <c r="J85" s="1286"/>
      <c r="K85" s="1286"/>
      <c r="L85" s="1286"/>
      <c r="M85" s="1286"/>
      <c r="N85" s="1286"/>
      <c r="O85" s="1286"/>
      <c r="P85" s="1761"/>
      <c r="Q85" s="259"/>
      <c r="S85" s="82"/>
      <c r="T85" s="84"/>
      <c r="U85" s="1121" t="s">
        <v>510</v>
      </c>
      <c r="V85" s="1122"/>
      <c r="W85" s="1122"/>
      <c r="X85" s="1122"/>
      <c r="Y85" s="1122"/>
      <c r="Z85" s="1122"/>
      <c r="AA85" s="1122"/>
      <c r="AB85" s="1122"/>
      <c r="AC85" s="1122"/>
      <c r="AD85" s="1122"/>
      <c r="AE85" s="1122"/>
      <c r="AF85" s="1122"/>
      <c r="AG85" s="1122"/>
      <c r="AH85" s="1122"/>
      <c r="AI85" s="1122"/>
      <c r="AJ85" s="1122"/>
      <c r="AK85" s="1122"/>
      <c r="AL85" s="1122"/>
      <c r="AM85" s="1122"/>
      <c r="AN85" s="1122"/>
      <c r="AO85" s="1122"/>
      <c r="AP85" s="1122"/>
      <c r="AQ85" s="1122"/>
      <c r="AR85" s="1122"/>
      <c r="AS85" s="1122"/>
      <c r="AT85" s="1122"/>
      <c r="AU85" s="1122"/>
      <c r="AV85" s="1122"/>
      <c r="AW85" s="1122"/>
      <c r="AX85" s="1123"/>
      <c r="AY85" s="259"/>
      <c r="BF85" s="278"/>
      <c r="BG85" s="278"/>
      <c r="BH85" s="278"/>
      <c r="BI85" s="278"/>
      <c r="BZ85" s="657"/>
      <c r="CA85" s="657"/>
      <c r="CB85" s="657"/>
      <c r="CC85" s="657"/>
      <c r="CD85" s="657"/>
      <c r="CE85" s="657"/>
      <c r="CF85" s="657"/>
      <c r="CG85" s="657"/>
      <c r="CH85" s="657"/>
      <c r="CI85" s="657"/>
      <c r="CJ85" s="657"/>
      <c r="CK85" s="657"/>
      <c r="CL85" s="657"/>
      <c r="CM85" s="278"/>
      <c r="CN85" s="342"/>
      <c r="CO85" s="337">
        <v>0.39200000000000002</v>
      </c>
      <c r="CP85" s="336">
        <v>39500</v>
      </c>
      <c r="CQ85" s="336">
        <v>41500</v>
      </c>
      <c r="CR85" s="981"/>
      <c r="CS85" s="337">
        <v>0.39200000000000002</v>
      </c>
      <c r="CT85" s="336"/>
      <c r="CU85" s="336"/>
      <c r="CV85" s="981"/>
      <c r="CW85" s="337">
        <v>0.39200000000000002</v>
      </c>
      <c r="CX85" s="336"/>
      <c r="CY85" s="336"/>
      <c r="CZ85" s="981"/>
      <c r="DA85" s="337">
        <v>0.39200000000000002</v>
      </c>
      <c r="DB85" s="336"/>
      <c r="DC85" s="336"/>
      <c r="DD85" s="981"/>
      <c r="DE85" s="337">
        <v>0.39200000000000002</v>
      </c>
      <c r="DF85" s="336"/>
      <c r="DG85" s="336"/>
      <c r="DH85" s="981"/>
      <c r="DI85" s="337">
        <v>0.39200000000000002</v>
      </c>
      <c r="DJ85" s="336"/>
      <c r="DK85" s="336"/>
      <c r="DL85" s="278"/>
      <c r="DM85" s="278"/>
      <c r="DN85" s="278"/>
      <c r="DO85" s="278"/>
      <c r="DP85" s="278"/>
      <c r="DQ85" s="278"/>
      <c r="DR85" s="278"/>
      <c r="DS85" s="278"/>
      <c r="DT85" s="278"/>
      <c r="DU85" s="278"/>
      <c r="DV85" s="278"/>
      <c r="DW85" s="278"/>
      <c r="DX85" s="278"/>
      <c r="DY85" s="278"/>
      <c r="DZ85" s="278"/>
      <c r="EA85" s="278"/>
      <c r="EB85" s="278"/>
      <c r="EC85" s="278"/>
      <c r="ED85" s="278"/>
      <c r="EE85" s="278"/>
      <c r="EF85" s="278"/>
      <c r="EG85" s="278"/>
      <c r="EH85" s="278"/>
      <c r="EI85" s="278"/>
      <c r="EJ85" s="278"/>
      <c r="EK85" s="278"/>
      <c r="EL85" s="278"/>
      <c r="EM85" s="278"/>
      <c r="EN85" s="278"/>
      <c r="EO85" s="278"/>
      <c r="EP85" s="278"/>
      <c r="EQ85" s="278"/>
    </row>
    <row r="86" spans="2:147" ht="48.75" customHeight="1">
      <c r="B86" s="971"/>
      <c r="C86" s="1287" t="s">
        <v>454</v>
      </c>
      <c r="D86" s="1287"/>
      <c r="E86" s="1287"/>
      <c r="F86" s="257" t="s">
        <v>455</v>
      </c>
      <c r="G86" s="1991" t="s">
        <v>456</v>
      </c>
      <c r="H86" s="1991"/>
      <c r="I86" s="1991"/>
      <c r="J86" s="1991"/>
      <c r="K86" s="1991"/>
      <c r="L86" s="1991" t="s">
        <v>457</v>
      </c>
      <c r="M86" s="1991"/>
      <c r="N86" s="1991"/>
      <c r="O86" s="1991"/>
      <c r="P86" s="1991"/>
      <c r="Q86" s="1991"/>
      <c r="S86" s="176"/>
      <c r="T86" s="178"/>
      <c r="U86" s="280"/>
      <c r="V86" s="1941" t="s">
        <v>456</v>
      </c>
      <c r="W86" s="1941"/>
      <c r="X86" s="1941"/>
      <c r="Y86" s="1941"/>
      <c r="Z86" s="1941"/>
      <c r="AA86" s="1941"/>
      <c r="AB86" s="281"/>
      <c r="AC86" s="1941" t="s">
        <v>457</v>
      </c>
      <c r="AD86" s="1941"/>
      <c r="AE86" s="1941"/>
      <c r="AF86" s="1941"/>
      <c r="AG86" s="1941"/>
      <c r="AH86" s="1941"/>
      <c r="AI86" s="2011"/>
      <c r="AJ86" s="176"/>
      <c r="AK86" s="177"/>
      <c r="AL86" s="282"/>
      <c r="AM86" s="1941" t="s">
        <v>456</v>
      </c>
      <c r="AN86" s="1941"/>
      <c r="AO86" s="1941"/>
      <c r="AP86" s="1941"/>
      <c r="AQ86" s="1941"/>
      <c r="AR86" s="1941"/>
      <c r="AS86" s="1933"/>
      <c r="AT86" s="1941" t="s">
        <v>457</v>
      </c>
      <c r="AU86" s="1941"/>
      <c r="AV86" s="1941"/>
      <c r="AW86" s="1941"/>
      <c r="AX86" s="1941"/>
      <c r="AY86" s="1941"/>
      <c r="BF86" s="278"/>
      <c r="BG86" s="278"/>
      <c r="BH86" s="278"/>
      <c r="BI86" s="278"/>
      <c r="BZ86" s="657"/>
      <c r="CA86" s="657"/>
      <c r="CB86" s="657"/>
      <c r="CC86" s="657"/>
      <c r="CD86" s="657"/>
      <c r="CE86" s="657"/>
      <c r="CF86" s="657"/>
      <c r="CG86" s="657"/>
      <c r="CH86" s="657"/>
      <c r="CI86" s="657"/>
      <c r="CJ86" s="657"/>
      <c r="CK86" s="657"/>
      <c r="CL86" s="657"/>
      <c r="CM86" s="278"/>
      <c r="CN86" s="342"/>
      <c r="CO86" s="337">
        <v>0.437</v>
      </c>
      <c r="CP86" s="336">
        <v>40750</v>
      </c>
      <c r="CQ86" s="336">
        <v>42750</v>
      </c>
      <c r="CR86" s="981"/>
      <c r="CS86" s="337">
        <v>0.437</v>
      </c>
      <c r="CT86" s="336"/>
      <c r="CU86" s="336"/>
      <c r="CV86" s="981"/>
      <c r="CW86" s="337">
        <v>0.437</v>
      </c>
      <c r="CX86" s="336"/>
      <c r="CY86" s="336"/>
      <c r="CZ86" s="981"/>
      <c r="DA86" s="337">
        <v>0.437</v>
      </c>
      <c r="DB86" s="336"/>
      <c r="DC86" s="336"/>
      <c r="DD86" s="981"/>
      <c r="DE86" s="337">
        <v>0.437</v>
      </c>
      <c r="DF86" s="336"/>
      <c r="DG86" s="336"/>
      <c r="DH86" s="981"/>
      <c r="DI86" s="337">
        <v>0.437</v>
      </c>
      <c r="DJ86" s="336"/>
      <c r="DK86" s="336"/>
      <c r="DL86" s="278"/>
      <c r="DM86" s="278"/>
      <c r="DN86" s="278"/>
      <c r="DO86" s="278"/>
      <c r="DP86" s="278"/>
      <c r="DQ86" s="278"/>
      <c r="DR86" s="278"/>
      <c r="DS86" s="278"/>
      <c r="DT86" s="278"/>
      <c r="DU86" s="278"/>
      <c r="DV86" s="278"/>
      <c r="DW86" s="278"/>
      <c r="DX86" s="278"/>
      <c r="DY86" s="278"/>
      <c r="DZ86" s="278"/>
      <c r="EA86" s="278"/>
      <c r="EB86" s="278"/>
      <c r="EC86" s="278"/>
      <c r="ED86" s="278"/>
      <c r="EE86" s="278"/>
      <c r="EF86" s="278"/>
      <c r="EG86" s="278"/>
      <c r="EH86" s="278"/>
      <c r="EI86" s="278"/>
      <c r="EJ86" s="278"/>
      <c r="EK86" s="278"/>
      <c r="EL86" s="278"/>
      <c r="EM86" s="278"/>
      <c r="EN86" s="278"/>
      <c r="EO86" s="278"/>
      <c r="EP86" s="278"/>
      <c r="EQ86" s="278"/>
    </row>
    <row r="87" spans="2:147" ht="48.75" customHeight="1">
      <c r="B87" s="972"/>
      <c r="C87" s="1287"/>
      <c r="D87" s="1287"/>
      <c r="E87" s="1287"/>
      <c r="F87" s="257" t="s">
        <v>402</v>
      </c>
      <c r="G87" s="257" t="s">
        <v>381</v>
      </c>
      <c r="H87" s="257">
        <v>4</v>
      </c>
      <c r="I87" s="257">
        <v>6</v>
      </c>
      <c r="J87" s="257">
        <v>8</v>
      </c>
      <c r="K87" s="257" t="s">
        <v>458</v>
      </c>
      <c r="L87" s="257">
        <v>2</v>
      </c>
      <c r="M87" s="257">
        <v>4</v>
      </c>
      <c r="N87" s="257">
        <v>6</v>
      </c>
      <c r="O87" s="257">
        <v>8</v>
      </c>
      <c r="P87" s="257">
        <v>10</v>
      </c>
      <c r="Q87" s="257">
        <v>12</v>
      </c>
      <c r="S87" s="176"/>
      <c r="T87" s="1415" t="s">
        <v>689</v>
      </c>
      <c r="U87" s="921"/>
      <c r="V87" s="283" t="s">
        <v>416</v>
      </c>
      <c r="W87" s="1285" t="s">
        <v>459</v>
      </c>
      <c r="X87" s="1286"/>
      <c r="Y87" s="1286"/>
      <c r="Z87" s="1761"/>
      <c r="AA87" s="283" t="s">
        <v>416</v>
      </c>
      <c r="AB87" s="281"/>
      <c r="AC87" s="283" t="s">
        <v>416</v>
      </c>
      <c r="AD87" s="1285" t="s">
        <v>459</v>
      </c>
      <c r="AE87" s="1286"/>
      <c r="AF87" s="1286"/>
      <c r="AG87" s="1761"/>
      <c r="AH87" s="283" t="s">
        <v>416</v>
      </c>
      <c r="AI87" s="2011"/>
      <c r="AJ87" s="176"/>
      <c r="AK87" s="1452" t="s">
        <v>689</v>
      </c>
      <c r="AL87" s="1452"/>
      <c r="AM87" s="283" t="s">
        <v>416</v>
      </c>
      <c r="AN87" s="1285" t="s">
        <v>473</v>
      </c>
      <c r="AO87" s="1286"/>
      <c r="AP87" s="1286"/>
      <c r="AQ87" s="1761"/>
      <c r="AR87" s="283" t="s">
        <v>416</v>
      </c>
      <c r="AS87" s="1452"/>
      <c r="AT87" s="283" t="s">
        <v>416</v>
      </c>
      <c r="AU87" s="1285" t="s">
        <v>473</v>
      </c>
      <c r="AV87" s="1286"/>
      <c r="AW87" s="1286"/>
      <c r="AX87" s="1761"/>
      <c r="AY87" s="283" t="s">
        <v>416</v>
      </c>
      <c r="BF87" s="278"/>
      <c r="BG87" s="278"/>
      <c r="BH87" s="278"/>
      <c r="BI87" s="278"/>
      <c r="BZ87" s="657"/>
      <c r="CA87" s="657"/>
      <c r="CB87" s="657"/>
      <c r="CC87" s="657"/>
      <c r="CD87" s="657"/>
      <c r="CE87" s="657"/>
      <c r="CF87" s="657"/>
      <c r="CG87" s="657"/>
      <c r="CH87" s="657"/>
      <c r="CI87" s="657"/>
      <c r="CJ87" s="657"/>
      <c r="CK87" s="657"/>
      <c r="CL87" s="657"/>
      <c r="CM87" s="278"/>
      <c r="CN87" s="342"/>
      <c r="CO87" s="337">
        <v>0.53</v>
      </c>
      <c r="CP87" s="336">
        <v>48000</v>
      </c>
      <c r="CQ87" s="336">
        <v>49750</v>
      </c>
      <c r="CR87" s="981"/>
      <c r="CS87" s="337">
        <v>0.53</v>
      </c>
      <c r="CT87" s="336"/>
      <c r="CU87" s="336"/>
      <c r="CV87" s="981"/>
      <c r="CW87" s="337">
        <v>0.53</v>
      </c>
      <c r="CX87" s="336"/>
      <c r="CY87" s="336"/>
      <c r="CZ87" s="981"/>
      <c r="DA87" s="337">
        <v>0.53</v>
      </c>
      <c r="DB87" s="336"/>
      <c r="DC87" s="336"/>
      <c r="DD87" s="981"/>
      <c r="DE87" s="337">
        <v>0.53</v>
      </c>
      <c r="DF87" s="336"/>
      <c r="DG87" s="336"/>
      <c r="DH87" s="981"/>
      <c r="DI87" s="337">
        <v>0.53</v>
      </c>
      <c r="DJ87" s="336"/>
      <c r="DK87" s="336"/>
      <c r="DL87" s="278"/>
      <c r="DM87" s="278"/>
      <c r="DN87" s="278"/>
      <c r="DO87" s="278"/>
      <c r="DP87" s="278"/>
      <c r="DQ87" s="278"/>
      <c r="DR87" s="278"/>
      <c r="DS87" s="278"/>
      <c r="DT87" s="278"/>
      <c r="DU87" s="278"/>
      <c r="DV87" s="278"/>
      <c r="DW87" s="278"/>
      <c r="DX87" s="278"/>
      <c r="DY87" s="278"/>
      <c r="DZ87" s="278"/>
      <c r="EA87" s="278"/>
      <c r="EB87" s="278"/>
      <c r="EC87" s="278"/>
      <c r="ED87" s="278"/>
      <c r="EE87" s="278"/>
      <c r="EF87" s="278"/>
      <c r="EG87" s="278"/>
      <c r="EH87" s="278"/>
      <c r="EI87" s="278"/>
      <c r="EJ87" s="278"/>
      <c r="EK87" s="278"/>
      <c r="EL87" s="278"/>
      <c r="EM87" s="278"/>
      <c r="EN87" s="278"/>
      <c r="EO87" s="278"/>
      <c r="EP87" s="278"/>
      <c r="EQ87" s="278"/>
    </row>
    <row r="88" spans="2:147" ht="48.75" customHeight="1">
      <c r="B88" s="253">
        <v>1</v>
      </c>
      <c r="C88" s="1287" t="s">
        <v>459</v>
      </c>
      <c r="D88" s="1287"/>
      <c r="E88" s="1287"/>
      <c r="F88" s="257" t="s">
        <v>685</v>
      </c>
      <c r="G88" s="1287" t="s">
        <v>460</v>
      </c>
      <c r="H88" s="1287"/>
      <c r="I88" s="1287"/>
      <c r="J88" s="257" t="s">
        <v>461</v>
      </c>
      <c r="K88" s="257" t="s">
        <v>462</v>
      </c>
      <c r="L88" s="1287" t="s">
        <v>463</v>
      </c>
      <c r="M88" s="1287"/>
      <c r="N88" s="1287"/>
      <c r="O88" s="1287" t="s">
        <v>464</v>
      </c>
      <c r="P88" s="1287"/>
      <c r="Q88" s="257" t="s">
        <v>465</v>
      </c>
      <c r="S88" s="176"/>
      <c r="T88" s="1415" t="s">
        <v>402</v>
      </c>
      <c r="U88" s="921"/>
      <c r="V88" s="257">
        <v>2</v>
      </c>
      <c r="W88" s="257">
        <v>4</v>
      </c>
      <c r="X88" s="257">
        <v>6</v>
      </c>
      <c r="Y88" s="257">
        <v>8</v>
      </c>
      <c r="Z88" s="257">
        <v>10</v>
      </c>
      <c r="AA88" s="257">
        <v>12</v>
      </c>
      <c r="AB88" s="281"/>
      <c r="AC88" s="257">
        <v>2</v>
      </c>
      <c r="AD88" s="257">
        <v>4</v>
      </c>
      <c r="AE88" s="257">
        <v>6</v>
      </c>
      <c r="AF88" s="257">
        <v>8</v>
      </c>
      <c r="AG88" s="257">
        <v>10</v>
      </c>
      <c r="AH88" s="257">
        <v>12</v>
      </c>
      <c r="AI88" s="2011"/>
      <c r="AJ88" s="176"/>
      <c r="AK88" s="1415" t="s">
        <v>690</v>
      </c>
      <c r="AL88" s="921"/>
      <c r="AM88" s="115"/>
      <c r="AN88" s="1285" t="s">
        <v>696</v>
      </c>
      <c r="AO88" s="1286"/>
      <c r="AP88" s="1286"/>
      <c r="AQ88" s="1761"/>
      <c r="AR88" s="115"/>
      <c r="AS88" s="1452"/>
      <c r="AT88" s="115"/>
      <c r="AU88" s="1285" t="s">
        <v>696</v>
      </c>
      <c r="AV88" s="1286"/>
      <c r="AW88" s="1286"/>
      <c r="AX88" s="1761"/>
      <c r="AY88" s="115"/>
      <c r="BF88" s="278"/>
      <c r="BG88" s="278"/>
      <c r="BH88" s="278"/>
      <c r="BI88" s="278"/>
      <c r="BU88" s="278"/>
      <c r="BV88" s="278"/>
      <c r="BW88" s="278"/>
      <c r="BX88" s="278"/>
      <c r="BY88" s="278"/>
      <c r="BZ88" s="657"/>
      <c r="CA88" s="657"/>
      <c r="CB88" s="657"/>
      <c r="CC88" s="657"/>
      <c r="CD88" s="657"/>
      <c r="CE88" s="657"/>
      <c r="CF88" s="657"/>
      <c r="CG88" s="657"/>
      <c r="CH88" s="657"/>
      <c r="CI88" s="657"/>
      <c r="CJ88" s="657"/>
      <c r="CK88" s="657"/>
      <c r="CL88" s="657"/>
      <c r="CM88" s="278"/>
      <c r="CN88" s="342"/>
      <c r="CO88" s="337">
        <v>0.59</v>
      </c>
      <c r="CP88" s="336">
        <v>49000</v>
      </c>
      <c r="CQ88" s="336">
        <v>50750</v>
      </c>
      <c r="CR88" s="981"/>
      <c r="CS88" s="337">
        <v>0.59</v>
      </c>
      <c r="CT88" s="336"/>
      <c r="CU88" s="336"/>
      <c r="CV88" s="981"/>
      <c r="CW88" s="337">
        <v>0.59</v>
      </c>
      <c r="CX88" s="336"/>
      <c r="CY88" s="336"/>
      <c r="CZ88" s="981"/>
      <c r="DA88" s="337">
        <v>0.59</v>
      </c>
      <c r="DB88" s="336"/>
      <c r="DC88" s="336"/>
      <c r="DD88" s="981"/>
      <c r="DE88" s="337">
        <v>0.59</v>
      </c>
      <c r="DF88" s="336"/>
      <c r="DG88" s="336"/>
      <c r="DH88" s="981"/>
      <c r="DI88" s="337">
        <v>0.59</v>
      </c>
      <c r="DJ88" s="336"/>
      <c r="DK88" s="336"/>
      <c r="DL88" s="278"/>
      <c r="DM88" s="278"/>
      <c r="DN88" s="278"/>
      <c r="DO88" s="278"/>
      <c r="DP88" s="278"/>
      <c r="DQ88" s="278"/>
      <c r="DR88" s="278"/>
      <c r="DS88" s="278"/>
      <c r="DT88" s="278"/>
      <c r="DU88" s="278"/>
      <c r="DV88" s="278"/>
      <c r="DW88" s="278"/>
      <c r="DX88" s="278"/>
      <c r="DY88" s="278"/>
      <c r="DZ88" s="278"/>
      <c r="EA88" s="278"/>
      <c r="EB88" s="278"/>
      <c r="EC88" s="278"/>
      <c r="ED88" s="278"/>
      <c r="EE88" s="278"/>
      <c r="EF88" s="278"/>
      <c r="EG88" s="278"/>
      <c r="EH88" s="278"/>
      <c r="EI88" s="278"/>
      <c r="EJ88" s="278"/>
      <c r="EK88" s="278"/>
      <c r="EL88" s="278"/>
      <c r="EM88" s="278"/>
      <c r="EN88" s="278"/>
      <c r="EO88" s="278"/>
      <c r="EP88" s="278"/>
      <c r="EQ88" s="278"/>
    </row>
    <row r="89" spans="2:147" ht="48.75" customHeight="1">
      <c r="B89" s="253">
        <v>2</v>
      </c>
      <c r="C89" s="987" t="s">
        <v>692</v>
      </c>
      <c r="D89" s="988"/>
      <c r="E89" s="989"/>
      <c r="F89" s="1919" t="s">
        <v>55</v>
      </c>
      <c r="G89" s="987" t="s">
        <v>466</v>
      </c>
      <c r="H89" s="988"/>
      <c r="I89" s="988"/>
      <c r="J89" s="989"/>
      <c r="K89" s="1919" t="s">
        <v>467</v>
      </c>
      <c r="L89" s="1919" t="s">
        <v>468</v>
      </c>
      <c r="M89" s="987" t="s">
        <v>469</v>
      </c>
      <c r="N89" s="988"/>
      <c r="O89" s="989"/>
      <c r="P89" s="987" t="s">
        <v>466</v>
      </c>
      <c r="Q89" s="989"/>
      <c r="S89" s="176"/>
      <c r="T89" s="1415" t="s">
        <v>1192</v>
      </c>
      <c r="U89" s="921"/>
      <c r="V89" s="1285" t="s">
        <v>685</v>
      </c>
      <c r="W89" s="1286"/>
      <c r="X89" s="1286"/>
      <c r="Y89" s="1286"/>
      <c r="Z89" s="1286"/>
      <c r="AA89" s="1761"/>
      <c r="AB89" s="284"/>
      <c r="AC89" s="1285" t="s">
        <v>685</v>
      </c>
      <c r="AD89" s="1286"/>
      <c r="AE89" s="1286"/>
      <c r="AF89" s="1286"/>
      <c r="AG89" s="1286"/>
      <c r="AH89" s="1761"/>
      <c r="AI89" s="1933"/>
      <c r="AJ89" s="176"/>
      <c r="AK89" s="1415" t="s">
        <v>402</v>
      </c>
      <c r="AL89" s="921"/>
      <c r="AM89" s="257">
        <v>2</v>
      </c>
      <c r="AN89" s="257">
        <v>4</v>
      </c>
      <c r="AO89" s="257">
        <v>6</v>
      </c>
      <c r="AP89" s="257">
        <v>8</v>
      </c>
      <c r="AQ89" s="257">
        <v>10</v>
      </c>
      <c r="AR89" s="257">
        <v>12</v>
      </c>
      <c r="AS89" s="1452"/>
      <c r="AT89" s="257">
        <v>2</v>
      </c>
      <c r="AU89" s="257">
        <v>4</v>
      </c>
      <c r="AV89" s="257">
        <v>6</v>
      </c>
      <c r="AW89" s="257">
        <v>8</v>
      </c>
      <c r="AX89" s="257">
        <v>10</v>
      </c>
      <c r="AY89" s="257">
        <v>12</v>
      </c>
      <c r="BF89" s="278"/>
      <c r="BG89" s="278"/>
      <c r="BH89" s="278"/>
      <c r="BI89" s="278"/>
      <c r="BU89" s="278"/>
      <c r="BV89" s="278"/>
      <c r="BW89" s="278"/>
      <c r="BX89" s="278"/>
      <c r="BY89" s="278"/>
      <c r="CA89" s="278"/>
      <c r="CB89" s="278"/>
      <c r="CC89" s="278"/>
      <c r="CD89" s="278"/>
      <c r="CE89" s="278"/>
      <c r="CF89" s="278"/>
      <c r="CG89" s="278"/>
      <c r="CH89" s="278"/>
      <c r="CI89" s="278"/>
      <c r="CJ89" s="278"/>
      <c r="CK89" s="278"/>
      <c r="CL89" s="278"/>
      <c r="CM89" s="278"/>
      <c r="CN89" s="343"/>
      <c r="CO89" s="337">
        <v>0.66</v>
      </c>
      <c r="CP89" s="336">
        <v>50000</v>
      </c>
      <c r="CQ89" s="336">
        <v>51750</v>
      </c>
      <c r="CR89" s="981"/>
      <c r="CS89" s="337">
        <v>0.66</v>
      </c>
      <c r="CT89" s="336"/>
      <c r="CU89" s="336"/>
      <c r="CV89" s="981"/>
      <c r="CW89" s="337">
        <v>0.66</v>
      </c>
      <c r="CX89" s="336"/>
      <c r="CY89" s="336"/>
      <c r="CZ89" s="981"/>
      <c r="DA89" s="337">
        <v>0.66</v>
      </c>
      <c r="DB89" s="336"/>
      <c r="DC89" s="336"/>
      <c r="DD89" s="981"/>
      <c r="DE89" s="337">
        <v>0.66</v>
      </c>
      <c r="DF89" s="336"/>
      <c r="DG89" s="336"/>
      <c r="DH89" s="981"/>
      <c r="DI89" s="337">
        <v>0.66</v>
      </c>
      <c r="DJ89" s="336"/>
      <c r="DK89" s="336"/>
      <c r="DL89" s="278"/>
      <c r="DM89" s="278"/>
      <c r="DN89" s="278"/>
      <c r="DO89" s="278"/>
      <c r="DP89" s="278"/>
      <c r="DQ89" s="278"/>
      <c r="DR89" s="278"/>
      <c r="DS89" s="278"/>
      <c r="DT89" s="278"/>
      <c r="DU89" s="278"/>
      <c r="DV89" s="278"/>
      <c r="DW89" s="278"/>
      <c r="DX89" s="278"/>
      <c r="DY89" s="278"/>
      <c r="DZ89" s="278"/>
      <c r="EA89" s="278"/>
      <c r="EB89" s="278"/>
      <c r="EC89" s="278"/>
      <c r="ED89" s="278"/>
      <c r="EE89" s="278"/>
      <c r="EF89" s="278"/>
      <c r="EG89" s="278"/>
      <c r="EH89" s="278"/>
      <c r="EI89" s="278"/>
      <c r="EJ89" s="278"/>
      <c r="EK89" s="278"/>
      <c r="EL89" s="278"/>
      <c r="EM89" s="278"/>
      <c r="EN89" s="278"/>
      <c r="EO89" s="278"/>
      <c r="EP89" s="278"/>
      <c r="EQ89" s="278"/>
    </row>
    <row r="90" spans="2:147" ht="48.75" customHeight="1">
      <c r="B90" s="253">
        <v>3</v>
      </c>
      <c r="C90" s="993"/>
      <c r="D90" s="994"/>
      <c r="E90" s="995"/>
      <c r="F90" s="1921"/>
      <c r="G90" s="993"/>
      <c r="H90" s="994"/>
      <c r="I90" s="994"/>
      <c r="J90" s="995"/>
      <c r="K90" s="1921"/>
      <c r="L90" s="1921"/>
      <c r="M90" s="993"/>
      <c r="N90" s="994"/>
      <c r="O90" s="995"/>
      <c r="P90" s="993"/>
      <c r="Q90" s="995"/>
      <c r="S90" s="176"/>
      <c r="T90" s="1415" t="s">
        <v>111</v>
      </c>
      <c r="U90" s="921"/>
      <c r="V90" s="756" t="s">
        <v>460</v>
      </c>
      <c r="W90" s="756"/>
      <c r="X90" s="756"/>
      <c r="Y90" s="257" t="s">
        <v>461</v>
      </c>
      <c r="Z90" s="1121" t="s">
        <v>688</v>
      </c>
      <c r="AA90" s="1123"/>
      <c r="AB90" s="103"/>
      <c r="AC90" s="1285" t="s">
        <v>463</v>
      </c>
      <c r="AD90" s="1286"/>
      <c r="AE90" s="1761"/>
      <c r="AF90" s="1285" t="s">
        <v>464</v>
      </c>
      <c r="AG90" s="1761"/>
      <c r="AH90" s="91" t="s">
        <v>465</v>
      </c>
      <c r="AI90" s="100"/>
      <c r="AJ90" s="176"/>
      <c r="AK90" s="1415" t="s">
        <v>1192</v>
      </c>
      <c r="AL90" s="921"/>
      <c r="AM90" s="338" t="s">
        <v>686</v>
      </c>
      <c r="AN90" s="10"/>
      <c r="AO90" s="10"/>
      <c r="AP90" s="10"/>
      <c r="AQ90" s="10"/>
      <c r="AR90" s="10"/>
      <c r="AS90" s="100"/>
      <c r="AT90" s="10"/>
      <c r="AU90" s="10"/>
      <c r="AV90" s="10"/>
      <c r="AW90" s="10"/>
      <c r="AX90" s="10"/>
      <c r="AY90" s="10"/>
      <c r="BF90" s="278"/>
      <c r="BG90" s="278"/>
      <c r="BH90" s="278"/>
      <c r="BI90" s="278"/>
      <c r="BU90" s="278"/>
      <c r="BV90" s="278"/>
      <c r="BW90" s="278"/>
      <c r="BX90" s="278"/>
      <c r="BY90" s="278"/>
      <c r="CA90" s="278"/>
      <c r="CB90" s="278"/>
      <c r="CC90" s="278"/>
      <c r="CD90" s="278"/>
      <c r="CE90" s="278"/>
      <c r="CF90" s="278"/>
      <c r="CG90" s="278"/>
      <c r="CH90" s="278"/>
      <c r="CI90" s="278"/>
      <c r="CJ90" s="278"/>
      <c r="CK90" s="278"/>
      <c r="CL90" s="278"/>
      <c r="CM90" s="278"/>
      <c r="CN90" s="278"/>
      <c r="CO90" s="278"/>
      <c r="CP90" s="278"/>
      <c r="CQ90" s="278"/>
      <c r="CR90" s="278"/>
      <c r="CS90" s="278"/>
      <c r="CT90" s="278"/>
      <c r="CU90" s="278"/>
      <c r="CV90" s="278"/>
      <c r="CW90" s="278"/>
      <c r="CX90" s="278"/>
      <c r="CY90" s="278"/>
      <c r="CZ90" s="278"/>
      <c r="DA90" s="278"/>
      <c r="DB90" s="278"/>
      <c r="DC90" s="278"/>
      <c r="DD90" s="278"/>
      <c r="DE90" s="278"/>
      <c r="DF90" s="278"/>
      <c r="DG90" s="278"/>
      <c r="DH90" s="278"/>
      <c r="DI90" s="278"/>
      <c r="DJ90" s="278"/>
      <c r="DK90" s="278"/>
      <c r="DL90" s="278"/>
      <c r="DM90" s="278"/>
      <c r="DN90" s="278"/>
      <c r="DO90" s="278"/>
      <c r="DP90" s="278"/>
      <c r="DQ90" s="278"/>
      <c r="DR90" s="278"/>
      <c r="DS90" s="278"/>
      <c r="DT90" s="278"/>
      <c r="DU90" s="278"/>
      <c r="DV90" s="278"/>
      <c r="DW90" s="278"/>
      <c r="DX90" s="278"/>
      <c r="DY90" s="278"/>
      <c r="DZ90" s="278"/>
      <c r="EA90" s="278"/>
      <c r="EB90" s="278"/>
      <c r="EC90" s="278"/>
      <c r="ED90" s="278"/>
      <c r="EE90" s="278"/>
      <c r="EF90" s="278"/>
      <c r="EG90" s="278"/>
      <c r="EH90" s="278"/>
      <c r="EI90" s="278"/>
      <c r="EJ90" s="278"/>
      <c r="EK90" s="278"/>
      <c r="EL90" s="278"/>
      <c r="EM90" s="278"/>
      <c r="EN90" s="278"/>
      <c r="EO90" s="278"/>
      <c r="EP90" s="278"/>
      <c r="EQ90" s="278"/>
    </row>
    <row r="91" spans="2:147" ht="48.75" customHeight="1">
      <c r="B91" s="756">
        <v>4</v>
      </c>
      <c r="C91" s="1992" t="s">
        <v>470</v>
      </c>
      <c r="D91" s="1287" t="s">
        <v>694</v>
      </c>
      <c r="E91" s="1287"/>
      <c r="F91" s="1287" t="s">
        <v>503</v>
      </c>
      <c r="G91" s="1287" t="s">
        <v>471</v>
      </c>
      <c r="H91" s="1287"/>
      <c r="I91" s="1287"/>
      <c r="J91" s="1287"/>
      <c r="K91" s="1287"/>
      <c r="L91" s="1919" t="s">
        <v>468</v>
      </c>
      <c r="M91" s="987" t="s">
        <v>469</v>
      </c>
      <c r="N91" s="988"/>
      <c r="O91" s="988"/>
      <c r="P91" s="988"/>
      <c r="Q91" s="989"/>
      <c r="S91" s="176"/>
      <c r="T91" s="1415" t="s">
        <v>1191</v>
      </c>
      <c r="U91" s="921" t="s">
        <v>1189</v>
      </c>
      <c r="V91" s="1121">
        <v>1.4</v>
      </c>
      <c r="W91" s="1122"/>
      <c r="X91" s="1123"/>
      <c r="Y91" s="253">
        <v>1.1499999999999999</v>
      </c>
      <c r="Z91" s="1121">
        <v>1.1000000000000001</v>
      </c>
      <c r="AA91" s="1123"/>
      <c r="AB91" s="100"/>
      <c r="AC91" s="253"/>
      <c r="AD91" s="253"/>
      <c r="AE91" s="253"/>
      <c r="AF91" s="253"/>
      <c r="AG91" s="253"/>
      <c r="AH91" s="253"/>
      <c r="AI91" s="100"/>
      <c r="AJ91" s="176"/>
      <c r="AK91" s="1452" t="s">
        <v>111</v>
      </c>
      <c r="AL91" s="1452"/>
      <c r="AM91" s="10"/>
      <c r="AN91" s="10"/>
      <c r="AO91" s="10"/>
      <c r="AP91" s="10"/>
      <c r="AQ91" s="10"/>
      <c r="AR91" s="10"/>
      <c r="AS91" s="100"/>
      <c r="AT91" s="10"/>
      <c r="AU91" s="10"/>
      <c r="AV91" s="10"/>
      <c r="AW91" s="10"/>
      <c r="AX91" s="10"/>
      <c r="AY91" s="10"/>
      <c r="BF91" s="278"/>
      <c r="BG91" s="278"/>
      <c r="BH91" s="278"/>
      <c r="BI91" s="278"/>
      <c r="BU91" s="278"/>
      <c r="BV91" s="278"/>
      <c r="BW91" s="278"/>
      <c r="BX91" s="278"/>
      <c r="BY91" s="278"/>
      <c r="CA91" s="278"/>
      <c r="CB91" s="278"/>
      <c r="CC91" s="278"/>
      <c r="CD91" s="278"/>
      <c r="CE91" s="278"/>
      <c r="CF91" s="278"/>
      <c r="CG91" s="278"/>
      <c r="CH91" s="278"/>
      <c r="CI91" s="278"/>
      <c r="CJ91" s="278"/>
      <c r="CK91" s="278"/>
      <c r="CL91" s="278"/>
      <c r="CM91" s="278"/>
      <c r="CN91" s="278"/>
      <c r="CO91" s="278"/>
      <c r="CP91" s="278"/>
      <c r="CQ91" s="278"/>
      <c r="CR91" s="278"/>
      <c r="CS91" s="278"/>
      <c r="CT91" s="278"/>
      <c r="CU91" s="278"/>
      <c r="CV91" s="278"/>
      <c r="CW91" s="278"/>
      <c r="CX91" s="278"/>
      <c r="CY91" s="278"/>
      <c r="CZ91" s="278"/>
      <c r="DA91" s="278"/>
      <c r="DB91" s="278"/>
      <c r="DC91" s="278"/>
      <c r="DD91" s="278"/>
      <c r="DE91" s="278"/>
      <c r="DF91" s="278"/>
      <c r="DG91" s="278"/>
      <c r="DH91" s="278"/>
      <c r="DI91" s="278"/>
      <c r="DJ91" s="278"/>
      <c r="DK91" s="278"/>
      <c r="DL91" s="278"/>
      <c r="DM91" s="278"/>
      <c r="DN91" s="278"/>
      <c r="DO91" s="278"/>
      <c r="DP91" s="278"/>
      <c r="DQ91" s="278"/>
      <c r="DR91" s="278"/>
      <c r="DS91" s="278"/>
      <c r="DT91" s="278"/>
      <c r="DU91" s="278"/>
      <c r="DV91" s="278"/>
      <c r="DW91" s="278"/>
      <c r="DX91" s="278"/>
      <c r="DY91" s="278"/>
      <c r="DZ91" s="278"/>
      <c r="EA91" s="278"/>
      <c r="EB91" s="278"/>
      <c r="EC91" s="278"/>
      <c r="ED91" s="278"/>
      <c r="EE91" s="278"/>
      <c r="EF91" s="278"/>
      <c r="EG91" s="278"/>
      <c r="EH91" s="278"/>
      <c r="EI91" s="278"/>
      <c r="EJ91" s="278"/>
      <c r="EK91" s="278"/>
      <c r="EL91" s="278"/>
      <c r="EM91" s="278"/>
      <c r="EN91" s="278"/>
      <c r="EO91" s="278"/>
      <c r="EP91" s="278"/>
      <c r="EQ91" s="278"/>
    </row>
    <row r="92" spans="2:147" ht="48.75" customHeight="1">
      <c r="B92" s="756"/>
      <c r="C92" s="1992"/>
      <c r="D92" s="1287"/>
      <c r="E92" s="1287"/>
      <c r="F92" s="1287"/>
      <c r="G92" s="1287"/>
      <c r="H92" s="1287"/>
      <c r="I92" s="1287"/>
      <c r="J92" s="1287"/>
      <c r="K92" s="1287"/>
      <c r="L92" s="1921"/>
      <c r="M92" s="993"/>
      <c r="N92" s="994"/>
      <c r="O92" s="994"/>
      <c r="P92" s="994"/>
      <c r="Q92" s="995"/>
      <c r="S92" s="176"/>
      <c r="T92" s="1864" t="s">
        <v>1190</v>
      </c>
      <c r="U92" s="925"/>
      <c r="V92" s="1121">
        <v>1.6</v>
      </c>
      <c r="W92" s="1122"/>
      <c r="X92" s="1123"/>
      <c r="Y92" s="253">
        <v>1.35</v>
      </c>
      <c r="Z92" s="1121">
        <v>1.2</v>
      </c>
      <c r="AA92" s="1123"/>
      <c r="AB92" s="100"/>
      <c r="AC92" s="253"/>
      <c r="AD92" s="253"/>
      <c r="AE92" s="253"/>
      <c r="AF92" s="253"/>
      <c r="AG92" s="253"/>
      <c r="AH92" s="253"/>
      <c r="AI92" s="100"/>
      <c r="AJ92" s="176"/>
      <c r="AK92" s="1415" t="s">
        <v>1191</v>
      </c>
      <c r="AL92" s="921" t="s">
        <v>1189</v>
      </c>
      <c r="AM92" s="10"/>
      <c r="AN92" s="10"/>
      <c r="AO92" s="10"/>
      <c r="AP92" s="10"/>
      <c r="AQ92" s="10"/>
      <c r="AR92" s="10"/>
      <c r="AS92" s="100"/>
      <c r="AT92" s="10"/>
      <c r="AU92" s="10"/>
      <c r="AV92" s="10"/>
      <c r="AW92" s="10"/>
      <c r="AX92" s="10"/>
      <c r="AY92" s="10"/>
      <c r="BF92" s="278"/>
      <c r="BG92" s="278"/>
      <c r="BH92" s="278"/>
      <c r="BI92" s="278"/>
      <c r="BU92" s="278"/>
      <c r="BV92" s="278"/>
      <c r="BW92" s="278"/>
      <c r="BX92" s="278"/>
      <c r="BY92" s="278"/>
      <c r="CA92" s="278"/>
      <c r="CB92" s="278"/>
      <c r="CC92" s="278"/>
      <c r="CD92" s="278"/>
      <c r="CE92" s="278"/>
      <c r="CF92" s="278"/>
      <c r="CG92" s="278"/>
      <c r="CH92" s="278"/>
      <c r="CI92" s="278"/>
      <c r="CJ92" s="278"/>
      <c r="CK92" s="278"/>
      <c r="CL92" s="278"/>
      <c r="CM92" s="278"/>
      <c r="CN92" s="278"/>
      <c r="CO92" s="278"/>
      <c r="CP92" s="278"/>
      <c r="CQ92" s="278"/>
      <c r="CR92" s="278"/>
      <c r="CS92" s="278"/>
      <c r="CT92" s="278"/>
      <c r="CU92" s="278"/>
      <c r="CV92" s="278"/>
      <c r="CW92" s="278"/>
      <c r="CX92" s="278"/>
      <c r="CY92" s="278"/>
      <c r="CZ92" s="278"/>
      <c r="DA92" s="278"/>
      <c r="DB92" s="278"/>
      <c r="DC92" s="278"/>
      <c r="DD92" s="278"/>
      <c r="DE92" s="278"/>
      <c r="DF92" s="278"/>
      <c r="DG92" s="278"/>
      <c r="DH92" s="278"/>
      <c r="DI92" s="278"/>
      <c r="DJ92" s="278"/>
      <c r="DK92" s="278"/>
      <c r="DL92" s="278"/>
      <c r="DM92" s="278"/>
      <c r="DN92" s="278"/>
      <c r="DO92" s="278"/>
      <c r="DP92" s="278"/>
      <c r="DQ92" s="278"/>
      <c r="DR92" s="278"/>
      <c r="DS92" s="278"/>
      <c r="DT92" s="278"/>
      <c r="DU92" s="278"/>
      <c r="DV92" s="278"/>
      <c r="DW92" s="278"/>
      <c r="DX92" s="278"/>
      <c r="DY92" s="278"/>
      <c r="DZ92" s="278"/>
      <c r="EA92" s="278"/>
      <c r="EB92" s="278"/>
      <c r="EC92" s="278"/>
      <c r="ED92" s="278"/>
      <c r="EE92" s="278"/>
      <c r="EF92" s="278"/>
      <c r="EG92" s="278"/>
      <c r="EH92" s="278"/>
      <c r="EI92" s="278"/>
      <c r="EJ92" s="278"/>
      <c r="EK92" s="278"/>
      <c r="EL92" s="278"/>
      <c r="EM92" s="278"/>
      <c r="EN92" s="278"/>
      <c r="EO92" s="278"/>
      <c r="EP92" s="278"/>
      <c r="EQ92" s="278"/>
    </row>
    <row r="93" spans="2:147" ht="48.75" customHeight="1">
      <c r="B93" s="756">
        <v>5</v>
      </c>
      <c r="C93" s="1992"/>
      <c r="D93" s="1287" t="s">
        <v>472</v>
      </c>
      <c r="E93" s="1287"/>
      <c r="F93" s="1287" t="s">
        <v>503</v>
      </c>
      <c r="G93" s="1287" t="s">
        <v>467</v>
      </c>
      <c r="H93" s="1287"/>
      <c r="I93" s="1287"/>
      <c r="J93" s="1287"/>
      <c r="K93" s="1287"/>
      <c r="L93" s="987" t="s">
        <v>466</v>
      </c>
      <c r="M93" s="988"/>
      <c r="N93" s="988"/>
      <c r="O93" s="988"/>
      <c r="P93" s="988"/>
      <c r="Q93" s="989"/>
      <c r="S93" s="291"/>
      <c r="T93" s="291"/>
      <c r="U93" s="291"/>
      <c r="V93" s="291"/>
      <c r="W93" s="291"/>
      <c r="X93" s="291"/>
      <c r="Y93" s="291"/>
      <c r="Z93" s="291"/>
      <c r="AA93" s="291"/>
      <c r="AB93" s="291"/>
      <c r="AC93" s="291"/>
      <c r="AD93" s="291"/>
      <c r="AE93" s="291"/>
      <c r="AF93" s="291"/>
      <c r="AG93" s="291"/>
      <c r="AH93" s="291"/>
      <c r="AI93" s="100"/>
      <c r="AJ93" s="176"/>
      <c r="AK93" s="1864" t="s">
        <v>1190</v>
      </c>
      <c r="AL93" s="925"/>
      <c r="AM93" s="10"/>
      <c r="AN93" s="10"/>
      <c r="AO93" s="10"/>
      <c r="AP93" s="10"/>
      <c r="AQ93" s="10"/>
      <c r="AR93" s="10"/>
      <c r="AS93" s="100"/>
      <c r="AT93" s="10"/>
      <c r="AU93" s="10"/>
      <c r="AV93" s="10"/>
      <c r="AW93" s="10"/>
      <c r="AX93" s="10"/>
      <c r="AY93" s="10"/>
      <c r="BF93" s="278"/>
      <c r="BG93" s="278"/>
      <c r="BH93" s="278"/>
      <c r="BI93" s="278"/>
      <c r="BU93" s="278"/>
      <c r="BV93" s="278"/>
      <c r="BW93" s="278"/>
      <c r="BX93" s="278"/>
      <c r="BY93" s="278"/>
      <c r="CA93" s="278"/>
      <c r="CB93" s="278"/>
      <c r="CC93" s="278"/>
      <c r="CD93" s="278"/>
      <c r="CE93" s="278"/>
      <c r="CF93" s="278"/>
      <c r="CG93" s="278"/>
      <c r="CH93" s="278"/>
      <c r="CI93" s="278"/>
      <c r="CJ93" s="278"/>
      <c r="CK93" s="278"/>
      <c r="CL93" s="278"/>
      <c r="CM93" s="278"/>
      <c r="CN93" s="278"/>
      <c r="CO93" s="278"/>
      <c r="CP93" s="278"/>
      <c r="CQ93" s="278"/>
      <c r="CR93" s="278"/>
      <c r="CS93" s="278"/>
      <c r="CT93" s="278"/>
      <c r="CU93" s="278"/>
      <c r="CV93" s="278"/>
      <c r="CW93" s="278"/>
      <c r="CX93" s="278"/>
      <c r="CY93" s="278"/>
      <c r="CZ93" s="278"/>
      <c r="DA93" s="278"/>
      <c r="DB93" s="278"/>
      <c r="DC93" s="278"/>
      <c r="DD93" s="278"/>
      <c r="DE93" s="278"/>
      <c r="DF93" s="278"/>
      <c r="DG93" s="278"/>
      <c r="DH93" s="278"/>
      <c r="DI93" s="278"/>
      <c r="DJ93" s="278"/>
      <c r="DK93" s="278"/>
      <c r="DL93" s="278"/>
      <c r="DM93" s="278"/>
      <c r="DN93" s="278"/>
      <c r="DO93" s="278"/>
      <c r="DP93" s="278"/>
      <c r="DQ93" s="278"/>
      <c r="DR93" s="278"/>
      <c r="DS93" s="278"/>
      <c r="DT93" s="278"/>
      <c r="DU93" s="278"/>
      <c r="DV93" s="278"/>
      <c r="DW93" s="278"/>
      <c r="DX93" s="278"/>
      <c r="DY93" s="278"/>
      <c r="DZ93" s="278"/>
      <c r="EA93" s="278"/>
      <c r="EB93" s="278"/>
      <c r="EC93" s="278"/>
      <c r="ED93" s="278"/>
      <c r="EE93" s="278"/>
      <c r="EF93" s="278"/>
      <c r="EG93" s="278"/>
      <c r="EH93" s="278"/>
      <c r="EI93" s="278"/>
      <c r="EJ93" s="278"/>
      <c r="EK93" s="278"/>
      <c r="EL93" s="278"/>
      <c r="EM93" s="278"/>
      <c r="EN93" s="278"/>
      <c r="EO93" s="278"/>
      <c r="EP93" s="278"/>
      <c r="EQ93" s="278"/>
    </row>
    <row r="94" spans="2:147" ht="48.75" customHeight="1">
      <c r="B94" s="756"/>
      <c r="C94" s="1992"/>
      <c r="D94" s="1287"/>
      <c r="E94" s="1287"/>
      <c r="F94" s="1287"/>
      <c r="G94" s="1287"/>
      <c r="H94" s="1287"/>
      <c r="I94" s="1287"/>
      <c r="J94" s="1287"/>
      <c r="K94" s="1287"/>
      <c r="L94" s="993"/>
      <c r="M94" s="994"/>
      <c r="N94" s="994"/>
      <c r="O94" s="994"/>
      <c r="P94" s="994"/>
      <c r="Q94" s="995"/>
      <c r="S94" s="176"/>
      <c r="T94" s="1452" t="s">
        <v>689</v>
      </c>
      <c r="U94" s="1452"/>
      <c r="V94" s="283" t="s">
        <v>416</v>
      </c>
      <c r="W94" s="1285" t="s">
        <v>691</v>
      </c>
      <c r="X94" s="1286"/>
      <c r="Y94" s="1286"/>
      <c r="Z94" s="1761"/>
      <c r="AA94" s="283" t="s">
        <v>416</v>
      </c>
      <c r="AB94" s="340"/>
      <c r="AC94" s="283" t="s">
        <v>416</v>
      </c>
      <c r="AD94" s="1285" t="s">
        <v>691</v>
      </c>
      <c r="AE94" s="1286"/>
      <c r="AF94" s="1286"/>
      <c r="AG94" s="1761"/>
      <c r="AH94" s="283" t="s">
        <v>416</v>
      </c>
      <c r="AI94" s="100"/>
      <c r="AJ94" s="176"/>
      <c r="AK94" s="100"/>
      <c r="AL94" s="288"/>
      <c r="AM94" s="288"/>
      <c r="AN94" s="288"/>
      <c r="AO94" s="288"/>
      <c r="AP94" s="288"/>
      <c r="AQ94" s="288"/>
      <c r="AR94" s="288"/>
      <c r="AS94" s="100"/>
      <c r="AT94" s="288"/>
      <c r="AU94" s="288"/>
      <c r="AV94" s="288"/>
      <c r="AW94" s="288"/>
      <c r="AX94" s="288"/>
      <c r="AY94" s="288"/>
      <c r="BF94" s="278"/>
      <c r="BG94" s="278"/>
      <c r="BH94" s="278"/>
      <c r="BI94" s="278"/>
      <c r="BU94" s="278"/>
      <c r="BV94" s="278"/>
      <c r="BW94" s="278"/>
      <c r="BX94" s="278"/>
      <c r="BY94" s="278"/>
      <c r="CA94" s="278"/>
      <c r="CB94" s="278"/>
      <c r="CC94" s="278"/>
      <c r="CD94" s="278"/>
      <c r="CE94" s="278"/>
      <c r="CF94" s="278"/>
      <c r="CG94" s="278"/>
      <c r="CH94" s="278"/>
      <c r="CI94" s="278"/>
      <c r="CJ94" s="278"/>
      <c r="CK94" s="278"/>
      <c r="CL94" s="278"/>
      <c r="CM94" s="278"/>
      <c r="CN94" s="278"/>
      <c r="CO94" s="278"/>
      <c r="CP94" s="278"/>
      <c r="CQ94" s="278"/>
      <c r="CR94" s="278"/>
      <c r="CS94" s="278"/>
      <c r="CT94" s="278"/>
      <c r="CU94" s="278"/>
      <c r="CV94" s="278"/>
      <c r="CW94" s="278"/>
      <c r="CX94" s="278"/>
      <c r="CY94" s="278"/>
      <c r="CZ94" s="278"/>
      <c r="DA94" s="278"/>
      <c r="DB94" s="278"/>
      <c r="DC94" s="278"/>
      <c r="DD94" s="278"/>
      <c r="DE94" s="278"/>
      <c r="DF94" s="278"/>
      <c r="DG94" s="278"/>
      <c r="DH94" s="278"/>
      <c r="DI94" s="278"/>
      <c r="DJ94" s="278"/>
      <c r="DK94" s="278"/>
      <c r="DL94" s="278"/>
      <c r="DM94" s="278"/>
      <c r="DN94" s="278"/>
      <c r="DO94" s="278"/>
      <c r="DP94" s="278"/>
      <c r="DQ94" s="278"/>
      <c r="DR94" s="278"/>
      <c r="DS94" s="278"/>
      <c r="DT94" s="278"/>
      <c r="DU94" s="278"/>
      <c r="DV94" s="278"/>
      <c r="DW94" s="278"/>
      <c r="DX94" s="278"/>
      <c r="DY94" s="278"/>
      <c r="DZ94" s="278"/>
      <c r="EA94" s="278"/>
      <c r="EB94" s="278"/>
      <c r="EC94" s="278"/>
      <c r="ED94" s="278"/>
      <c r="EE94" s="278"/>
      <c r="EF94" s="278"/>
      <c r="EG94" s="278"/>
      <c r="EH94" s="278"/>
      <c r="EI94" s="278"/>
      <c r="EJ94" s="278"/>
      <c r="EK94" s="278"/>
      <c r="EL94" s="278"/>
      <c r="EM94" s="278"/>
      <c r="EN94" s="278"/>
      <c r="EO94" s="278"/>
      <c r="EP94" s="278"/>
      <c r="EQ94" s="278"/>
    </row>
    <row r="95" spans="2:147" ht="48.75" customHeight="1">
      <c r="B95" s="253">
        <v>6</v>
      </c>
      <c r="C95" s="1919" t="s">
        <v>473</v>
      </c>
      <c r="D95" s="1287" t="s">
        <v>474</v>
      </c>
      <c r="E95" s="1287"/>
      <c r="F95" s="257" t="s">
        <v>686</v>
      </c>
      <c r="G95" s="257" t="s">
        <v>475</v>
      </c>
      <c r="H95" s="257" t="s">
        <v>476</v>
      </c>
      <c r="I95" s="257" t="s">
        <v>477</v>
      </c>
      <c r="J95" s="1287" t="s">
        <v>478</v>
      </c>
      <c r="K95" s="1287"/>
      <c r="L95" s="257" t="s">
        <v>479</v>
      </c>
      <c r="M95" s="257" t="s">
        <v>480</v>
      </c>
      <c r="N95" s="257" t="s">
        <v>476</v>
      </c>
      <c r="O95" s="1287" t="s">
        <v>481</v>
      </c>
      <c r="P95" s="1287"/>
      <c r="Q95" s="1287"/>
      <c r="S95" s="176"/>
      <c r="T95" s="1415" t="s">
        <v>402</v>
      </c>
      <c r="U95" s="921"/>
      <c r="V95" s="257">
        <v>2</v>
      </c>
      <c r="W95" s="257">
        <v>4</v>
      </c>
      <c r="X95" s="257">
        <v>6</v>
      </c>
      <c r="Y95" s="257">
        <v>8</v>
      </c>
      <c r="Z95" s="257">
        <v>10</v>
      </c>
      <c r="AA95" s="257">
        <v>12</v>
      </c>
      <c r="AB95" s="281"/>
      <c r="AC95" s="257">
        <v>2</v>
      </c>
      <c r="AD95" s="257">
        <v>4</v>
      </c>
      <c r="AE95" s="257">
        <v>6</v>
      </c>
      <c r="AF95" s="257">
        <v>8</v>
      </c>
      <c r="AG95" s="257">
        <v>10</v>
      </c>
      <c r="AH95" s="257">
        <v>12</v>
      </c>
      <c r="AI95" s="100"/>
      <c r="AJ95" s="176"/>
      <c r="AK95" s="1452" t="s">
        <v>690</v>
      </c>
      <c r="AL95" s="1452"/>
      <c r="AM95" s="115"/>
      <c r="AN95" s="1285" t="s">
        <v>482</v>
      </c>
      <c r="AO95" s="1286"/>
      <c r="AP95" s="1286"/>
      <c r="AQ95" s="1761"/>
      <c r="AR95" s="115"/>
      <c r="AS95" s="100"/>
      <c r="AT95" s="115"/>
      <c r="AU95" s="1285" t="s">
        <v>482</v>
      </c>
      <c r="AV95" s="1286"/>
      <c r="AW95" s="1286"/>
      <c r="AX95" s="1761"/>
      <c r="AY95" s="115"/>
      <c r="BF95" s="278"/>
      <c r="BG95" s="278"/>
      <c r="BH95" s="278"/>
      <c r="BI95" s="278"/>
      <c r="BU95" s="278"/>
      <c r="BV95" s="278"/>
      <c r="BW95" s="278"/>
      <c r="BX95" s="278"/>
      <c r="BY95" s="278"/>
      <c r="CA95" s="278"/>
      <c r="CB95" s="278"/>
      <c r="CC95" s="278"/>
      <c r="CD95" s="278"/>
      <c r="CE95" s="278"/>
      <c r="CF95" s="278"/>
      <c r="CG95" s="278"/>
      <c r="CH95" s="278"/>
      <c r="CI95" s="278"/>
      <c r="CJ95" s="278"/>
      <c r="CK95" s="278"/>
      <c r="CL95" s="278"/>
      <c r="CM95" s="278"/>
      <c r="CN95" s="278"/>
      <c r="CO95" s="278"/>
      <c r="CP95" s="278"/>
      <c r="CQ95" s="278"/>
      <c r="CR95" s="278"/>
      <c r="CS95" s="278"/>
      <c r="CT95" s="278"/>
      <c r="CU95" s="278"/>
      <c r="CV95" s="278"/>
      <c r="CW95" s="278"/>
      <c r="CX95" s="278"/>
      <c r="CY95" s="278"/>
      <c r="CZ95" s="278"/>
      <c r="DA95" s="278"/>
      <c r="DB95" s="278"/>
      <c r="DC95" s="278"/>
      <c r="DD95" s="278"/>
      <c r="DE95" s="278"/>
      <c r="DF95" s="278"/>
      <c r="DG95" s="278"/>
      <c r="DH95" s="278"/>
      <c r="DI95" s="278"/>
      <c r="DJ95" s="278"/>
      <c r="DK95" s="278"/>
      <c r="DL95" s="278"/>
      <c r="DM95" s="278"/>
      <c r="DN95" s="278"/>
      <c r="DO95" s="278"/>
      <c r="DP95" s="278"/>
      <c r="DQ95" s="278"/>
      <c r="DR95" s="278"/>
      <c r="DS95" s="278"/>
      <c r="DT95" s="278"/>
      <c r="DU95" s="278"/>
      <c r="DV95" s="278"/>
      <c r="DW95" s="278"/>
      <c r="DX95" s="278"/>
      <c r="DY95" s="278"/>
      <c r="DZ95" s="278"/>
      <c r="EA95" s="278"/>
      <c r="EB95" s="278"/>
      <c r="EC95" s="278"/>
      <c r="ED95" s="278"/>
      <c r="EE95" s="278"/>
      <c r="EF95" s="278"/>
      <c r="EG95" s="278"/>
      <c r="EH95" s="278"/>
      <c r="EI95" s="278"/>
      <c r="EJ95" s="278"/>
      <c r="EK95" s="278"/>
      <c r="EL95" s="278"/>
      <c r="EM95" s="278"/>
      <c r="EN95" s="278"/>
      <c r="EO95" s="278"/>
      <c r="EP95" s="278"/>
      <c r="EQ95" s="278"/>
    </row>
    <row r="96" spans="2:147" ht="48.75" customHeight="1">
      <c r="B96" s="253">
        <v>7</v>
      </c>
      <c r="C96" s="1920"/>
      <c r="D96" s="1287" t="s">
        <v>482</v>
      </c>
      <c r="E96" s="1287"/>
      <c r="F96" s="257" t="s">
        <v>686</v>
      </c>
      <c r="G96" s="257" t="s">
        <v>175</v>
      </c>
      <c r="H96" s="257" t="s">
        <v>476</v>
      </c>
      <c r="I96" s="257" t="s">
        <v>483</v>
      </c>
      <c r="J96" s="1287" t="s">
        <v>484</v>
      </c>
      <c r="K96" s="1287"/>
      <c r="L96" s="257" t="s">
        <v>175</v>
      </c>
      <c r="M96" s="257" t="s">
        <v>480</v>
      </c>
      <c r="N96" s="257" t="s">
        <v>477</v>
      </c>
      <c r="O96" s="1287" t="s">
        <v>478</v>
      </c>
      <c r="P96" s="1287"/>
      <c r="Q96" s="1287"/>
      <c r="S96" s="176"/>
      <c r="T96" s="1415" t="s">
        <v>1192</v>
      </c>
      <c r="U96" s="921"/>
      <c r="V96" s="1121" t="s">
        <v>1114</v>
      </c>
      <c r="W96" s="1122"/>
      <c r="X96" s="1122"/>
      <c r="Y96" s="1122"/>
      <c r="Z96" s="1122"/>
      <c r="AA96" s="1123"/>
      <c r="AB96" s="284"/>
      <c r="AC96" s="253"/>
      <c r="AD96" s="253"/>
      <c r="AE96" s="253"/>
      <c r="AF96" s="253"/>
      <c r="AG96" s="253"/>
      <c r="AH96" s="253"/>
      <c r="AI96" s="100"/>
      <c r="AJ96" s="176"/>
      <c r="AK96" s="1415" t="s">
        <v>402</v>
      </c>
      <c r="AL96" s="921"/>
      <c r="AM96" s="257">
        <v>2</v>
      </c>
      <c r="AN96" s="257">
        <v>4</v>
      </c>
      <c r="AO96" s="257">
        <v>6</v>
      </c>
      <c r="AP96" s="257">
        <v>8</v>
      </c>
      <c r="AQ96" s="257">
        <v>10</v>
      </c>
      <c r="AR96" s="257">
        <v>12</v>
      </c>
      <c r="AS96" s="100"/>
      <c r="AT96" s="257">
        <v>2</v>
      </c>
      <c r="AU96" s="257">
        <v>4</v>
      </c>
      <c r="AV96" s="257">
        <v>6</v>
      </c>
      <c r="AW96" s="257">
        <v>8</v>
      </c>
      <c r="AX96" s="257">
        <v>10</v>
      </c>
      <c r="AY96" s="257">
        <v>12</v>
      </c>
      <c r="BF96" s="278"/>
      <c r="BG96" s="278"/>
      <c r="BH96" s="278"/>
      <c r="BI96" s="278"/>
      <c r="CA96" s="278"/>
      <c r="CB96" s="278"/>
      <c r="CC96" s="278"/>
      <c r="CD96" s="278"/>
      <c r="CE96" s="278"/>
      <c r="CF96" s="278"/>
      <c r="CG96" s="278"/>
      <c r="CH96" s="278"/>
      <c r="CI96" s="278"/>
      <c r="CJ96" s="278"/>
      <c r="CK96" s="278"/>
      <c r="CL96" s="278"/>
      <c r="CM96" s="278"/>
      <c r="CN96" s="278"/>
      <c r="CO96" s="278"/>
      <c r="CP96" s="278"/>
      <c r="CQ96" s="278"/>
      <c r="CR96" s="278"/>
      <c r="CS96" s="278"/>
      <c r="CT96" s="278"/>
      <c r="CU96" s="278"/>
      <c r="CV96" s="278"/>
      <c r="CW96" s="278"/>
      <c r="CX96" s="278"/>
      <c r="CY96" s="278"/>
      <c r="CZ96" s="278"/>
      <c r="DA96" s="278"/>
      <c r="DB96" s="278"/>
      <c r="DC96" s="278"/>
      <c r="DD96" s="278"/>
      <c r="DE96" s="278"/>
      <c r="DF96" s="278"/>
      <c r="DG96" s="278"/>
      <c r="DH96" s="278"/>
      <c r="DI96" s="278"/>
      <c r="DJ96" s="278"/>
      <c r="DK96" s="278"/>
      <c r="DL96" s="278"/>
      <c r="DM96" s="278"/>
      <c r="DN96" s="278"/>
      <c r="DO96" s="278"/>
      <c r="DP96" s="278"/>
      <c r="DQ96" s="278"/>
      <c r="DR96" s="278"/>
      <c r="DS96" s="278"/>
      <c r="DT96" s="278"/>
      <c r="DU96" s="278"/>
      <c r="DV96" s="278"/>
      <c r="DW96" s="278"/>
      <c r="DX96" s="278"/>
      <c r="DY96" s="278"/>
      <c r="DZ96" s="278"/>
      <c r="EA96" s="278"/>
      <c r="EB96" s="278"/>
      <c r="EC96" s="278"/>
      <c r="ED96" s="278"/>
      <c r="EE96" s="278"/>
      <c r="EF96" s="278"/>
      <c r="EG96" s="278"/>
      <c r="EH96" s="278"/>
      <c r="EI96" s="278"/>
      <c r="EJ96" s="278"/>
      <c r="EK96" s="278"/>
      <c r="EL96" s="278"/>
      <c r="EM96" s="278"/>
      <c r="EN96" s="278"/>
      <c r="EO96" s="278"/>
      <c r="EP96" s="278"/>
      <c r="EQ96" s="278"/>
    </row>
    <row r="97" spans="2:147" ht="48.75" customHeight="1">
      <c r="B97" s="253">
        <v>8</v>
      </c>
      <c r="C97" s="1920"/>
      <c r="D97" s="1287" t="s">
        <v>485</v>
      </c>
      <c r="E97" s="1287"/>
      <c r="F97" s="257" t="s">
        <v>686</v>
      </c>
      <c r="G97" s="257" t="s">
        <v>175</v>
      </c>
      <c r="H97" s="257" t="s">
        <v>479</v>
      </c>
      <c r="I97" s="257" t="s">
        <v>486</v>
      </c>
      <c r="J97" s="1287" t="s">
        <v>487</v>
      </c>
      <c r="K97" s="1287"/>
      <c r="L97" s="257" t="s">
        <v>175</v>
      </c>
      <c r="M97" s="257" t="s">
        <v>475</v>
      </c>
      <c r="N97" s="257" t="s">
        <v>488</v>
      </c>
      <c r="O97" s="1287" t="s">
        <v>489</v>
      </c>
      <c r="P97" s="1287"/>
      <c r="Q97" s="1287"/>
      <c r="S97" s="176"/>
      <c r="T97" s="1864" t="s">
        <v>111</v>
      </c>
      <c r="U97" s="925"/>
      <c r="V97" s="1121" t="s">
        <v>1193</v>
      </c>
      <c r="W97" s="1122"/>
      <c r="X97" s="1122"/>
      <c r="Y97" s="1123"/>
      <c r="Z97" s="756" t="s">
        <v>467</v>
      </c>
      <c r="AA97" s="756"/>
      <c r="AB97" s="100"/>
      <c r="AC97" s="253"/>
      <c r="AD97" s="253"/>
      <c r="AE97" s="253"/>
      <c r="AF97" s="253"/>
      <c r="AG97" s="253"/>
      <c r="AH97" s="253"/>
      <c r="AI97" s="100"/>
      <c r="AJ97" s="176"/>
      <c r="AK97" s="1415" t="s">
        <v>1192</v>
      </c>
      <c r="AL97" s="921"/>
      <c r="AM97" s="1121" t="s">
        <v>686</v>
      </c>
      <c r="AN97" s="1122"/>
      <c r="AO97" s="1122"/>
      <c r="AP97" s="1122"/>
      <c r="AQ97" s="1122"/>
      <c r="AR97" s="1123"/>
      <c r="AS97" s="100"/>
      <c r="AT97" s="10"/>
      <c r="AU97" s="10"/>
      <c r="AV97" s="10"/>
      <c r="AW97" s="10"/>
      <c r="AX97" s="10"/>
      <c r="AY97" s="10"/>
      <c r="BF97" s="278"/>
      <c r="BG97" s="278"/>
      <c r="BH97" s="278"/>
      <c r="BI97" s="278"/>
      <c r="CA97" s="278"/>
      <c r="CB97" s="278"/>
      <c r="CC97" s="278"/>
      <c r="CD97" s="278"/>
      <c r="CE97" s="278"/>
      <c r="CF97" s="278"/>
      <c r="CG97" s="278"/>
      <c r="CH97" s="278"/>
      <c r="CI97" s="278"/>
      <c r="CJ97" s="278"/>
      <c r="CK97" s="278"/>
      <c r="CL97" s="278"/>
      <c r="CM97" s="278"/>
      <c r="CN97" s="278"/>
      <c r="CO97" s="278"/>
      <c r="CP97" s="278"/>
      <c r="CQ97" s="278"/>
      <c r="CR97" s="278"/>
      <c r="CS97" s="278"/>
      <c r="CT97" s="278"/>
      <c r="CU97" s="278"/>
      <c r="CV97" s="278"/>
      <c r="CW97" s="278"/>
      <c r="CX97" s="278"/>
      <c r="CY97" s="278"/>
      <c r="CZ97" s="278"/>
      <c r="DA97" s="278"/>
      <c r="DB97" s="278"/>
      <c r="DC97" s="278"/>
      <c r="DD97" s="278"/>
      <c r="DE97" s="278"/>
      <c r="DF97" s="278"/>
      <c r="DG97" s="278"/>
      <c r="DH97" s="278"/>
      <c r="DI97" s="278"/>
      <c r="DJ97" s="278"/>
      <c r="DK97" s="278"/>
      <c r="DL97" s="278"/>
      <c r="DM97" s="278"/>
      <c r="DN97" s="278"/>
      <c r="DO97" s="278"/>
      <c r="DP97" s="278"/>
      <c r="DQ97" s="278"/>
      <c r="DR97" s="278"/>
      <c r="DS97" s="278"/>
      <c r="DT97" s="278"/>
      <c r="DU97" s="278"/>
      <c r="DV97" s="278"/>
      <c r="DW97" s="278"/>
      <c r="DX97" s="278"/>
      <c r="DY97" s="278"/>
      <c r="DZ97" s="278"/>
      <c r="EA97" s="278"/>
      <c r="EB97" s="278"/>
      <c r="EC97" s="278"/>
      <c r="ED97" s="278"/>
      <c r="EE97" s="278"/>
      <c r="EF97" s="278"/>
      <c r="EG97" s="278"/>
      <c r="EH97" s="278"/>
      <c r="EI97" s="278"/>
      <c r="EJ97" s="278"/>
      <c r="EK97" s="278"/>
      <c r="EL97" s="278"/>
      <c r="EM97" s="278"/>
      <c r="EN97" s="278"/>
      <c r="EO97" s="278"/>
      <c r="EP97" s="278"/>
      <c r="EQ97" s="278"/>
    </row>
    <row r="98" spans="2:147" ht="48.75" customHeight="1">
      <c r="B98" s="756">
        <v>9</v>
      </c>
      <c r="C98" s="987" t="s">
        <v>693</v>
      </c>
      <c r="D98" s="988"/>
      <c r="E98" s="989"/>
      <c r="F98" s="1919" t="s">
        <v>56</v>
      </c>
      <c r="G98" s="987" t="s">
        <v>490</v>
      </c>
      <c r="H98" s="988"/>
      <c r="I98" s="988"/>
      <c r="J98" s="988"/>
      <c r="K98" s="989"/>
      <c r="L98" s="987" t="s">
        <v>491</v>
      </c>
      <c r="M98" s="988"/>
      <c r="N98" s="988"/>
      <c r="O98" s="988"/>
      <c r="P98" s="988"/>
      <c r="Q98" s="989"/>
      <c r="S98" s="176"/>
      <c r="T98" s="1415" t="s">
        <v>1191</v>
      </c>
      <c r="U98" s="921" t="s">
        <v>1189</v>
      </c>
      <c r="V98" s="1121">
        <v>1.7</v>
      </c>
      <c r="W98" s="1122">
        <v>1.48</v>
      </c>
      <c r="X98" s="1122">
        <v>1.48</v>
      </c>
      <c r="Y98" s="1123">
        <v>1.23</v>
      </c>
      <c r="Z98" s="756">
        <v>1.6</v>
      </c>
      <c r="AA98" s="756">
        <v>1.18</v>
      </c>
      <c r="AB98" s="100"/>
      <c r="AC98" s="253"/>
      <c r="AD98" s="253"/>
      <c r="AE98" s="253"/>
      <c r="AF98" s="253"/>
      <c r="AG98" s="253"/>
      <c r="AH98" s="253"/>
      <c r="AI98" s="100"/>
      <c r="AJ98" s="176"/>
      <c r="AK98" s="1452" t="s">
        <v>111</v>
      </c>
      <c r="AL98" s="1452"/>
      <c r="AM98" s="10"/>
      <c r="AN98" s="10"/>
      <c r="AO98" s="10"/>
      <c r="AP98" s="10"/>
      <c r="AQ98" s="10"/>
      <c r="AR98" s="10"/>
      <c r="AS98" s="100"/>
      <c r="AT98" s="10"/>
      <c r="AU98" s="10"/>
      <c r="AV98" s="10"/>
      <c r="AW98" s="10"/>
      <c r="AX98" s="10"/>
      <c r="AY98" s="10"/>
      <c r="BF98" s="278"/>
      <c r="BG98" s="278"/>
      <c r="BH98" s="278"/>
      <c r="BI98" s="278"/>
      <c r="CA98" s="278"/>
      <c r="CB98" s="278"/>
      <c r="CC98" s="278"/>
      <c r="CD98" s="278"/>
      <c r="CE98" s="278"/>
      <c r="CF98" s="278"/>
      <c r="CG98" s="278"/>
      <c r="CH98" s="278"/>
      <c r="CI98" s="278"/>
      <c r="CJ98" s="278"/>
      <c r="CK98" s="278"/>
      <c r="CL98" s="278"/>
      <c r="CM98" s="278"/>
      <c r="CN98" s="278"/>
      <c r="CO98" s="278"/>
      <c r="CP98" s="278"/>
      <c r="CQ98" s="278"/>
      <c r="CR98" s="278"/>
      <c r="CS98" s="278"/>
      <c r="CT98" s="278"/>
      <c r="CU98" s="278"/>
      <c r="CV98" s="278"/>
      <c r="CW98" s="278"/>
      <c r="CX98" s="278"/>
      <c r="CY98" s="278"/>
      <c r="CZ98" s="278"/>
      <c r="DA98" s="278"/>
      <c r="DB98" s="278"/>
      <c r="DC98" s="278"/>
      <c r="DD98" s="278"/>
      <c r="DE98" s="278"/>
      <c r="DF98" s="278"/>
      <c r="DG98" s="278"/>
      <c r="DH98" s="278"/>
      <c r="DI98" s="278"/>
      <c r="DJ98" s="278"/>
      <c r="DK98" s="278"/>
      <c r="DL98" s="278"/>
      <c r="DM98" s="278"/>
      <c r="DN98" s="278"/>
      <c r="DO98" s="278"/>
      <c r="DP98" s="278"/>
      <c r="DQ98" s="278"/>
      <c r="DR98" s="278"/>
      <c r="DS98" s="278"/>
      <c r="DT98" s="278"/>
      <c r="DU98" s="278"/>
      <c r="DV98" s="278"/>
      <c r="DW98" s="278"/>
      <c r="DX98" s="278"/>
      <c r="DY98" s="278"/>
      <c r="DZ98" s="278"/>
      <c r="EA98" s="278"/>
      <c r="EB98" s="278"/>
      <c r="EC98" s="278"/>
      <c r="ED98" s="278"/>
      <c r="EE98" s="278"/>
      <c r="EF98" s="278"/>
      <c r="EG98" s="278"/>
      <c r="EH98" s="278"/>
      <c r="EI98" s="278"/>
      <c r="EJ98" s="278"/>
      <c r="EK98" s="278"/>
      <c r="EL98" s="278"/>
      <c r="EM98" s="278"/>
      <c r="EN98" s="278"/>
      <c r="EO98" s="278"/>
      <c r="EP98" s="278"/>
      <c r="EQ98" s="278"/>
    </row>
    <row r="99" spans="2:147" ht="48.75" customHeight="1">
      <c r="B99" s="756"/>
      <c r="C99" s="993"/>
      <c r="D99" s="994"/>
      <c r="E99" s="995"/>
      <c r="F99" s="1921"/>
      <c r="G99" s="993"/>
      <c r="H99" s="994"/>
      <c r="I99" s="994"/>
      <c r="J99" s="994"/>
      <c r="K99" s="995"/>
      <c r="L99" s="993"/>
      <c r="M99" s="994"/>
      <c r="N99" s="994"/>
      <c r="O99" s="994"/>
      <c r="P99" s="994"/>
      <c r="Q99" s="995"/>
      <c r="S99" s="176"/>
      <c r="T99" s="1864" t="s">
        <v>1190</v>
      </c>
      <c r="U99" s="925"/>
      <c r="V99" s="1121">
        <v>1.9</v>
      </c>
      <c r="W99" s="1122">
        <v>1.49</v>
      </c>
      <c r="X99" s="1122">
        <v>1.49</v>
      </c>
      <c r="Y99" s="1123">
        <v>1.24</v>
      </c>
      <c r="Z99" s="756">
        <v>1.8</v>
      </c>
      <c r="AA99" s="756">
        <v>1.19</v>
      </c>
      <c r="AB99" s="100"/>
      <c r="AC99" s="253"/>
      <c r="AD99" s="253"/>
      <c r="AE99" s="253"/>
      <c r="AF99" s="253"/>
      <c r="AG99" s="253"/>
      <c r="AH99" s="253"/>
      <c r="AI99" s="100"/>
      <c r="AJ99" s="176"/>
      <c r="AK99" s="1415" t="s">
        <v>1191</v>
      </c>
      <c r="AL99" s="921" t="s">
        <v>1189</v>
      </c>
      <c r="AM99" s="10"/>
      <c r="AN99" s="10"/>
      <c r="AO99" s="10"/>
      <c r="AP99" s="10"/>
      <c r="AQ99" s="10"/>
      <c r="AR99" s="10"/>
      <c r="AS99" s="100"/>
      <c r="AT99" s="10"/>
      <c r="AU99" s="10"/>
      <c r="AV99" s="10"/>
      <c r="AW99" s="10"/>
      <c r="AX99" s="10"/>
      <c r="AY99" s="10"/>
      <c r="BF99" s="278"/>
      <c r="BG99" s="278"/>
      <c r="BH99" s="278"/>
      <c r="BI99" s="278"/>
      <c r="CA99" s="278"/>
      <c r="CB99" s="278"/>
      <c r="CC99" s="278"/>
      <c r="CD99" s="278"/>
      <c r="CE99" s="278"/>
      <c r="CF99" s="278"/>
      <c r="CG99" s="278"/>
      <c r="CH99" s="278"/>
      <c r="CI99" s="278"/>
      <c r="CJ99" s="278"/>
      <c r="CK99" s="278"/>
      <c r="CL99" s="278"/>
      <c r="CM99" s="278"/>
      <c r="CN99" s="278"/>
      <c r="CO99" s="278"/>
      <c r="CP99" s="278"/>
      <c r="CQ99" s="278"/>
      <c r="CR99" s="278"/>
      <c r="CS99" s="278"/>
      <c r="CT99" s="278"/>
      <c r="CU99" s="278"/>
      <c r="CV99" s="278"/>
      <c r="CW99" s="278"/>
      <c r="CX99" s="278"/>
      <c r="CY99" s="278"/>
      <c r="CZ99" s="278"/>
      <c r="DA99" s="278"/>
      <c r="DB99" s="278"/>
      <c r="DC99" s="278"/>
      <c r="DD99" s="278"/>
      <c r="DE99" s="278"/>
      <c r="DF99" s="278"/>
      <c r="DG99" s="278"/>
      <c r="DH99" s="278"/>
      <c r="DI99" s="278"/>
      <c r="DJ99" s="278"/>
      <c r="DK99" s="278"/>
      <c r="DL99" s="278"/>
      <c r="DM99" s="278"/>
      <c r="DN99" s="278"/>
      <c r="DO99" s="278"/>
      <c r="DP99" s="278"/>
      <c r="DQ99" s="278"/>
      <c r="DR99" s="278"/>
      <c r="DS99" s="278"/>
      <c r="DT99" s="278"/>
      <c r="DU99" s="278"/>
      <c r="DV99" s="278"/>
      <c r="DW99" s="278"/>
      <c r="DX99" s="278"/>
      <c r="DY99" s="278"/>
      <c r="DZ99" s="278"/>
      <c r="EA99" s="278"/>
      <c r="EB99" s="278"/>
      <c r="EC99" s="278"/>
      <c r="ED99" s="278"/>
      <c r="EE99" s="278"/>
      <c r="EF99" s="278"/>
      <c r="EG99" s="278"/>
      <c r="EH99" s="278"/>
      <c r="EI99" s="278"/>
      <c r="EJ99" s="278"/>
      <c r="EK99" s="278"/>
      <c r="EL99" s="278"/>
      <c r="EM99" s="278"/>
      <c r="EN99" s="278"/>
      <c r="EO99" s="278"/>
      <c r="EP99" s="278"/>
      <c r="EQ99" s="278"/>
    </row>
    <row r="100" spans="2:147" ht="48.75" customHeight="1">
      <c r="B100" s="756">
        <v>10</v>
      </c>
      <c r="C100" s="1992" t="s">
        <v>492</v>
      </c>
      <c r="D100" s="1992"/>
      <c r="E100" s="1287" t="s">
        <v>493</v>
      </c>
      <c r="F100" s="1919" t="s">
        <v>504</v>
      </c>
      <c r="G100" s="1919" t="s">
        <v>175</v>
      </c>
      <c r="H100" s="1919" t="s">
        <v>494</v>
      </c>
      <c r="I100" s="987" t="s">
        <v>495</v>
      </c>
      <c r="J100" s="988"/>
      <c r="K100" s="989"/>
      <c r="L100" s="1919" t="s">
        <v>175</v>
      </c>
      <c r="M100" s="1919" t="s">
        <v>467</v>
      </c>
      <c r="N100" s="987" t="s">
        <v>496</v>
      </c>
      <c r="O100" s="988"/>
      <c r="P100" s="988"/>
      <c r="Q100" s="989"/>
      <c r="S100" s="290"/>
      <c r="T100" s="291"/>
      <c r="U100" s="291"/>
      <c r="V100" s="291"/>
      <c r="W100" s="291"/>
      <c r="X100" s="291"/>
      <c r="Y100" s="291"/>
      <c r="Z100" s="291"/>
      <c r="AA100" s="291"/>
      <c r="AB100" s="291"/>
      <c r="AC100" s="291"/>
      <c r="AD100" s="291"/>
      <c r="AE100" s="291"/>
      <c r="AF100" s="291"/>
      <c r="AG100" s="291"/>
      <c r="AH100" s="291"/>
      <c r="AI100" s="100"/>
      <c r="AJ100" s="176"/>
      <c r="AK100" s="1864" t="s">
        <v>1190</v>
      </c>
      <c r="AL100" s="925"/>
      <c r="AM100" s="10"/>
      <c r="AN100" s="10"/>
      <c r="AO100" s="10"/>
      <c r="AP100" s="10"/>
      <c r="AQ100" s="10"/>
      <c r="AR100" s="10"/>
      <c r="AS100" s="100"/>
      <c r="AT100" s="10"/>
      <c r="AU100" s="10"/>
      <c r="AV100" s="10"/>
      <c r="AW100" s="10"/>
      <c r="AX100" s="289"/>
      <c r="AY100" s="10"/>
      <c r="BF100" s="278"/>
      <c r="BG100" s="278"/>
      <c r="BH100" s="278"/>
      <c r="BI100" s="278"/>
      <c r="CA100" s="278"/>
      <c r="CB100" s="278"/>
      <c r="CC100" s="278"/>
      <c r="CD100" s="278"/>
      <c r="CE100" s="278"/>
      <c r="CF100" s="278"/>
      <c r="CG100" s="278"/>
      <c r="CH100" s="278"/>
      <c r="CI100" s="278"/>
      <c r="CJ100" s="278"/>
      <c r="CK100" s="278"/>
      <c r="CL100" s="278"/>
      <c r="CM100" s="278"/>
      <c r="CN100" s="278"/>
      <c r="CO100" s="278"/>
      <c r="CP100" s="278"/>
      <c r="CQ100" s="278"/>
      <c r="CR100" s="278"/>
      <c r="CS100" s="278"/>
      <c r="CT100" s="278"/>
      <c r="CU100" s="278"/>
      <c r="CV100" s="278"/>
      <c r="CW100" s="278"/>
      <c r="CX100" s="278"/>
      <c r="CY100" s="278"/>
      <c r="CZ100" s="278"/>
      <c r="DA100" s="278"/>
      <c r="DB100" s="278"/>
      <c r="DC100" s="278"/>
      <c r="DD100" s="278"/>
      <c r="DE100" s="278"/>
      <c r="DF100" s="278"/>
      <c r="DG100" s="278"/>
      <c r="DH100" s="278"/>
      <c r="DI100" s="278"/>
      <c r="DJ100" s="278"/>
      <c r="DK100" s="278"/>
      <c r="DL100" s="278"/>
      <c r="DM100" s="278"/>
      <c r="DN100" s="278"/>
      <c r="DO100" s="278"/>
      <c r="DP100" s="278"/>
      <c r="DQ100" s="278"/>
      <c r="DR100" s="278"/>
      <c r="DS100" s="278"/>
      <c r="DT100" s="278"/>
      <c r="DU100" s="278"/>
      <c r="DV100" s="278"/>
      <c r="DW100" s="278"/>
      <c r="DX100" s="278"/>
      <c r="DY100" s="278"/>
      <c r="DZ100" s="278"/>
      <c r="EA100" s="278"/>
      <c r="EB100" s="278"/>
      <c r="EC100" s="278"/>
      <c r="ED100" s="278"/>
      <c r="EE100" s="278"/>
      <c r="EF100" s="278"/>
      <c r="EG100" s="278"/>
      <c r="EH100" s="278"/>
      <c r="EI100" s="278"/>
      <c r="EJ100" s="278"/>
      <c r="EK100" s="278"/>
      <c r="EL100" s="278"/>
      <c r="EM100" s="278"/>
      <c r="EN100" s="278"/>
      <c r="EO100" s="278"/>
      <c r="EP100" s="278"/>
      <c r="EQ100" s="278"/>
    </row>
    <row r="101" spans="2:147" ht="48.75" customHeight="1">
      <c r="B101" s="756"/>
      <c r="C101" s="1992"/>
      <c r="D101" s="1992"/>
      <c r="E101" s="1287"/>
      <c r="F101" s="1921"/>
      <c r="G101" s="1921"/>
      <c r="H101" s="1921"/>
      <c r="I101" s="993"/>
      <c r="J101" s="994"/>
      <c r="K101" s="995"/>
      <c r="L101" s="1921"/>
      <c r="M101" s="1921"/>
      <c r="N101" s="993"/>
      <c r="O101" s="994"/>
      <c r="P101" s="994"/>
      <c r="Q101" s="995"/>
      <c r="S101" s="112"/>
      <c r="T101" s="1452" t="s">
        <v>689</v>
      </c>
      <c r="U101" s="1452"/>
      <c r="V101" s="283" t="s">
        <v>416</v>
      </c>
      <c r="W101" s="1121" t="s">
        <v>470</v>
      </c>
      <c r="X101" s="1122"/>
      <c r="Y101" s="1122"/>
      <c r="Z101" s="1123"/>
      <c r="AA101" s="283" t="s">
        <v>416</v>
      </c>
      <c r="AB101" s="340"/>
      <c r="AC101" s="283" t="s">
        <v>416</v>
      </c>
      <c r="AD101" s="1121" t="s">
        <v>470</v>
      </c>
      <c r="AE101" s="1122"/>
      <c r="AF101" s="1122"/>
      <c r="AG101" s="1123"/>
      <c r="AH101" s="283" t="s">
        <v>416</v>
      </c>
      <c r="AI101" s="100"/>
      <c r="AJ101" s="176"/>
      <c r="AK101" s="100"/>
      <c r="AL101" s="288"/>
      <c r="AM101" s="288"/>
      <c r="AN101" s="288"/>
      <c r="AO101" s="288"/>
      <c r="AP101" s="288"/>
      <c r="AQ101" s="288"/>
      <c r="AR101" s="288"/>
      <c r="AS101" s="100"/>
      <c r="AT101" s="288"/>
      <c r="AU101" s="288"/>
      <c r="AV101" s="288"/>
      <c r="AW101" s="288"/>
      <c r="AX101" s="288"/>
      <c r="AY101" s="293"/>
      <c r="BF101" s="278"/>
      <c r="BG101" s="278"/>
      <c r="BH101" s="278"/>
      <c r="BI101" s="278"/>
      <c r="CA101" s="278"/>
      <c r="CB101" s="278"/>
      <c r="CC101" s="278"/>
      <c r="CD101" s="278"/>
      <c r="CE101" s="278"/>
      <c r="CF101" s="278"/>
      <c r="CG101" s="278"/>
      <c r="CH101" s="278"/>
      <c r="CI101" s="278"/>
      <c r="CJ101" s="278"/>
      <c r="CK101" s="278"/>
      <c r="CL101" s="278"/>
      <c r="CM101" s="278"/>
      <c r="CN101" s="278"/>
      <c r="CO101" s="278"/>
      <c r="CP101" s="278"/>
      <c r="CQ101" s="278"/>
      <c r="CR101" s="278"/>
      <c r="CS101" s="278"/>
      <c r="CT101" s="278"/>
      <c r="CU101" s="278"/>
      <c r="CV101" s="278"/>
      <c r="CW101" s="278"/>
      <c r="CX101" s="278"/>
      <c r="CY101" s="278"/>
      <c r="CZ101" s="278"/>
      <c r="DA101" s="278"/>
      <c r="DB101" s="278"/>
      <c r="DC101" s="278"/>
      <c r="DD101" s="278"/>
      <c r="DE101" s="278"/>
      <c r="DF101" s="278"/>
      <c r="DG101" s="278"/>
      <c r="DH101" s="278"/>
      <c r="DI101" s="278"/>
      <c r="DJ101" s="278"/>
      <c r="DK101" s="278"/>
      <c r="DL101" s="278"/>
      <c r="DM101" s="278"/>
      <c r="DN101" s="278"/>
      <c r="DO101" s="278"/>
      <c r="DP101" s="278"/>
      <c r="DQ101" s="278"/>
      <c r="DR101" s="278"/>
      <c r="DS101" s="278"/>
      <c r="DT101" s="278"/>
      <c r="DU101" s="278"/>
      <c r="DV101" s="278"/>
      <c r="DW101" s="278"/>
      <c r="DX101" s="278"/>
      <c r="DY101" s="278"/>
      <c r="DZ101" s="278"/>
      <c r="EA101" s="278"/>
      <c r="EB101" s="278"/>
      <c r="EC101" s="278"/>
      <c r="ED101" s="278"/>
      <c r="EE101" s="278"/>
      <c r="EF101" s="278"/>
      <c r="EG101" s="278"/>
      <c r="EH101" s="278"/>
      <c r="EI101" s="278"/>
      <c r="EJ101" s="278"/>
      <c r="EK101" s="278"/>
      <c r="EL101" s="278"/>
      <c r="EM101" s="278"/>
      <c r="EN101" s="278"/>
      <c r="EO101" s="278"/>
      <c r="EP101" s="278"/>
      <c r="EQ101" s="278"/>
    </row>
    <row r="102" spans="2:147" ht="48.75" customHeight="1">
      <c r="B102" s="756">
        <v>11</v>
      </c>
      <c r="C102" s="1992"/>
      <c r="D102" s="1992"/>
      <c r="E102" s="1287" t="s">
        <v>482</v>
      </c>
      <c r="F102" s="1287" t="s">
        <v>504</v>
      </c>
      <c r="G102" s="1287" t="s">
        <v>175</v>
      </c>
      <c r="H102" s="1919" t="s">
        <v>695</v>
      </c>
      <c r="I102" s="1287" t="s">
        <v>497</v>
      </c>
      <c r="J102" s="1287"/>
      <c r="K102" s="1287"/>
      <c r="L102" s="1287" t="s">
        <v>175</v>
      </c>
      <c r="M102" s="1287" t="s">
        <v>498</v>
      </c>
      <c r="N102" s="1287" t="s">
        <v>499</v>
      </c>
      <c r="O102" s="1287"/>
      <c r="P102" s="1287"/>
      <c r="Q102" s="1287"/>
      <c r="S102" s="112"/>
      <c r="T102" s="1415" t="s">
        <v>690</v>
      </c>
      <c r="U102" s="921"/>
      <c r="V102" s="116"/>
      <c r="W102" s="1121" t="s">
        <v>694</v>
      </c>
      <c r="X102" s="1122"/>
      <c r="Y102" s="1122"/>
      <c r="Z102" s="1123"/>
      <c r="AA102" s="116"/>
      <c r="AB102" s="281"/>
      <c r="AC102" s="113"/>
      <c r="AD102" s="1121" t="s">
        <v>472</v>
      </c>
      <c r="AE102" s="1122"/>
      <c r="AF102" s="1122"/>
      <c r="AG102" s="1123"/>
      <c r="AH102" s="114"/>
      <c r="AI102" s="100"/>
      <c r="AJ102" s="176"/>
      <c r="AK102" s="1452" t="s">
        <v>690</v>
      </c>
      <c r="AL102" s="1452"/>
      <c r="AM102" s="115"/>
      <c r="AN102" s="1285" t="s">
        <v>485</v>
      </c>
      <c r="AO102" s="1286"/>
      <c r="AP102" s="1286"/>
      <c r="AQ102" s="1761"/>
      <c r="AR102" s="115"/>
      <c r="AS102" s="100"/>
      <c r="AT102" s="115"/>
      <c r="AU102" s="1285" t="s">
        <v>485</v>
      </c>
      <c r="AV102" s="1286"/>
      <c r="AW102" s="1286"/>
      <c r="AX102" s="1761"/>
      <c r="AY102" s="115"/>
      <c r="BF102" s="278"/>
      <c r="BG102" s="278"/>
      <c r="BH102" s="278"/>
      <c r="BI102" s="278"/>
      <c r="CA102" s="278"/>
      <c r="CB102" s="278"/>
      <c r="CC102" s="278"/>
      <c r="CD102" s="278"/>
      <c r="CE102" s="278"/>
      <c r="CF102" s="278"/>
      <c r="CG102" s="278"/>
      <c r="CH102" s="278"/>
      <c r="CI102" s="278"/>
      <c r="CJ102" s="278"/>
      <c r="CK102" s="278"/>
      <c r="CL102" s="278"/>
      <c r="CM102" s="278"/>
      <c r="CN102" s="278"/>
      <c r="CO102" s="278"/>
      <c r="CP102" s="278"/>
      <c r="CQ102" s="278"/>
      <c r="CR102" s="278"/>
      <c r="CS102" s="278"/>
      <c r="CT102" s="278"/>
      <c r="CU102" s="278"/>
      <c r="CV102" s="278"/>
      <c r="CW102" s="278"/>
      <c r="CX102" s="278"/>
      <c r="CY102" s="278"/>
      <c r="CZ102" s="278"/>
      <c r="DA102" s="278"/>
      <c r="DB102" s="278"/>
      <c r="DC102" s="278"/>
      <c r="DD102" s="278"/>
      <c r="DE102" s="278"/>
      <c r="DF102" s="278"/>
      <c r="DG102" s="278"/>
      <c r="DH102" s="278"/>
      <c r="DI102" s="278"/>
      <c r="DJ102" s="278"/>
      <c r="DK102" s="278"/>
      <c r="DL102" s="278"/>
      <c r="DM102" s="278"/>
      <c r="DN102" s="278"/>
      <c r="DO102" s="278"/>
      <c r="DP102" s="278"/>
      <c r="DQ102" s="278"/>
      <c r="DR102" s="278"/>
      <c r="DS102" s="278"/>
      <c r="DT102" s="278"/>
      <c r="DU102" s="278"/>
      <c r="DV102" s="278"/>
      <c r="DW102" s="278"/>
      <c r="DX102" s="278"/>
      <c r="DY102" s="278"/>
      <c r="DZ102" s="278"/>
      <c r="EA102" s="278"/>
      <c r="EB102" s="278"/>
      <c r="EC102" s="278"/>
      <c r="ED102" s="278"/>
      <c r="EE102" s="278"/>
      <c r="EF102" s="278"/>
      <c r="EG102" s="278"/>
      <c r="EH102" s="278"/>
      <c r="EI102" s="278"/>
      <c r="EJ102" s="278"/>
      <c r="EK102" s="278"/>
      <c r="EL102" s="278"/>
      <c r="EM102" s="278"/>
      <c r="EN102" s="278"/>
      <c r="EO102" s="278"/>
      <c r="EP102" s="278"/>
      <c r="EQ102" s="278"/>
    </row>
    <row r="103" spans="2:147" ht="48.75" customHeight="1">
      <c r="B103" s="756"/>
      <c r="C103" s="1992"/>
      <c r="D103" s="1992"/>
      <c r="E103" s="1287"/>
      <c r="F103" s="1287"/>
      <c r="G103" s="1287"/>
      <c r="H103" s="1921"/>
      <c r="I103" s="1287"/>
      <c r="J103" s="1287"/>
      <c r="K103" s="1287"/>
      <c r="L103" s="1287"/>
      <c r="M103" s="1287"/>
      <c r="N103" s="1287"/>
      <c r="O103" s="1287"/>
      <c r="P103" s="1287"/>
      <c r="Q103" s="1287"/>
      <c r="S103" s="112"/>
      <c r="T103" s="1415" t="s">
        <v>402</v>
      </c>
      <c r="U103" s="921"/>
      <c r="V103" s="257">
        <v>2</v>
      </c>
      <c r="W103" s="257">
        <v>4</v>
      </c>
      <c r="X103" s="257">
        <v>6</v>
      </c>
      <c r="Y103" s="257">
        <v>8</v>
      </c>
      <c r="Z103" s="257">
        <v>10</v>
      </c>
      <c r="AA103" s="257">
        <v>12</v>
      </c>
      <c r="AB103" s="281"/>
      <c r="AC103" s="257">
        <v>2</v>
      </c>
      <c r="AD103" s="257">
        <v>4</v>
      </c>
      <c r="AE103" s="257">
        <v>6</v>
      </c>
      <c r="AF103" s="257">
        <v>8</v>
      </c>
      <c r="AG103" s="257">
        <v>10</v>
      </c>
      <c r="AH103" s="257">
        <v>12</v>
      </c>
      <c r="AI103" s="100"/>
      <c r="AJ103" s="176"/>
      <c r="AK103" s="1415" t="s">
        <v>402</v>
      </c>
      <c r="AL103" s="921"/>
      <c r="AM103" s="257">
        <v>2</v>
      </c>
      <c r="AN103" s="257">
        <v>4</v>
      </c>
      <c r="AO103" s="257">
        <v>6</v>
      </c>
      <c r="AP103" s="257">
        <v>8</v>
      </c>
      <c r="AQ103" s="257">
        <v>10</v>
      </c>
      <c r="AR103" s="257">
        <v>12</v>
      </c>
      <c r="AS103" s="100"/>
      <c r="AT103" s="257">
        <v>2</v>
      </c>
      <c r="AU103" s="257">
        <v>4</v>
      </c>
      <c r="AV103" s="257">
        <v>6</v>
      </c>
      <c r="AW103" s="257">
        <v>8</v>
      </c>
      <c r="AX103" s="257">
        <v>10</v>
      </c>
      <c r="AY103" s="257">
        <v>12</v>
      </c>
      <c r="BF103" s="278"/>
      <c r="BG103" s="278"/>
      <c r="BH103" s="278"/>
      <c r="BI103" s="278"/>
      <c r="CA103" s="278"/>
      <c r="CB103" s="278"/>
      <c r="CC103" s="278"/>
      <c r="CD103" s="278"/>
      <c r="CE103" s="278"/>
      <c r="CF103" s="278"/>
      <c r="CG103" s="278"/>
      <c r="CH103" s="278"/>
      <c r="CI103" s="278"/>
      <c r="CJ103" s="278"/>
      <c r="CK103" s="278"/>
      <c r="CL103" s="278"/>
      <c r="CM103" s="278"/>
      <c r="CN103" s="278"/>
      <c r="CO103" s="278"/>
      <c r="CP103" s="278"/>
      <c r="CQ103" s="278"/>
      <c r="CR103" s="278"/>
      <c r="CS103" s="278"/>
      <c r="CT103" s="278"/>
      <c r="CU103" s="278"/>
      <c r="CV103" s="278"/>
      <c r="CW103" s="278"/>
      <c r="CX103" s="278"/>
      <c r="CY103" s="278"/>
      <c r="CZ103" s="278"/>
      <c r="DA103" s="278"/>
      <c r="DB103" s="278"/>
      <c r="DC103" s="278"/>
      <c r="DD103" s="278"/>
      <c r="DE103" s="278"/>
      <c r="DF103" s="278"/>
      <c r="DG103" s="278"/>
      <c r="DH103" s="278"/>
      <c r="DI103" s="278"/>
      <c r="DJ103" s="278"/>
      <c r="DK103" s="278"/>
      <c r="DL103" s="278"/>
      <c r="DM103" s="278"/>
      <c r="DN103" s="278"/>
      <c r="DO103" s="278"/>
      <c r="DP103" s="278"/>
      <c r="DQ103" s="278"/>
      <c r="DR103" s="278"/>
      <c r="DS103" s="278"/>
      <c r="DT103" s="278"/>
      <c r="DU103" s="278"/>
      <c r="DV103" s="278"/>
      <c r="DW103" s="278"/>
      <c r="DX103" s="278"/>
      <c r="DY103" s="278"/>
      <c r="DZ103" s="278"/>
      <c r="EA103" s="278"/>
      <c r="EB103" s="278"/>
      <c r="EC103" s="278"/>
      <c r="ED103" s="278"/>
      <c r="EE103" s="278"/>
      <c r="EF103" s="278"/>
      <c r="EG103" s="278"/>
      <c r="EH103" s="278"/>
      <c r="EI103" s="278"/>
      <c r="EJ103" s="278"/>
      <c r="EK103" s="278"/>
      <c r="EL103" s="278"/>
      <c r="EM103" s="278"/>
      <c r="EN103" s="278"/>
      <c r="EO103" s="278"/>
      <c r="EP103" s="278"/>
      <c r="EQ103" s="278"/>
    </row>
    <row r="104" spans="2:147" ht="48.75" customHeight="1">
      <c r="S104" s="112"/>
      <c r="T104" s="1415" t="s">
        <v>1192</v>
      </c>
      <c r="U104" s="921"/>
      <c r="V104" s="1121" t="s">
        <v>1115</v>
      </c>
      <c r="W104" s="1122"/>
      <c r="X104" s="1122"/>
      <c r="Y104" s="1122"/>
      <c r="Z104" s="1122"/>
      <c r="AA104" s="1123"/>
      <c r="AB104" s="284"/>
      <c r="AC104" s="253"/>
      <c r="AD104" s="253"/>
      <c r="AE104" s="253"/>
      <c r="AF104" s="253"/>
      <c r="AG104" s="253"/>
      <c r="AH104" s="253"/>
      <c r="AI104" s="100"/>
      <c r="AJ104" s="176"/>
      <c r="AK104" s="1452" t="s">
        <v>111</v>
      </c>
      <c r="AL104" s="1452"/>
      <c r="AM104" s="1121" t="s">
        <v>686</v>
      </c>
      <c r="AN104" s="1122"/>
      <c r="AO104" s="1122"/>
      <c r="AP104" s="1122"/>
      <c r="AQ104" s="1122"/>
      <c r="AR104" s="1123"/>
      <c r="AS104" s="100"/>
      <c r="AT104" s="10"/>
      <c r="AU104" s="10"/>
      <c r="AV104" s="10"/>
      <c r="AW104" s="10"/>
      <c r="AX104" s="289"/>
      <c r="AY104" s="10"/>
      <c r="BA104" s="285"/>
      <c r="BB104" s="285"/>
      <c r="BC104" s="285"/>
      <c r="BD104" s="286"/>
      <c r="BE104" s="286"/>
      <c r="BF104" s="287"/>
      <c r="BG104" s="287"/>
      <c r="BH104" s="286"/>
      <c r="BI104" s="286"/>
      <c r="BJ104" s="287"/>
      <c r="BK104" s="287"/>
      <c r="BL104" s="286"/>
      <c r="BM104" s="286"/>
      <c r="BN104" s="287"/>
      <c r="BO104" s="287"/>
      <c r="BP104" s="286"/>
      <c r="BQ104" s="286"/>
      <c r="CA104" s="278"/>
      <c r="CB104" s="278"/>
      <c r="CC104" s="278"/>
      <c r="CD104" s="278"/>
      <c r="CE104" s="278"/>
      <c r="CF104" s="278"/>
      <c r="CG104" s="278"/>
      <c r="CH104" s="278"/>
      <c r="CI104" s="278"/>
      <c r="CJ104" s="278"/>
      <c r="CK104" s="278"/>
      <c r="CL104" s="278"/>
      <c r="CM104" s="278"/>
      <c r="CN104" s="278"/>
      <c r="CO104" s="278"/>
      <c r="CP104" s="278"/>
      <c r="CQ104" s="278"/>
      <c r="CR104" s="278"/>
      <c r="CS104" s="278"/>
      <c r="CT104" s="278"/>
      <c r="CU104" s="278"/>
      <c r="CV104" s="278"/>
      <c r="CW104" s="278"/>
      <c r="CX104" s="278"/>
      <c r="CY104" s="278"/>
      <c r="CZ104" s="278"/>
      <c r="DA104" s="278"/>
      <c r="DB104" s="278"/>
      <c r="DC104" s="278"/>
      <c r="DD104" s="278"/>
      <c r="DE104" s="278"/>
      <c r="DF104" s="278"/>
      <c r="DG104" s="278"/>
      <c r="DH104" s="278"/>
      <c r="DI104" s="278"/>
      <c r="DJ104" s="278"/>
      <c r="DK104" s="278"/>
      <c r="DL104" s="278"/>
      <c r="DM104" s="278"/>
      <c r="DN104" s="278"/>
      <c r="DO104" s="278"/>
      <c r="DP104" s="278"/>
      <c r="DQ104" s="278"/>
      <c r="DR104" s="278"/>
      <c r="DS104" s="278"/>
      <c r="DT104" s="278"/>
      <c r="DU104" s="278"/>
      <c r="DV104" s="278"/>
      <c r="DW104" s="278"/>
      <c r="DX104" s="278"/>
      <c r="DY104" s="278"/>
      <c r="DZ104" s="278"/>
      <c r="EA104" s="278"/>
      <c r="EB104" s="278"/>
      <c r="EC104" s="278"/>
      <c r="ED104" s="278"/>
      <c r="EE104" s="278"/>
      <c r="EF104" s="278"/>
      <c r="EG104" s="278"/>
      <c r="EH104" s="278"/>
      <c r="EI104" s="278"/>
      <c r="EJ104" s="278"/>
      <c r="EK104" s="278"/>
      <c r="EL104" s="278"/>
      <c r="EM104" s="278"/>
      <c r="EN104" s="278"/>
      <c r="EO104" s="278"/>
      <c r="EP104" s="278"/>
      <c r="EQ104" s="278"/>
    </row>
    <row r="105" spans="2:147" ht="48.75" customHeight="1">
      <c r="S105" s="176"/>
      <c r="T105" s="1452" t="s">
        <v>111</v>
      </c>
      <c r="U105" s="1452"/>
      <c r="V105" s="266"/>
      <c r="W105" s="266"/>
      <c r="X105" s="266"/>
      <c r="Y105" s="253"/>
      <c r="Z105" s="253"/>
      <c r="AA105" s="253"/>
      <c r="AB105" s="100"/>
      <c r="AC105" s="253"/>
      <c r="AD105" s="253"/>
      <c r="AE105" s="253"/>
      <c r="AF105" s="253"/>
      <c r="AG105" s="253"/>
      <c r="AH105" s="253"/>
      <c r="AI105" s="100"/>
      <c r="AJ105" s="176"/>
      <c r="AK105" s="1415" t="s">
        <v>1191</v>
      </c>
      <c r="AL105" s="921" t="s">
        <v>1189</v>
      </c>
      <c r="AM105" s="10"/>
      <c r="AN105" s="10"/>
      <c r="AO105" s="10"/>
      <c r="AP105" s="10"/>
      <c r="AQ105" s="10"/>
      <c r="AR105" s="10"/>
      <c r="AS105" s="100"/>
      <c r="AT105" s="10"/>
      <c r="AU105" s="10"/>
      <c r="AV105" s="10"/>
      <c r="AW105" s="10"/>
      <c r="AX105" s="10"/>
      <c r="AY105" s="10"/>
      <c r="BA105" s="285"/>
      <c r="BB105" s="285"/>
      <c r="BC105" s="286"/>
      <c r="BD105" s="286"/>
      <c r="BE105" s="287"/>
      <c r="BF105" s="287"/>
      <c r="BG105" s="286"/>
      <c r="BH105" s="286"/>
      <c r="BI105" s="287"/>
      <c r="BJ105" s="287"/>
      <c r="BK105" s="286"/>
      <c r="BL105" s="286"/>
      <c r="BM105" s="287"/>
      <c r="BN105" s="287"/>
      <c r="BO105" s="286"/>
      <c r="BP105" s="286"/>
      <c r="BQ105" s="12"/>
      <c r="CA105" s="278"/>
      <c r="CB105" s="278"/>
      <c r="CC105" s="278"/>
      <c r="CD105" s="278"/>
      <c r="CE105" s="278"/>
      <c r="CF105" s="278"/>
      <c r="CG105" s="278"/>
      <c r="CH105" s="278"/>
      <c r="CI105" s="278"/>
      <c r="CJ105" s="278"/>
      <c r="CK105" s="278"/>
      <c r="CL105" s="278"/>
      <c r="CM105" s="278"/>
      <c r="CN105" s="278"/>
      <c r="CO105" s="278"/>
      <c r="CP105" s="278"/>
      <c r="CQ105" s="278"/>
      <c r="CR105" s="278"/>
      <c r="CS105" s="278"/>
      <c r="CT105" s="278"/>
      <c r="CU105" s="278"/>
      <c r="CV105" s="278"/>
      <c r="CW105" s="278"/>
      <c r="CX105" s="278"/>
      <c r="CY105" s="278"/>
      <c r="CZ105" s="278"/>
      <c r="DA105" s="278"/>
      <c r="DB105" s="278"/>
      <c r="DC105" s="278"/>
      <c r="DD105" s="278"/>
      <c r="DE105" s="278"/>
      <c r="DF105" s="278"/>
      <c r="DG105" s="278"/>
      <c r="DH105" s="278"/>
      <c r="DI105" s="278"/>
      <c r="DJ105" s="278"/>
      <c r="DK105" s="278"/>
      <c r="DL105" s="278"/>
      <c r="DM105" s="278"/>
      <c r="DN105" s="278"/>
      <c r="DO105" s="278"/>
      <c r="DP105" s="278"/>
      <c r="DQ105" s="278"/>
      <c r="DR105" s="278"/>
      <c r="DS105" s="278"/>
      <c r="DT105" s="278"/>
      <c r="DU105" s="278"/>
      <c r="DV105" s="278"/>
      <c r="DW105" s="278"/>
      <c r="DX105" s="278"/>
      <c r="DY105" s="278"/>
      <c r="DZ105" s="278"/>
      <c r="EA105" s="278"/>
      <c r="EB105" s="278"/>
      <c r="EC105" s="278"/>
      <c r="ED105" s="278"/>
      <c r="EE105" s="278"/>
      <c r="EF105" s="278"/>
      <c r="EG105" s="278"/>
      <c r="EH105" s="278"/>
      <c r="EI105" s="278"/>
      <c r="EJ105" s="278"/>
      <c r="EK105" s="278"/>
      <c r="EL105" s="278"/>
      <c r="EM105" s="278"/>
      <c r="EN105" s="278"/>
      <c r="EO105" s="278"/>
      <c r="EP105" s="278"/>
      <c r="EQ105" s="278"/>
    </row>
    <row r="106" spans="2:147" ht="48.75" customHeight="1">
      <c r="S106" s="176"/>
      <c r="T106" s="1415" t="s">
        <v>1191</v>
      </c>
      <c r="U106" s="921" t="s">
        <v>1189</v>
      </c>
      <c r="V106" s="10"/>
      <c r="W106" s="10"/>
      <c r="X106" s="10"/>
      <c r="Y106" s="10"/>
      <c r="Z106" s="10"/>
      <c r="AA106" s="10"/>
      <c r="AB106" s="100"/>
      <c r="AC106" s="253"/>
      <c r="AD106" s="253"/>
      <c r="AE106" s="253"/>
      <c r="AF106" s="253"/>
      <c r="AG106" s="253"/>
      <c r="AH106" s="253"/>
      <c r="AI106" s="100"/>
      <c r="AJ106" s="176"/>
      <c r="AK106" s="1864" t="s">
        <v>1190</v>
      </c>
      <c r="AL106" s="925"/>
      <c r="AM106" s="10"/>
      <c r="AN106" s="10"/>
      <c r="AO106" s="10"/>
      <c r="AP106" s="10"/>
      <c r="AQ106" s="10"/>
      <c r="AR106" s="10"/>
      <c r="AS106" s="100"/>
      <c r="AT106" s="10"/>
      <c r="AU106" s="10"/>
      <c r="AV106" s="10"/>
      <c r="AW106" s="10"/>
      <c r="AX106" s="289"/>
      <c r="AY106" s="10"/>
      <c r="BA106" s="285"/>
      <c r="BB106" s="286"/>
      <c r="BC106" s="286"/>
      <c r="BD106" s="287"/>
      <c r="BE106" s="287"/>
      <c r="BF106" s="286"/>
      <c r="BG106" s="286"/>
      <c r="BH106" s="287"/>
      <c r="BI106" s="287"/>
      <c r="BJ106" s="286"/>
      <c r="BK106" s="286"/>
      <c r="BL106" s="287"/>
      <c r="BM106" s="287"/>
      <c r="BN106" s="286"/>
      <c r="BO106" s="286"/>
      <c r="BP106" s="12"/>
      <c r="BQ106" s="12"/>
      <c r="CA106" s="278"/>
      <c r="CB106" s="278"/>
      <c r="CC106" s="278"/>
      <c r="CD106" s="278"/>
      <c r="CE106" s="278"/>
      <c r="CF106" s="278"/>
      <c r="CG106" s="278"/>
      <c r="CH106" s="278"/>
      <c r="CI106" s="278"/>
      <c r="CJ106" s="278"/>
      <c r="CK106" s="278"/>
      <c r="CL106" s="278"/>
      <c r="CM106" s="278"/>
      <c r="CN106" s="278"/>
      <c r="CO106" s="278"/>
      <c r="CP106" s="278"/>
      <c r="CQ106" s="278"/>
      <c r="CR106" s="278"/>
      <c r="CS106" s="278"/>
      <c r="CT106" s="278"/>
      <c r="CU106" s="278"/>
      <c r="CV106" s="278"/>
      <c r="CW106" s="278"/>
      <c r="CX106" s="278"/>
      <c r="CY106" s="278"/>
      <c r="CZ106" s="278"/>
      <c r="DA106" s="278"/>
      <c r="DB106" s="278"/>
      <c r="DC106" s="278"/>
      <c r="DD106" s="278"/>
      <c r="DE106" s="278"/>
      <c r="DF106" s="278"/>
      <c r="DG106" s="278"/>
      <c r="DH106" s="278"/>
      <c r="DI106" s="278"/>
      <c r="DJ106" s="278"/>
      <c r="DK106" s="278"/>
      <c r="DL106" s="278"/>
      <c r="DM106" s="278"/>
      <c r="DN106" s="278"/>
      <c r="DO106" s="278"/>
      <c r="DP106" s="278"/>
      <c r="DQ106" s="278"/>
      <c r="DR106" s="278"/>
      <c r="DS106" s="278"/>
      <c r="DT106" s="278"/>
      <c r="DU106" s="278"/>
      <c r="DV106" s="278"/>
      <c r="DW106" s="278"/>
      <c r="DX106" s="278"/>
      <c r="DY106" s="278"/>
      <c r="DZ106" s="278"/>
      <c r="EA106" s="278"/>
      <c r="EB106" s="278"/>
      <c r="EC106" s="278"/>
      <c r="ED106" s="278"/>
      <c r="EE106" s="278"/>
      <c r="EF106" s="278"/>
      <c r="EG106" s="278"/>
      <c r="EH106" s="278"/>
      <c r="EI106" s="278"/>
      <c r="EJ106" s="278"/>
      <c r="EK106" s="278"/>
      <c r="EL106" s="278"/>
      <c r="EM106" s="278"/>
      <c r="EN106" s="278"/>
      <c r="EO106" s="278"/>
      <c r="EP106" s="278"/>
      <c r="EQ106" s="278"/>
    </row>
    <row r="107" spans="2:147" ht="48.75" customHeight="1">
      <c r="S107" s="176"/>
      <c r="T107" s="1864" t="s">
        <v>1190</v>
      </c>
      <c r="U107" s="925"/>
      <c r="V107" s="10"/>
      <c r="W107" s="10"/>
      <c r="X107" s="10"/>
      <c r="Y107" s="10"/>
      <c r="Z107" s="10"/>
      <c r="AA107" s="10"/>
      <c r="AB107" s="100"/>
      <c r="AC107" s="253"/>
      <c r="AD107" s="253"/>
      <c r="AE107" s="253"/>
      <c r="AF107" s="253"/>
      <c r="AG107" s="253"/>
      <c r="AH107" s="253"/>
      <c r="AI107" s="100"/>
      <c r="AJ107" s="291"/>
      <c r="AK107" s="291"/>
      <c r="AL107" s="291"/>
      <c r="AM107" s="291"/>
      <c r="AN107" s="291"/>
      <c r="AO107" s="291"/>
      <c r="AP107" s="291"/>
      <c r="AQ107" s="291"/>
      <c r="AR107" s="291"/>
      <c r="AS107" s="291"/>
      <c r="AT107" s="291"/>
      <c r="AU107" s="291"/>
      <c r="AV107" s="291"/>
      <c r="AW107" s="291"/>
      <c r="AX107" s="291"/>
      <c r="AY107" s="294"/>
      <c r="BA107" s="286"/>
      <c r="BB107" s="286"/>
      <c r="BC107" s="287"/>
      <c r="BD107" s="287"/>
      <c r="BE107" s="286"/>
      <c r="BF107" s="286"/>
      <c r="BG107" s="287"/>
      <c r="BH107" s="287"/>
      <c r="BI107" s="286"/>
      <c r="BJ107" s="286"/>
      <c r="BK107" s="287"/>
      <c r="BL107" s="287"/>
      <c r="BM107" s="286"/>
      <c r="BN107" s="286"/>
      <c r="BO107" s="12"/>
      <c r="BP107" s="12"/>
      <c r="BQ107" s="12"/>
      <c r="CA107" s="278"/>
      <c r="CB107" s="278"/>
      <c r="CC107" s="278"/>
      <c r="CD107" s="278"/>
      <c r="CE107" s="278"/>
      <c r="CF107" s="278"/>
      <c r="CG107" s="278"/>
      <c r="CH107" s="278"/>
      <c r="CI107" s="278"/>
      <c r="CJ107" s="278"/>
      <c r="CK107" s="278"/>
      <c r="CL107" s="278"/>
      <c r="CM107" s="278"/>
      <c r="CN107" s="278"/>
      <c r="CO107" s="278"/>
      <c r="CP107" s="278"/>
      <c r="CQ107" s="278"/>
      <c r="CR107" s="278"/>
      <c r="CS107" s="278"/>
      <c r="CT107" s="278"/>
      <c r="CU107" s="278"/>
      <c r="CV107" s="278"/>
      <c r="CW107" s="278"/>
      <c r="CX107" s="278"/>
      <c r="CY107" s="278"/>
      <c r="CZ107" s="278"/>
      <c r="DA107" s="278"/>
      <c r="DB107" s="278"/>
      <c r="DC107" s="278"/>
      <c r="DD107" s="278"/>
      <c r="DE107" s="278"/>
      <c r="DF107" s="278"/>
      <c r="DG107" s="278"/>
      <c r="DH107" s="278"/>
      <c r="DI107" s="278"/>
      <c r="DJ107" s="278"/>
      <c r="DK107" s="278"/>
      <c r="DL107" s="278"/>
      <c r="DM107" s="278"/>
      <c r="DN107" s="278"/>
      <c r="DO107" s="278"/>
      <c r="DP107" s="278"/>
      <c r="DQ107" s="278"/>
      <c r="DR107" s="278"/>
      <c r="DS107" s="278"/>
      <c r="DT107" s="278"/>
      <c r="DU107" s="278"/>
      <c r="DV107" s="278"/>
      <c r="DW107" s="278"/>
      <c r="DX107" s="278"/>
      <c r="DY107" s="278"/>
      <c r="DZ107" s="278"/>
      <c r="EA107" s="278"/>
      <c r="EB107" s="278"/>
      <c r="EC107" s="278"/>
      <c r="ED107" s="278"/>
      <c r="EE107" s="278"/>
      <c r="EF107" s="278"/>
      <c r="EG107" s="278"/>
      <c r="EH107" s="278"/>
      <c r="EI107" s="278"/>
      <c r="EJ107" s="278"/>
      <c r="EK107" s="278"/>
      <c r="EL107" s="278"/>
      <c r="EM107" s="278"/>
      <c r="EN107" s="278"/>
      <c r="EO107" s="278"/>
      <c r="EP107" s="278"/>
      <c r="EQ107" s="278"/>
    </row>
    <row r="108" spans="2:147" ht="48.75" customHeight="1">
      <c r="S108" s="176"/>
      <c r="T108" s="339"/>
      <c r="U108" s="288"/>
      <c r="V108" s="288"/>
      <c r="W108" s="288"/>
      <c r="X108" s="288"/>
      <c r="Y108" s="288"/>
      <c r="Z108" s="288"/>
      <c r="AA108" s="288"/>
      <c r="AB108" s="100"/>
      <c r="AC108" s="288"/>
      <c r="AD108" s="288"/>
      <c r="AE108" s="288"/>
      <c r="AF108" s="288"/>
      <c r="AG108" s="288"/>
      <c r="AH108" s="288"/>
      <c r="AI108" s="100"/>
      <c r="AJ108" s="176"/>
      <c r="AK108" s="1452" t="s">
        <v>689</v>
      </c>
      <c r="AL108" s="1452"/>
      <c r="AM108" s="115"/>
      <c r="AN108" s="1285" t="s">
        <v>693</v>
      </c>
      <c r="AO108" s="1286"/>
      <c r="AP108" s="1286"/>
      <c r="AQ108" s="1761"/>
      <c r="AR108" s="115"/>
      <c r="AS108" s="100"/>
      <c r="AT108" s="115"/>
      <c r="AU108" s="1901"/>
      <c r="AV108" s="1901"/>
      <c r="AW108" s="1901"/>
      <c r="AX108" s="1901"/>
      <c r="AY108" s="115"/>
      <c r="BI108" s="11"/>
      <c r="CA108" s="278"/>
      <c r="CB108" s="278"/>
      <c r="CC108" s="278"/>
      <c r="CD108" s="278"/>
      <c r="CE108" s="278"/>
      <c r="CF108" s="278"/>
      <c r="CG108" s="278"/>
      <c r="CH108" s="278"/>
      <c r="CI108" s="278"/>
      <c r="CJ108" s="278"/>
      <c r="CK108" s="278"/>
      <c r="CL108" s="278"/>
      <c r="CM108" s="278"/>
      <c r="CN108" s="278"/>
      <c r="CO108" s="278"/>
      <c r="CP108" s="278"/>
      <c r="CQ108" s="278"/>
      <c r="CR108" s="278"/>
      <c r="CS108" s="278"/>
      <c r="CT108" s="278"/>
      <c r="CU108" s="278"/>
      <c r="CV108" s="278"/>
      <c r="CW108" s="278"/>
      <c r="CX108" s="278"/>
      <c r="CY108" s="278"/>
      <c r="CZ108" s="278"/>
      <c r="DA108" s="278"/>
      <c r="DB108" s="278"/>
      <c r="DC108" s="278"/>
      <c r="DD108" s="278"/>
      <c r="DE108" s="278"/>
      <c r="DF108" s="278"/>
      <c r="DG108" s="278"/>
      <c r="DH108" s="278"/>
      <c r="DI108" s="278"/>
      <c r="DJ108" s="278"/>
      <c r="DK108" s="278"/>
      <c r="DL108" s="278"/>
      <c r="DM108" s="278"/>
      <c r="DN108" s="278"/>
      <c r="DO108" s="278"/>
      <c r="DP108" s="278"/>
      <c r="DQ108" s="278"/>
      <c r="DR108" s="278"/>
      <c r="DS108" s="278"/>
      <c r="DT108" s="278"/>
      <c r="DU108" s="278"/>
      <c r="DV108" s="278"/>
      <c r="DW108" s="278"/>
      <c r="DX108" s="278"/>
      <c r="DY108" s="278"/>
      <c r="DZ108" s="278"/>
      <c r="EA108" s="278"/>
      <c r="EB108" s="278"/>
      <c r="EC108" s="278"/>
      <c r="ED108" s="278"/>
      <c r="EE108" s="278"/>
      <c r="EF108" s="278"/>
      <c r="EG108" s="278"/>
      <c r="EH108" s="278"/>
      <c r="EI108" s="278"/>
      <c r="EJ108" s="278"/>
      <c r="EK108" s="278"/>
      <c r="EL108" s="278"/>
      <c r="EM108" s="278"/>
      <c r="EN108" s="278"/>
      <c r="EO108" s="278"/>
      <c r="EP108" s="278"/>
      <c r="EQ108" s="278"/>
    </row>
    <row r="109" spans="2:147" ht="48.75" customHeight="1">
      <c r="S109" s="176"/>
      <c r="T109" s="1452" t="s">
        <v>690</v>
      </c>
      <c r="U109" s="1452"/>
      <c r="V109" s="115"/>
      <c r="W109" s="1121" t="s">
        <v>472</v>
      </c>
      <c r="X109" s="1122"/>
      <c r="Y109" s="1122"/>
      <c r="Z109" s="1123"/>
      <c r="AA109" s="115"/>
      <c r="AB109" s="100"/>
      <c r="AC109" s="115"/>
      <c r="AD109" s="1121" t="s">
        <v>472</v>
      </c>
      <c r="AE109" s="1122"/>
      <c r="AF109" s="1122"/>
      <c r="AG109" s="1123"/>
      <c r="AH109" s="115"/>
      <c r="AI109" s="100"/>
      <c r="AJ109" s="176"/>
      <c r="AK109" s="1415" t="s">
        <v>402</v>
      </c>
      <c r="AL109" s="921"/>
      <c r="AM109" s="257">
        <v>2</v>
      </c>
      <c r="AN109" s="257">
        <v>4</v>
      </c>
      <c r="AO109" s="257">
        <v>6</v>
      </c>
      <c r="AP109" s="257">
        <v>8</v>
      </c>
      <c r="AQ109" s="257">
        <v>10</v>
      </c>
      <c r="AR109" s="257">
        <v>12</v>
      </c>
      <c r="AS109" s="100"/>
      <c r="AT109" s="257">
        <v>2</v>
      </c>
      <c r="AU109" s="257">
        <v>4</v>
      </c>
      <c r="AV109" s="257">
        <v>6</v>
      </c>
      <c r="AW109" s="257">
        <v>8</v>
      </c>
      <c r="AX109" s="257">
        <v>10</v>
      </c>
      <c r="AY109" s="257">
        <v>12</v>
      </c>
      <c r="BI109" s="11"/>
      <c r="CA109" s="278"/>
      <c r="CB109" s="278"/>
      <c r="CC109" s="278"/>
      <c r="CD109" s="278"/>
      <c r="CE109" s="278"/>
      <c r="CF109" s="278"/>
      <c r="CG109" s="278"/>
      <c r="CH109" s="278"/>
      <c r="CI109" s="278"/>
      <c r="CJ109" s="278"/>
      <c r="CK109" s="278"/>
      <c r="CL109" s="278"/>
      <c r="CM109" s="278"/>
      <c r="CN109" s="278"/>
      <c r="CO109" s="278"/>
      <c r="CP109" s="278"/>
      <c r="CQ109" s="278"/>
      <c r="CR109" s="278"/>
      <c r="CS109" s="278"/>
      <c r="CT109" s="278"/>
      <c r="CU109" s="278"/>
      <c r="CV109" s="278"/>
      <c r="CW109" s="278"/>
      <c r="CX109" s="278"/>
      <c r="CY109" s="278"/>
      <c r="CZ109" s="278"/>
      <c r="DA109" s="278"/>
      <c r="DB109" s="278"/>
      <c r="DC109" s="278"/>
      <c r="DD109" s="278"/>
      <c r="DE109" s="278"/>
      <c r="DF109" s="278"/>
      <c r="DG109" s="278"/>
      <c r="DH109" s="278"/>
      <c r="DI109" s="278"/>
      <c r="DJ109" s="278"/>
      <c r="DK109" s="278"/>
      <c r="DL109" s="278"/>
      <c r="DM109" s="278"/>
      <c r="DN109" s="278"/>
      <c r="DO109" s="278"/>
      <c r="DP109" s="278"/>
      <c r="DQ109" s="278"/>
      <c r="DR109" s="278"/>
      <c r="DS109" s="278"/>
      <c r="DT109" s="278"/>
      <c r="DU109" s="278"/>
      <c r="DV109" s="278"/>
      <c r="DW109" s="278"/>
      <c r="DX109" s="278"/>
      <c r="DY109" s="278"/>
      <c r="DZ109" s="278"/>
      <c r="EA109" s="278"/>
      <c r="EB109" s="278"/>
      <c r="EC109" s="278"/>
      <c r="ED109" s="278"/>
      <c r="EE109" s="278"/>
      <c r="EF109" s="278"/>
      <c r="EG109" s="278"/>
      <c r="EH109" s="278"/>
      <c r="EI109" s="278"/>
      <c r="EJ109" s="278"/>
      <c r="EK109" s="278"/>
      <c r="EL109" s="278"/>
      <c r="EM109" s="278"/>
      <c r="EN109" s="278"/>
      <c r="EO109" s="278"/>
      <c r="EP109" s="278"/>
      <c r="EQ109" s="278"/>
    </row>
    <row r="110" spans="2:147" ht="48.75" customHeight="1">
      <c r="Q110" s="263"/>
      <c r="R110" s="263"/>
      <c r="S110" s="176"/>
      <c r="T110" s="1452" t="s">
        <v>402</v>
      </c>
      <c r="U110" s="1452"/>
      <c r="V110" s="257">
        <v>2</v>
      </c>
      <c r="W110" s="257">
        <v>4</v>
      </c>
      <c r="X110" s="257">
        <v>6</v>
      </c>
      <c r="Y110" s="257">
        <v>8</v>
      </c>
      <c r="Z110" s="257">
        <v>10</v>
      </c>
      <c r="AA110" s="257">
        <v>12</v>
      </c>
      <c r="AB110" s="100"/>
      <c r="AC110" s="257">
        <v>2</v>
      </c>
      <c r="AD110" s="257">
        <v>4</v>
      </c>
      <c r="AE110" s="257">
        <v>6</v>
      </c>
      <c r="AF110" s="257">
        <v>8</v>
      </c>
      <c r="AG110" s="257">
        <v>10</v>
      </c>
      <c r="AH110" s="257">
        <v>12</v>
      </c>
      <c r="AI110" s="100"/>
      <c r="AJ110" s="176"/>
      <c r="AK110" s="1452" t="s">
        <v>111</v>
      </c>
      <c r="AL110" s="1452"/>
      <c r="AM110" s="987" t="s">
        <v>490</v>
      </c>
      <c r="AN110" s="988"/>
      <c r="AO110" s="988"/>
      <c r="AP110" s="988"/>
      <c r="AQ110" s="988"/>
      <c r="AR110" s="989"/>
      <c r="AS110" s="100"/>
      <c r="AT110" s="987" t="s">
        <v>491</v>
      </c>
      <c r="AU110" s="988"/>
      <c r="AV110" s="988"/>
      <c r="AW110" s="988"/>
      <c r="AX110" s="988"/>
      <c r="AY110" s="989"/>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278"/>
      <c r="CB110" s="278"/>
      <c r="CC110" s="278"/>
      <c r="CD110" s="278"/>
      <c r="CE110" s="278"/>
      <c r="CF110" s="278"/>
      <c r="CG110" s="278"/>
      <c r="CH110" s="278"/>
      <c r="CI110" s="278"/>
      <c r="CJ110" s="278"/>
      <c r="CK110" s="278"/>
      <c r="CL110" s="278"/>
      <c r="CM110" s="278"/>
      <c r="CN110" s="278"/>
      <c r="CO110" s="278"/>
      <c r="CP110" s="278"/>
      <c r="CQ110" s="278"/>
      <c r="CR110" s="278"/>
      <c r="CS110" s="278"/>
      <c r="CT110" s="278"/>
      <c r="CU110" s="278"/>
      <c r="CV110" s="278"/>
      <c r="CW110" s="278"/>
      <c r="CX110" s="278"/>
      <c r="CY110" s="278"/>
      <c r="CZ110" s="278"/>
      <c r="DA110" s="278"/>
      <c r="DB110" s="278"/>
      <c r="DC110" s="278"/>
      <c r="DD110" s="278"/>
      <c r="DE110" s="278"/>
      <c r="DF110" s="278"/>
      <c r="DG110" s="278"/>
      <c r="DH110" s="278"/>
      <c r="DI110" s="278"/>
      <c r="DJ110" s="278"/>
      <c r="DK110" s="278"/>
      <c r="DL110" s="278"/>
      <c r="DM110" s="278"/>
      <c r="DN110" s="278"/>
      <c r="DO110" s="278"/>
      <c r="DP110" s="278"/>
      <c r="DQ110" s="278"/>
      <c r="DR110" s="278"/>
      <c r="DS110" s="278"/>
      <c r="DT110" s="278"/>
      <c r="DU110" s="278"/>
      <c r="DV110" s="278"/>
      <c r="DW110" s="278"/>
      <c r="DX110" s="278"/>
      <c r="DY110" s="278"/>
      <c r="DZ110" s="278"/>
      <c r="EA110" s="278"/>
      <c r="EB110" s="278"/>
      <c r="EC110" s="278"/>
      <c r="ED110" s="278"/>
      <c r="EE110" s="278"/>
      <c r="EF110" s="278"/>
      <c r="EG110" s="278"/>
      <c r="EH110" s="278"/>
      <c r="EI110" s="278"/>
      <c r="EJ110" s="278"/>
      <c r="EK110" s="278"/>
      <c r="EL110" s="278"/>
      <c r="EM110" s="278"/>
      <c r="EN110" s="278"/>
      <c r="EO110" s="278"/>
      <c r="EP110" s="278"/>
      <c r="EQ110" s="278"/>
    </row>
    <row r="111" spans="2:147" ht="48.75" customHeight="1">
      <c r="S111" s="176"/>
      <c r="T111" s="1415" t="s">
        <v>1192</v>
      </c>
      <c r="U111" s="921"/>
      <c r="V111" s="1121" t="s">
        <v>1115</v>
      </c>
      <c r="W111" s="1122"/>
      <c r="X111" s="1122"/>
      <c r="Y111" s="1122"/>
      <c r="Z111" s="1122"/>
      <c r="AA111" s="1123"/>
      <c r="AB111" s="100"/>
      <c r="AC111" s="10"/>
      <c r="AD111" s="10"/>
      <c r="AE111" s="10"/>
      <c r="AF111" s="10"/>
      <c r="AG111" s="10"/>
      <c r="AH111" s="10"/>
      <c r="AI111" s="100"/>
      <c r="AJ111" s="176"/>
      <c r="AK111" s="1415" t="s">
        <v>1191</v>
      </c>
      <c r="AL111" s="921" t="s">
        <v>1189</v>
      </c>
      <c r="AM111" s="10"/>
      <c r="AN111" s="10"/>
      <c r="AO111" s="10"/>
      <c r="AP111" s="10"/>
      <c r="AQ111" s="10"/>
      <c r="AR111" s="10"/>
      <c r="AS111" s="100"/>
      <c r="AT111" s="10"/>
      <c r="AU111" s="10"/>
      <c r="AV111" s="10"/>
      <c r="AW111" s="10"/>
      <c r="AX111" s="10"/>
      <c r="AY111" s="10"/>
      <c r="BB111" s="286"/>
      <c r="BC111" s="286"/>
      <c r="BD111" s="287"/>
      <c r="BE111" s="287"/>
      <c r="BF111" s="286"/>
      <c r="BG111" s="286"/>
      <c r="BH111" s="287"/>
      <c r="BI111" s="287"/>
      <c r="BJ111" s="286"/>
      <c r="BK111" s="286"/>
      <c r="BL111" s="287"/>
      <c r="BM111" s="287"/>
      <c r="BN111" s="286"/>
      <c r="BO111" s="286"/>
      <c r="BP111" s="287"/>
      <c r="BQ111" s="287"/>
      <c r="BR111" s="286"/>
      <c r="BS111" s="286"/>
      <c r="BT111" s="287"/>
      <c r="BU111" s="287"/>
      <c r="BV111" s="286"/>
      <c r="BW111" s="286"/>
      <c r="BX111" s="287"/>
      <c r="BY111" s="287"/>
      <c r="CA111" s="278"/>
      <c r="CB111" s="278"/>
      <c r="CC111" s="278"/>
      <c r="CD111" s="278"/>
      <c r="CE111" s="278"/>
      <c r="CF111" s="278"/>
      <c r="CG111" s="278"/>
      <c r="CH111" s="278"/>
      <c r="CI111" s="278"/>
      <c r="CJ111" s="278"/>
      <c r="CK111" s="278"/>
      <c r="CL111" s="278"/>
      <c r="CM111" s="278"/>
      <c r="CN111" s="278"/>
      <c r="CO111" s="278"/>
      <c r="CP111" s="278"/>
      <c r="CQ111" s="278"/>
      <c r="CR111" s="278"/>
      <c r="CS111" s="278"/>
      <c r="CT111" s="278"/>
      <c r="CU111" s="278"/>
      <c r="CV111" s="278"/>
      <c r="CW111" s="278"/>
      <c r="CX111" s="278"/>
      <c r="CY111" s="278"/>
      <c r="CZ111" s="278"/>
      <c r="DA111" s="278"/>
      <c r="DB111" s="278"/>
      <c r="DC111" s="278"/>
      <c r="DD111" s="278"/>
      <c r="DE111" s="278"/>
      <c r="DF111" s="278"/>
      <c r="DG111" s="278"/>
      <c r="DH111" s="278"/>
      <c r="DI111" s="278"/>
      <c r="DJ111" s="278"/>
      <c r="DK111" s="278"/>
      <c r="DL111" s="278"/>
      <c r="DM111" s="278"/>
      <c r="DN111" s="278"/>
      <c r="DO111" s="278"/>
      <c r="DP111" s="278"/>
      <c r="DQ111" s="278"/>
      <c r="DR111" s="278"/>
      <c r="DS111" s="278"/>
      <c r="DT111" s="278"/>
      <c r="DU111" s="278"/>
      <c r="DV111" s="278"/>
      <c r="DW111" s="278"/>
      <c r="DX111" s="278"/>
      <c r="DY111" s="278"/>
      <c r="DZ111" s="278"/>
      <c r="EA111" s="278"/>
      <c r="EB111" s="278"/>
      <c r="EC111" s="278"/>
      <c r="ED111" s="278"/>
      <c r="EE111" s="278"/>
      <c r="EF111" s="278"/>
      <c r="EG111" s="278"/>
      <c r="EH111" s="278"/>
      <c r="EI111" s="278"/>
      <c r="EJ111" s="278"/>
      <c r="EK111" s="278"/>
      <c r="EL111" s="278"/>
      <c r="EM111" s="278"/>
      <c r="EN111" s="278"/>
      <c r="EO111" s="278"/>
      <c r="EP111" s="278"/>
      <c r="EQ111" s="278"/>
    </row>
    <row r="112" spans="2:147" ht="48.75" customHeight="1">
      <c r="S112" s="176"/>
      <c r="T112" s="1452" t="s">
        <v>111</v>
      </c>
      <c r="U112" s="1452"/>
      <c r="V112" s="10"/>
      <c r="W112" s="10"/>
      <c r="X112" s="10"/>
      <c r="Y112" s="10"/>
      <c r="Z112" s="10"/>
      <c r="AA112" s="10"/>
      <c r="AB112" s="100"/>
      <c r="AC112" s="10"/>
      <c r="AD112" s="10"/>
      <c r="AE112" s="10"/>
      <c r="AF112" s="10"/>
      <c r="AG112" s="10"/>
      <c r="AH112" s="10"/>
      <c r="AI112" s="100"/>
      <c r="AJ112" s="176"/>
      <c r="AK112" s="1864" t="s">
        <v>1190</v>
      </c>
      <c r="AL112" s="925"/>
      <c r="AM112" s="10"/>
      <c r="AN112" s="10"/>
      <c r="AO112" s="10"/>
      <c r="AP112" s="10"/>
      <c r="AQ112" s="10"/>
      <c r="AR112" s="10"/>
      <c r="AS112" s="100"/>
      <c r="AT112" s="10"/>
      <c r="AU112" s="10"/>
      <c r="AV112" s="10"/>
      <c r="AW112" s="10"/>
      <c r="AX112" s="289"/>
      <c r="AY112" s="10"/>
      <c r="BB112" s="286"/>
      <c r="BC112" s="287"/>
      <c r="BD112" s="287"/>
      <c r="BE112" s="286"/>
      <c r="BF112" s="286"/>
      <c r="BG112" s="287"/>
      <c r="BH112" s="287"/>
      <c r="BI112" s="286"/>
      <c r="BJ112" s="286"/>
      <c r="BK112" s="287"/>
      <c r="BL112" s="287"/>
      <c r="BM112" s="286"/>
      <c r="BN112" s="286"/>
      <c r="BO112" s="287"/>
      <c r="BP112" s="287"/>
      <c r="BQ112" s="286"/>
      <c r="BR112" s="286"/>
      <c r="BS112" s="287"/>
      <c r="BT112" s="287"/>
      <c r="BU112" s="286"/>
      <c r="BV112" s="286"/>
      <c r="BW112" s="287"/>
      <c r="BX112" s="287"/>
      <c r="BY112" s="286"/>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row>
    <row r="113" spans="17:147" ht="48.75" customHeight="1">
      <c r="S113" s="176"/>
      <c r="T113" s="1415" t="s">
        <v>1191</v>
      </c>
      <c r="U113" s="921" t="s">
        <v>1189</v>
      </c>
      <c r="V113" s="10"/>
      <c r="W113" s="10"/>
      <c r="X113" s="10"/>
      <c r="Y113" s="10"/>
      <c r="Z113" s="10"/>
      <c r="AA113" s="10"/>
      <c r="AB113" s="100"/>
      <c r="AC113" s="10"/>
      <c r="AD113" s="10"/>
      <c r="AE113" s="10"/>
      <c r="AF113" s="10"/>
      <c r="AG113" s="10"/>
      <c r="AH113" s="10"/>
      <c r="AI113" s="100"/>
      <c r="AJ113" s="291"/>
      <c r="AK113" s="291"/>
      <c r="AL113" s="291"/>
      <c r="AM113" s="291"/>
      <c r="AN113" s="291"/>
      <c r="AO113" s="291"/>
      <c r="AP113" s="291"/>
      <c r="AQ113" s="291"/>
      <c r="AR113" s="291"/>
      <c r="AS113" s="291"/>
      <c r="AT113" s="291"/>
      <c r="AU113" s="291"/>
      <c r="AV113" s="291"/>
      <c r="AW113" s="291"/>
      <c r="AX113" s="291"/>
      <c r="AY113" s="294"/>
      <c r="BB113" s="287"/>
      <c r="BC113" s="287"/>
      <c r="BD113" s="286"/>
      <c r="BE113" s="286"/>
      <c r="BF113" s="287"/>
      <c r="BG113" s="287"/>
      <c r="BH113" s="286"/>
      <c r="BI113" s="286"/>
      <c r="BJ113" s="287"/>
      <c r="BK113" s="287"/>
      <c r="BL113" s="286"/>
      <c r="BM113" s="286"/>
      <c r="BN113" s="287"/>
      <c r="BO113" s="287"/>
      <c r="BP113" s="286"/>
      <c r="BQ113" s="286"/>
      <c r="BR113" s="287"/>
      <c r="BS113" s="287"/>
      <c r="BT113" s="286"/>
      <c r="BU113" s="286"/>
      <c r="BV113" s="287"/>
      <c r="BW113" s="287"/>
      <c r="BX113" s="286"/>
      <c r="BY113" s="286"/>
      <c r="CA113" s="278"/>
      <c r="CB113" s="278"/>
      <c r="CC113" s="278"/>
      <c r="CD113" s="278"/>
      <c r="CE113" s="278"/>
      <c r="CF113" s="278"/>
      <c r="CG113" s="278"/>
      <c r="CH113" s="278"/>
      <c r="CI113" s="278"/>
      <c r="CJ113" s="278"/>
      <c r="CK113" s="278"/>
      <c r="CL113" s="278"/>
      <c r="CM113" s="278"/>
      <c r="CN113" s="278"/>
      <c r="CO113" s="278"/>
      <c r="CP113" s="278"/>
      <c r="CQ113" s="278"/>
      <c r="CR113" s="278"/>
      <c r="CS113" s="278"/>
      <c r="CT113" s="278"/>
      <c r="CU113" s="278"/>
      <c r="CV113" s="278"/>
      <c r="CW113" s="278"/>
      <c r="CX113" s="278"/>
      <c r="CY113" s="278"/>
      <c r="CZ113" s="278"/>
      <c r="DA113" s="278"/>
      <c r="DB113" s="278"/>
      <c r="DC113" s="278"/>
      <c r="DD113" s="278"/>
      <c r="DE113" s="278"/>
      <c r="DF113" s="278"/>
      <c r="DG113" s="278"/>
      <c r="DH113" s="278"/>
      <c r="DI113" s="278"/>
      <c r="DJ113" s="278"/>
      <c r="DK113" s="278"/>
      <c r="DL113" s="278"/>
      <c r="DM113" s="278"/>
      <c r="DN113" s="278"/>
      <c r="DO113" s="278"/>
      <c r="DP113" s="278"/>
      <c r="DQ113" s="278"/>
      <c r="DR113" s="278"/>
      <c r="DS113" s="278"/>
      <c r="DT113" s="278"/>
      <c r="DU113" s="278"/>
      <c r="DV113" s="278"/>
      <c r="DW113" s="278"/>
      <c r="DX113" s="278"/>
      <c r="DY113" s="278"/>
      <c r="DZ113" s="278"/>
      <c r="EA113" s="278"/>
      <c r="EB113" s="278"/>
      <c r="EC113" s="278"/>
      <c r="ED113" s="278"/>
      <c r="EE113" s="278"/>
      <c r="EF113" s="278"/>
      <c r="EG113" s="278"/>
      <c r="EH113" s="278"/>
      <c r="EI113" s="278"/>
      <c r="EJ113" s="278"/>
      <c r="EK113" s="278"/>
      <c r="EL113" s="278"/>
      <c r="EM113" s="278"/>
      <c r="EN113" s="278"/>
      <c r="EO113" s="278"/>
      <c r="EP113" s="278"/>
      <c r="EQ113" s="278"/>
    </row>
    <row r="114" spans="17:147" ht="48.75" customHeight="1">
      <c r="S114" s="176"/>
      <c r="T114" s="1864" t="s">
        <v>1190</v>
      </c>
      <c r="U114" s="925"/>
      <c r="V114" s="10"/>
      <c r="W114" s="10"/>
      <c r="X114" s="10"/>
      <c r="Y114" s="10"/>
      <c r="Z114" s="10"/>
      <c r="AA114" s="10"/>
      <c r="AB114" s="100"/>
      <c r="AC114" s="10"/>
      <c r="AD114" s="10"/>
      <c r="AE114" s="10"/>
      <c r="AF114" s="10"/>
      <c r="AG114" s="10"/>
      <c r="AH114" s="10"/>
      <c r="AI114" s="100"/>
      <c r="AJ114" s="176"/>
      <c r="AK114" s="1452" t="s">
        <v>689</v>
      </c>
      <c r="AL114" s="1452"/>
      <c r="AM114" s="283" t="s">
        <v>416</v>
      </c>
      <c r="AN114" s="1285" t="s">
        <v>697</v>
      </c>
      <c r="AO114" s="1286"/>
      <c r="AP114" s="1286"/>
      <c r="AQ114" s="1761"/>
      <c r="AR114" s="283" t="s">
        <v>416</v>
      </c>
      <c r="AS114" s="1933"/>
      <c r="AT114" s="283" t="s">
        <v>416</v>
      </c>
      <c r="AU114" s="1285" t="s">
        <v>697</v>
      </c>
      <c r="AV114" s="1286"/>
      <c r="AW114" s="1286"/>
      <c r="AX114" s="1761"/>
      <c r="AY114" s="283" t="s">
        <v>416</v>
      </c>
      <c r="BF114" s="278"/>
      <c r="BG114" s="278"/>
      <c r="BH114" s="278"/>
      <c r="BI114" s="278"/>
      <c r="CA114" s="278"/>
      <c r="CB114" s="278"/>
      <c r="CC114" s="278"/>
      <c r="CD114" s="278"/>
      <c r="CE114" s="278"/>
      <c r="CF114" s="278"/>
      <c r="CG114" s="278"/>
      <c r="CH114" s="278"/>
      <c r="CI114" s="278"/>
      <c r="CJ114" s="278"/>
      <c r="CK114" s="278"/>
      <c r="CL114" s="278"/>
      <c r="CM114" s="278"/>
      <c r="CN114" s="278"/>
      <c r="CO114" s="278"/>
      <c r="CP114" s="278"/>
      <c r="CQ114" s="278"/>
      <c r="CR114" s="278"/>
      <c r="CS114" s="278"/>
      <c r="CT114" s="278"/>
      <c r="CU114" s="278"/>
      <c r="CV114" s="278"/>
      <c r="CW114" s="278"/>
      <c r="CX114" s="278"/>
      <c r="CY114" s="278"/>
      <c r="CZ114" s="278"/>
      <c r="DA114" s="278"/>
      <c r="DB114" s="278"/>
      <c r="DC114" s="278"/>
      <c r="DD114" s="278"/>
      <c r="DE114" s="278"/>
      <c r="DF114" s="278"/>
      <c r="DG114" s="278"/>
      <c r="DH114" s="278"/>
      <c r="DI114" s="278"/>
      <c r="DJ114" s="278"/>
      <c r="DK114" s="278"/>
      <c r="DL114" s="278"/>
      <c r="DM114" s="278"/>
      <c r="DN114" s="278"/>
      <c r="DO114" s="278"/>
      <c r="DP114" s="278"/>
      <c r="DQ114" s="278"/>
      <c r="DR114" s="278"/>
      <c r="DS114" s="278"/>
      <c r="DT114" s="278"/>
      <c r="DU114" s="278"/>
      <c r="DV114" s="278"/>
      <c r="DW114" s="278"/>
      <c r="DX114" s="278"/>
      <c r="DY114" s="278"/>
      <c r="DZ114" s="278"/>
      <c r="EA114" s="278"/>
      <c r="EB114" s="278"/>
      <c r="EC114" s="278"/>
      <c r="ED114" s="278"/>
      <c r="EE114" s="278"/>
      <c r="EF114" s="278"/>
      <c r="EG114" s="278"/>
      <c r="EH114" s="278"/>
      <c r="EI114" s="278"/>
      <c r="EJ114" s="278"/>
      <c r="EK114" s="278"/>
      <c r="EL114" s="278"/>
      <c r="EM114" s="278"/>
      <c r="EN114" s="278"/>
      <c r="EO114" s="278"/>
      <c r="EP114" s="278"/>
      <c r="EQ114" s="278"/>
    </row>
    <row r="115" spans="17:147" ht="48.75" customHeight="1">
      <c r="S115" s="290"/>
      <c r="T115" s="291"/>
      <c r="U115" s="291"/>
      <c r="V115" s="291"/>
      <c r="W115" s="291"/>
      <c r="X115" s="291"/>
      <c r="Y115" s="291"/>
      <c r="Z115" s="291"/>
      <c r="AA115" s="291"/>
      <c r="AB115" s="291"/>
      <c r="AC115" s="291"/>
      <c r="AD115" s="291"/>
      <c r="AE115" s="291"/>
      <c r="AF115" s="291"/>
      <c r="AG115" s="291"/>
      <c r="AH115" s="292"/>
      <c r="AI115" s="100"/>
      <c r="AJ115" s="176"/>
      <c r="AK115" s="1452" t="s">
        <v>690</v>
      </c>
      <c r="AL115" s="1452"/>
      <c r="AM115" s="115"/>
      <c r="AN115" s="1121" t="s">
        <v>493</v>
      </c>
      <c r="AO115" s="1122"/>
      <c r="AP115" s="1122"/>
      <c r="AQ115" s="1123"/>
      <c r="AR115" s="115"/>
      <c r="AS115" s="1452"/>
      <c r="AT115" s="115"/>
      <c r="AU115" s="1121" t="s">
        <v>493</v>
      </c>
      <c r="AV115" s="1122"/>
      <c r="AW115" s="1122"/>
      <c r="AX115" s="1123"/>
      <c r="AY115" s="115"/>
      <c r="BF115" s="278"/>
      <c r="BG115" s="278"/>
      <c r="BH115" s="278"/>
      <c r="BI115" s="278"/>
      <c r="CA115" s="278"/>
      <c r="CB115" s="278"/>
      <c r="CC115" s="278"/>
      <c r="CD115" s="278"/>
      <c r="CE115" s="278"/>
      <c r="CF115" s="278"/>
      <c r="CG115" s="278"/>
      <c r="CH115" s="278"/>
      <c r="CI115" s="278"/>
      <c r="CJ115" s="278"/>
      <c r="CK115" s="278"/>
      <c r="CL115" s="278"/>
      <c r="CM115" s="278"/>
      <c r="CN115" s="278"/>
      <c r="CO115" s="278"/>
      <c r="CP115" s="278"/>
      <c r="CQ115" s="278"/>
      <c r="CR115" s="278"/>
      <c r="CS115" s="278"/>
      <c r="CT115" s="278"/>
      <c r="CU115" s="278"/>
      <c r="CV115" s="278"/>
      <c r="CW115" s="278"/>
      <c r="CX115" s="278"/>
      <c r="CY115" s="278"/>
      <c r="CZ115" s="278"/>
      <c r="DA115" s="278"/>
      <c r="DB115" s="278"/>
      <c r="DC115" s="278"/>
      <c r="DD115" s="278"/>
      <c r="DE115" s="278"/>
      <c r="DF115" s="278"/>
      <c r="DG115" s="278"/>
      <c r="DH115" s="278"/>
      <c r="DI115" s="278"/>
      <c r="DJ115" s="278"/>
      <c r="DK115" s="278"/>
      <c r="DL115" s="278"/>
      <c r="DM115" s="278"/>
      <c r="DN115" s="278"/>
      <c r="DO115" s="278"/>
      <c r="DP115" s="278"/>
      <c r="DQ115" s="278"/>
      <c r="DR115" s="278"/>
      <c r="DS115" s="278"/>
      <c r="DT115" s="278"/>
      <c r="DU115" s="278"/>
      <c r="DV115" s="278"/>
      <c r="DW115" s="278"/>
      <c r="DX115" s="278"/>
      <c r="DY115" s="278"/>
      <c r="DZ115" s="278"/>
      <c r="EA115" s="278"/>
      <c r="EB115" s="278"/>
      <c r="EC115" s="278"/>
      <c r="ED115" s="278"/>
      <c r="EE115" s="278"/>
      <c r="EF115" s="278"/>
      <c r="EG115" s="278"/>
      <c r="EH115" s="278"/>
      <c r="EI115" s="278"/>
      <c r="EJ115" s="278"/>
      <c r="EK115" s="278"/>
      <c r="EL115" s="278"/>
      <c r="EM115" s="278"/>
      <c r="EN115" s="278"/>
      <c r="EO115" s="278"/>
      <c r="EP115" s="278"/>
      <c r="EQ115" s="278"/>
    </row>
    <row r="116" spans="17:147" ht="48.75" customHeight="1">
      <c r="Q116" s="278"/>
      <c r="R116" s="278"/>
      <c r="S116" s="82"/>
      <c r="T116" s="83"/>
      <c r="U116" s="83"/>
      <c r="V116" s="83"/>
      <c r="W116" s="83"/>
      <c r="X116" s="83"/>
      <c r="Y116" s="83"/>
      <c r="Z116" s="83"/>
      <c r="AA116" s="83"/>
      <c r="AB116" s="83"/>
      <c r="AC116" s="83"/>
      <c r="AD116" s="83"/>
      <c r="AE116" s="83"/>
      <c r="AF116" s="83"/>
      <c r="AG116" s="177"/>
      <c r="AH116" s="177"/>
      <c r="AI116" s="100"/>
      <c r="AJ116" s="178"/>
      <c r="AK116" s="1415" t="s">
        <v>402</v>
      </c>
      <c r="AL116" s="921"/>
      <c r="AM116" s="257">
        <v>2</v>
      </c>
      <c r="AN116" s="257">
        <v>4</v>
      </c>
      <c r="AO116" s="257">
        <v>6</v>
      </c>
      <c r="AP116" s="257">
        <v>8</v>
      </c>
      <c r="AQ116" s="257">
        <v>10</v>
      </c>
      <c r="AR116" s="257">
        <v>12</v>
      </c>
      <c r="AS116" s="1452"/>
      <c r="AT116" s="257">
        <v>2</v>
      </c>
      <c r="AU116" s="257">
        <v>4</v>
      </c>
      <c r="AV116" s="257">
        <v>6</v>
      </c>
      <c r="AW116" s="257">
        <v>8</v>
      </c>
      <c r="AX116" s="257">
        <v>10</v>
      </c>
      <c r="AY116" s="257">
        <v>12</v>
      </c>
      <c r="BF116" s="278"/>
      <c r="BG116" s="278"/>
      <c r="BH116" s="278"/>
      <c r="BI116" s="278"/>
      <c r="CA116" s="278"/>
      <c r="CB116" s="278"/>
      <c r="CC116" s="278"/>
      <c r="CD116" s="278"/>
      <c r="CE116" s="278"/>
      <c r="CF116" s="278"/>
      <c r="CG116" s="278"/>
      <c r="CH116" s="278"/>
      <c r="CI116" s="278"/>
      <c r="CJ116" s="278"/>
      <c r="CK116" s="278"/>
      <c r="CL116" s="278"/>
      <c r="CM116" s="278"/>
      <c r="CN116" s="278"/>
      <c r="CO116" s="278"/>
      <c r="CP116" s="278"/>
      <c r="CQ116" s="278"/>
      <c r="CR116" s="278"/>
      <c r="CS116" s="278"/>
      <c r="CT116" s="278"/>
      <c r="CU116" s="278"/>
      <c r="CV116" s="278"/>
      <c r="CW116" s="278"/>
      <c r="CX116" s="278"/>
      <c r="CY116" s="278"/>
      <c r="CZ116" s="278"/>
      <c r="DA116" s="278"/>
      <c r="DB116" s="278"/>
      <c r="DC116" s="278"/>
      <c r="DD116" s="278"/>
      <c r="DE116" s="278"/>
      <c r="DF116" s="278"/>
      <c r="DG116" s="278"/>
      <c r="DH116" s="278"/>
      <c r="DI116" s="278"/>
      <c r="DJ116" s="278"/>
      <c r="DK116" s="278"/>
      <c r="DL116" s="278"/>
      <c r="DM116" s="278"/>
      <c r="DN116" s="278"/>
      <c r="DO116" s="278"/>
      <c r="DP116" s="278"/>
      <c r="DQ116" s="278"/>
      <c r="DR116" s="278"/>
      <c r="DS116" s="278"/>
      <c r="DT116" s="278"/>
      <c r="DU116" s="278"/>
      <c r="DV116" s="278"/>
      <c r="DW116" s="278"/>
      <c r="DX116" s="278"/>
      <c r="DY116" s="278"/>
      <c r="DZ116" s="278"/>
      <c r="EA116" s="278"/>
      <c r="EB116" s="278"/>
      <c r="EC116" s="278"/>
      <c r="ED116" s="278"/>
      <c r="EE116" s="278"/>
      <c r="EF116" s="278"/>
      <c r="EG116" s="278"/>
      <c r="EH116" s="278"/>
      <c r="EI116" s="278"/>
      <c r="EJ116" s="278"/>
      <c r="EK116" s="278"/>
      <c r="EL116" s="278"/>
      <c r="EM116" s="278"/>
      <c r="EN116" s="278"/>
      <c r="EO116" s="278"/>
      <c r="EP116" s="278"/>
      <c r="EQ116" s="278"/>
    </row>
    <row r="117" spans="17:147" ht="48.75" customHeight="1">
      <c r="Q117" s="278"/>
      <c r="R117" s="278"/>
      <c r="S117" s="176"/>
      <c r="T117" s="177"/>
      <c r="U117" s="177"/>
      <c r="V117" s="177"/>
      <c r="W117" s="177"/>
      <c r="X117" s="177"/>
      <c r="Y117" s="177"/>
      <c r="Z117" s="177"/>
      <c r="AA117" s="177"/>
      <c r="AB117" s="177"/>
      <c r="AC117" s="177"/>
      <c r="AD117" s="177"/>
      <c r="AE117" s="177"/>
      <c r="AF117" s="177"/>
      <c r="AG117" s="177"/>
      <c r="AH117" s="177"/>
      <c r="AI117" s="100"/>
      <c r="AJ117" s="178"/>
      <c r="AK117" s="1452" t="s">
        <v>111</v>
      </c>
      <c r="AL117" s="1452"/>
      <c r="AM117" s="1121" t="s">
        <v>1116</v>
      </c>
      <c r="AN117" s="1122"/>
      <c r="AO117" s="1122"/>
      <c r="AP117" s="1122"/>
      <c r="AQ117" s="1122"/>
      <c r="AR117" s="1123"/>
      <c r="AS117" s="1452"/>
      <c r="AT117" s="10"/>
      <c r="AU117" s="10"/>
      <c r="AV117" s="10"/>
      <c r="AW117" s="10"/>
      <c r="AX117" s="289"/>
      <c r="AY117" s="10"/>
      <c r="BF117" s="278"/>
      <c r="BG117" s="278"/>
      <c r="BH117" s="278"/>
      <c r="BI117" s="278"/>
      <c r="CA117" s="278"/>
      <c r="CB117" s="278"/>
      <c r="CC117" s="278"/>
      <c r="CD117" s="278"/>
      <c r="CE117" s="278"/>
      <c r="CF117" s="278"/>
      <c r="CG117" s="278"/>
      <c r="CH117" s="278"/>
      <c r="CI117" s="278"/>
      <c r="CJ117" s="278"/>
      <c r="CK117" s="278"/>
      <c r="CL117" s="278"/>
      <c r="CM117" s="278"/>
      <c r="CN117" s="278"/>
      <c r="CO117" s="278"/>
      <c r="CP117" s="278"/>
      <c r="CQ117" s="278"/>
      <c r="CR117" s="278"/>
      <c r="CS117" s="278"/>
      <c r="CT117" s="278"/>
      <c r="CU117" s="278"/>
      <c r="CV117" s="278"/>
      <c r="CW117" s="278"/>
      <c r="CX117" s="278"/>
      <c r="CY117" s="278"/>
      <c r="CZ117" s="278"/>
      <c r="DA117" s="278"/>
      <c r="DB117" s="278"/>
      <c r="DC117" s="278"/>
      <c r="DD117" s="278"/>
      <c r="DE117" s="278"/>
      <c r="DF117" s="278"/>
      <c r="DG117" s="278"/>
      <c r="DH117" s="278"/>
      <c r="DI117" s="278"/>
      <c r="DJ117" s="278"/>
      <c r="DK117" s="278"/>
      <c r="DL117" s="278"/>
      <c r="DM117" s="278"/>
      <c r="DN117" s="278"/>
      <c r="DO117" s="278"/>
      <c r="DP117" s="278"/>
      <c r="DQ117" s="278"/>
      <c r="DR117" s="278"/>
      <c r="DS117" s="278"/>
      <c r="DT117" s="278"/>
      <c r="DU117" s="278"/>
      <c r="DV117" s="278"/>
      <c r="DW117" s="278"/>
      <c r="DX117" s="278"/>
      <c r="DY117" s="278"/>
      <c r="DZ117" s="278"/>
      <c r="EA117" s="278"/>
      <c r="EB117" s="278"/>
      <c r="EC117" s="278"/>
      <c r="ED117" s="278"/>
      <c r="EE117" s="278"/>
      <c r="EF117" s="278"/>
      <c r="EG117" s="278"/>
      <c r="EH117" s="278"/>
      <c r="EI117" s="278"/>
      <c r="EJ117" s="278"/>
      <c r="EK117" s="278"/>
      <c r="EL117" s="278"/>
      <c r="EM117" s="278"/>
      <c r="EN117" s="278"/>
      <c r="EO117" s="278"/>
      <c r="EP117" s="278"/>
      <c r="EQ117" s="278"/>
    </row>
    <row r="118" spans="17:147" ht="48.75" customHeight="1">
      <c r="Q118" s="278"/>
      <c r="R118" s="278"/>
      <c r="S118" s="176"/>
      <c r="T118" s="177"/>
      <c r="U118" s="177"/>
      <c r="V118" s="177"/>
      <c r="W118" s="177"/>
      <c r="X118" s="177"/>
      <c r="Y118" s="177"/>
      <c r="Z118" s="177"/>
      <c r="AA118" s="177"/>
      <c r="AB118" s="177"/>
      <c r="AC118" s="177"/>
      <c r="AD118" s="177"/>
      <c r="AE118" s="177"/>
      <c r="AF118" s="177"/>
      <c r="AG118" s="177"/>
      <c r="AH118" s="177"/>
      <c r="AI118" s="100"/>
      <c r="AJ118" s="178"/>
      <c r="AK118" s="1415" t="s">
        <v>1191</v>
      </c>
      <c r="AL118" s="921" t="s">
        <v>1189</v>
      </c>
      <c r="AM118" s="10"/>
      <c r="AN118" s="10"/>
      <c r="AO118" s="10"/>
      <c r="AP118" s="10"/>
      <c r="AQ118" s="10"/>
      <c r="AR118" s="10"/>
      <c r="AS118" s="100"/>
      <c r="AT118" s="10"/>
      <c r="AU118" s="10"/>
      <c r="AV118" s="10"/>
      <c r="AW118" s="10"/>
      <c r="AX118" s="289"/>
      <c r="AY118" s="10"/>
      <c r="BF118" s="278"/>
      <c r="BG118" s="278"/>
      <c r="BH118" s="278"/>
      <c r="BI118" s="278"/>
      <c r="CA118" s="278"/>
      <c r="CB118" s="278"/>
      <c r="CC118" s="278"/>
      <c r="CD118" s="278"/>
      <c r="CE118" s="278"/>
      <c r="CF118" s="278"/>
      <c r="CG118" s="278"/>
      <c r="CH118" s="278"/>
      <c r="CI118" s="278"/>
      <c r="CJ118" s="278"/>
      <c r="CK118" s="278"/>
      <c r="CL118" s="278"/>
      <c r="CM118" s="278"/>
      <c r="CN118" s="278"/>
      <c r="CO118" s="278"/>
      <c r="CP118" s="278"/>
      <c r="CQ118" s="278"/>
      <c r="CR118" s="278"/>
      <c r="CS118" s="278"/>
      <c r="CT118" s="278"/>
      <c r="CU118" s="278"/>
      <c r="CV118" s="278"/>
      <c r="CW118" s="278"/>
      <c r="CX118" s="278"/>
      <c r="CY118" s="278"/>
      <c r="CZ118" s="278"/>
      <c r="DA118" s="278"/>
      <c r="DB118" s="278"/>
      <c r="DC118" s="278"/>
      <c r="DD118" s="278"/>
      <c r="DE118" s="278"/>
      <c r="DF118" s="278"/>
      <c r="DG118" s="278"/>
      <c r="DH118" s="278"/>
      <c r="DI118" s="278"/>
      <c r="DJ118" s="278"/>
      <c r="DK118" s="278"/>
      <c r="DL118" s="278"/>
      <c r="DM118" s="278"/>
      <c r="DN118" s="278"/>
      <c r="DO118" s="278"/>
      <c r="DP118" s="278"/>
      <c r="DQ118" s="278"/>
      <c r="DR118" s="278"/>
      <c r="DS118" s="278"/>
      <c r="DT118" s="278"/>
      <c r="DU118" s="278"/>
      <c r="DV118" s="278"/>
      <c r="DW118" s="278"/>
      <c r="DX118" s="278"/>
      <c r="DY118" s="278"/>
      <c r="DZ118" s="278"/>
      <c r="EA118" s="278"/>
      <c r="EB118" s="278"/>
      <c r="EC118" s="278"/>
      <c r="ED118" s="278"/>
      <c r="EE118" s="278"/>
      <c r="EF118" s="278"/>
      <c r="EG118" s="278"/>
      <c r="EH118" s="278"/>
      <c r="EI118" s="278"/>
      <c r="EJ118" s="278"/>
      <c r="EK118" s="278"/>
      <c r="EL118" s="278"/>
      <c r="EM118" s="278"/>
      <c r="EN118" s="278"/>
      <c r="EO118" s="278"/>
      <c r="EP118" s="278"/>
      <c r="EQ118" s="278"/>
    </row>
    <row r="119" spans="17:147" ht="48.75" customHeight="1">
      <c r="Q119" s="278"/>
      <c r="R119" s="278"/>
      <c r="S119" s="176"/>
      <c r="T119" s="177"/>
      <c r="U119" s="177"/>
      <c r="V119" s="177"/>
      <c r="W119" s="177"/>
      <c r="X119" s="177"/>
      <c r="Y119" s="177"/>
      <c r="Z119" s="177"/>
      <c r="AA119" s="177"/>
      <c r="AB119" s="177"/>
      <c r="AC119" s="177"/>
      <c r="AD119" s="177"/>
      <c r="AE119" s="177"/>
      <c r="AF119" s="177"/>
      <c r="AG119" s="177"/>
      <c r="AH119" s="177"/>
      <c r="AI119" s="100"/>
      <c r="AJ119" s="178"/>
      <c r="AK119" s="1864" t="s">
        <v>1190</v>
      </c>
      <c r="AL119" s="925"/>
      <c r="AM119" s="10"/>
      <c r="AN119" s="10"/>
      <c r="AO119" s="10"/>
      <c r="AP119" s="10"/>
      <c r="AQ119" s="10"/>
      <c r="AR119" s="10"/>
      <c r="AS119" s="100"/>
      <c r="AT119" s="10"/>
      <c r="AU119" s="10"/>
      <c r="AV119" s="10"/>
      <c r="AW119" s="10"/>
      <c r="AX119" s="289"/>
      <c r="AY119" s="10"/>
      <c r="BF119" s="278"/>
      <c r="BG119" s="278"/>
      <c r="BH119" s="278"/>
      <c r="BI119" s="278"/>
    </row>
    <row r="120" spans="17:147" ht="48.75" customHeight="1">
      <c r="Q120" s="278"/>
      <c r="R120" s="278"/>
      <c r="S120" s="176"/>
      <c r="T120" s="177"/>
      <c r="U120" s="177"/>
      <c r="V120" s="177"/>
      <c r="W120" s="177"/>
      <c r="X120" s="177"/>
      <c r="Y120" s="177"/>
      <c r="Z120" s="177"/>
      <c r="AA120" s="177"/>
      <c r="AB120" s="177"/>
      <c r="AC120" s="177"/>
      <c r="AD120" s="177"/>
      <c r="AE120" s="177"/>
      <c r="AF120" s="177"/>
      <c r="AG120" s="177"/>
      <c r="AH120" s="177"/>
      <c r="AI120" s="100"/>
      <c r="AJ120" s="178"/>
      <c r="AK120" s="100"/>
      <c r="AL120" s="288"/>
      <c r="AM120" s="288"/>
      <c r="AN120" s="288"/>
      <c r="AO120" s="288"/>
      <c r="AP120" s="288"/>
      <c r="AQ120" s="288"/>
      <c r="AR120" s="288"/>
      <c r="AS120" s="100"/>
      <c r="AT120" s="2016"/>
      <c r="AU120" s="2017"/>
      <c r="AV120" s="2017"/>
      <c r="AW120" s="2017"/>
      <c r="AX120" s="2017"/>
      <c r="AY120" s="2018"/>
      <c r="BF120" s="278"/>
      <c r="BG120" s="278"/>
      <c r="BH120" s="278"/>
      <c r="BI120" s="278"/>
    </row>
    <row r="121" spans="17:147" ht="48.75" customHeight="1">
      <c r="Q121" s="278"/>
      <c r="R121" s="278"/>
      <c r="S121" s="176"/>
      <c r="T121" s="177"/>
      <c r="U121" s="177"/>
      <c r="V121" s="177"/>
      <c r="W121" s="177"/>
      <c r="X121" s="177"/>
      <c r="Y121" s="177"/>
      <c r="Z121" s="177"/>
      <c r="AA121" s="177"/>
      <c r="AB121" s="177"/>
      <c r="AC121" s="177"/>
      <c r="AD121" s="177"/>
      <c r="AE121" s="177"/>
      <c r="AF121" s="177"/>
      <c r="AG121" s="177"/>
      <c r="AH121" s="177"/>
      <c r="AI121" s="100"/>
      <c r="AJ121" s="178"/>
      <c r="AK121" s="1452" t="s">
        <v>690</v>
      </c>
      <c r="AL121" s="1452"/>
      <c r="AM121" s="115"/>
      <c r="AN121" s="1285" t="s">
        <v>482</v>
      </c>
      <c r="AO121" s="1286"/>
      <c r="AP121" s="1286"/>
      <c r="AQ121" s="1761"/>
      <c r="AR121" s="115"/>
      <c r="AS121" s="100"/>
      <c r="AT121" s="115"/>
      <c r="AU121" s="1285" t="s">
        <v>482</v>
      </c>
      <c r="AV121" s="1286"/>
      <c r="AW121" s="1286"/>
      <c r="AX121" s="1761"/>
      <c r="AY121" s="115"/>
      <c r="BF121" s="278"/>
      <c r="BG121" s="278"/>
      <c r="BH121" s="278"/>
      <c r="BI121" s="278"/>
    </row>
    <row r="122" spans="17:147" ht="48.75" customHeight="1">
      <c r="Q122" s="278"/>
      <c r="R122" s="278"/>
      <c r="S122" s="176"/>
      <c r="T122" s="177"/>
      <c r="U122" s="177"/>
      <c r="V122" s="177"/>
      <c r="W122" s="177"/>
      <c r="X122" s="177"/>
      <c r="Y122" s="177"/>
      <c r="Z122" s="177"/>
      <c r="AA122" s="177"/>
      <c r="AB122" s="177"/>
      <c r="AC122" s="177"/>
      <c r="AD122" s="177"/>
      <c r="AE122" s="177"/>
      <c r="AF122" s="177"/>
      <c r="AG122" s="177"/>
      <c r="AH122" s="177"/>
      <c r="AI122" s="100"/>
      <c r="AJ122" s="178"/>
      <c r="AK122" s="1452" t="s">
        <v>402</v>
      </c>
      <c r="AL122" s="1452"/>
      <c r="AM122" s="257">
        <v>2</v>
      </c>
      <c r="AN122" s="257">
        <v>4</v>
      </c>
      <c r="AO122" s="257">
        <v>6</v>
      </c>
      <c r="AP122" s="257">
        <v>8</v>
      </c>
      <c r="AQ122" s="257">
        <v>10</v>
      </c>
      <c r="AR122" s="257">
        <v>12</v>
      </c>
      <c r="AS122" s="100"/>
      <c r="AT122" s="257">
        <v>2</v>
      </c>
      <c r="AU122" s="257">
        <v>4</v>
      </c>
      <c r="AV122" s="257">
        <v>6</v>
      </c>
      <c r="AW122" s="257">
        <v>8</v>
      </c>
      <c r="AX122" s="257">
        <v>10</v>
      </c>
      <c r="AY122" s="257">
        <v>12</v>
      </c>
      <c r="AZ122" s="278"/>
      <c r="BA122" s="278"/>
      <c r="BF122" s="278"/>
      <c r="BG122" s="278"/>
      <c r="BH122" s="278"/>
      <c r="BI122" s="278"/>
    </row>
    <row r="123" spans="17:147" ht="48.75" customHeight="1">
      <c r="Q123" s="278"/>
      <c r="R123" s="278"/>
      <c r="S123" s="176"/>
      <c r="T123" s="177"/>
      <c r="U123" s="177"/>
      <c r="V123" s="177"/>
      <c r="W123" s="177"/>
      <c r="X123" s="177"/>
      <c r="Y123" s="177"/>
      <c r="Z123" s="177"/>
      <c r="AA123" s="177"/>
      <c r="AB123" s="177"/>
      <c r="AC123" s="177"/>
      <c r="AD123" s="177"/>
      <c r="AE123" s="177"/>
      <c r="AF123" s="177"/>
      <c r="AG123" s="177"/>
      <c r="AH123" s="177"/>
      <c r="AI123" s="100"/>
      <c r="AJ123" s="178"/>
      <c r="AK123" s="1452" t="s">
        <v>111</v>
      </c>
      <c r="AL123" s="1452"/>
      <c r="AM123" s="1121" t="s">
        <v>1116</v>
      </c>
      <c r="AN123" s="1122"/>
      <c r="AO123" s="1122"/>
      <c r="AP123" s="1122"/>
      <c r="AQ123" s="1122"/>
      <c r="AR123" s="1123"/>
      <c r="AS123" s="100"/>
      <c r="AT123" s="10"/>
      <c r="AU123" s="10"/>
      <c r="AV123" s="10"/>
      <c r="AW123" s="10"/>
      <c r="AX123" s="10"/>
      <c r="AY123" s="10"/>
      <c r="AZ123" s="278"/>
      <c r="BA123" s="278"/>
      <c r="BF123" s="278"/>
      <c r="BG123" s="278"/>
      <c r="BH123" s="278"/>
      <c r="BI123" s="278"/>
    </row>
    <row r="124" spans="17:147" ht="48.75" customHeight="1">
      <c r="Q124" s="278"/>
      <c r="R124" s="278"/>
      <c r="S124" s="176"/>
      <c r="T124" s="177"/>
      <c r="U124" s="177"/>
      <c r="V124" s="177"/>
      <c r="W124" s="177"/>
      <c r="X124" s="177"/>
      <c r="Y124" s="177"/>
      <c r="Z124" s="177"/>
      <c r="AA124" s="177"/>
      <c r="AB124" s="177"/>
      <c r="AC124" s="177"/>
      <c r="AD124" s="177"/>
      <c r="AE124" s="177"/>
      <c r="AF124" s="177"/>
      <c r="AG124" s="177"/>
      <c r="AH124" s="177"/>
      <c r="AI124" s="100"/>
      <c r="AJ124" s="178"/>
      <c r="AK124" s="1415" t="s">
        <v>1191</v>
      </c>
      <c r="AL124" s="921" t="s">
        <v>1189</v>
      </c>
      <c r="AM124" s="10"/>
      <c r="AN124" s="10"/>
      <c r="AO124" s="10"/>
      <c r="AP124" s="10"/>
      <c r="AQ124" s="10"/>
      <c r="AR124" s="10"/>
      <c r="AS124" s="100"/>
      <c r="AT124" s="10"/>
      <c r="AU124" s="10"/>
      <c r="AV124" s="10"/>
      <c r="AW124" s="10"/>
      <c r="AX124" s="10"/>
      <c r="AY124" s="10"/>
      <c r="AZ124" s="278"/>
      <c r="BA124" s="278"/>
      <c r="BF124" s="278"/>
      <c r="BG124" s="278"/>
      <c r="BH124" s="278"/>
      <c r="BI124" s="278"/>
    </row>
    <row r="125" spans="17:147" ht="48.75" customHeight="1">
      <c r="Q125" s="278"/>
      <c r="R125" s="278"/>
      <c r="S125" s="176"/>
      <c r="T125" s="177"/>
      <c r="U125" s="177"/>
      <c r="V125" s="177"/>
      <c r="W125" s="177"/>
      <c r="X125" s="177"/>
      <c r="Y125" s="177"/>
      <c r="Z125" s="177"/>
      <c r="AA125" s="177"/>
      <c r="AB125" s="177"/>
      <c r="AC125" s="177"/>
      <c r="AD125" s="177"/>
      <c r="AE125" s="177"/>
      <c r="AF125" s="177"/>
      <c r="AG125" s="177"/>
      <c r="AH125" s="177"/>
      <c r="AI125" s="100"/>
      <c r="AJ125" s="178"/>
      <c r="AK125" s="1864" t="s">
        <v>1190</v>
      </c>
      <c r="AL125" s="925"/>
      <c r="AM125" s="10"/>
      <c r="AN125" s="10"/>
      <c r="AO125" s="10"/>
      <c r="AP125" s="10"/>
      <c r="AQ125" s="10"/>
      <c r="AR125" s="10"/>
      <c r="AS125" s="100"/>
      <c r="AT125" s="10"/>
      <c r="AU125" s="10"/>
      <c r="AV125" s="10"/>
      <c r="AW125" s="10"/>
      <c r="AX125" s="10"/>
      <c r="AY125" s="10"/>
      <c r="AZ125" s="278"/>
      <c r="BA125" s="278"/>
      <c r="BF125" s="278"/>
      <c r="BG125" s="278"/>
      <c r="BH125" s="278"/>
      <c r="BI125" s="278"/>
    </row>
    <row r="126" spans="17:147" ht="48.75" customHeight="1">
      <c r="Q126" s="278"/>
      <c r="R126" s="278"/>
      <c r="S126" s="85"/>
      <c r="T126" s="86"/>
      <c r="U126" s="86"/>
      <c r="V126" s="86"/>
      <c r="W126" s="86"/>
      <c r="X126" s="86"/>
      <c r="Y126" s="86"/>
      <c r="Z126" s="86"/>
      <c r="AA126" s="86"/>
      <c r="AB126" s="86"/>
      <c r="AC126" s="86"/>
      <c r="AD126" s="86"/>
      <c r="AE126" s="86"/>
      <c r="AF126" s="86"/>
      <c r="AG126" s="86"/>
      <c r="AH126" s="86"/>
      <c r="AI126" s="104"/>
      <c r="AJ126" s="294"/>
      <c r="AK126" s="292"/>
      <c r="AL126" s="292"/>
      <c r="AM126" s="292"/>
      <c r="AN126" s="292"/>
      <c r="AO126" s="292"/>
      <c r="AP126" s="292"/>
      <c r="AQ126" s="292"/>
      <c r="AR126" s="292"/>
      <c r="AS126" s="292"/>
      <c r="AT126" s="292"/>
      <c r="AU126" s="292"/>
      <c r="AV126" s="292"/>
      <c r="AW126" s="292"/>
      <c r="AX126" s="292"/>
      <c r="AY126" s="292"/>
      <c r="AZ126" s="278"/>
      <c r="BA126" s="278"/>
      <c r="BF126" s="278"/>
      <c r="BG126" s="278"/>
      <c r="BH126" s="278"/>
      <c r="BI126" s="278"/>
    </row>
    <row r="127" spans="17:147" ht="48.75" customHeight="1">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278"/>
      <c r="AZ127" s="278"/>
      <c r="BA127" s="278"/>
      <c r="BF127" s="278"/>
      <c r="BG127" s="278"/>
      <c r="BH127" s="278"/>
      <c r="BI127" s="278"/>
    </row>
    <row r="128" spans="17:147" ht="48.75" customHeight="1">
      <c r="Q128" s="278"/>
      <c r="R128" s="278"/>
      <c r="S128" s="278"/>
      <c r="T128" s="278"/>
      <c r="U128" s="278"/>
      <c r="V128" s="278"/>
      <c r="W128" s="278"/>
      <c r="Y128" s="278"/>
      <c r="Z128" s="278"/>
      <c r="AA128" s="278"/>
      <c r="AB128" s="278"/>
      <c r="AC128" s="278"/>
      <c r="AD128" s="278"/>
      <c r="AE128" s="278"/>
      <c r="AF128" s="278"/>
      <c r="AG128" s="278"/>
      <c r="AH128" s="278"/>
      <c r="AI128" s="278"/>
      <c r="AJ128" s="278"/>
      <c r="AK128" s="278"/>
      <c r="AL128" s="278"/>
      <c r="AM128" s="278"/>
      <c r="AN128" s="278"/>
      <c r="AO128" s="278"/>
      <c r="AP128" s="278"/>
      <c r="AQ128" s="278"/>
      <c r="AR128" s="278"/>
      <c r="AS128" s="278"/>
      <c r="AT128" s="278"/>
      <c r="AU128" s="278"/>
      <c r="AV128" s="278"/>
      <c r="AW128" s="278"/>
      <c r="AX128" s="278"/>
      <c r="AY128" s="278"/>
      <c r="AZ128" s="278"/>
      <c r="BA128" s="278"/>
      <c r="BF128" s="278"/>
      <c r="BG128" s="278"/>
      <c r="BH128" s="278"/>
      <c r="BI128" s="278"/>
    </row>
    <row r="129" spans="2:75" ht="48.75" customHeight="1">
      <c r="Q129" s="278"/>
      <c r="R129" s="278"/>
      <c r="S129" s="278"/>
      <c r="T129" s="278"/>
      <c r="U129" s="278"/>
      <c r="V129" s="278"/>
      <c r="W129" s="278"/>
      <c r="X129" s="278"/>
      <c r="Y129" s="278"/>
      <c r="Z129" s="278"/>
      <c r="AA129" s="278"/>
      <c r="AB129" s="278"/>
      <c r="AC129" s="278"/>
      <c r="AD129" s="278"/>
      <c r="AE129" s="278"/>
      <c r="AF129" s="278"/>
      <c r="AG129" s="278"/>
      <c r="AH129" s="278"/>
      <c r="AI129" s="278"/>
      <c r="AJ129" s="278"/>
      <c r="AK129" s="278"/>
      <c r="AL129" s="278"/>
      <c r="AM129" s="278"/>
      <c r="AN129" s="278"/>
      <c r="AO129" s="278"/>
      <c r="AP129" s="278"/>
      <c r="AQ129" s="278"/>
      <c r="AR129" s="278"/>
      <c r="AS129" s="278"/>
      <c r="AT129" s="278"/>
      <c r="AU129" s="278"/>
      <c r="AV129" s="278"/>
      <c r="AW129" s="278"/>
      <c r="AX129" s="278"/>
      <c r="AY129" s="278"/>
      <c r="AZ129" s="278"/>
      <c r="BA129" s="278"/>
      <c r="BF129" s="278"/>
      <c r="BG129" s="278"/>
      <c r="BH129" s="278"/>
      <c r="BI129" s="278"/>
    </row>
    <row r="130" spans="2:75" ht="48.75" customHeight="1">
      <c r="P130" s="278"/>
      <c r="Q130" s="278"/>
      <c r="R130" s="278"/>
      <c r="S130" s="278"/>
      <c r="T130" s="278"/>
      <c r="U130" s="278"/>
      <c r="V130" s="278"/>
      <c r="W130" s="278"/>
      <c r="X130" s="278"/>
      <c r="Y130" s="278"/>
      <c r="Z130" s="278"/>
      <c r="AA130" s="278"/>
      <c r="AB130" s="278"/>
      <c r="AC130" s="278"/>
      <c r="AD130" s="278"/>
      <c r="AE130" s="278"/>
      <c r="AF130" s="278"/>
      <c r="AG130" s="278"/>
      <c r="AH130" s="278"/>
      <c r="AI130" s="278"/>
      <c r="AJ130" s="278"/>
      <c r="AK130" s="278"/>
      <c r="AL130" s="278"/>
      <c r="AM130" s="278"/>
      <c r="AN130" s="278"/>
      <c r="AO130" s="278"/>
      <c r="AP130" s="278"/>
      <c r="AQ130" s="278"/>
      <c r="AR130" s="278"/>
      <c r="AS130" s="278"/>
      <c r="AT130" s="278"/>
      <c r="AU130" s="278"/>
      <c r="AV130" s="278"/>
      <c r="AW130" s="278"/>
      <c r="AX130" s="278"/>
      <c r="AY130" s="278"/>
      <c r="AZ130" s="278"/>
      <c r="BA130" s="278"/>
      <c r="BF130" s="278"/>
      <c r="BG130" s="278"/>
      <c r="BH130" s="278"/>
      <c r="BI130" s="278"/>
    </row>
    <row r="131" spans="2:75" ht="48.75" customHeight="1">
      <c r="P131" s="278"/>
      <c r="Q131" s="278"/>
      <c r="R131" s="278"/>
      <c r="S131" s="278"/>
      <c r="T131" s="278"/>
      <c r="U131" s="278"/>
      <c r="V131" s="278"/>
      <c r="W131" s="278"/>
      <c r="X131" s="278"/>
      <c r="Y131" s="278"/>
      <c r="Z131" s="278"/>
      <c r="AA131" s="278"/>
      <c r="AB131" s="278"/>
      <c r="AC131" s="278"/>
      <c r="AD131" s="278"/>
      <c r="AE131" s="278"/>
      <c r="AF131" s="278"/>
      <c r="AG131" s="278"/>
      <c r="AH131" s="278"/>
      <c r="AI131" s="278"/>
      <c r="AJ131" s="278"/>
      <c r="AK131" s="278"/>
      <c r="AL131" s="278"/>
      <c r="AM131" s="278"/>
      <c r="AN131" s="278"/>
      <c r="AO131" s="278"/>
      <c r="AP131" s="278"/>
      <c r="AQ131" s="278"/>
      <c r="AR131" s="278"/>
      <c r="AS131" s="278"/>
      <c r="AT131" s="278"/>
      <c r="AU131" s="278"/>
      <c r="AV131" s="278"/>
      <c r="AW131" s="278"/>
      <c r="AX131" s="278"/>
      <c r="AY131" s="278"/>
      <c r="AZ131" s="278"/>
      <c r="BA131" s="278"/>
      <c r="BF131" s="278"/>
      <c r="BG131" s="278"/>
      <c r="BH131" s="278"/>
      <c r="BI131" s="278"/>
    </row>
    <row r="132" spans="2:75" ht="48.75" customHeight="1">
      <c r="P132" s="278"/>
      <c r="Q132" s="278"/>
      <c r="R132" s="278"/>
      <c r="S132" s="278"/>
      <c r="T132" s="278"/>
      <c r="U132" s="278"/>
      <c r="V132" s="278"/>
      <c r="W132" s="278"/>
      <c r="X132" s="278"/>
      <c r="Y132" s="278"/>
      <c r="Z132" s="278"/>
      <c r="AA132" s="278"/>
      <c r="AB132" s="278"/>
      <c r="AC132" s="278"/>
      <c r="AD132" s="278"/>
      <c r="AE132" s="278"/>
      <c r="AF132" s="278"/>
      <c r="AG132" s="278"/>
      <c r="AH132" s="278"/>
      <c r="AI132" s="278"/>
      <c r="AJ132" s="278"/>
      <c r="AK132" s="278"/>
      <c r="AL132" s="278"/>
      <c r="AM132" s="278"/>
      <c r="AN132" s="278"/>
      <c r="AO132" s="278"/>
      <c r="AP132" s="278"/>
      <c r="AQ132" s="278"/>
      <c r="AR132" s="278"/>
      <c r="AS132" s="278"/>
      <c r="AT132" s="278"/>
      <c r="AU132" s="278"/>
      <c r="AV132" s="278"/>
      <c r="AW132" s="278"/>
      <c r="AX132" s="278"/>
      <c r="AY132" s="278"/>
      <c r="AZ132" s="278"/>
      <c r="BA132" s="278"/>
      <c r="BF132" s="278"/>
      <c r="BG132" s="278"/>
      <c r="BH132" s="278"/>
      <c r="BI132" s="278"/>
    </row>
    <row r="133" spans="2:75" ht="48.75" customHeight="1">
      <c r="B133" s="987" t="s">
        <v>526</v>
      </c>
      <c r="C133" s="988"/>
      <c r="D133" s="988"/>
      <c r="E133" s="988"/>
      <c r="F133" s="988"/>
      <c r="G133" s="988"/>
      <c r="H133" s="988"/>
      <c r="I133" s="988"/>
      <c r="J133" s="988"/>
      <c r="K133" s="988"/>
      <c r="L133" s="989"/>
      <c r="M133" s="970"/>
      <c r="P133" s="278"/>
      <c r="Q133" s="278"/>
      <c r="R133" s="278"/>
      <c r="S133" s="278"/>
      <c r="T133" s="278"/>
      <c r="U133" s="278"/>
      <c r="V133" s="278"/>
      <c r="W133" s="278"/>
      <c r="X133" s="278"/>
      <c r="Y133" s="278"/>
      <c r="Z133" s="278"/>
      <c r="AA133" s="278"/>
      <c r="AB133" s="278"/>
      <c r="AC133" s="278"/>
      <c r="AD133" s="278"/>
      <c r="AE133" s="278"/>
      <c r="AF133" s="278"/>
      <c r="AG133" s="278"/>
      <c r="AH133" s="278"/>
      <c r="AI133" s="278"/>
      <c r="AJ133" s="278"/>
      <c r="AK133" s="278"/>
      <c r="AL133" s="278"/>
      <c r="AM133" s="278"/>
      <c r="AN133" s="278"/>
      <c r="AO133" s="278"/>
      <c r="AP133" s="278"/>
      <c r="AQ133" s="278"/>
      <c r="AR133" s="278"/>
      <c r="AS133" s="278"/>
      <c r="AT133" s="278"/>
      <c r="AU133" s="278"/>
      <c r="AV133" s="278"/>
      <c r="AW133" s="278"/>
      <c r="AX133" s="278"/>
      <c r="AY133" s="278"/>
      <c r="AZ133" s="278"/>
      <c r="BA133" s="278"/>
      <c r="BF133" s="278"/>
      <c r="BG133" s="278"/>
      <c r="BH133" s="278"/>
      <c r="BI133" s="278"/>
    </row>
    <row r="134" spans="2:75" ht="48.75" customHeight="1">
      <c r="B134" s="993"/>
      <c r="C134" s="994"/>
      <c r="D134" s="994"/>
      <c r="E134" s="994"/>
      <c r="F134" s="994"/>
      <c r="G134" s="994"/>
      <c r="H134" s="994"/>
      <c r="I134" s="994"/>
      <c r="J134" s="994"/>
      <c r="K134" s="994"/>
      <c r="L134" s="995"/>
      <c r="M134" s="972"/>
      <c r="P134" s="278"/>
      <c r="Q134" s="278"/>
      <c r="R134" s="278"/>
      <c r="S134" s="278"/>
      <c r="T134" s="278"/>
      <c r="U134" s="278"/>
      <c r="V134" s="278"/>
      <c r="W134" s="278"/>
      <c r="X134" s="278"/>
      <c r="Y134" s="278"/>
      <c r="Z134" s="278"/>
      <c r="AA134" s="278"/>
      <c r="AB134" s="278"/>
      <c r="AC134" s="278"/>
      <c r="AD134" s="278"/>
      <c r="AE134" s="278"/>
      <c r="AF134" s="278"/>
      <c r="AG134" s="278"/>
      <c r="AH134" s="278"/>
      <c r="AI134" s="278"/>
      <c r="AJ134" s="278"/>
      <c r="AK134" s="278"/>
      <c r="AL134" s="278"/>
      <c r="AM134" s="278"/>
      <c r="AN134" s="278"/>
      <c r="AO134" s="278"/>
      <c r="AP134" s="278"/>
      <c r="AQ134" s="278"/>
      <c r="AR134" s="278"/>
      <c r="AS134" s="278"/>
      <c r="AT134" s="278"/>
      <c r="AU134" s="278"/>
      <c r="AV134" s="278"/>
      <c r="AW134" s="278"/>
      <c r="AX134" s="278"/>
      <c r="AY134" s="278"/>
      <c r="AZ134" s="278"/>
      <c r="BA134" s="278"/>
      <c r="BF134" s="278"/>
      <c r="BG134" s="278"/>
      <c r="BH134" s="278"/>
      <c r="BI134" s="278"/>
    </row>
    <row r="135" spans="2:75" ht="48.75" customHeight="1">
      <c r="B135" s="1287" t="s">
        <v>512</v>
      </c>
      <c r="C135" s="2005" t="s">
        <v>524</v>
      </c>
      <c r="D135" s="1287" t="s">
        <v>513</v>
      </c>
      <c r="E135" s="1287" t="s">
        <v>90</v>
      </c>
      <c r="F135" s="1287"/>
      <c r="G135" s="1287"/>
      <c r="H135" s="1287" t="s">
        <v>514</v>
      </c>
      <c r="I135" s="1287"/>
      <c r="J135" s="1287"/>
      <c r="K135" s="1287" t="s">
        <v>515</v>
      </c>
      <c r="L135" s="1287"/>
      <c r="M135" s="1287"/>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278"/>
      <c r="AZ135" s="278"/>
      <c r="BA135" s="278"/>
      <c r="BF135" s="278"/>
      <c r="BG135" s="278"/>
      <c r="BH135" s="278"/>
      <c r="BI135" s="278"/>
    </row>
    <row r="136" spans="2:75" ht="48.75" customHeight="1">
      <c r="B136" s="1287"/>
      <c r="C136" s="2005"/>
      <c r="D136" s="1287"/>
      <c r="E136" s="1287" t="s">
        <v>516</v>
      </c>
      <c r="F136" s="1287"/>
      <c r="G136" s="1984" t="s">
        <v>525</v>
      </c>
      <c r="H136" s="1287" t="s">
        <v>516</v>
      </c>
      <c r="I136" s="1287"/>
      <c r="J136" s="1984" t="s">
        <v>525</v>
      </c>
      <c r="K136" s="1287" t="s">
        <v>516</v>
      </c>
      <c r="L136" s="1287"/>
      <c r="M136" s="1984" t="s">
        <v>525</v>
      </c>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278"/>
      <c r="AZ136" s="278"/>
      <c r="BA136" s="278"/>
      <c r="BF136" s="278"/>
      <c r="BG136" s="278"/>
      <c r="BH136" s="278"/>
      <c r="BI136" s="278"/>
    </row>
    <row r="137" spans="2:75" ht="48.75" customHeight="1">
      <c r="B137" s="1287"/>
      <c r="C137" s="2005"/>
      <c r="D137" s="1287"/>
      <c r="E137" s="1287"/>
      <c r="F137" s="1287"/>
      <c r="G137" s="1984"/>
      <c r="H137" s="1287"/>
      <c r="I137" s="1287"/>
      <c r="J137" s="1984"/>
      <c r="K137" s="1287"/>
      <c r="L137" s="1287"/>
      <c r="M137" s="1984"/>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F137" s="278"/>
      <c r="BG137" s="278"/>
      <c r="BH137" s="278"/>
      <c r="BI137" s="278"/>
    </row>
    <row r="138" spans="2:75" ht="48.75" customHeight="1">
      <c r="B138" s="257" t="s">
        <v>517</v>
      </c>
      <c r="C138" s="257" t="s">
        <v>518</v>
      </c>
      <c r="D138" s="257">
        <v>2013</v>
      </c>
      <c r="E138" s="1287" t="s">
        <v>519</v>
      </c>
      <c r="F138" s="1287"/>
      <c r="G138" s="257">
        <v>0.97</v>
      </c>
      <c r="H138" s="1287" t="s">
        <v>519</v>
      </c>
      <c r="I138" s="1287"/>
      <c r="J138" s="257">
        <v>0.97</v>
      </c>
      <c r="K138" s="1287" t="s">
        <v>175</v>
      </c>
      <c r="L138" s="1287"/>
      <c r="M138" s="257" t="s">
        <v>175</v>
      </c>
      <c r="P138" s="278"/>
      <c r="Q138" s="278"/>
      <c r="R138" s="278"/>
      <c r="S138" s="278"/>
      <c r="T138" s="278"/>
      <c r="U138" s="278"/>
      <c r="V138" s="278"/>
      <c r="W138" s="278"/>
      <c r="X138" s="278"/>
      <c r="Y138" s="278"/>
      <c r="Z138" s="278"/>
      <c r="AA138" s="278"/>
      <c r="AB138" s="278"/>
      <c r="AC138" s="278"/>
      <c r="AD138" s="278"/>
      <c r="AE138" s="278"/>
      <c r="AF138" s="278"/>
      <c r="AG138" s="278"/>
      <c r="AH138" s="278"/>
      <c r="AI138" s="278"/>
      <c r="AJ138" s="278"/>
      <c r="AK138" s="278"/>
      <c r="AL138" s="278"/>
      <c r="AM138" s="278"/>
      <c r="AN138" s="278"/>
      <c r="AO138" s="278"/>
      <c r="AP138" s="278"/>
      <c r="AQ138" s="278"/>
      <c r="AR138" s="278"/>
      <c r="AS138" s="278"/>
      <c r="AT138" s="278"/>
      <c r="AU138" s="278"/>
      <c r="AV138" s="278"/>
      <c r="AW138" s="278"/>
      <c r="AX138" s="278"/>
      <c r="AY138" s="278"/>
      <c r="AZ138" s="278"/>
      <c r="BA138" s="278"/>
      <c r="BB138" s="278"/>
      <c r="BC138" s="278"/>
      <c r="BD138" s="278"/>
      <c r="BE138" s="278"/>
      <c r="BF138" s="278"/>
      <c r="BG138" s="278"/>
      <c r="BH138" s="278"/>
      <c r="BI138" s="278"/>
      <c r="BJ138" s="278"/>
      <c r="BK138" s="278"/>
      <c r="BL138" s="278"/>
      <c r="BM138" s="278"/>
      <c r="BN138" s="278"/>
      <c r="BO138" s="278"/>
      <c r="BP138" s="278"/>
      <c r="BQ138" s="278"/>
      <c r="BR138" s="278"/>
      <c r="BS138" s="278"/>
      <c r="BT138" s="278"/>
      <c r="BU138" s="278"/>
      <c r="BV138" s="278"/>
      <c r="BW138" s="278"/>
    </row>
    <row r="139" spans="2:75" ht="48.75" customHeight="1">
      <c r="B139" s="257" t="s">
        <v>520</v>
      </c>
      <c r="C139" s="257" t="s">
        <v>518</v>
      </c>
      <c r="D139" s="257">
        <v>2312</v>
      </c>
      <c r="E139" s="1287" t="s">
        <v>521</v>
      </c>
      <c r="F139" s="1287"/>
      <c r="G139" s="257">
        <v>0.95</v>
      </c>
      <c r="H139" s="1287" t="s">
        <v>522</v>
      </c>
      <c r="I139" s="1287"/>
      <c r="J139" s="257">
        <v>0.97</v>
      </c>
      <c r="K139" s="1287" t="s">
        <v>521</v>
      </c>
      <c r="L139" s="1287"/>
      <c r="M139" s="257">
        <v>0.95</v>
      </c>
      <c r="P139" s="278"/>
      <c r="Q139" s="278"/>
      <c r="R139" s="278"/>
      <c r="S139" s="278"/>
      <c r="T139" s="278"/>
      <c r="U139" s="278"/>
      <c r="V139" s="278"/>
      <c r="W139" s="278"/>
      <c r="X139" s="278"/>
      <c r="Y139" s="278"/>
      <c r="Z139" s="278"/>
      <c r="AA139" s="278"/>
      <c r="AB139" s="278"/>
      <c r="AC139" s="278"/>
      <c r="AD139" s="278"/>
      <c r="AE139" s="278"/>
      <c r="AF139" s="278"/>
      <c r="AG139" s="278"/>
      <c r="AH139" s="278"/>
      <c r="AI139" s="278"/>
      <c r="AJ139" s="278"/>
      <c r="AK139" s="278"/>
      <c r="AL139" s="278"/>
      <c r="AM139" s="278"/>
      <c r="AN139" s="278"/>
      <c r="AO139" s="278"/>
      <c r="AP139" s="278"/>
      <c r="AQ139" s="278"/>
      <c r="AR139" s="278"/>
      <c r="AS139" s="278"/>
      <c r="AT139" s="278"/>
      <c r="AU139" s="278"/>
      <c r="AV139" s="278"/>
      <c r="AW139" s="278"/>
      <c r="AX139" s="278"/>
      <c r="AY139" s="278"/>
      <c r="AZ139" s="278"/>
      <c r="BA139" s="278"/>
      <c r="BB139" s="278"/>
      <c r="BC139" s="278"/>
      <c r="BD139" s="278"/>
      <c r="BE139" s="278"/>
      <c r="BF139" s="278"/>
      <c r="BG139" s="278"/>
      <c r="BH139" s="278"/>
      <c r="BI139" s="278"/>
      <c r="BJ139" s="278"/>
      <c r="BK139" s="278"/>
      <c r="BL139" s="278"/>
      <c r="BM139" s="278"/>
      <c r="BN139" s="278"/>
      <c r="BO139" s="278"/>
      <c r="BP139" s="278"/>
      <c r="BQ139" s="278"/>
      <c r="BR139" s="278"/>
      <c r="BS139" s="278"/>
      <c r="BT139" s="278"/>
      <c r="BU139" s="278"/>
      <c r="BV139" s="278"/>
      <c r="BW139" s="278"/>
    </row>
    <row r="140" spans="2:75" ht="48.75" customHeight="1">
      <c r="B140" s="257" t="s">
        <v>523</v>
      </c>
      <c r="C140" s="257">
        <v>6000</v>
      </c>
      <c r="D140" s="257">
        <v>2411</v>
      </c>
      <c r="E140" s="1287" t="s">
        <v>521</v>
      </c>
      <c r="F140" s="1287"/>
      <c r="G140" s="257">
        <v>0.95</v>
      </c>
      <c r="H140" s="1287" t="s">
        <v>521</v>
      </c>
      <c r="I140" s="1287"/>
      <c r="J140" s="257">
        <v>0.95</v>
      </c>
      <c r="K140" s="1287" t="s">
        <v>521</v>
      </c>
      <c r="L140" s="1287"/>
      <c r="M140" s="257">
        <v>0.95</v>
      </c>
      <c r="Q140" s="278"/>
      <c r="R140" s="278"/>
      <c r="S140" s="278"/>
      <c r="T140" s="278"/>
      <c r="U140" s="278"/>
      <c r="V140" s="278"/>
      <c r="W140" s="278"/>
      <c r="X140" s="278"/>
      <c r="Y140" s="278"/>
      <c r="Z140" s="278"/>
      <c r="AA140" s="278"/>
      <c r="AB140" s="278"/>
      <c r="AC140" s="278"/>
      <c r="AD140" s="278"/>
      <c r="AE140" s="278"/>
      <c r="AF140" s="278"/>
      <c r="AG140" s="278"/>
      <c r="AH140" s="278"/>
      <c r="AI140" s="278"/>
      <c r="AJ140" s="278"/>
      <c r="AK140" s="278"/>
      <c r="AL140" s="278"/>
      <c r="AM140" s="278"/>
      <c r="AN140" s="278"/>
      <c r="AO140" s="278"/>
      <c r="AP140" s="278"/>
      <c r="AQ140" s="278"/>
      <c r="AR140" s="278"/>
      <c r="AS140" s="278"/>
      <c r="AT140" s="278"/>
      <c r="AU140" s="278"/>
      <c r="AV140" s="278"/>
      <c r="AW140" s="278"/>
      <c r="AX140" s="278"/>
      <c r="AY140" s="278"/>
      <c r="AZ140" s="278"/>
      <c r="BA140" s="278"/>
      <c r="BB140" s="278"/>
      <c r="BC140" s="278"/>
      <c r="BD140" s="278"/>
      <c r="BE140" s="278"/>
      <c r="BF140" s="278"/>
      <c r="BG140" s="278"/>
      <c r="BH140" s="278"/>
      <c r="BI140" s="278"/>
      <c r="BJ140" s="278"/>
      <c r="BK140" s="278"/>
      <c r="BL140" s="278"/>
      <c r="BM140" s="278"/>
      <c r="BN140" s="278"/>
      <c r="BO140" s="278"/>
      <c r="BP140" s="278"/>
      <c r="BQ140" s="278"/>
      <c r="BR140" s="278"/>
      <c r="BS140" s="278"/>
      <c r="BT140" s="278"/>
      <c r="BU140" s="278"/>
      <c r="BV140" s="278"/>
      <c r="BW140" s="278"/>
    </row>
    <row r="141" spans="2:75" ht="48.75" customHeight="1">
      <c r="Q141" s="278"/>
      <c r="R141" s="278"/>
      <c r="S141" s="278"/>
      <c r="T141" s="278"/>
      <c r="U141" s="278"/>
      <c r="V141" s="278"/>
      <c r="W141" s="278"/>
      <c r="X141" s="278"/>
      <c r="Y141" s="278"/>
      <c r="Z141" s="278"/>
      <c r="AA141" s="278"/>
      <c r="AB141" s="278"/>
      <c r="AC141" s="278"/>
      <c r="AD141" s="278"/>
      <c r="AE141" s="278"/>
      <c r="AF141" s="278"/>
      <c r="AG141" s="278"/>
      <c r="AH141" s="278"/>
      <c r="AI141" s="278"/>
      <c r="AJ141" s="278"/>
      <c r="AK141" s="278"/>
      <c r="AL141" s="278"/>
      <c r="AM141" s="278"/>
      <c r="AN141" s="278"/>
      <c r="AO141" s="278"/>
      <c r="AP141" s="278"/>
      <c r="AQ141" s="278"/>
      <c r="AR141" s="278"/>
      <c r="AS141" s="278"/>
      <c r="AT141" s="278"/>
      <c r="AU141" s="278"/>
      <c r="AV141" s="278"/>
      <c r="AW141" s="278"/>
      <c r="AX141" s="278"/>
      <c r="AY141" s="278"/>
      <c r="AZ141" s="278"/>
      <c r="BA141" s="278"/>
      <c r="BB141" s="278"/>
      <c r="BC141" s="278"/>
      <c r="BD141" s="278"/>
      <c r="BE141" s="278"/>
      <c r="BF141" s="278"/>
      <c r="BG141" s="278"/>
      <c r="BH141" s="278"/>
      <c r="BI141" s="278"/>
      <c r="BJ141" s="278"/>
      <c r="BK141" s="278"/>
      <c r="BL141" s="278"/>
      <c r="BM141" s="278"/>
      <c r="BN141" s="278"/>
      <c r="BO141" s="278"/>
      <c r="BP141" s="278"/>
      <c r="BQ141" s="278"/>
      <c r="BR141" s="278"/>
      <c r="BS141" s="278"/>
      <c r="BT141" s="278"/>
      <c r="BU141" s="278"/>
      <c r="BV141" s="278"/>
      <c r="BW141" s="278"/>
    </row>
    <row r="142" spans="2:75" ht="48.75" customHeight="1">
      <c r="Q142" s="278"/>
      <c r="R142" s="278"/>
      <c r="S142" s="278"/>
      <c r="T142" s="278"/>
      <c r="U142" s="278"/>
      <c r="V142" s="278"/>
      <c r="W142" s="278"/>
      <c r="X142" s="278"/>
      <c r="Y142" s="278"/>
      <c r="Z142" s="278"/>
      <c r="AA142" s="278"/>
      <c r="AB142" s="278"/>
      <c r="AC142" s="278"/>
      <c r="AD142" s="278"/>
      <c r="AE142" s="278"/>
      <c r="AF142" s="278"/>
      <c r="AG142" s="278"/>
      <c r="AH142" s="278"/>
      <c r="AI142" s="278"/>
      <c r="AJ142" s="278"/>
      <c r="AK142" s="278"/>
      <c r="AL142" s="278"/>
      <c r="AM142" s="278"/>
      <c r="AN142" s="278"/>
      <c r="AO142" s="278"/>
      <c r="AP142" s="278"/>
      <c r="AQ142" s="278"/>
      <c r="AR142" s="278"/>
      <c r="AS142" s="278"/>
      <c r="AT142" s="278"/>
      <c r="AU142" s="278"/>
      <c r="AV142" s="278"/>
      <c r="AW142" s="278"/>
      <c r="AX142" s="278"/>
      <c r="AY142" s="278"/>
      <c r="AZ142" s="278"/>
      <c r="BA142" s="278"/>
      <c r="BB142" s="278"/>
      <c r="BC142" s="278"/>
      <c r="BD142" s="278"/>
      <c r="BE142" s="278"/>
      <c r="BF142" s="278"/>
      <c r="BG142" s="278"/>
      <c r="BH142" s="278"/>
      <c r="BI142" s="278"/>
      <c r="BJ142" s="278"/>
      <c r="BK142" s="278"/>
      <c r="BL142" s="278"/>
      <c r="BM142" s="278"/>
      <c r="BN142" s="278"/>
      <c r="BO142" s="278"/>
      <c r="BP142" s="278"/>
      <c r="BQ142" s="278"/>
      <c r="BR142" s="278"/>
      <c r="BS142" s="278"/>
      <c r="BT142" s="278"/>
      <c r="BU142" s="278"/>
      <c r="BV142" s="278"/>
      <c r="BW142" s="278"/>
    </row>
    <row r="143" spans="2:75" ht="48.75" customHeight="1">
      <c r="Q143" s="278"/>
      <c r="R143" s="278"/>
      <c r="S143" s="278"/>
      <c r="T143" s="278"/>
      <c r="U143" s="278"/>
      <c r="V143" s="278"/>
      <c r="W143" s="278"/>
      <c r="X143" s="278"/>
      <c r="Y143" s="278"/>
      <c r="Z143" s="278"/>
      <c r="AA143" s="278"/>
      <c r="AB143" s="278"/>
      <c r="AC143" s="278"/>
      <c r="AD143" s="278"/>
      <c r="AE143" s="278"/>
      <c r="AF143" s="278"/>
      <c r="AG143" s="278"/>
      <c r="AH143" s="278"/>
      <c r="AI143" s="278"/>
      <c r="AJ143" s="278"/>
      <c r="AK143" s="278"/>
      <c r="AL143" s="278"/>
      <c r="AM143" s="278"/>
      <c r="AN143" s="278"/>
      <c r="AO143" s="278"/>
      <c r="AP143" s="278"/>
      <c r="AQ143" s="278"/>
      <c r="AR143" s="278"/>
      <c r="AS143" s="278"/>
      <c r="AT143" s="278"/>
      <c r="AU143" s="278"/>
      <c r="AV143" s="278"/>
      <c r="AW143" s="278"/>
      <c r="AX143" s="278"/>
      <c r="AY143" s="278"/>
      <c r="AZ143" s="278"/>
      <c r="BA143" s="278"/>
      <c r="BB143" s="278"/>
      <c r="BC143" s="278"/>
      <c r="BD143" s="278"/>
      <c r="BE143" s="278"/>
      <c r="BF143" s="278"/>
      <c r="BG143" s="278"/>
      <c r="BH143" s="278"/>
      <c r="BI143" s="278"/>
      <c r="BJ143" s="278"/>
      <c r="BK143" s="278"/>
      <c r="BL143" s="278"/>
      <c r="BM143" s="278"/>
      <c r="BN143" s="278"/>
      <c r="BO143" s="278"/>
      <c r="BP143" s="278"/>
      <c r="BQ143" s="278"/>
      <c r="BR143" s="278"/>
      <c r="BS143" s="278"/>
      <c r="BT143" s="278"/>
      <c r="BU143" s="278"/>
      <c r="BV143" s="278"/>
      <c r="BW143" s="278"/>
    </row>
    <row r="144" spans="2:75" ht="48.75" customHeight="1">
      <c r="B144" s="631" t="s">
        <v>212</v>
      </c>
      <c r="C144" s="630">
        <f>'Вывод расчетов'!$BA$30</f>
        <v>180</v>
      </c>
      <c r="D144" s="639" t="s">
        <v>45</v>
      </c>
      <c r="Q144" s="278"/>
      <c r="R144" s="278"/>
      <c r="S144" s="278"/>
      <c r="T144" s="278"/>
      <c r="U144" s="278"/>
      <c r="V144" s="278"/>
      <c r="W144" s="278"/>
      <c r="X144" s="278"/>
      <c r="Y144" s="278"/>
      <c r="Z144" s="278"/>
      <c r="AA144" s="278"/>
      <c r="AB144" s="278"/>
      <c r="AC144" s="278"/>
      <c r="AD144" s="278"/>
      <c r="AE144" s="278"/>
      <c r="AF144" s="278"/>
      <c r="AG144" s="278"/>
      <c r="AH144" s="278"/>
      <c r="AI144" s="278"/>
      <c r="AJ144" s="278"/>
      <c r="AK144" s="278"/>
      <c r="AL144" s="278"/>
      <c r="AM144" s="278"/>
      <c r="AN144" s="278"/>
      <c r="AO144" s="278"/>
      <c r="AP144" s="278"/>
      <c r="AQ144" s="278"/>
      <c r="AR144" s="278"/>
      <c r="AS144" s="278"/>
      <c r="AT144" s="278"/>
      <c r="AU144" s="278"/>
      <c r="AV144" s="278"/>
      <c r="AW144" s="278"/>
      <c r="AX144" s="278"/>
      <c r="AY144" s="278"/>
      <c r="AZ144" s="278"/>
      <c r="BA144" s="278"/>
      <c r="BB144" s="278"/>
      <c r="BC144" s="278"/>
      <c r="BD144" s="278"/>
      <c r="BE144" s="278"/>
      <c r="BF144" s="278"/>
      <c r="BG144" s="278"/>
      <c r="BH144" s="278"/>
      <c r="BI144" s="278"/>
      <c r="BJ144" s="278"/>
      <c r="BK144" s="278"/>
      <c r="BL144" s="278"/>
      <c r="BM144" s="278"/>
      <c r="BN144" s="278"/>
      <c r="BO144" s="278"/>
      <c r="BP144" s="278"/>
      <c r="BQ144" s="278"/>
      <c r="BR144" s="278"/>
      <c r="BS144" s="278"/>
      <c r="BT144" s="278"/>
      <c r="BU144" s="278"/>
      <c r="BV144" s="278"/>
      <c r="BW144" s="278"/>
    </row>
    <row r="145" spans="2:75" ht="48.75" customHeight="1">
      <c r="B145" s="654" t="s">
        <v>1216</v>
      </c>
      <c r="C145" s="661">
        <f>'Вывод расчетов'!$AP$7</f>
        <v>220</v>
      </c>
      <c r="D145" s="662" t="s">
        <v>5</v>
      </c>
      <c r="Q145" s="278"/>
      <c r="R145" s="278"/>
      <c r="S145" s="278"/>
      <c r="T145" s="278"/>
      <c r="U145" s="278"/>
      <c r="V145" s="278"/>
      <c r="W145" s="278"/>
      <c r="X145" s="278"/>
      <c r="Y145" s="278"/>
      <c r="Z145" s="278"/>
      <c r="AA145" s="278"/>
      <c r="AB145" s="278"/>
      <c r="AC145" s="278"/>
      <c r="AD145" s="278"/>
      <c r="AE145" s="278"/>
      <c r="AF145" s="278"/>
      <c r="AG145" s="278"/>
      <c r="AH145" s="278"/>
      <c r="AI145" s="278"/>
      <c r="AJ145" s="278"/>
      <c r="AK145" s="278"/>
      <c r="AL145" s="278"/>
      <c r="AM145" s="278"/>
      <c r="AN145" s="278"/>
      <c r="AO145" s="278"/>
      <c r="AP145" s="278"/>
      <c r="AQ145" s="278"/>
      <c r="AR145" s="278"/>
      <c r="AS145" s="278"/>
      <c r="AT145" s="278"/>
      <c r="AU145" s="278"/>
      <c r="AV145" s="278"/>
      <c r="AW145" s="278"/>
      <c r="AX145" s="278"/>
      <c r="AY145" s="278"/>
      <c r="AZ145" s="278"/>
      <c r="BA145" s="278"/>
      <c r="BB145" s="278"/>
      <c r="BC145" s="278"/>
      <c r="BD145" s="278"/>
      <c r="BE145" s="278"/>
      <c r="BF145" s="278"/>
      <c r="BG145" s="278"/>
      <c r="BH145" s="278"/>
      <c r="BI145" s="278"/>
      <c r="BJ145" s="278"/>
      <c r="BK145" s="278"/>
      <c r="BL145" s="278"/>
      <c r="BM145" s="278"/>
      <c r="BN145" s="278"/>
      <c r="BO145" s="278"/>
      <c r="BP145" s="278"/>
      <c r="BQ145" s="278"/>
      <c r="BR145" s="278"/>
      <c r="BS145" s="278"/>
      <c r="BT145" s="278"/>
      <c r="BU145" s="278"/>
      <c r="BV145" s="278"/>
      <c r="BW145" s="278"/>
    </row>
    <row r="146" spans="2:75" ht="48.75" customHeight="1">
      <c r="Q146" s="278"/>
      <c r="R146" s="278"/>
      <c r="S146" s="278"/>
      <c r="T146" s="278"/>
      <c r="U146" s="278"/>
      <c r="V146" s="278"/>
      <c r="W146" s="278"/>
      <c r="X146" s="278"/>
      <c r="Y146" s="278"/>
      <c r="Z146" s="278"/>
      <c r="AA146" s="278"/>
      <c r="AB146" s="278"/>
      <c r="AC146" s="278"/>
      <c r="AD146" s="278"/>
      <c r="AE146" s="278"/>
      <c r="AF146" s="278"/>
      <c r="AG146" s="278"/>
      <c r="AH146" s="278"/>
      <c r="AI146" s="278"/>
      <c r="AJ146" s="278"/>
      <c r="AK146" s="278"/>
      <c r="AL146" s="278"/>
      <c r="AM146" s="278"/>
      <c r="AN146" s="278"/>
      <c r="AO146" s="278"/>
      <c r="AP146" s="278"/>
      <c r="AQ146" s="278"/>
      <c r="AR146" s="278"/>
      <c r="AS146" s="278"/>
      <c r="AT146" s="278"/>
      <c r="AU146" s="278"/>
      <c r="AV146" s="278"/>
      <c r="AW146" s="278"/>
      <c r="AX146" s="278"/>
      <c r="AY146" s="278"/>
      <c r="AZ146" s="278"/>
      <c r="BA146" s="278"/>
      <c r="BB146" s="278"/>
      <c r="BC146" s="278"/>
      <c r="BD146" s="278"/>
      <c r="BE146" s="278"/>
      <c r="BF146" s="278"/>
      <c r="BG146" s="278"/>
      <c r="BH146" s="278"/>
      <c r="BI146" s="278"/>
      <c r="BJ146" s="278"/>
      <c r="BK146" s="278"/>
      <c r="BL146" s="278"/>
      <c r="BM146" s="278"/>
      <c r="BN146" s="278"/>
      <c r="BO146" s="278"/>
      <c r="BP146" s="278"/>
      <c r="BQ146" s="278"/>
      <c r="BR146" s="278"/>
      <c r="BS146" s="278"/>
      <c r="BT146" s="278"/>
      <c r="BU146" s="278"/>
      <c r="BV146" s="278"/>
      <c r="BW146" s="278"/>
    </row>
    <row r="147" spans="2:75" ht="48.75" customHeight="1">
      <c r="D147" s="657"/>
      <c r="E147" s="657"/>
      <c r="F147" s="657"/>
      <c r="G147" s="657"/>
      <c r="H147" s="657"/>
      <c r="I147" s="657"/>
      <c r="J147" s="657"/>
      <c r="K147" s="657"/>
      <c r="L147" s="657"/>
      <c r="Q147" s="278"/>
      <c r="R147" s="278"/>
      <c r="S147" s="278"/>
      <c r="T147" s="278"/>
      <c r="U147" s="278"/>
      <c r="V147" s="278"/>
      <c r="W147" s="278"/>
      <c r="X147" s="278"/>
      <c r="Y147" s="278"/>
      <c r="Z147" s="278"/>
      <c r="AA147" s="278"/>
      <c r="AB147" s="278"/>
      <c r="AC147" s="278"/>
      <c r="AD147" s="278"/>
      <c r="AE147" s="278"/>
      <c r="AF147" s="278"/>
      <c r="AG147" s="278"/>
      <c r="AH147" s="278"/>
      <c r="AI147" s="278"/>
      <c r="AJ147" s="278"/>
      <c r="AK147" s="278"/>
      <c r="AL147" s="278"/>
      <c r="AM147" s="278"/>
      <c r="AN147" s="278"/>
      <c r="AO147" s="278"/>
      <c r="AP147" s="278"/>
      <c r="AQ147" s="278"/>
      <c r="AR147" s="278"/>
      <c r="AS147" s="278"/>
      <c r="AT147" s="278"/>
      <c r="AU147" s="278"/>
      <c r="AV147" s="278"/>
      <c r="AW147" s="278"/>
      <c r="AX147" s="278"/>
      <c r="AY147" s="278"/>
      <c r="AZ147" s="278"/>
      <c r="BA147" s="278"/>
      <c r="BB147" s="278"/>
      <c r="BC147" s="278"/>
      <c r="BD147" s="278"/>
      <c r="BE147" s="278"/>
      <c r="BF147" s="278"/>
      <c r="BG147" s="278"/>
      <c r="BH147" s="278"/>
      <c r="BI147" s="278"/>
      <c r="BJ147" s="278"/>
      <c r="BK147" s="278"/>
      <c r="BL147" s="278"/>
      <c r="BM147" s="278"/>
      <c r="BN147" s="278"/>
      <c r="BO147" s="278"/>
      <c r="BP147" s="278"/>
      <c r="BQ147" s="278"/>
      <c r="BR147" s="278"/>
      <c r="BS147" s="278"/>
      <c r="BT147" s="278"/>
      <c r="BU147" s="278"/>
      <c r="BV147" s="278"/>
      <c r="BW147" s="278"/>
    </row>
    <row r="148" spans="2:75" ht="48.75" customHeight="1">
      <c r="D148" s="657"/>
      <c r="E148" s="657"/>
      <c r="F148" s="657"/>
      <c r="G148" s="657"/>
      <c r="H148" s="657"/>
      <c r="I148" s="657"/>
      <c r="J148" s="657"/>
      <c r="K148" s="657"/>
      <c r="L148" s="657"/>
      <c r="Q148" s="278"/>
      <c r="R148" s="278"/>
      <c r="S148" s="278"/>
      <c r="T148" s="278"/>
      <c r="U148" s="278"/>
      <c r="V148" s="278"/>
      <c r="W148" s="278"/>
      <c r="X148" s="278"/>
      <c r="Y148" s="278"/>
      <c r="Z148" s="278"/>
      <c r="AA148" s="278"/>
      <c r="AB148" s="278"/>
      <c r="AC148" s="278"/>
      <c r="AD148" s="278"/>
      <c r="AE148" s="278"/>
      <c r="AF148" s="278"/>
      <c r="AG148" s="278"/>
      <c r="AH148" s="278"/>
      <c r="AI148" s="278"/>
      <c r="AJ148" s="278"/>
      <c r="AK148" s="278"/>
      <c r="AL148" s="278"/>
      <c r="AM148" s="278"/>
      <c r="AN148" s="278"/>
      <c r="AO148" s="278"/>
      <c r="AP148" s="278"/>
      <c r="AQ148" s="278"/>
      <c r="AR148" s="278"/>
      <c r="AS148" s="278"/>
      <c r="AT148" s="278"/>
      <c r="AU148" s="278"/>
      <c r="AV148" s="278"/>
      <c r="AW148" s="278"/>
      <c r="AX148" s="278"/>
      <c r="AY148" s="278"/>
      <c r="AZ148" s="278"/>
      <c r="BA148" s="278"/>
      <c r="BB148" s="278"/>
      <c r="BC148" s="278"/>
      <c r="BD148" s="278"/>
      <c r="BE148" s="278"/>
      <c r="BF148" s="278"/>
      <c r="BG148" s="278"/>
      <c r="BH148" s="278"/>
      <c r="BI148" s="278"/>
      <c r="BJ148" s="278"/>
      <c r="BK148" s="278"/>
      <c r="BL148" s="278"/>
      <c r="BM148" s="278"/>
      <c r="BN148" s="278"/>
      <c r="BO148" s="278"/>
      <c r="BP148" s="278"/>
      <c r="BQ148" s="278"/>
      <c r="BR148" s="278"/>
      <c r="BS148" s="278"/>
      <c r="BT148" s="278"/>
      <c r="BU148" s="278"/>
      <c r="BV148" s="278"/>
      <c r="BW148" s="278"/>
    </row>
    <row r="149" spans="2:75" ht="48.75" customHeight="1">
      <c r="D149" s="657"/>
      <c r="E149" s="657"/>
      <c r="F149" s="657"/>
      <c r="G149" s="657"/>
      <c r="H149" s="657"/>
      <c r="I149" s="657"/>
      <c r="J149" s="657"/>
      <c r="K149" s="657"/>
      <c r="L149" s="657"/>
      <c r="Q149" s="278"/>
      <c r="R149" s="278"/>
      <c r="S149" s="278"/>
      <c r="T149" s="278"/>
      <c r="U149" s="278"/>
      <c r="V149" s="278"/>
      <c r="W149" s="278"/>
      <c r="X149" s="278"/>
      <c r="Y149" s="278"/>
      <c r="Z149" s="278"/>
      <c r="AA149" s="278"/>
      <c r="AB149" s="278"/>
      <c r="AC149" s="278"/>
      <c r="AD149" s="278"/>
      <c r="AE149" s="278"/>
      <c r="AF149" s="278"/>
      <c r="AG149" s="278"/>
      <c r="AH149" s="278"/>
      <c r="AI149" s="278"/>
      <c r="AJ149" s="278"/>
      <c r="AK149" s="278"/>
      <c r="AL149" s="278"/>
      <c r="AM149" s="278"/>
      <c r="AN149" s="278"/>
      <c r="AO149" s="278"/>
      <c r="AP149" s="278"/>
      <c r="AQ149" s="278"/>
      <c r="AR149" s="278"/>
      <c r="AS149" s="278"/>
      <c r="AT149" s="278"/>
      <c r="AU149" s="278"/>
      <c r="AV149" s="278"/>
      <c r="AW149" s="278"/>
      <c r="AX149" s="278"/>
      <c r="AY149" s="278"/>
      <c r="AZ149" s="278"/>
      <c r="BA149" s="278"/>
      <c r="BB149" s="278"/>
      <c r="BC149" s="278"/>
      <c r="BD149" s="278"/>
      <c r="BE149" s="278"/>
      <c r="BF149" s="278"/>
      <c r="BG149" s="278"/>
      <c r="BH149" s="278"/>
      <c r="BI149" s="278"/>
      <c r="BJ149" s="278"/>
      <c r="BK149" s="278"/>
      <c r="BL149" s="278"/>
      <c r="BM149" s="278"/>
      <c r="BN149" s="278"/>
      <c r="BO149" s="278"/>
      <c r="BP149" s="278"/>
      <c r="BQ149" s="278"/>
      <c r="BR149" s="278"/>
      <c r="BS149" s="278"/>
      <c r="BT149" s="278"/>
      <c r="BU149" s="278"/>
      <c r="BV149" s="278"/>
      <c r="BW149" s="278"/>
    </row>
    <row r="150" spans="2:75" ht="48.75" customHeight="1">
      <c r="Q150" s="278"/>
      <c r="R150" s="278"/>
      <c r="S150" s="278"/>
      <c r="T150" s="278"/>
      <c r="U150" s="278"/>
      <c r="V150" s="278"/>
      <c r="W150" s="278"/>
      <c r="X150" s="278"/>
      <c r="Y150" s="278"/>
      <c r="Z150" s="278"/>
      <c r="AA150" s="278"/>
      <c r="AB150" s="278"/>
      <c r="AC150" s="278"/>
      <c r="AD150" s="278"/>
      <c r="AE150" s="278"/>
      <c r="AF150" s="278"/>
      <c r="AG150" s="278"/>
      <c r="AH150" s="278"/>
      <c r="AI150" s="278"/>
      <c r="AJ150" s="278"/>
      <c r="AK150" s="278"/>
      <c r="AL150" s="278"/>
      <c r="AM150" s="278"/>
      <c r="AN150" s="278"/>
      <c r="AO150" s="278"/>
      <c r="AP150" s="278"/>
      <c r="AQ150" s="278"/>
      <c r="AR150" s="278"/>
      <c r="AS150" s="278"/>
      <c r="AT150" s="278"/>
      <c r="AU150" s="278"/>
      <c r="AV150" s="278"/>
      <c r="AW150" s="278"/>
      <c r="AX150" s="278"/>
      <c r="AY150" s="278"/>
      <c r="AZ150" s="278"/>
      <c r="BA150" s="278"/>
      <c r="BB150" s="278"/>
      <c r="BC150" s="278"/>
      <c r="BD150" s="278"/>
      <c r="BE150" s="278"/>
      <c r="BF150" s="278"/>
      <c r="BG150" s="278"/>
      <c r="BH150" s="278"/>
      <c r="BI150" s="278"/>
      <c r="BJ150" s="278"/>
      <c r="BK150" s="278"/>
      <c r="BL150" s="278"/>
      <c r="BM150" s="278"/>
      <c r="BN150" s="278"/>
      <c r="BO150" s="278"/>
      <c r="BP150" s="278"/>
      <c r="BQ150" s="278"/>
      <c r="BR150" s="278"/>
      <c r="BS150" s="278"/>
      <c r="BT150" s="278"/>
      <c r="BU150" s="278"/>
      <c r="BV150" s="278"/>
      <c r="BW150" s="278"/>
    </row>
    <row r="151" spans="2:75" ht="48.75" customHeight="1">
      <c r="Q151" s="278"/>
      <c r="R151" s="278"/>
      <c r="S151" s="278"/>
      <c r="T151" s="278"/>
      <c r="U151" s="278"/>
      <c r="V151" s="278"/>
      <c r="W151" s="278"/>
      <c r="X151" s="278"/>
      <c r="Y151" s="278"/>
      <c r="Z151" s="278"/>
      <c r="AA151" s="278"/>
      <c r="AB151" s="278"/>
      <c r="AC151" s="278"/>
      <c r="AD151" s="278"/>
      <c r="AE151" s="278"/>
      <c r="AF151" s="278"/>
      <c r="AG151" s="278"/>
      <c r="AH151" s="278"/>
      <c r="AI151" s="278"/>
      <c r="AJ151" s="278"/>
      <c r="AK151" s="278"/>
      <c r="AL151" s="278"/>
      <c r="AM151" s="278"/>
      <c r="AN151" s="278"/>
      <c r="AO151" s="278"/>
      <c r="AP151" s="278"/>
      <c r="AQ151" s="278"/>
      <c r="AR151" s="278"/>
      <c r="AS151" s="278"/>
      <c r="AT151" s="278"/>
      <c r="AU151" s="278"/>
      <c r="AV151" s="278"/>
      <c r="AW151" s="278"/>
      <c r="AX151" s="278"/>
      <c r="AY151" s="278"/>
      <c r="AZ151" s="278"/>
      <c r="BA151" s="278"/>
      <c r="BB151" s="278"/>
      <c r="BC151" s="278"/>
      <c r="BD151" s="278"/>
      <c r="BE151" s="278"/>
      <c r="BF151" s="278"/>
      <c r="BG151" s="278"/>
      <c r="BH151" s="278"/>
      <c r="BI151" s="278"/>
      <c r="BJ151" s="278"/>
      <c r="BK151" s="278"/>
      <c r="BL151" s="278"/>
      <c r="BM151" s="278"/>
      <c r="BN151" s="278"/>
      <c r="BO151" s="278"/>
      <c r="BP151" s="278"/>
      <c r="BQ151" s="278"/>
      <c r="BR151" s="278"/>
      <c r="BS151" s="278"/>
      <c r="BT151" s="278"/>
      <c r="BU151" s="278"/>
      <c r="BV151" s="278"/>
      <c r="BW151" s="278"/>
    </row>
    <row r="152" spans="2:75" ht="48.75" customHeight="1">
      <c r="Q152" s="278"/>
      <c r="R152" s="278"/>
      <c r="S152" s="278"/>
      <c r="T152" s="278"/>
      <c r="U152" s="278"/>
      <c r="V152" s="278"/>
      <c r="W152" s="278"/>
      <c r="X152" s="278"/>
      <c r="Y152" s="278"/>
      <c r="Z152" s="278"/>
      <c r="AA152" s="278"/>
      <c r="AB152" s="278"/>
      <c r="AC152" s="278"/>
      <c r="AD152" s="278"/>
      <c r="AE152" s="278"/>
      <c r="AF152" s="278"/>
      <c r="AG152" s="278"/>
      <c r="AH152" s="278"/>
      <c r="AI152" s="278"/>
      <c r="AJ152" s="278"/>
      <c r="AK152" s="278"/>
      <c r="AL152" s="278"/>
      <c r="AM152" s="278"/>
      <c r="AN152" s="278"/>
      <c r="AO152" s="278"/>
      <c r="AP152" s="278"/>
      <c r="AQ152" s="278"/>
      <c r="AR152" s="278"/>
      <c r="AS152" s="278"/>
      <c r="AT152" s="278"/>
      <c r="AU152" s="278"/>
      <c r="AV152" s="278"/>
      <c r="AW152" s="278"/>
      <c r="AX152" s="278"/>
      <c r="AY152" s="278"/>
      <c r="AZ152" s="278"/>
      <c r="BA152" s="278"/>
      <c r="BB152" s="278"/>
      <c r="BC152" s="278"/>
      <c r="BD152" s="278"/>
      <c r="BE152" s="278"/>
      <c r="BF152" s="278"/>
      <c r="BG152" s="278"/>
      <c r="BH152" s="278"/>
      <c r="BI152" s="278"/>
      <c r="BJ152" s="278"/>
      <c r="BK152" s="278"/>
      <c r="BL152" s="278"/>
      <c r="BM152" s="278"/>
      <c r="BN152" s="278"/>
      <c r="BO152" s="278"/>
      <c r="BP152" s="278"/>
      <c r="BQ152" s="278"/>
      <c r="BR152" s="278"/>
      <c r="BS152" s="278"/>
      <c r="BT152" s="278"/>
      <c r="BU152" s="278"/>
      <c r="BV152" s="278"/>
      <c r="BW152" s="278"/>
    </row>
    <row r="153" spans="2:75" ht="48.75" customHeight="1">
      <c r="Q153" s="278"/>
      <c r="R153" s="278"/>
      <c r="S153" s="278"/>
      <c r="T153" s="278"/>
      <c r="U153" s="278"/>
      <c r="V153" s="278"/>
      <c r="W153" s="278"/>
      <c r="X153" s="278"/>
      <c r="Y153" s="278"/>
      <c r="Z153" s="278"/>
      <c r="AA153" s="278"/>
      <c r="AB153" s="278"/>
      <c r="AC153" s="278"/>
      <c r="AD153" s="278"/>
      <c r="AE153" s="278"/>
      <c r="AF153" s="278"/>
      <c r="AG153" s="278"/>
      <c r="AH153" s="278"/>
      <c r="AI153" s="278"/>
      <c r="AJ153" s="278"/>
      <c r="AK153" s="278"/>
      <c r="AL153" s="278"/>
      <c r="AM153" s="278"/>
      <c r="AN153" s="278"/>
      <c r="AO153" s="278"/>
      <c r="AP153" s="278"/>
      <c r="AQ153" s="278"/>
      <c r="AR153" s="278"/>
      <c r="AS153" s="278"/>
      <c r="AT153" s="278"/>
      <c r="AU153" s="278"/>
      <c r="AV153" s="278"/>
      <c r="AW153" s="278"/>
      <c r="AX153" s="278"/>
      <c r="AY153" s="278"/>
      <c r="AZ153" s="278"/>
      <c r="BA153" s="278"/>
      <c r="BB153" s="278"/>
      <c r="BC153" s="278"/>
      <c r="BD153" s="278"/>
      <c r="BE153" s="278"/>
      <c r="BF153" s="278"/>
      <c r="BG153" s="278"/>
      <c r="BH153" s="278"/>
      <c r="BI153" s="278"/>
      <c r="BJ153" s="278"/>
      <c r="BK153" s="278"/>
      <c r="BL153" s="278"/>
      <c r="BM153" s="278"/>
      <c r="BN153" s="278"/>
      <c r="BO153" s="278"/>
      <c r="BP153" s="278"/>
      <c r="BQ153" s="278"/>
      <c r="BR153" s="278"/>
      <c r="BS153" s="278"/>
      <c r="BT153" s="278"/>
      <c r="BU153" s="278"/>
      <c r="BV153" s="278"/>
      <c r="BW153" s="278"/>
    </row>
    <row r="154" spans="2:75" ht="48.75" customHeight="1">
      <c r="Q154" s="278"/>
      <c r="R154" s="278"/>
      <c r="S154" s="278"/>
      <c r="T154" s="278"/>
      <c r="U154" s="278"/>
      <c r="V154" s="278"/>
      <c r="W154" s="278"/>
      <c r="X154" s="278"/>
      <c r="Y154" s="278"/>
      <c r="Z154" s="278"/>
      <c r="AA154" s="278"/>
      <c r="AB154" s="278"/>
      <c r="AC154" s="278"/>
      <c r="AD154" s="278"/>
      <c r="AE154" s="278"/>
      <c r="AF154" s="278"/>
      <c r="AG154" s="278"/>
      <c r="AH154" s="278"/>
      <c r="AI154" s="278"/>
      <c r="AJ154" s="278"/>
      <c r="AK154" s="278"/>
      <c r="AL154" s="278"/>
      <c r="AM154" s="278"/>
      <c r="AN154" s="278"/>
      <c r="AO154" s="278"/>
      <c r="AP154" s="278"/>
      <c r="AQ154" s="278"/>
      <c r="AR154" s="278"/>
      <c r="AS154" s="278"/>
      <c r="AT154" s="278"/>
      <c r="AU154" s="278"/>
      <c r="AV154" s="278"/>
      <c r="AW154" s="278"/>
      <c r="AX154" s="278"/>
      <c r="AY154" s="278"/>
      <c r="AZ154" s="278"/>
      <c r="BA154" s="278"/>
      <c r="BB154" s="278"/>
      <c r="BC154" s="278"/>
      <c r="BD154" s="278"/>
      <c r="BE154" s="278"/>
      <c r="BF154" s="278"/>
      <c r="BG154" s="278"/>
      <c r="BH154" s="278"/>
      <c r="BI154" s="278"/>
      <c r="BJ154" s="278"/>
      <c r="BK154" s="278"/>
      <c r="BL154" s="278"/>
      <c r="BM154" s="278"/>
      <c r="BN154" s="278"/>
      <c r="BO154" s="278"/>
      <c r="BP154" s="278"/>
      <c r="BQ154" s="278"/>
      <c r="BR154" s="278"/>
      <c r="BS154" s="278"/>
      <c r="BT154" s="278"/>
      <c r="BU154" s="278"/>
      <c r="BV154" s="278"/>
      <c r="BW154" s="278"/>
    </row>
    <row r="155" spans="2:75" ht="48.75" customHeight="1">
      <c r="Q155" s="278"/>
      <c r="R155" s="278"/>
      <c r="S155" s="278"/>
      <c r="T155" s="278"/>
      <c r="U155" s="278"/>
      <c r="V155" s="278"/>
      <c r="W155" s="278"/>
      <c r="X155" s="278"/>
      <c r="Y155" s="278"/>
      <c r="Z155" s="278"/>
      <c r="AA155" s="278"/>
      <c r="AB155" s="278"/>
      <c r="AC155" s="278"/>
      <c r="AD155" s="278"/>
      <c r="AE155" s="278"/>
      <c r="AF155" s="278"/>
      <c r="AG155" s="278"/>
      <c r="AH155" s="278"/>
      <c r="AI155" s="278"/>
      <c r="AJ155" s="278"/>
      <c r="AK155" s="278"/>
      <c r="AL155" s="278"/>
      <c r="AM155" s="278"/>
      <c r="AN155" s="278"/>
      <c r="AO155" s="278"/>
      <c r="AP155" s="278"/>
      <c r="AQ155" s="278"/>
      <c r="AR155" s="278"/>
      <c r="AS155" s="278"/>
      <c r="AT155" s="278"/>
      <c r="AU155" s="278"/>
      <c r="AV155" s="278"/>
      <c r="AW155" s="278"/>
      <c r="AX155" s="278"/>
      <c r="AY155" s="278"/>
      <c r="AZ155" s="278"/>
      <c r="BA155" s="278"/>
      <c r="BB155" s="278"/>
      <c r="BC155" s="278"/>
      <c r="BD155" s="278"/>
      <c r="BE155" s="278"/>
      <c r="BF155" s="278"/>
      <c r="BG155" s="278"/>
      <c r="BH155" s="278"/>
      <c r="BI155" s="278"/>
      <c r="BJ155" s="278"/>
      <c r="BK155" s="278"/>
      <c r="BL155" s="278"/>
      <c r="BM155" s="278"/>
      <c r="BN155" s="278"/>
      <c r="BO155" s="278"/>
      <c r="BP155" s="278"/>
      <c r="BQ155" s="278"/>
      <c r="BR155" s="278"/>
      <c r="BS155" s="278"/>
      <c r="BT155" s="278"/>
      <c r="BU155" s="278"/>
      <c r="BV155" s="278"/>
      <c r="BW155" s="278"/>
    </row>
    <row r="156" spans="2:75" ht="48.75" customHeight="1">
      <c r="Q156" s="278"/>
      <c r="R156" s="278"/>
      <c r="S156" s="278"/>
      <c r="T156" s="278"/>
      <c r="U156" s="278"/>
      <c r="V156" s="278"/>
      <c r="W156" s="278"/>
      <c r="X156" s="278"/>
      <c r="Y156" s="278"/>
      <c r="Z156" s="278"/>
      <c r="AA156" s="278"/>
      <c r="AB156" s="278"/>
      <c r="AC156" s="278"/>
      <c r="AD156" s="278"/>
      <c r="AE156" s="278"/>
      <c r="AF156" s="278"/>
      <c r="AG156" s="278"/>
      <c r="AH156" s="278"/>
      <c r="AI156" s="278"/>
      <c r="AJ156" s="278"/>
      <c r="AK156" s="278"/>
      <c r="AL156" s="278"/>
      <c r="AM156" s="278"/>
      <c r="AN156" s="278"/>
      <c r="AO156" s="278"/>
      <c r="AP156" s="278"/>
      <c r="AQ156" s="278"/>
      <c r="AR156" s="278"/>
      <c r="AS156" s="278"/>
      <c r="AT156" s="278"/>
      <c r="AU156" s="278"/>
      <c r="AV156" s="278"/>
      <c r="AW156" s="278"/>
      <c r="AX156" s="278"/>
      <c r="AY156" s="278"/>
      <c r="AZ156" s="278"/>
      <c r="BA156" s="278"/>
      <c r="BB156" s="278"/>
      <c r="BC156" s="278"/>
      <c r="BD156" s="278"/>
      <c r="BE156" s="278"/>
      <c r="BF156" s="278"/>
      <c r="BG156" s="278"/>
      <c r="BH156" s="278"/>
      <c r="BI156" s="278"/>
      <c r="BJ156" s="278"/>
      <c r="BK156" s="278"/>
      <c r="BL156" s="278"/>
      <c r="BM156" s="278"/>
      <c r="BN156" s="278"/>
      <c r="BO156" s="278"/>
      <c r="BP156" s="278"/>
      <c r="BQ156" s="278"/>
      <c r="BR156" s="278"/>
      <c r="BS156" s="278"/>
      <c r="BT156" s="278"/>
      <c r="BU156" s="278"/>
      <c r="BV156" s="278"/>
      <c r="BW156" s="278"/>
    </row>
    <row r="157" spans="2:75" ht="48.75" customHeight="1">
      <c r="Q157" s="278"/>
      <c r="R157" s="278"/>
      <c r="S157" s="278"/>
      <c r="T157" s="278"/>
      <c r="U157" s="278"/>
      <c r="V157" s="278"/>
      <c r="W157" s="278"/>
      <c r="X157" s="278"/>
      <c r="Y157" s="278"/>
      <c r="Z157" s="278"/>
      <c r="AA157" s="278"/>
      <c r="AB157" s="278"/>
      <c r="AC157" s="278"/>
      <c r="AD157" s="278"/>
      <c r="AE157" s="278"/>
      <c r="AF157" s="278"/>
      <c r="AG157" s="278"/>
      <c r="AH157" s="278"/>
      <c r="AI157" s="278"/>
      <c r="AJ157" s="278"/>
      <c r="AK157" s="278"/>
      <c r="AL157" s="278"/>
      <c r="AM157" s="278"/>
      <c r="AN157" s="278"/>
      <c r="AO157" s="278"/>
      <c r="AP157" s="278"/>
      <c r="AQ157" s="278"/>
      <c r="AR157" s="278"/>
      <c r="AS157" s="278"/>
      <c r="AT157" s="278"/>
      <c r="AU157" s="278"/>
      <c r="AV157" s="278"/>
      <c r="AW157" s="278"/>
      <c r="AX157" s="278"/>
      <c r="AY157" s="278"/>
      <c r="AZ157" s="278"/>
      <c r="BA157" s="278"/>
      <c r="BB157" s="278"/>
      <c r="BC157" s="278"/>
      <c r="BD157" s="278"/>
      <c r="BE157" s="278"/>
      <c r="BF157" s="278"/>
      <c r="BG157" s="278"/>
      <c r="BH157" s="278"/>
      <c r="BI157" s="278"/>
      <c r="BJ157" s="278"/>
      <c r="BK157" s="278"/>
      <c r="BL157" s="278"/>
      <c r="BM157" s="278"/>
      <c r="BN157" s="278"/>
      <c r="BO157" s="278"/>
      <c r="BP157" s="278"/>
      <c r="BQ157" s="278"/>
      <c r="BR157" s="278"/>
      <c r="BS157" s="278"/>
      <c r="BT157" s="278"/>
      <c r="BU157" s="278"/>
      <c r="BV157" s="278"/>
      <c r="BW157" s="278"/>
    </row>
    <row r="158" spans="2:75" ht="48.75" customHeight="1">
      <c r="Q158" s="278"/>
      <c r="R158" s="278"/>
      <c r="S158" s="278"/>
      <c r="T158" s="278"/>
      <c r="U158" s="278"/>
      <c r="V158" s="278"/>
      <c r="W158" s="278"/>
      <c r="X158" s="278"/>
      <c r="Y158" s="278"/>
      <c r="Z158" s="278"/>
      <c r="AA158" s="278"/>
      <c r="AB158" s="278"/>
      <c r="AC158" s="278"/>
      <c r="AD158" s="278"/>
      <c r="AE158" s="278"/>
      <c r="AF158" s="278"/>
      <c r="AG158" s="278"/>
      <c r="AH158" s="278"/>
      <c r="AI158" s="278"/>
      <c r="AJ158" s="278"/>
      <c r="AK158" s="278"/>
      <c r="AL158" s="278"/>
      <c r="AM158" s="278"/>
      <c r="AN158" s="278"/>
      <c r="AO158" s="278"/>
      <c r="AP158" s="278"/>
      <c r="AQ158" s="278"/>
      <c r="AR158" s="278"/>
      <c r="AS158" s="278"/>
      <c r="AT158" s="278"/>
      <c r="AU158" s="278"/>
      <c r="AV158" s="278"/>
      <c r="AW158" s="278"/>
      <c r="AX158" s="278"/>
      <c r="AY158" s="278"/>
      <c r="AZ158" s="278"/>
      <c r="BA158" s="278"/>
      <c r="BB158" s="278"/>
      <c r="BC158" s="278"/>
      <c r="BD158" s="278"/>
      <c r="BE158" s="278"/>
      <c r="BF158" s="278"/>
      <c r="BG158" s="278"/>
      <c r="BH158" s="278"/>
      <c r="BI158" s="278"/>
      <c r="BJ158" s="278"/>
      <c r="BK158" s="278"/>
      <c r="BL158" s="278"/>
      <c r="BM158" s="278"/>
      <c r="BN158" s="278"/>
      <c r="BO158" s="278"/>
      <c r="BP158" s="278"/>
      <c r="BQ158" s="278"/>
      <c r="BR158" s="278"/>
      <c r="BS158" s="278"/>
      <c r="BT158" s="278"/>
      <c r="BU158" s="278"/>
      <c r="BV158" s="278"/>
      <c r="BW158" s="278"/>
    </row>
    <row r="159" spans="2:75" ht="48.75" customHeight="1">
      <c r="AF159" s="278"/>
      <c r="AG159" s="278"/>
      <c r="AH159" s="278"/>
      <c r="AI159" s="278"/>
      <c r="AJ159" s="278"/>
      <c r="AK159" s="278"/>
      <c r="AL159" s="278"/>
      <c r="AM159" s="278"/>
      <c r="AN159" s="278"/>
      <c r="AO159" s="278"/>
      <c r="AP159" s="278"/>
      <c r="AQ159" s="278"/>
      <c r="AR159" s="278"/>
      <c r="AS159" s="278"/>
      <c r="AT159" s="278"/>
      <c r="AU159" s="278"/>
      <c r="AV159" s="278"/>
      <c r="AW159" s="278"/>
      <c r="AX159" s="278"/>
      <c r="AY159" s="278"/>
      <c r="AZ159" s="278"/>
      <c r="BA159" s="278"/>
      <c r="BB159" s="278"/>
      <c r="BC159" s="278"/>
      <c r="BD159" s="278"/>
      <c r="BE159" s="278"/>
      <c r="BF159" s="278"/>
      <c r="BG159" s="278"/>
      <c r="BH159" s="278"/>
      <c r="BI159" s="278"/>
      <c r="BJ159" s="278"/>
      <c r="BK159" s="278"/>
      <c r="BL159" s="278"/>
      <c r="BM159" s="278"/>
      <c r="BN159" s="278"/>
      <c r="BO159" s="278"/>
      <c r="BP159" s="278"/>
      <c r="BQ159" s="278"/>
      <c r="BR159" s="278"/>
      <c r="BS159" s="278"/>
      <c r="BT159" s="278"/>
      <c r="BU159" s="278"/>
      <c r="BV159" s="278"/>
      <c r="BW159" s="278"/>
    </row>
    <row r="160" spans="2:75" ht="48.75" customHeight="1">
      <c r="AF160" s="278"/>
      <c r="AG160" s="278"/>
      <c r="AH160" s="278"/>
      <c r="AI160" s="278"/>
      <c r="AJ160" s="278"/>
      <c r="AK160" s="278"/>
      <c r="AL160" s="278"/>
      <c r="AM160" s="278"/>
      <c r="AN160" s="278"/>
      <c r="AO160" s="278"/>
      <c r="AP160" s="278"/>
      <c r="AQ160" s="278"/>
      <c r="AR160" s="278"/>
      <c r="AS160" s="278"/>
      <c r="AT160" s="278"/>
      <c r="AU160" s="278"/>
      <c r="AV160" s="278"/>
      <c r="AW160" s="278"/>
      <c r="AX160" s="278"/>
      <c r="AY160" s="278"/>
      <c r="AZ160" s="278"/>
      <c r="BA160" s="278"/>
      <c r="BB160" s="278"/>
      <c r="BC160" s="278"/>
      <c r="BD160" s="278"/>
      <c r="BE160" s="278"/>
      <c r="BF160" s="278"/>
      <c r="BG160" s="278"/>
      <c r="BH160" s="278"/>
      <c r="BI160" s="278"/>
      <c r="BJ160" s="278"/>
      <c r="BK160" s="278"/>
      <c r="BL160" s="278"/>
      <c r="BM160" s="278"/>
      <c r="BN160" s="278"/>
      <c r="BO160" s="278"/>
      <c r="BP160" s="278"/>
      <c r="BQ160" s="278"/>
      <c r="BR160" s="278"/>
      <c r="BS160" s="278"/>
      <c r="BT160" s="278"/>
      <c r="BU160" s="278"/>
      <c r="BV160" s="278"/>
      <c r="BW160" s="278"/>
    </row>
    <row r="161" spans="2:75" ht="48.75" customHeight="1">
      <c r="AF161" s="278"/>
      <c r="AG161" s="278"/>
      <c r="AH161" s="278"/>
      <c r="AI161" s="278"/>
      <c r="AJ161" s="278"/>
      <c r="AK161" s="278"/>
      <c r="AL161" s="278"/>
      <c r="AM161" s="278"/>
      <c r="AN161" s="278"/>
      <c r="AO161" s="278"/>
      <c r="AP161" s="278"/>
      <c r="AQ161" s="278"/>
      <c r="AR161" s="278"/>
      <c r="AS161" s="278"/>
      <c r="AT161" s="278"/>
      <c r="AU161" s="278"/>
      <c r="AV161" s="278"/>
      <c r="AW161" s="278"/>
      <c r="AX161" s="278"/>
      <c r="AY161" s="278"/>
      <c r="AZ161" s="278"/>
      <c r="BA161" s="278"/>
      <c r="BB161" s="278"/>
      <c r="BC161" s="278"/>
      <c r="BD161" s="278"/>
      <c r="BE161" s="278"/>
      <c r="BF161" s="278"/>
      <c r="BG161" s="278"/>
      <c r="BH161" s="278"/>
      <c r="BI161" s="278"/>
      <c r="BJ161" s="278"/>
      <c r="BK161" s="278"/>
      <c r="BL161" s="278"/>
      <c r="BM161" s="278"/>
      <c r="BN161" s="278"/>
      <c r="BO161" s="278"/>
      <c r="BP161" s="278"/>
      <c r="BQ161" s="278"/>
      <c r="BR161" s="278"/>
      <c r="BS161" s="278"/>
      <c r="BT161" s="278"/>
      <c r="BU161" s="278"/>
      <c r="BV161" s="278"/>
      <c r="BW161" s="278"/>
    </row>
    <row r="162" spans="2:75" ht="48.75" customHeight="1">
      <c r="AF162" s="278"/>
      <c r="AG162" s="278"/>
      <c r="AH162" s="278"/>
      <c r="AI162" s="278"/>
      <c r="AJ162" s="278"/>
      <c r="AK162" s="278"/>
      <c r="AL162" s="278"/>
      <c r="AM162" s="278"/>
      <c r="AN162" s="278"/>
      <c r="AO162" s="278"/>
      <c r="AP162" s="278"/>
      <c r="AQ162" s="278"/>
      <c r="AR162" s="278"/>
      <c r="AS162" s="278"/>
      <c r="AT162" s="278"/>
      <c r="AU162" s="278"/>
      <c r="AV162" s="278"/>
      <c r="AW162" s="278"/>
      <c r="AX162" s="278"/>
      <c r="AY162" s="278"/>
      <c r="AZ162" s="278"/>
      <c r="BA162" s="278"/>
      <c r="BB162" s="278"/>
      <c r="BC162" s="278"/>
      <c r="BD162" s="278"/>
      <c r="BE162" s="278"/>
      <c r="BF162" s="278"/>
      <c r="BG162" s="278"/>
      <c r="BH162" s="278"/>
      <c r="BI162" s="278"/>
      <c r="BJ162" s="278"/>
      <c r="BK162" s="278"/>
      <c r="BL162" s="278"/>
      <c r="BM162" s="278"/>
      <c r="BN162" s="278"/>
      <c r="BO162" s="278"/>
      <c r="BP162" s="278"/>
      <c r="BQ162" s="278"/>
      <c r="BR162" s="278"/>
      <c r="BS162" s="278"/>
      <c r="BT162" s="278"/>
      <c r="BU162" s="278"/>
      <c r="BV162" s="278"/>
      <c r="BW162" s="278"/>
    </row>
    <row r="163" spans="2:75" ht="48.75" customHeight="1">
      <c r="AF163" s="278"/>
      <c r="AG163" s="278"/>
      <c r="AH163" s="278"/>
      <c r="AI163" s="278"/>
      <c r="AJ163" s="278"/>
      <c r="AK163" s="278"/>
      <c r="AL163" s="278"/>
      <c r="AM163" s="278"/>
      <c r="AN163" s="278"/>
      <c r="AO163" s="278"/>
      <c r="AP163" s="278"/>
      <c r="AQ163" s="278"/>
      <c r="AR163" s="278"/>
      <c r="AS163" s="278"/>
      <c r="AT163" s="278"/>
      <c r="AU163" s="278"/>
      <c r="AV163" s="278"/>
      <c r="AW163" s="278"/>
      <c r="AX163" s="278"/>
      <c r="AY163" s="278"/>
      <c r="AZ163" s="278"/>
      <c r="BA163" s="278"/>
      <c r="BB163" s="278"/>
      <c r="BC163" s="278"/>
      <c r="BD163" s="278"/>
      <c r="BE163" s="278"/>
      <c r="BF163" s="278"/>
      <c r="BG163" s="278"/>
      <c r="BH163" s="278"/>
      <c r="BI163" s="278"/>
      <c r="BJ163" s="278"/>
      <c r="BK163" s="278"/>
      <c r="BL163" s="278"/>
      <c r="BM163" s="278"/>
      <c r="BN163" s="278"/>
      <c r="BO163" s="278"/>
      <c r="BP163" s="278"/>
      <c r="BQ163" s="278"/>
      <c r="BR163" s="278"/>
      <c r="BS163" s="278"/>
      <c r="BT163" s="278"/>
      <c r="BU163" s="278"/>
      <c r="BV163" s="278"/>
      <c r="BW163" s="278"/>
    </row>
    <row r="164" spans="2:75" ht="48.75" customHeight="1">
      <c r="AH164" s="278"/>
      <c r="AI164" s="278"/>
      <c r="AJ164" s="278"/>
      <c r="AK164" s="278"/>
      <c r="AL164" s="278"/>
      <c r="AM164" s="278"/>
      <c r="AN164" s="278"/>
      <c r="AO164" s="278"/>
      <c r="AP164" s="278"/>
      <c r="AQ164" s="278"/>
      <c r="AR164" s="278"/>
      <c r="AS164" s="278"/>
      <c r="AT164" s="278"/>
      <c r="AU164" s="278"/>
      <c r="AV164" s="278"/>
      <c r="AW164" s="278"/>
      <c r="AX164" s="278"/>
      <c r="AY164" s="278"/>
      <c r="AZ164" s="278"/>
      <c r="BA164" s="278"/>
      <c r="BI164" s="11"/>
    </row>
    <row r="165" spans="2:75" ht="48.75" customHeight="1">
      <c r="BI165" s="11"/>
    </row>
    <row r="166" spans="2:75" ht="48.75" customHeight="1">
      <c r="BI166" s="11"/>
    </row>
    <row r="167" spans="2:75" ht="48.75" customHeight="1">
      <c r="BI167" s="11"/>
    </row>
    <row r="168" spans="2:75" ht="48.75" customHeight="1">
      <c r="BI168" s="11"/>
    </row>
    <row r="169" spans="2:75" ht="48.75" customHeight="1">
      <c r="BI169" s="11"/>
    </row>
    <row r="170" spans="2:75" ht="48.75" customHeight="1">
      <c r="BI170" s="11"/>
    </row>
    <row r="171" spans="2:75" ht="48.75" customHeight="1">
      <c r="Y171" s="1285" t="s">
        <v>1643</v>
      </c>
      <c r="Z171" s="1286"/>
      <c r="AA171" s="1286"/>
      <c r="AB171" s="1286"/>
      <c r="AC171" s="1286"/>
      <c r="AD171" s="1761"/>
      <c r="AE171" s="127"/>
      <c r="BI171" s="11"/>
    </row>
    <row r="172" spans="2:75" ht="48.75" customHeight="1">
      <c r="Y172" s="800" t="s">
        <v>1321</v>
      </c>
      <c r="Z172" s="982"/>
      <c r="AA172" s="542">
        <f>'Вывод расчетов'!$MI$185</f>
        <v>5</v>
      </c>
      <c r="AB172" s="83"/>
      <c r="AC172" s="83"/>
      <c r="AD172" s="83"/>
      <c r="AE172" s="84"/>
      <c r="BI172" s="11"/>
    </row>
    <row r="173" spans="2:75" ht="48.75" customHeight="1">
      <c r="Y173" s="176"/>
      <c r="Z173" s="177"/>
      <c r="AA173" s="177"/>
      <c r="AB173" s="177"/>
      <c r="AC173" s="177"/>
      <c r="AD173" s="177"/>
      <c r="AE173" s="178"/>
      <c r="BI173" s="11"/>
    </row>
    <row r="174" spans="2:75" ht="48.75" customHeight="1">
      <c r="Y174" s="176"/>
      <c r="Z174" s="177"/>
      <c r="AA174" s="177"/>
      <c r="AB174" s="177"/>
      <c r="AC174" s="177"/>
      <c r="AD174" s="177"/>
      <c r="AE174" s="178"/>
      <c r="AI174" s="1285" t="s">
        <v>999</v>
      </c>
      <c r="AJ174" s="1286"/>
      <c r="AK174" s="1286"/>
      <c r="AL174" s="1761"/>
      <c r="AM174" s="127"/>
      <c r="BI174" s="11"/>
    </row>
    <row r="175" spans="2:75" ht="48.75" customHeight="1">
      <c r="Y175" s="176"/>
      <c r="Z175" s="177"/>
      <c r="AA175" s="177"/>
      <c r="AB175" s="177"/>
      <c r="AC175" s="177"/>
      <c r="AD175" s="177"/>
      <c r="AE175" s="178"/>
      <c r="AI175" s="523" t="s">
        <v>444</v>
      </c>
      <c r="AJ175" s="524">
        <f>'Вывод расчетов'!$AP$49</f>
        <v>0.21284000000000003</v>
      </c>
      <c r="AK175" s="531" t="s">
        <v>212</v>
      </c>
      <c r="AL175" s="613">
        <f>'Вывод расчетов'!$BA$30</f>
        <v>180</v>
      </c>
      <c r="AM175" s="83"/>
      <c r="BI175" s="11"/>
    </row>
    <row r="176" spans="2:75" ht="48.75" customHeight="1">
      <c r="B176" s="1285" t="s">
        <v>785</v>
      </c>
      <c r="C176" s="1286"/>
      <c r="D176" s="1286"/>
      <c r="E176" s="1286"/>
      <c r="F176" s="1286"/>
      <c r="G176" s="1761"/>
      <c r="H176" s="127"/>
      <c r="J176" s="1285"/>
      <c r="K176" s="1286"/>
      <c r="L176" s="1286"/>
      <c r="M176" s="1286"/>
      <c r="N176" s="1286"/>
      <c r="O176" s="1286"/>
      <c r="P176" s="1286"/>
      <c r="Q176" s="1286"/>
      <c r="R176" s="1286"/>
      <c r="S176" s="1761"/>
      <c r="T176" s="127"/>
      <c r="Y176" s="176"/>
      <c r="Z176" s="177"/>
      <c r="AA176" s="177"/>
      <c r="AB176" s="177"/>
      <c r="AC176" s="177"/>
      <c r="AD176" s="177"/>
      <c r="AE176" s="178"/>
      <c r="AI176" s="82"/>
      <c r="AJ176" s="83"/>
      <c r="AK176" s="177"/>
      <c r="AL176" s="177"/>
      <c r="AM176" s="178"/>
      <c r="BI176" s="11"/>
    </row>
    <row r="177" spans="2:39" s="11" customFormat="1" ht="48.75" customHeight="1">
      <c r="B177" s="1513"/>
      <c r="C177" s="1514"/>
      <c r="D177" s="1514"/>
      <c r="E177" s="1514"/>
      <c r="F177" s="1514"/>
      <c r="G177" s="1514"/>
      <c r="H177" s="1515"/>
      <c r="J177" s="1513"/>
      <c r="K177" s="1514"/>
      <c r="L177" s="1514"/>
      <c r="M177" s="1514"/>
      <c r="N177" s="1514"/>
      <c r="O177" s="1514"/>
      <c r="P177" s="1514"/>
      <c r="Q177" s="1514"/>
      <c r="R177" s="1514"/>
      <c r="S177" s="1514"/>
      <c r="T177" s="1515"/>
      <c r="Y177" s="176"/>
      <c r="Z177" s="177"/>
      <c r="AA177" s="177"/>
      <c r="AB177" s="177"/>
      <c r="AC177" s="177"/>
      <c r="AD177" s="177"/>
      <c r="AE177" s="178"/>
      <c r="AI177" s="176"/>
      <c r="AJ177" s="177"/>
      <c r="AK177" s="177"/>
      <c r="AL177" s="177"/>
      <c r="AM177" s="178"/>
    </row>
    <row r="178" spans="2:39" s="11" customFormat="1" ht="48.75" customHeight="1">
      <c r="B178" s="1516"/>
      <c r="C178" s="1517"/>
      <c r="D178" s="1517"/>
      <c r="E178" s="1517"/>
      <c r="F178" s="1517"/>
      <c r="G178" s="1517"/>
      <c r="H178" s="1518"/>
      <c r="J178" s="1516"/>
      <c r="K178" s="1517"/>
      <c r="L178" s="1517"/>
      <c r="M178" s="1517"/>
      <c r="N178" s="1517"/>
      <c r="O178" s="1517"/>
      <c r="P178" s="1517"/>
      <c r="Q178" s="1517"/>
      <c r="R178" s="1517"/>
      <c r="S178" s="1517"/>
      <c r="T178" s="1518"/>
      <c r="Y178" s="176"/>
      <c r="Z178" s="177"/>
      <c r="AA178" s="177"/>
      <c r="AB178" s="177"/>
      <c r="AC178" s="177"/>
      <c r="AD178" s="177"/>
      <c r="AE178" s="178"/>
      <c r="AI178" s="176"/>
      <c r="AJ178" s="177"/>
      <c r="AK178" s="177"/>
      <c r="AL178" s="177"/>
      <c r="AM178" s="178"/>
    </row>
    <row r="179" spans="2:39" s="11" customFormat="1" ht="48.75" customHeight="1">
      <c r="B179" s="1516"/>
      <c r="C179" s="1517"/>
      <c r="D179" s="1517"/>
      <c r="E179" s="1517"/>
      <c r="F179" s="1517"/>
      <c r="G179" s="1517"/>
      <c r="H179" s="1518"/>
      <c r="J179" s="1516"/>
      <c r="K179" s="1517"/>
      <c r="L179" s="1517"/>
      <c r="M179" s="1517"/>
      <c r="N179" s="1517"/>
      <c r="O179" s="1517"/>
      <c r="P179" s="1517"/>
      <c r="Q179" s="1517"/>
      <c r="R179" s="1517"/>
      <c r="S179" s="1517"/>
      <c r="T179" s="1518"/>
      <c r="Y179" s="176"/>
      <c r="Z179" s="177"/>
      <c r="AA179" s="177"/>
      <c r="AB179" s="177"/>
      <c r="AC179" s="177"/>
      <c r="AD179" s="177"/>
      <c r="AE179" s="178"/>
      <c r="AI179" s="176"/>
      <c r="AJ179" s="177"/>
      <c r="AK179" s="177"/>
      <c r="AL179" s="177"/>
      <c r="AM179" s="178"/>
    </row>
    <row r="180" spans="2:39" s="11" customFormat="1" ht="48.75" customHeight="1">
      <c r="B180" s="1516"/>
      <c r="C180" s="1517"/>
      <c r="D180" s="1517"/>
      <c r="E180" s="1517"/>
      <c r="F180" s="1517"/>
      <c r="G180" s="1517"/>
      <c r="H180" s="1518"/>
      <c r="J180" s="1516"/>
      <c r="K180" s="1517"/>
      <c r="L180" s="1517"/>
      <c r="M180" s="1517"/>
      <c r="N180" s="1517"/>
      <c r="O180" s="1517"/>
      <c r="P180" s="1517"/>
      <c r="Q180" s="1517"/>
      <c r="R180" s="1517"/>
      <c r="S180" s="1517"/>
      <c r="T180" s="1518"/>
      <c r="Y180" s="176"/>
      <c r="Z180" s="177"/>
      <c r="AA180" s="177"/>
      <c r="AB180" s="177"/>
      <c r="AC180" s="177"/>
      <c r="AD180" s="177"/>
      <c r="AE180" s="178"/>
      <c r="AI180" s="176"/>
      <c r="AJ180" s="177"/>
      <c r="AK180" s="177"/>
      <c r="AL180" s="177"/>
      <c r="AM180" s="178"/>
    </row>
    <row r="181" spans="2:39" s="11" customFormat="1" ht="48.75" customHeight="1">
      <c r="B181" s="1516"/>
      <c r="C181" s="1517"/>
      <c r="D181" s="1517"/>
      <c r="E181" s="1517"/>
      <c r="F181" s="1517"/>
      <c r="G181" s="1517"/>
      <c r="H181" s="1518"/>
      <c r="J181" s="1516"/>
      <c r="K181" s="1517"/>
      <c r="L181" s="1517"/>
      <c r="M181" s="1517"/>
      <c r="N181" s="1517"/>
      <c r="O181" s="1517"/>
      <c r="P181" s="1517"/>
      <c r="Q181" s="1517"/>
      <c r="R181" s="1517"/>
      <c r="S181" s="1517"/>
      <c r="T181" s="1518"/>
      <c r="Y181" s="85"/>
      <c r="Z181" s="86"/>
      <c r="AA181" s="86"/>
      <c r="AB181" s="86"/>
      <c r="AC181" s="86"/>
      <c r="AD181" s="86"/>
      <c r="AE181" s="87"/>
      <c r="AI181" s="176"/>
      <c r="AJ181" s="177"/>
      <c r="AK181" s="177"/>
      <c r="AL181" s="177"/>
      <c r="AM181" s="178"/>
    </row>
    <row r="182" spans="2:39" s="11" customFormat="1" ht="48.75" customHeight="1">
      <c r="B182" s="1516"/>
      <c r="C182" s="1517"/>
      <c r="D182" s="1517"/>
      <c r="E182" s="1517"/>
      <c r="F182" s="1517"/>
      <c r="G182" s="1517"/>
      <c r="H182" s="1518"/>
      <c r="J182" s="1516"/>
      <c r="K182" s="1517"/>
      <c r="L182" s="1517"/>
      <c r="M182" s="1517"/>
      <c r="N182" s="1517"/>
      <c r="O182" s="1517"/>
      <c r="P182" s="1517"/>
      <c r="Q182" s="1517"/>
      <c r="R182" s="1517"/>
      <c r="S182" s="1517"/>
      <c r="T182" s="1518"/>
      <c r="AI182" s="85"/>
      <c r="AJ182" s="86"/>
      <c r="AK182" s="86"/>
      <c r="AL182" s="86"/>
      <c r="AM182" s="87"/>
    </row>
    <row r="183" spans="2:39" s="11" customFormat="1" ht="48.75" customHeight="1">
      <c r="B183" s="1516"/>
      <c r="C183" s="1517"/>
      <c r="D183" s="1517"/>
      <c r="E183" s="1517"/>
      <c r="F183" s="1517"/>
      <c r="G183" s="1517"/>
      <c r="H183" s="1518"/>
      <c r="J183" s="1516"/>
      <c r="K183" s="1517"/>
      <c r="L183" s="1517"/>
      <c r="M183" s="1517"/>
      <c r="N183" s="1517"/>
      <c r="O183" s="1517"/>
      <c r="P183" s="1517"/>
      <c r="Q183" s="1517"/>
      <c r="R183" s="1517"/>
      <c r="S183" s="1517"/>
      <c r="T183" s="1518"/>
    </row>
    <row r="184" spans="2:39" s="11" customFormat="1" ht="48.75" customHeight="1">
      <c r="B184" s="1516"/>
      <c r="C184" s="1517"/>
      <c r="D184" s="1517"/>
      <c r="E184" s="1517"/>
      <c r="F184" s="1517"/>
      <c r="G184" s="1517"/>
      <c r="H184" s="1518"/>
      <c r="J184" s="1519"/>
      <c r="K184" s="1520"/>
      <c r="L184" s="1520"/>
      <c r="M184" s="1520"/>
      <c r="N184" s="1520"/>
      <c r="O184" s="1520"/>
      <c r="P184" s="1520"/>
      <c r="Q184" s="1520"/>
      <c r="R184" s="1520"/>
      <c r="S184" s="1520"/>
      <c r="T184" s="1521"/>
    </row>
    <row r="185" spans="2:39" s="11" customFormat="1" ht="48.75" customHeight="1">
      <c r="B185" s="1516"/>
      <c r="C185" s="1517"/>
      <c r="D185" s="1517"/>
      <c r="E185" s="1517"/>
      <c r="F185" s="1517"/>
      <c r="G185" s="1517"/>
      <c r="H185" s="1518"/>
    </row>
    <row r="186" spans="2:39" s="11" customFormat="1" ht="48.75" customHeight="1">
      <c r="B186" s="1516"/>
      <c r="C186" s="1517"/>
      <c r="D186" s="1517"/>
      <c r="E186" s="1517"/>
      <c r="F186" s="1517"/>
      <c r="G186" s="1517"/>
      <c r="H186" s="1518"/>
      <c r="S186" s="278"/>
      <c r="T186" s="278"/>
      <c r="U186" s="278"/>
      <c r="V186" s="278"/>
    </row>
    <row r="187" spans="2:39" s="11" customFormat="1" ht="48.75" customHeight="1">
      <c r="B187" s="1516"/>
      <c r="C187" s="1517"/>
      <c r="D187" s="1517"/>
      <c r="E187" s="1517"/>
      <c r="F187" s="1517"/>
      <c r="G187" s="1517"/>
      <c r="H187" s="1518"/>
      <c r="S187" s="278"/>
      <c r="T187" s="278"/>
      <c r="U187" s="278"/>
      <c r="V187" s="278"/>
    </row>
    <row r="188" spans="2:39" s="11" customFormat="1" ht="48.75" customHeight="1">
      <c r="B188" s="1516"/>
      <c r="C188" s="1517"/>
      <c r="D188" s="1517"/>
      <c r="E188" s="1517"/>
      <c r="F188" s="1517"/>
      <c r="G188" s="1517"/>
      <c r="H188" s="1518"/>
      <c r="S188" s="278"/>
      <c r="T188" s="278"/>
      <c r="U188" s="278"/>
      <c r="V188" s="278"/>
      <c r="W188" s="1121" t="s">
        <v>1636</v>
      </c>
      <c r="X188" s="1122"/>
      <c r="Y188" s="1122"/>
      <c r="Z188" s="1122"/>
      <c r="AA188" s="1123"/>
      <c r="AB188" s="127"/>
    </row>
    <row r="189" spans="2:39" s="11" customFormat="1" ht="48.75" customHeight="1">
      <c r="B189" s="1516"/>
      <c r="C189" s="1517"/>
      <c r="D189" s="1517"/>
      <c r="E189" s="1517"/>
      <c r="F189" s="1517"/>
      <c r="G189" s="1517"/>
      <c r="H189" s="1518"/>
      <c r="S189" s="278"/>
      <c r="T189" s="278"/>
      <c r="U189" s="278"/>
      <c r="V189" s="278"/>
      <c r="W189" s="538" t="s">
        <v>434</v>
      </c>
      <c r="X189" s="539">
        <f>'Вывод расчетов'!$AX$66</f>
        <v>0.88</v>
      </c>
      <c r="Y189" s="83"/>
      <c r="Z189" s="83"/>
      <c r="AA189" s="83"/>
      <c r="AB189" s="84"/>
    </row>
    <row r="190" spans="2:39" s="11" customFormat="1" ht="48.75" customHeight="1">
      <c r="B190" s="1516"/>
      <c r="C190" s="1517"/>
      <c r="D190" s="1517"/>
      <c r="E190" s="1517"/>
      <c r="F190" s="1517"/>
      <c r="G190" s="1517"/>
      <c r="H190" s="1518"/>
      <c r="S190" s="278"/>
      <c r="T190" s="278"/>
      <c r="U190" s="278"/>
      <c r="V190" s="278"/>
      <c r="W190" s="82"/>
      <c r="X190" s="83"/>
      <c r="Y190" s="177"/>
      <c r="Z190" s="177"/>
      <c r="AA190" s="177"/>
      <c r="AB190" s="178"/>
    </row>
    <row r="191" spans="2:39" s="11" customFormat="1" ht="48.75" customHeight="1">
      <c r="B191" s="1516"/>
      <c r="C191" s="1517"/>
      <c r="D191" s="1517"/>
      <c r="E191" s="1517"/>
      <c r="F191" s="1517"/>
      <c r="G191" s="1517"/>
      <c r="H191" s="1518"/>
      <c r="S191" s="278"/>
      <c r="T191" s="278"/>
      <c r="U191" s="278"/>
      <c r="V191" s="278"/>
      <c r="W191" s="176"/>
      <c r="X191" s="177"/>
      <c r="Y191" s="177"/>
      <c r="Z191" s="177"/>
      <c r="AA191" s="177"/>
      <c r="AB191" s="178"/>
    </row>
    <row r="192" spans="2:39" s="11" customFormat="1" ht="48.75" customHeight="1">
      <c r="B192" s="1519"/>
      <c r="C192" s="1520"/>
      <c r="D192" s="1520"/>
      <c r="E192" s="1520"/>
      <c r="F192" s="1520"/>
      <c r="G192" s="1520"/>
      <c r="H192" s="1521"/>
      <c r="S192" s="278"/>
      <c r="T192" s="278"/>
      <c r="U192" s="278"/>
      <c r="V192" s="278"/>
      <c r="W192" s="176"/>
      <c r="X192" s="177"/>
      <c r="Y192" s="177"/>
      <c r="Z192" s="177"/>
      <c r="AA192" s="177"/>
      <c r="AB192" s="178"/>
    </row>
    <row r="193" spans="2:61" ht="48.75" customHeight="1">
      <c r="S193" s="278"/>
      <c r="T193" s="278"/>
      <c r="U193" s="278"/>
      <c r="V193" s="278"/>
      <c r="W193" s="176"/>
      <c r="X193" s="177"/>
      <c r="Y193" s="177"/>
      <c r="Z193" s="177"/>
      <c r="AA193" s="177"/>
      <c r="AB193" s="178"/>
      <c r="BI193" s="11"/>
    </row>
    <row r="194" spans="2:61" ht="48.75" customHeight="1">
      <c r="S194" s="278"/>
      <c r="T194" s="278"/>
      <c r="U194" s="278"/>
      <c r="V194" s="278"/>
      <c r="W194" s="176"/>
      <c r="X194" s="177"/>
      <c r="Y194" s="177"/>
      <c r="Z194" s="177"/>
      <c r="AA194" s="177"/>
      <c r="AB194" s="178"/>
      <c r="BI194" s="11"/>
    </row>
    <row r="195" spans="2:61" ht="48.75" customHeight="1">
      <c r="S195" s="278"/>
      <c r="T195" s="278"/>
      <c r="U195" s="278"/>
      <c r="V195" s="278"/>
      <c r="W195" s="176"/>
      <c r="X195" s="177"/>
      <c r="Y195" s="177"/>
      <c r="Z195" s="177"/>
      <c r="AA195" s="177"/>
      <c r="AB195" s="178"/>
      <c r="BI195" s="11"/>
    </row>
    <row r="196" spans="2:61" ht="48.75" customHeight="1">
      <c r="S196" s="278"/>
      <c r="T196" s="278"/>
      <c r="U196" s="278"/>
      <c r="V196" s="278"/>
      <c r="W196" s="85"/>
      <c r="X196" s="86"/>
      <c r="Y196" s="86"/>
      <c r="Z196" s="86"/>
      <c r="AA196" s="86"/>
      <c r="AB196" s="87"/>
      <c r="BI196" s="11"/>
    </row>
    <row r="197" spans="2:61" ht="48.75" customHeight="1">
      <c r="B197" s="987" t="s">
        <v>547</v>
      </c>
      <c r="C197" s="988"/>
      <c r="D197" s="988"/>
      <c r="E197" s="988"/>
      <c r="F197" s="988"/>
      <c r="G197" s="988"/>
      <c r="H197" s="988"/>
      <c r="I197" s="988"/>
      <c r="J197" s="988"/>
      <c r="K197" s="989"/>
      <c r="L197" s="970"/>
      <c r="AQ197" s="295"/>
      <c r="AR197" s="295"/>
      <c r="AS197" s="296"/>
      <c r="AT197" s="295"/>
      <c r="AU197" s="295"/>
      <c r="AV197" s="295"/>
      <c r="AW197" s="74"/>
      <c r="AX197" s="295"/>
      <c r="AY197" s="295"/>
      <c r="AZ197" s="55"/>
      <c r="BA197" s="295"/>
      <c r="BB197" s="295"/>
      <c r="BC197" s="295"/>
      <c r="BD197" s="295"/>
      <c r="BE197" s="295"/>
      <c r="BF197" s="295"/>
      <c r="BH197" s="295"/>
      <c r="BI197" s="297"/>
    </row>
    <row r="198" spans="2:61" ht="48.75" customHeight="1">
      <c r="B198" s="993"/>
      <c r="C198" s="994"/>
      <c r="D198" s="994"/>
      <c r="E198" s="994"/>
      <c r="F198" s="994"/>
      <c r="G198" s="994"/>
      <c r="H198" s="994"/>
      <c r="I198" s="994"/>
      <c r="J198" s="994"/>
      <c r="K198" s="995"/>
      <c r="L198" s="972"/>
      <c r="AQ198" s="295"/>
      <c r="AR198" s="295"/>
      <c r="AS198" s="296"/>
      <c r="AT198" s="295"/>
      <c r="AU198" s="295"/>
      <c r="AV198" s="295"/>
      <c r="AW198" s="74"/>
      <c r="AX198" s="295"/>
      <c r="AY198" s="295"/>
      <c r="AZ198" s="55"/>
      <c r="BA198" s="295"/>
      <c r="BB198" s="295"/>
      <c r="BC198" s="295"/>
      <c r="BD198" s="295"/>
      <c r="BE198" s="295"/>
      <c r="BF198" s="295"/>
      <c r="BH198" s="295"/>
      <c r="BI198" s="297"/>
    </row>
    <row r="199" spans="2:61" ht="48.75" customHeight="1">
      <c r="B199" s="1287" t="s">
        <v>529</v>
      </c>
      <c r="C199" s="1287"/>
      <c r="D199" s="1919" t="s">
        <v>530</v>
      </c>
      <c r="E199" s="1919" t="s">
        <v>531</v>
      </c>
      <c r="F199" s="1919" t="s">
        <v>532</v>
      </c>
      <c r="G199" s="1285" t="s">
        <v>533</v>
      </c>
      <c r="H199" s="1286"/>
      <c r="I199" s="1286"/>
      <c r="J199" s="1761"/>
      <c r="K199" s="1919" t="s">
        <v>534</v>
      </c>
      <c r="L199" s="1919" t="s">
        <v>535</v>
      </c>
      <c r="AQ199" s="295"/>
      <c r="AR199" s="295"/>
      <c r="AS199" s="296"/>
      <c r="AT199" s="295"/>
      <c r="AU199" s="295"/>
      <c r="AV199" s="295"/>
      <c r="AW199" s="74"/>
      <c r="AX199" s="295"/>
      <c r="AY199" s="295"/>
      <c r="AZ199" s="55"/>
      <c r="BA199" s="295"/>
      <c r="BB199" s="295"/>
      <c r="BC199" s="295"/>
      <c r="BD199" s="295"/>
      <c r="BE199" s="295"/>
      <c r="BF199" s="295"/>
      <c r="BH199" s="295"/>
      <c r="BI199" s="297"/>
    </row>
    <row r="200" spans="2:61" ht="48.75" customHeight="1">
      <c r="B200" s="1287"/>
      <c r="C200" s="1287"/>
      <c r="D200" s="1920"/>
      <c r="E200" s="1920"/>
      <c r="F200" s="1920"/>
      <c r="G200" s="1285" t="s">
        <v>536</v>
      </c>
      <c r="H200" s="1286"/>
      <c r="I200" s="1761"/>
      <c r="J200" s="1919" t="s">
        <v>537</v>
      </c>
      <c r="K200" s="1920"/>
      <c r="L200" s="1920"/>
      <c r="AQ200" s="295"/>
      <c r="AR200" s="295"/>
      <c r="AS200" s="296"/>
      <c r="AT200" s="295"/>
      <c r="AU200" s="295"/>
      <c r="AV200" s="295"/>
      <c r="AW200" s="74"/>
      <c r="AX200" s="295"/>
      <c r="AY200" s="295"/>
      <c r="AZ200" s="55"/>
      <c r="BA200" s="295"/>
      <c r="BB200" s="295"/>
      <c r="BC200" s="295"/>
      <c r="BD200" s="295"/>
      <c r="BE200" s="295"/>
      <c r="BF200" s="295"/>
      <c r="BH200" s="295"/>
      <c r="BI200" s="297"/>
    </row>
    <row r="201" spans="2:61" ht="48.75" customHeight="1">
      <c r="B201" s="1287"/>
      <c r="C201" s="1287"/>
      <c r="D201" s="1921"/>
      <c r="E201" s="1921"/>
      <c r="F201" s="1921"/>
      <c r="G201" s="257" t="s">
        <v>538</v>
      </c>
      <c r="H201" s="257" t="s">
        <v>539</v>
      </c>
      <c r="I201" s="257" t="s">
        <v>540</v>
      </c>
      <c r="J201" s="1921"/>
      <c r="K201" s="1921"/>
      <c r="L201" s="1921"/>
      <c r="AQ201" s="295"/>
      <c r="AR201" s="295"/>
      <c r="AS201" s="296"/>
      <c r="AT201" s="295"/>
      <c r="AU201" s="295"/>
      <c r="AV201" s="295"/>
      <c r="AW201" s="74"/>
      <c r="AX201" s="295"/>
      <c r="AY201" s="295"/>
      <c r="AZ201" s="55"/>
      <c r="BA201" s="295"/>
      <c r="BB201" s="295"/>
      <c r="BC201" s="295"/>
      <c r="BD201" s="295"/>
      <c r="BE201" s="295"/>
      <c r="BF201" s="295"/>
      <c r="BH201" s="295"/>
      <c r="BI201" s="297"/>
    </row>
    <row r="202" spans="2:61" ht="48.75" customHeight="1">
      <c r="B202" s="1901"/>
      <c r="C202" s="1901"/>
      <c r="D202" s="1992" t="s">
        <v>541</v>
      </c>
      <c r="E202" s="257"/>
      <c r="F202" s="1285" t="s">
        <v>543</v>
      </c>
      <c r="G202" s="1286"/>
      <c r="H202" s="1286"/>
      <c r="I202" s="1761"/>
      <c r="J202" s="257"/>
      <c r="K202" s="257"/>
      <c r="L202" s="257"/>
      <c r="AQ202" s="295"/>
      <c r="AR202" s="295"/>
      <c r="AS202" s="296"/>
      <c r="AT202" s="295"/>
      <c r="AU202" s="295"/>
      <c r="AV202" s="295"/>
      <c r="AW202" s="74"/>
      <c r="AX202" s="295"/>
      <c r="AY202" s="295"/>
      <c r="AZ202" s="55"/>
      <c r="BA202" s="295"/>
      <c r="BB202" s="295"/>
      <c r="BC202" s="295"/>
      <c r="BD202" s="295"/>
      <c r="BE202" s="295"/>
      <c r="BF202" s="295"/>
      <c r="BH202" s="295"/>
      <c r="BI202" s="297"/>
    </row>
    <row r="203" spans="2:61" ht="48.75" customHeight="1">
      <c r="B203" s="1901"/>
      <c r="C203" s="1901"/>
      <c r="D203" s="1992"/>
      <c r="E203" s="257" t="s">
        <v>542</v>
      </c>
      <c r="F203" s="257">
        <v>1</v>
      </c>
      <c r="G203" s="257" t="s">
        <v>544</v>
      </c>
      <c r="H203" s="1287" t="s">
        <v>545</v>
      </c>
      <c r="I203" s="1287"/>
      <c r="J203" s="257">
        <v>0.2</v>
      </c>
      <c r="K203" s="257">
        <v>1</v>
      </c>
      <c r="L203" s="257">
        <v>0.2</v>
      </c>
      <c r="AQ203" s="295"/>
      <c r="AR203" s="295"/>
      <c r="AS203" s="296"/>
      <c r="AT203" s="295"/>
      <c r="AU203" s="295"/>
      <c r="AV203" s="295"/>
      <c r="AW203" s="74"/>
      <c r="AX203" s="295"/>
      <c r="AY203" s="295"/>
      <c r="AZ203" s="55"/>
      <c r="BA203" s="295"/>
      <c r="BB203" s="295"/>
      <c r="BC203" s="295"/>
      <c r="BD203" s="295"/>
      <c r="BE203" s="295"/>
      <c r="BF203" s="295"/>
      <c r="BH203" s="295"/>
      <c r="BI203" s="297"/>
    </row>
    <row r="204" spans="2:61" ht="48.75" customHeight="1">
      <c r="B204" s="1901"/>
      <c r="C204" s="1901"/>
      <c r="D204" s="1992"/>
      <c r="E204" s="95"/>
      <c r="F204" s="257">
        <v>2</v>
      </c>
      <c r="G204" s="257" t="s">
        <v>544</v>
      </c>
      <c r="H204" s="1287" t="s">
        <v>545</v>
      </c>
      <c r="I204" s="1287"/>
      <c r="J204" s="257">
        <v>0.3</v>
      </c>
      <c r="K204" s="257">
        <v>1</v>
      </c>
      <c r="L204" s="257">
        <v>0.3</v>
      </c>
      <c r="AQ204" s="295"/>
      <c r="AR204" s="295"/>
      <c r="AS204" s="296"/>
      <c r="AT204" s="295"/>
      <c r="AU204" s="295"/>
      <c r="AV204" s="295"/>
      <c r="AW204" s="74"/>
      <c r="AX204" s="295"/>
      <c r="AY204" s="295"/>
      <c r="AZ204" s="55"/>
      <c r="BA204" s="295"/>
      <c r="BB204" s="295"/>
      <c r="BC204" s="295"/>
      <c r="BD204" s="295"/>
      <c r="BE204" s="295"/>
      <c r="BF204" s="295"/>
      <c r="BH204" s="295"/>
      <c r="BI204" s="297"/>
    </row>
    <row r="205" spans="2:61" ht="48.75" customHeight="1">
      <c r="B205" s="1901"/>
      <c r="C205" s="1901"/>
      <c r="D205" s="1992"/>
      <c r="E205" s="257"/>
      <c r="F205" s="1285" t="s">
        <v>543</v>
      </c>
      <c r="G205" s="1286"/>
      <c r="H205" s="1286"/>
      <c r="I205" s="1761"/>
      <c r="J205" s="257"/>
      <c r="K205" s="257"/>
      <c r="L205" s="257"/>
      <c r="AQ205" s="295"/>
      <c r="AR205" s="295"/>
      <c r="AS205" s="296"/>
      <c r="AT205" s="295"/>
      <c r="AU205" s="295"/>
      <c r="AV205" s="295"/>
      <c r="AW205" s="74"/>
      <c r="AX205" s="295"/>
      <c r="AY205" s="295"/>
      <c r="BI205" s="11"/>
    </row>
    <row r="206" spans="2:61" ht="48.75" customHeight="1">
      <c r="B206" s="1901"/>
      <c r="C206" s="1901"/>
      <c r="D206" s="1992"/>
      <c r="E206" s="257" t="s">
        <v>546</v>
      </c>
      <c r="F206" s="257">
        <v>1</v>
      </c>
      <c r="G206" s="257" t="s">
        <v>544</v>
      </c>
      <c r="H206" s="1287" t="s">
        <v>545</v>
      </c>
      <c r="I206" s="1287"/>
      <c r="J206" s="257">
        <v>0.25</v>
      </c>
      <c r="K206" s="257">
        <v>1</v>
      </c>
      <c r="L206" s="257">
        <v>0.25</v>
      </c>
      <c r="AQ206" s="295"/>
      <c r="AR206" s="295"/>
      <c r="AS206" s="296"/>
      <c r="AT206" s="295"/>
      <c r="AU206" s="295"/>
      <c r="AV206" s="295"/>
      <c r="AW206" s="74"/>
      <c r="AX206" s="295"/>
      <c r="AY206" s="295"/>
      <c r="BI206" s="11"/>
    </row>
    <row r="207" spans="2:61" ht="48.75" customHeight="1">
      <c r="B207" s="1901"/>
      <c r="C207" s="1901"/>
      <c r="D207" s="1992"/>
      <c r="E207" s="95"/>
      <c r="F207" s="257">
        <v>2</v>
      </c>
      <c r="G207" s="257" t="s">
        <v>544</v>
      </c>
      <c r="H207" s="1287" t="s">
        <v>545</v>
      </c>
      <c r="I207" s="1287"/>
      <c r="J207" s="257">
        <v>0.35</v>
      </c>
      <c r="K207" s="257">
        <v>1</v>
      </c>
      <c r="L207" s="257">
        <v>0.35</v>
      </c>
      <c r="AQ207" s="295"/>
      <c r="AR207" s="295"/>
      <c r="AS207" s="296"/>
      <c r="AT207" s="295"/>
      <c r="AU207" s="295"/>
      <c r="AV207" s="295"/>
      <c r="AW207" s="74"/>
      <c r="AX207" s="295"/>
      <c r="AY207" s="295"/>
      <c r="BI207" s="11"/>
    </row>
    <row r="208" spans="2:61" ht="48.75" customHeight="1">
      <c r="B208" s="1901"/>
      <c r="C208" s="1901"/>
      <c r="D208" s="1992"/>
      <c r="E208" s="1287">
        <v>160</v>
      </c>
      <c r="F208" s="1285" t="s">
        <v>543</v>
      </c>
      <c r="G208" s="1286"/>
      <c r="H208" s="1286"/>
      <c r="I208" s="1761"/>
      <c r="J208" s="257"/>
      <c r="K208" s="257"/>
      <c r="L208" s="257"/>
      <c r="AQ208" s="295"/>
      <c r="AR208" s="295"/>
      <c r="AS208" s="296"/>
      <c r="AT208" s="295"/>
      <c r="AU208" s="295"/>
      <c r="AV208" s="295"/>
      <c r="AW208" s="74"/>
      <c r="AX208" s="295"/>
      <c r="AY208" s="295"/>
      <c r="AZ208" s="55"/>
      <c r="BA208" s="295"/>
      <c r="BB208" s="295"/>
      <c r="BC208" s="295"/>
      <c r="BD208" s="295"/>
      <c r="BE208" s="295"/>
      <c r="BF208" s="295"/>
      <c r="BH208" s="295"/>
      <c r="BI208" s="297"/>
    </row>
    <row r="209" spans="2:61" ht="48.75" customHeight="1">
      <c r="B209" s="1901"/>
      <c r="C209" s="1901"/>
      <c r="D209" s="1992"/>
      <c r="E209" s="1287"/>
      <c r="F209" s="257">
        <v>1</v>
      </c>
      <c r="G209" s="257" t="s">
        <v>544</v>
      </c>
      <c r="H209" s="1287" t="s">
        <v>545</v>
      </c>
      <c r="I209" s="1287"/>
      <c r="J209" s="257">
        <v>0.4</v>
      </c>
      <c r="K209" s="257">
        <v>1</v>
      </c>
      <c r="L209" s="257">
        <v>0.4</v>
      </c>
      <c r="AQ209" s="295"/>
      <c r="AR209" s="295"/>
      <c r="AS209" s="296"/>
      <c r="AT209" s="295"/>
      <c r="AU209" s="295"/>
      <c r="AV209" s="295"/>
      <c r="AW209" s="74"/>
      <c r="AX209" s="295"/>
      <c r="AY209" s="295"/>
      <c r="AZ209" s="55"/>
      <c r="BA209" s="295"/>
      <c r="BC209" s="295"/>
      <c r="BD209" s="295"/>
      <c r="BE209" s="295"/>
      <c r="BF209" s="295"/>
      <c r="BH209" s="295"/>
      <c r="BI209" s="297"/>
    </row>
    <row r="210" spans="2:61" ht="48.75" customHeight="1">
      <c r="B210" s="1901"/>
      <c r="C210" s="1901"/>
      <c r="D210" s="1992"/>
      <c r="E210" s="1287"/>
      <c r="F210" s="257">
        <v>2</v>
      </c>
      <c r="G210" s="257" t="s">
        <v>544</v>
      </c>
      <c r="H210" s="1287" t="s">
        <v>545</v>
      </c>
      <c r="I210" s="1287"/>
      <c r="J210" s="257">
        <v>0.5</v>
      </c>
      <c r="K210" s="257">
        <v>1</v>
      </c>
      <c r="L210" s="257">
        <v>0.5</v>
      </c>
      <c r="AQ210" s="295"/>
      <c r="AR210" s="295"/>
      <c r="AS210" s="296"/>
      <c r="AT210" s="295"/>
      <c r="AU210" s="295"/>
      <c r="AV210" s="295"/>
      <c r="AW210" s="74"/>
      <c r="AX210" s="295"/>
      <c r="AY210" s="295"/>
      <c r="AZ210" s="55"/>
      <c r="BA210" s="295"/>
      <c r="BC210" s="295"/>
      <c r="BD210" s="295"/>
      <c r="BE210" s="295"/>
      <c r="BF210" s="295"/>
      <c r="BH210" s="295"/>
      <c r="BI210" s="297"/>
    </row>
    <row r="211" spans="2:61" ht="48.75" customHeight="1">
      <c r="B211" s="1287"/>
      <c r="C211" s="1287"/>
      <c r="D211" s="1992" t="s">
        <v>548</v>
      </c>
      <c r="F211" s="1285" t="s">
        <v>543</v>
      </c>
      <c r="G211" s="1286"/>
      <c r="H211" s="1286"/>
      <c r="I211" s="1761"/>
      <c r="J211" s="96"/>
      <c r="K211" s="96"/>
      <c r="L211" s="96"/>
      <c r="AQ211" s="295"/>
      <c r="AR211" s="295"/>
      <c r="AS211" s="296"/>
      <c r="AT211" s="295"/>
      <c r="AU211" s="295"/>
      <c r="AV211" s="295"/>
      <c r="AW211" s="74"/>
      <c r="AX211" s="295"/>
      <c r="AY211" s="295"/>
      <c r="AZ211" s="55"/>
      <c r="BA211" s="295"/>
      <c r="BC211" s="295"/>
      <c r="BD211" s="295"/>
      <c r="BE211" s="295"/>
      <c r="BF211" s="295"/>
      <c r="BH211" s="295"/>
      <c r="BI211" s="297"/>
    </row>
    <row r="212" spans="2:61" ht="48.75" customHeight="1">
      <c r="B212" s="1287"/>
      <c r="C212" s="1287"/>
      <c r="D212" s="1992"/>
      <c r="E212" s="1919" t="s">
        <v>549</v>
      </c>
      <c r="F212" s="1919">
        <v>1</v>
      </c>
      <c r="G212" s="1287" t="s">
        <v>544</v>
      </c>
      <c r="H212" s="987" t="s">
        <v>545</v>
      </c>
      <c r="I212" s="989"/>
      <c r="J212" s="1919">
        <v>0.4</v>
      </c>
      <c r="K212" s="1919">
        <v>1</v>
      </c>
      <c r="L212" s="1919">
        <v>0.4</v>
      </c>
      <c r="AQ212" s="295"/>
      <c r="AR212" s="295"/>
      <c r="AS212" s="296"/>
      <c r="AT212" s="295"/>
      <c r="AU212" s="295"/>
      <c r="AV212" s="295"/>
      <c r="AW212" s="74"/>
      <c r="AX212" s="295"/>
      <c r="AY212" s="295"/>
      <c r="AZ212" s="55"/>
      <c r="BA212" s="295"/>
      <c r="BC212" s="295"/>
      <c r="BD212" s="295"/>
      <c r="BE212" s="295"/>
      <c r="BF212" s="295"/>
      <c r="BH212" s="295"/>
      <c r="BI212" s="297"/>
    </row>
    <row r="213" spans="2:61" ht="48.75" customHeight="1">
      <c r="B213" s="1287"/>
      <c r="C213" s="1287"/>
      <c r="D213" s="1992"/>
      <c r="E213" s="1920"/>
      <c r="F213" s="1921"/>
      <c r="G213" s="1287"/>
      <c r="H213" s="993"/>
      <c r="I213" s="995"/>
      <c r="J213" s="1921"/>
      <c r="K213" s="1921"/>
      <c r="L213" s="1921"/>
      <c r="AQ213" s="295"/>
      <c r="AR213" s="295"/>
      <c r="AS213" s="296"/>
      <c r="AT213" s="295"/>
      <c r="AU213" s="295"/>
      <c r="AV213" s="295"/>
      <c r="AW213" s="74"/>
      <c r="AX213" s="295"/>
      <c r="AY213" s="295"/>
      <c r="AZ213" s="55"/>
      <c r="BA213" s="295"/>
      <c r="BB213" s="295"/>
      <c r="BC213" s="295"/>
      <c r="BD213" s="295"/>
      <c r="BE213" s="295"/>
      <c r="BF213" s="295"/>
      <c r="BH213" s="295"/>
      <c r="BI213" s="297"/>
    </row>
    <row r="214" spans="2:61" ht="48.75" customHeight="1">
      <c r="B214" s="1287"/>
      <c r="C214" s="1287"/>
      <c r="D214" s="1992"/>
      <c r="E214" s="1920"/>
      <c r="F214" s="1919">
        <v>2</v>
      </c>
      <c r="G214" s="1287" t="s">
        <v>544</v>
      </c>
      <c r="H214" s="987" t="s">
        <v>545</v>
      </c>
      <c r="I214" s="989"/>
      <c r="J214" s="1919">
        <v>0.4</v>
      </c>
      <c r="K214" s="1919">
        <v>1</v>
      </c>
      <c r="L214" s="1919">
        <v>0.4</v>
      </c>
      <c r="X214" s="278"/>
      <c r="Y214" s="278"/>
      <c r="Z214" s="278"/>
      <c r="AA214" s="278"/>
      <c r="AB214" s="278"/>
      <c r="AC214" s="278"/>
      <c r="AD214" s="278"/>
      <c r="AE214" s="278"/>
      <c r="AF214" s="278"/>
      <c r="AG214" s="278"/>
      <c r="AH214" s="278"/>
      <c r="AI214" s="278"/>
      <c r="AQ214" s="295"/>
      <c r="AR214" s="295"/>
      <c r="AS214" s="296"/>
      <c r="AT214" s="295"/>
      <c r="AU214" s="295"/>
      <c r="AV214" s="295"/>
      <c r="AW214" s="74"/>
      <c r="AX214" s="295"/>
      <c r="AY214" s="295"/>
      <c r="AZ214" s="55"/>
      <c r="BA214" s="295"/>
      <c r="BB214" s="295"/>
      <c r="BC214" s="295"/>
      <c r="BD214" s="295"/>
      <c r="BE214" s="295"/>
      <c r="BF214" s="295"/>
      <c r="BH214" s="295"/>
      <c r="BI214" s="297"/>
    </row>
    <row r="215" spans="2:61" ht="48.75" customHeight="1">
      <c r="B215" s="1287"/>
      <c r="C215" s="1287"/>
      <c r="D215" s="1992"/>
      <c r="E215" s="1920"/>
      <c r="F215" s="1921"/>
      <c r="G215" s="1287"/>
      <c r="H215" s="993"/>
      <c r="I215" s="995"/>
      <c r="J215" s="1921"/>
      <c r="K215" s="1921"/>
      <c r="L215" s="1921"/>
      <c r="W215" s="278"/>
      <c r="X215" s="278"/>
      <c r="Y215" s="278"/>
      <c r="Z215" s="278"/>
      <c r="AA215" s="278"/>
      <c r="AB215" s="278"/>
      <c r="AC215" s="278"/>
      <c r="AD215" s="278"/>
      <c r="AE215" s="278"/>
      <c r="AF215" s="278"/>
      <c r="AG215" s="278"/>
      <c r="AH215" s="278"/>
      <c r="AI215" s="278"/>
      <c r="AQ215" s="295"/>
      <c r="AR215" s="295"/>
      <c r="AS215" s="296"/>
      <c r="AT215" s="295"/>
      <c r="AU215" s="295"/>
      <c r="AV215" s="295"/>
      <c r="AW215" s="74"/>
      <c r="AX215" s="295"/>
      <c r="AY215" s="295"/>
      <c r="AZ215" s="55"/>
      <c r="BA215" s="295"/>
      <c r="BB215" s="295"/>
      <c r="BC215" s="295"/>
      <c r="BD215" s="295"/>
      <c r="BE215" s="295"/>
      <c r="BF215" s="295"/>
      <c r="BH215" s="295"/>
      <c r="BI215" s="297"/>
    </row>
    <row r="216" spans="2:61" ht="48.75" customHeight="1">
      <c r="B216" s="1287"/>
      <c r="C216" s="1287"/>
      <c r="D216" s="1992"/>
      <c r="E216" s="1920"/>
      <c r="F216" s="1919">
        <v>3</v>
      </c>
      <c r="G216" s="1287" t="s">
        <v>544</v>
      </c>
      <c r="H216" s="987" t="s">
        <v>545</v>
      </c>
      <c r="I216" s="989"/>
      <c r="J216" s="1919">
        <v>0.5</v>
      </c>
      <c r="K216" s="1919">
        <v>1</v>
      </c>
      <c r="L216" s="1919">
        <v>0.5</v>
      </c>
      <c r="W216" s="278"/>
      <c r="X216" s="278"/>
      <c r="Y216" s="278"/>
      <c r="Z216" s="278"/>
      <c r="AA216" s="278"/>
      <c r="AB216" s="278"/>
      <c r="AC216" s="278"/>
      <c r="AD216" s="278"/>
      <c r="AE216" s="278"/>
      <c r="AF216" s="278"/>
      <c r="AG216" s="278"/>
      <c r="AH216" s="278"/>
      <c r="AI216" s="278"/>
      <c r="AQ216" s="295"/>
      <c r="AR216" s="295"/>
      <c r="AS216" s="296"/>
      <c r="AT216" s="295"/>
      <c r="AU216" s="295"/>
      <c r="AV216" s="295"/>
      <c r="AW216" s="74"/>
      <c r="AX216" s="295"/>
      <c r="AY216" s="295"/>
      <c r="AZ216" s="55"/>
      <c r="BA216" s="295"/>
      <c r="BB216" s="295"/>
      <c r="BC216" s="295"/>
      <c r="BD216" s="295"/>
      <c r="BE216" s="295"/>
      <c r="BF216" s="295"/>
      <c r="BH216" s="295"/>
      <c r="BI216" s="297"/>
    </row>
    <row r="217" spans="2:61" ht="48.75" customHeight="1">
      <c r="B217" s="1287"/>
      <c r="C217" s="1287"/>
      <c r="D217" s="1992"/>
      <c r="E217" s="1921"/>
      <c r="F217" s="1921"/>
      <c r="G217" s="1287"/>
      <c r="H217" s="993"/>
      <c r="I217" s="995"/>
      <c r="J217" s="1921"/>
      <c r="K217" s="1921"/>
      <c r="L217" s="1921"/>
      <c r="W217" s="278"/>
      <c r="X217" s="278"/>
      <c r="Y217" s="278"/>
      <c r="Z217" s="278"/>
      <c r="AA217" s="278"/>
      <c r="AB217" s="278"/>
      <c r="AC217" s="278"/>
      <c r="AD217" s="278"/>
      <c r="AE217" s="278"/>
      <c r="AF217" s="278"/>
      <c r="AG217" s="278"/>
      <c r="AH217" s="278"/>
      <c r="AI217" s="278"/>
      <c r="AQ217" s="295"/>
      <c r="AR217" s="295"/>
      <c r="AS217" s="296"/>
      <c r="AT217" s="295"/>
      <c r="AU217" s="295"/>
      <c r="AV217" s="295"/>
      <c r="AW217" s="74"/>
      <c r="AX217" s="295"/>
      <c r="AY217" s="295"/>
      <c r="AZ217" s="55"/>
      <c r="BA217" s="295"/>
      <c r="BB217" s="295"/>
      <c r="BC217" s="295"/>
      <c r="BD217" s="295"/>
      <c r="BE217" s="295"/>
      <c r="BF217" s="295"/>
      <c r="BH217" s="295"/>
      <c r="BI217" s="297"/>
    </row>
    <row r="218" spans="2:61" ht="48.75" customHeight="1">
      <c r="W218" s="278"/>
      <c r="X218" s="278"/>
      <c r="Y218" s="278"/>
      <c r="Z218" s="278"/>
      <c r="AA218" s="278"/>
      <c r="AB218" s="278"/>
      <c r="AC218" s="278"/>
      <c r="AD218" s="278"/>
      <c r="AE218" s="278"/>
      <c r="AF218" s="278"/>
      <c r="AG218" s="278"/>
      <c r="AH218" s="278"/>
      <c r="AI218" s="278"/>
      <c r="AQ218" s="295"/>
      <c r="AR218" s="295"/>
      <c r="AS218" s="296"/>
      <c r="AT218" s="295"/>
      <c r="AU218" s="295"/>
      <c r="AV218" s="295"/>
      <c r="AW218" s="74"/>
      <c r="AX218" s="295"/>
      <c r="AY218" s="295"/>
      <c r="AZ218" s="55"/>
      <c r="BA218" s="295"/>
      <c r="BB218" s="295"/>
      <c r="BC218" s="295"/>
      <c r="BD218" s="295"/>
      <c r="BE218" s="295"/>
      <c r="BF218" s="295"/>
      <c r="BH218" s="295"/>
      <c r="BI218" s="297"/>
    </row>
    <row r="219" spans="2:61" ht="48.75" customHeight="1">
      <c r="B219" s="278"/>
      <c r="C219" s="278"/>
      <c r="D219" s="278"/>
      <c r="E219" s="278"/>
      <c r="F219" s="278"/>
      <c r="G219" s="278"/>
      <c r="H219" s="278"/>
      <c r="I219" s="278"/>
      <c r="J219" s="278"/>
      <c r="K219" s="278"/>
      <c r="L219" s="278"/>
      <c r="M219" s="298"/>
      <c r="N219" s="298"/>
      <c r="O219" s="298"/>
      <c r="P219" s="298"/>
      <c r="Q219" s="298"/>
      <c r="R219" s="298"/>
      <c r="S219" s="298"/>
      <c r="T219" s="299"/>
      <c r="U219" s="299"/>
      <c r="V219" s="299"/>
      <c r="W219" s="278"/>
      <c r="X219" s="278"/>
      <c r="Y219" s="278"/>
      <c r="Z219" s="278"/>
      <c r="AA219" s="278"/>
      <c r="AB219" s="278"/>
      <c r="AC219" s="278"/>
      <c r="AD219" s="278"/>
      <c r="AE219" s="278"/>
      <c r="AF219" s="278"/>
      <c r="AG219" s="278"/>
      <c r="AH219" s="278"/>
      <c r="AI219" s="278"/>
      <c r="AO219" s="1124"/>
      <c r="AP219" s="1125"/>
      <c r="AQ219" s="1125"/>
      <c r="AR219" s="1125"/>
      <c r="AS219" s="1125"/>
      <c r="AT219" s="1125"/>
      <c r="AU219" s="1126"/>
      <c r="AV219" s="295"/>
      <c r="AW219" s="74"/>
      <c r="AX219" s="295"/>
      <c r="AY219" s="295"/>
      <c r="AZ219" s="55"/>
      <c r="BA219" s="295"/>
      <c r="BB219" s="295"/>
      <c r="BC219" s="295"/>
      <c r="BD219" s="295"/>
      <c r="BE219" s="295"/>
      <c r="BF219" s="295"/>
      <c r="BH219" s="295"/>
      <c r="BI219" s="297"/>
    </row>
    <row r="220" spans="2:61" ht="48.75" customHeight="1">
      <c r="B220" s="465" t="s">
        <v>1106</v>
      </c>
      <c r="C220" s="635">
        <f>'Вывод расчетов'!$CO$28</f>
        <v>48</v>
      </c>
      <c r="D220" s="1121" t="s">
        <v>608</v>
      </c>
      <c r="E220" s="1122"/>
      <c r="F220" s="1122"/>
      <c r="G220" s="1122"/>
      <c r="H220" s="1122"/>
      <c r="I220" s="1122"/>
      <c r="J220" s="1122"/>
      <c r="K220" s="1122"/>
      <c r="L220" s="1122"/>
      <c r="M220" s="1122"/>
      <c r="N220" s="1122"/>
      <c r="O220" s="1122"/>
      <c r="P220" s="1122"/>
      <c r="Q220" s="1123"/>
      <c r="R220" s="259"/>
      <c r="S220" s="298"/>
      <c r="T220" s="299"/>
      <c r="U220" s="299"/>
      <c r="V220" s="299"/>
      <c r="W220" s="650"/>
      <c r="X220" s="650"/>
      <c r="Y220" s="650"/>
      <c r="Z220" s="650"/>
      <c r="AA220" s="650"/>
      <c r="AB220" s="650"/>
      <c r="AC220" s="650"/>
      <c r="AQ220" s="295"/>
      <c r="AR220" s="295"/>
      <c r="AS220" s="296"/>
      <c r="AT220" s="295"/>
      <c r="AU220" s="295"/>
      <c r="AV220" s="295"/>
      <c r="AW220" s="74"/>
      <c r="AX220" s="295"/>
      <c r="AY220" s="295"/>
      <c r="AZ220" s="55"/>
      <c r="BA220" s="295"/>
      <c r="BB220" s="295"/>
      <c r="BC220" s="295"/>
      <c r="BD220" s="295"/>
      <c r="BE220" s="295"/>
      <c r="BF220" s="295"/>
      <c r="BH220" s="295"/>
      <c r="BI220" s="297"/>
    </row>
    <row r="221" spans="2:61" ht="48.75" customHeight="1">
      <c r="B221" s="1995" t="s">
        <v>402</v>
      </c>
      <c r="C221" s="1996" t="s">
        <v>26</v>
      </c>
      <c r="D221" s="1285" t="s">
        <v>550</v>
      </c>
      <c r="E221" s="1286"/>
      <c r="F221" s="1286"/>
      <c r="G221" s="1286"/>
      <c r="H221" s="1286"/>
      <c r="I221" s="1761"/>
      <c r="J221" s="970"/>
      <c r="K221" s="1287">
        <v>8</v>
      </c>
      <c r="L221" s="257">
        <v>48</v>
      </c>
      <c r="M221" s="1287" t="s">
        <v>562</v>
      </c>
      <c r="N221" s="1287"/>
      <c r="O221" s="1287"/>
      <c r="P221" s="1287" t="s">
        <v>563</v>
      </c>
      <c r="Q221" s="1287"/>
      <c r="R221" s="1287"/>
      <c r="S221" s="298"/>
      <c r="T221" s="1995" t="s">
        <v>402</v>
      </c>
      <c r="U221" s="1996" t="s">
        <v>26</v>
      </c>
      <c r="V221" s="465" t="s">
        <v>1106</v>
      </c>
      <c r="W221" s="635">
        <f>'Вывод расчетов'!$CO$28</f>
        <v>48</v>
      </c>
      <c r="X221" s="637"/>
      <c r="Y221" s="1285" t="s">
        <v>608</v>
      </c>
      <c r="Z221" s="1286"/>
      <c r="AA221" s="1286"/>
      <c r="AB221" s="1286"/>
      <c r="AC221" s="1286"/>
      <c r="AD221" s="1286"/>
      <c r="AE221" s="1286"/>
      <c r="AF221" s="1286"/>
      <c r="AG221" s="1286"/>
      <c r="AH221" s="1286"/>
      <c r="AI221" s="1286"/>
      <c r="AJ221" s="1286"/>
      <c r="AK221" s="1286"/>
      <c r="AL221" s="1286"/>
      <c r="AM221" s="1286"/>
      <c r="AN221" s="1286"/>
      <c r="AO221" s="1286"/>
      <c r="AP221" s="1286"/>
      <c r="AQ221" s="1286"/>
      <c r="AR221" s="1761"/>
      <c r="AS221" s="259"/>
      <c r="AT221" s="295"/>
      <c r="AU221" s="295"/>
      <c r="AV221" s="295"/>
      <c r="AW221" s="74"/>
      <c r="AX221" s="295"/>
      <c r="AY221" s="295"/>
      <c r="AZ221" s="55"/>
      <c r="BA221" s="295"/>
      <c r="BB221" s="295"/>
      <c r="BC221" s="295"/>
      <c r="BD221" s="295"/>
      <c r="BE221" s="295"/>
      <c r="BF221" s="295"/>
      <c r="BH221" s="295"/>
      <c r="BI221" s="297"/>
    </row>
    <row r="222" spans="2:61" ht="48.75" customHeight="1">
      <c r="B222" s="1995"/>
      <c r="C222" s="1997"/>
      <c r="D222" s="1285" t="s">
        <v>551</v>
      </c>
      <c r="E222" s="1286"/>
      <c r="F222" s="1761"/>
      <c r="G222" s="1285" t="s">
        <v>552</v>
      </c>
      <c r="H222" s="1286"/>
      <c r="I222" s="1761"/>
      <c r="J222" s="971"/>
      <c r="K222" s="1287"/>
      <c r="L222" s="257">
        <v>72</v>
      </c>
      <c r="M222" s="1287" t="s">
        <v>564</v>
      </c>
      <c r="N222" s="1287"/>
      <c r="O222" s="1287"/>
      <c r="P222" s="1287" t="s">
        <v>565</v>
      </c>
      <c r="Q222" s="1287"/>
      <c r="R222" s="1287"/>
      <c r="S222" s="298"/>
      <c r="T222" s="1995"/>
      <c r="U222" s="2012"/>
      <c r="V222" s="993" t="s">
        <v>551</v>
      </c>
      <c r="W222" s="994"/>
      <c r="X222" s="994"/>
      <c r="Y222" s="994"/>
      <c r="Z222" s="994"/>
      <c r="AA222" s="994"/>
      <c r="AB222" s="994"/>
      <c r="AC222" s="994"/>
      <c r="AD222" s="994"/>
      <c r="AE222" s="994"/>
      <c r="AF222" s="995"/>
      <c r="AG222" s="2011"/>
      <c r="AH222" s="1285" t="s">
        <v>552</v>
      </c>
      <c r="AI222" s="1286"/>
      <c r="AJ222" s="1286"/>
      <c r="AK222" s="1286"/>
      <c r="AL222" s="1286"/>
      <c r="AM222" s="1286"/>
      <c r="AN222" s="1286"/>
      <c r="AO222" s="1286"/>
      <c r="AP222" s="1286"/>
      <c r="AQ222" s="1286"/>
      <c r="AR222" s="1286"/>
      <c r="AS222" s="1761"/>
      <c r="AT222" s="295"/>
      <c r="AU222" s="295"/>
      <c r="AV222" s="295"/>
      <c r="AW222" s="74"/>
      <c r="AX222" s="295"/>
      <c r="AY222" s="295"/>
      <c r="AZ222" s="55"/>
      <c r="BA222" s="295"/>
      <c r="BB222" s="295"/>
      <c r="BC222" s="295"/>
      <c r="BD222" s="295"/>
      <c r="BE222" s="295"/>
      <c r="BF222" s="295"/>
      <c r="BH222" s="295"/>
      <c r="BI222" s="297"/>
    </row>
    <row r="223" spans="2:61" ht="48.75" customHeight="1">
      <c r="B223" s="1287">
        <v>2</v>
      </c>
      <c r="C223" s="257">
        <v>12</v>
      </c>
      <c r="D223" s="1285" t="s">
        <v>621</v>
      </c>
      <c r="E223" s="1286"/>
      <c r="F223" s="1761"/>
      <c r="G223" s="1285" t="s">
        <v>175</v>
      </c>
      <c r="H223" s="1286"/>
      <c r="I223" s="1761"/>
      <c r="J223" s="971"/>
      <c r="K223" s="1287"/>
      <c r="L223" s="257">
        <v>84</v>
      </c>
      <c r="M223" s="1287" t="s">
        <v>583</v>
      </c>
      <c r="N223" s="1287"/>
      <c r="O223" s="1287"/>
      <c r="P223" s="1287" t="s">
        <v>584</v>
      </c>
      <c r="Q223" s="1287"/>
      <c r="R223" s="1287"/>
      <c r="S223" s="298"/>
      <c r="T223" s="1919">
        <v>2</v>
      </c>
      <c r="U223" s="259"/>
      <c r="V223" s="1452" t="s">
        <v>111</v>
      </c>
      <c r="W223" s="1452"/>
      <c r="X223" s="1452"/>
      <c r="Y223" s="92"/>
      <c r="Z223" s="93"/>
      <c r="AA223" s="93"/>
      <c r="AB223" s="93"/>
      <c r="AC223" s="93"/>
      <c r="AD223" s="93"/>
      <c r="AE223" s="93"/>
      <c r="AF223" s="94"/>
      <c r="AG223" s="2011"/>
      <c r="AH223" s="259"/>
      <c r="AI223" s="1452" t="s">
        <v>111</v>
      </c>
      <c r="AJ223" s="1452"/>
      <c r="AK223" s="1452"/>
      <c r="AL223" s="92"/>
      <c r="AM223" s="93"/>
      <c r="AN223" s="93"/>
      <c r="AO223" s="93"/>
      <c r="AP223" s="93"/>
      <c r="AQ223" s="93"/>
      <c r="AR223" s="93"/>
      <c r="AS223" s="94"/>
      <c r="AW223" s="74"/>
      <c r="AX223" s="295"/>
      <c r="AY223" s="295"/>
      <c r="AZ223" s="55"/>
      <c r="BA223" s="295"/>
      <c r="BB223" s="295"/>
      <c r="BC223" s="295"/>
      <c r="BD223" s="295"/>
      <c r="BE223" s="295"/>
      <c r="BF223" s="295"/>
      <c r="BH223" s="295"/>
      <c r="BI223" s="297"/>
    </row>
    <row r="224" spans="2:61" ht="48.75" customHeight="1">
      <c r="B224" s="1287"/>
      <c r="C224" s="257">
        <v>18</v>
      </c>
      <c r="D224" s="1285" t="s">
        <v>622</v>
      </c>
      <c r="E224" s="1286"/>
      <c r="F224" s="1761"/>
      <c r="G224" s="1285" t="s">
        <v>623</v>
      </c>
      <c r="H224" s="1286"/>
      <c r="I224" s="1761"/>
      <c r="J224" s="971"/>
      <c r="K224" s="1287"/>
      <c r="L224" s="257">
        <v>96</v>
      </c>
      <c r="M224" s="1287" t="s">
        <v>566</v>
      </c>
      <c r="N224" s="1287"/>
      <c r="O224" s="1287"/>
      <c r="P224" s="1287" t="s">
        <v>585</v>
      </c>
      <c r="Q224" s="1287"/>
      <c r="R224" s="1287"/>
      <c r="S224" s="298"/>
      <c r="T224" s="1920"/>
      <c r="U224" s="265">
        <v>12</v>
      </c>
      <c r="V224" s="1287" t="s">
        <v>621</v>
      </c>
      <c r="W224" s="1287"/>
      <c r="X224" s="1287"/>
      <c r="Y224" s="102">
        <v>9</v>
      </c>
      <c r="Z224" s="102">
        <v>15</v>
      </c>
      <c r="AA224" s="273"/>
      <c r="AB224" s="273"/>
      <c r="AC224" s="273"/>
      <c r="AD224" s="273"/>
      <c r="AE224" s="273"/>
      <c r="AF224" s="273"/>
      <c r="AG224" s="1933"/>
      <c r="AH224" s="265">
        <v>12</v>
      </c>
      <c r="AI224" s="1285" t="s">
        <v>175</v>
      </c>
      <c r="AJ224" s="1286"/>
      <c r="AK224" s="1761"/>
      <c r="AL224" s="273"/>
      <c r="AM224" s="273"/>
      <c r="AN224" s="273"/>
      <c r="AO224" s="273"/>
      <c r="AP224" s="273"/>
      <c r="AQ224" s="273"/>
      <c r="AR224" s="273"/>
      <c r="AS224" s="273"/>
      <c r="AW224" s="74"/>
      <c r="AX224" s="295"/>
      <c r="AY224" s="295"/>
      <c r="AZ224" s="55"/>
      <c r="BA224" s="295"/>
      <c r="BI224" s="11"/>
    </row>
    <row r="225" spans="2:53" s="11" customFormat="1" ht="48.75" customHeight="1">
      <c r="B225" s="1287"/>
      <c r="C225" s="257">
        <v>24</v>
      </c>
      <c r="D225" s="1285" t="s">
        <v>624</v>
      </c>
      <c r="E225" s="1286"/>
      <c r="F225" s="1761"/>
      <c r="G225" s="1285" t="s">
        <v>596</v>
      </c>
      <c r="H225" s="1286"/>
      <c r="I225" s="1761"/>
      <c r="J225" s="971"/>
      <c r="K225" s="1287">
        <v>10</v>
      </c>
      <c r="L225" s="257">
        <v>60</v>
      </c>
      <c r="M225" s="1287" t="s">
        <v>567</v>
      </c>
      <c r="N225" s="1287"/>
      <c r="O225" s="1287"/>
      <c r="P225" s="1287" t="s">
        <v>568</v>
      </c>
      <c r="Q225" s="1287"/>
      <c r="R225" s="1287"/>
      <c r="S225" s="298"/>
      <c r="T225" s="1920"/>
      <c r="U225" s="265">
        <v>18</v>
      </c>
      <c r="V225" s="1287" t="s">
        <v>622</v>
      </c>
      <c r="W225" s="1287"/>
      <c r="X225" s="1287"/>
      <c r="Y225" s="253">
        <v>11</v>
      </c>
      <c r="Z225" s="253">
        <v>12</v>
      </c>
      <c r="AA225" s="253">
        <v>15</v>
      </c>
      <c r="AB225" s="253">
        <v>21</v>
      </c>
      <c r="AC225" s="253">
        <v>22</v>
      </c>
      <c r="AD225" s="273"/>
      <c r="AE225" s="273"/>
      <c r="AF225" s="273"/>
      <c r="AG225" s="103"/>
      <c r="AH225" s="265">
        <v>18</v>
      </c>
      <c r="AI225" s="1285" t="s">
        <v>623</v>
      </c>
      <c r="AJ225" s="1286"/>
      <c r="AK225" s="1761"/>
      <c r="AL225" s="253">
        <v>14</v>
      </c>
      <c r="AM225" s="253">
        <v>18</v>
      </c>
      <c r="AN225" s="253">
        <v>19</v>
      </c>
      <c r="AO225" s="253">
        <v>22</v>
      </c>
      <c r="AP225" s="253">
        <v>26</v>
      </c>
      <c r="AQ225" s="253">
        <v>28</v>
      </c>
      <c r="AR225" s="273"/>
      <c r="AS225" s="273"/>
      <c r="AW225" s="74"/>
      <c r="AX225" s="295"/>
      <c r="AY225" s="295"/>
      <c r="AZ225" s="55"/>
      <c r="BA225" s="295"/>
    </row>
    <row r="226" spans="2:53" s="11" customFormat="1" ht="48.75" customHeight="1">
      <c r="B226" s="1287"/>
      <c r="C226" s="257">
        <v>30</v>
      </c>
      <c r="D226" s="1285" t="s">
        <v>553</v>
      </c>
      <c r="E226" s="1286"/>
      <c r="F226" s="1761"/>
      <c r="G226" s="1285" t="s">
        <v>597</v>
      </c>
      <c r="H226" s="1286"/>
      <c r="I226" s="1761"/>
      <c r="J226" s="971"/>
      <c r="K226" s="1287"/>
      <c r="L226" s="257">
        <v>90</v>
      </c>
      <c r="M226" s="1287" t="s">
        <v>586</v>
      </c>
      <c r="N226" s="1287"/>
      <c r="O226" s="1287"/>
      <c r="P226" s="1287" t="s">
        <v>587</v>
      </c>
      <c r="Q226" s="1287"/>
      <c r="R226" s="1287"/>
      <c r="S226" s="298"/>
      <c r="T226" s="1920"/>
      <c r="U226" s="265">
        <v>24</v>
      </c>
      <c r="V226" s="1287" t="s">
        <v>624</v>
      </c>
      <c r="W226" s="1287"/>
      <c r="X226" s="1287"/>
      <c r="Y226" s="102">
        <v>15</v>
      </c>
      <c r="Z226" s="253">
        <v>16</v>
      </c>
      <c r="AA226" s="253">
        <v>17</v>
      </c>
      <c r="AB226" s="253">
        <v>19</v>
      </c>
      <c r="AC226" s="253">
        <v>32</v>
      </c>
      <c r="AD226" s="273"/>
      <c r="AE226" s="273"/>
      <c r="AF226" s="273"/>
      <c r="AG226" s="100"/>
      <c r="AH226" s="265">
        <v>24</v>
      </c>
      <c r="AI226" s="1285" t="s">
        <v>596</v>
      </c>
      <c r="AJ226" s="1286"/>
      <c r="AK226" s="1761"/>
      <c r="AL226" s="253">
        <v>18</v>
      </c>
      <c r="AM226" s="253">
        <v>20</v>
      </c>
      <c r="AN226" s="253">
        <v>26</v>
      </c>
      <c r="AO226" s="253">
        <v>31</v>
      </c>
      <c r="AP226" s="253">
        <v>33</v>
      </c>
      <c r="AQ226" s="253">
        <v>34</v>
      </c>
      <c r="AR226" s="253">
        <v>35</v>
      </c>
      <c r="AS226" s="273"/>
      <c r="AW226" s="74"/>
      <c r="AX226" s="295"/>
      <c r="AY226" s="295"/>
      <c r="AZ226" s="55"/>
      <c r="BA226" s="295"/>
    </row>
    <row r="227" spans="2:53" s="11" customFormat="1" ht="48.75" customHeight="1">
      <c r="B227" s="1287"/>
      <c r="C227" s="257">
        <v>36</v>
      </c>
      <c r="D227" s="1285" t="s">
        <v>554</v>
      </c>
      <c r="E227" s="1286"/>
      <c r="F227" s="1761"/>
      <c r="G227" s="1285" t="s">
        <v>555</v>
      </c>
      <c r="H227" s="1286"/>
      <c r="I227" s="1761"/>
      <c r="J227" s="971"/>
      <c r="K227" s="1287"/>
      <c r="L227" s="257">
        <v>120</v>
      </c>
      <c r="M227" s="1287" t="s">
        <v>588</v>
      </c>
      <c r="N227" s="1287"/>
      <c r="O227" s="1287"/>
      <c r="P227" s="1287" t="s">
        <v>589</v>
      </c>
      <c r="Q227" s="1287"/>
      <c r="R227" s="1287"/>
      <c r="S227" s="298"/>
      <c r="T227" s="1920"/>
      <c r="U227" s="265">
        <v>30</v>
      </c>
      <c r="V227" s="1287" t="s">
        <v>553</v>
      </c>
      <c r="W227" s="1287"/>
      <c r="X227" s="1287"/>
      <c r="Y227" s="102">
        <v>22</v>
      </c>
      <c r="Z227" s="253">
        <v>38</v>
      </c>
      <c r="AA227" s="273"/>
      <c r="AB227" s="273"/>
      <c r="AC227" s="273"/>
      <c r="AD227" s="273"/>
      <c r="AE227" s="273"/>
      <c r="AF227" s="273"/>
      <c r="AG227" s="100"/>
      <c r="AH227" s="265">
        <v>30</v>
      </c>
      <c r="AI227" s="1285" t="s">
        <v>597</v>
      </c>
      <c r="AJ227" s="1286"/>
      <c r="AK227" s="1761"/>
      <c r="AL227" s="253">
        <v>18</v>
      </c>
      <c r="AM227" s="253">
        <v>20</v>
      </c>
      <c r="AN227" s="253">
        <v>21</v>
      </c>
      <c r="AO227" s="253">
        <v>23</v>
      </c>
      <c r="AP227" s="253">
        <v>24</v>
      </c>
      <c r="AQ227" s="253">
        <v>37</v>
      </c>
      <c r="AR227" s="253">
        <v>39</v>
      </c>
      <c r="AS227" s="253">
        <v>40</v>
      </c>
      <c r="AW227" s="74"/>
      <c r="AX227" s="295"/>
      <c r="AY227" s="295"/>
      <c r="AZ227" s="55"/>
      <c r="BA227" s="295"/>
    </row>
    <row r="228" spans="2:53" s="11" customFormat="1" ht="48.75" customHeight="1">
      <c r="B228" s="1287"/>
      <c r="C228" s="257">
        <v>42</v>
      </c>
      <c r="D228" s="1285" t="s">
        <v>556</v>
      </c>
      <c r="E228" s="1286"/>
      <c r="F228" s="1761"/>
      <c r="G228" s="1285" t="s">
        <v>175</v>
      </c>
      <c r="H228" s="1286"/>
      <c r="I228" s="1761"/>
      <c r="J228" s="971"/>
      <c r="K228" s="1287">
        <v>12</v>
      </c>
      <c r="L228" s="257">
        <v>72</v>
      </c>
      <c r="M228" s="1287" t="s">
        <v>569</v>
      </c>
      <c r="N228" s="1287"/>
      <c r="O228" s="1287"/>
      <c r="P228" s="1287" t="s">
        <v>570</v>
      </c>
      <c r="Q228" s="1287"/>
      <c r="R228" s="1287"/>
      <c r="S228" s="298"/>
      <c r="T228" s="1920"/>
      <c r="U228" s="265">
        <v>36</v>
      </c>
      <c r="V228" s="1287" t="s">
        <v>554</v>
      </c>
      <c r="W228" s="1287"/>
      <c r="X228" s="1287"/>
      <c r="Y228" s="102">
        <v>26</v>
      </c>
      <c r="Z228" s="253">
        <v>28</v>
      </c>
      <c r="AA228" s="253">
        <v>44</v>
      </c>
      <c r="AB228" s="253">
        <v>46</v>
      </c>
      <c r="AC228" s="273"/>
      <c r="AD228" s="273"/>
      <c r="AE228" s="273"/>
      <c r="AF228" s="273"/>
      <c r="AG228" s="100"/>
      <c r="AH228" s="265">
        <v>36</v>
      </c>
      <c r="AI228" s="1285" t="s">
        <v>555</v>
      </c>
      <c r="AJ228" s="1286"/>
      <c r="AK228" s="1761"/>
      <c r="AL228" s="253">
        <v>25</v>
      </c>
      <c r="AM228" s="253">
        <v>27</v>
      </c>
      <c r="AN228" s="253">
        <v>29</v>
      </c>
      <c r="AO228" s="253">
        <v>43</v>
      </c>
      <c r="AP228" s="253">
        <v>45</v>
      </c>
      <c r="AQ228" s="253">
        <v>47</v>
      </c>
      <c r="AR228" s="273"/>
      <c r="AS228" s="273"/>
      <c r="AW228" s="74"/>
      <c r="AX228" s="295"/>
      <c r="AY228" s="295"/>
      <c r="AZ228" s="55"/>
      <c r="BA228" s="295"/>
    </row>
    <row r="229" spans="2:53" s="11" customFormat="1" ht="48.75" customHeight="1">
      <c r="B229" s="1287"/>
      <c r="C229" s="257">
        <v>48</v>
      </c>
      <c r="D229" s="1285" t="s">
        <v>557</v>
      </c>
      <c r="E229" s="1286"/>
      <c r="F229" s="1761"/>
      <c r="G229" s="1285" t="s">
        <v>558</v>
      </c>
      <c r="H229" s="1286"/>
      <c r="I229" s="1761"/>
      <c r="J229" s="971"/>
      <c r="K229" s="1287"/>
      <c r="L229" s="257">
        <v>90</v>
      </c>
      <c r="M229" s="1287" t="s">
        <v>590</v>
      </c>
      <c r="N229" s="1287"/>
      <c r="O229" s="1287"/>
      <c r="P229" s="1287" t="s">
        <v>591</v>
      </c>
      <c r="Q229" s="1287"/>
      <c r="R229" s="1287"/>
      <c r="S229" s="298"/>
      <c r="T229" s="1920"/>
      <c r="U229" s="265">
        <v>42</v>
      </c>
      <c r="V229" s="1287" t="s">
        <v>556</v>
      </c>
      <c r="W229" s="1287"/>
      <c r="X229" s="1287"/>
      <c r="Y229" s="102">
        <v>32</v>
      </c>
      <c r="Z229" s="253">
        <v>33</v>
      </c>
      <c r="AA229" s="253">
        <v>34</v>
      </c>
      <c r="AB229" s="253">
        <v>50</v>
      </c>
      <c r="AC229" s="253">
        <v>52</v>
      </c>
      <c r="AD229" s="273"/>
      <c r="AE229" s="273"/>
      <c r="AF229" s="273"/>
      <c r="AG229" s="100"/>
      <c r="AH229" s="265">
        <v>42</v>
      </c>
      <c r="AI229" s="1285" t="s">
        <v>175</v>
      </c>
      <c r="AJ229" s="1286"/>
      <c r="AK229" s="1761"/>
      <c r="AL229" s="273"/>
      <c r="AM229" s="273"/>
      <c r="AN229" s="273"/>
      <c r="AO229" s="273"/>
      <c r="AP229" s="273"/>
      <c r="AQ229" s="273"/>
      <c r="AR229" s="273"/>
      <c r="AS229" s="273"/>
      <c r="AW229" s="74"/>
      <c r="AX229" s="295"/>
      <c r="AY229" s="295"/>
      <c r="AZ229" s="55"/>
      <c r="BA229" s="295"/>
    </row>
    <row r="230" spans="2:53" s="11" customFormat="1" ht="48.75" customHeight="1" thickBot="1">
      <c r="B230" s="1287">
        <v>4</v>
      </c>
      <c r="C230" s="257">
        <v>12</v>
      </c>
      <c r="D230" s="1761" t="s">
        <v>620</v>
      </c>
      <c r="E230" s="1287"/>
      <c r="F230" s="1287"/>
      <c r="G230" s="1287" t="s">
        <v>625</v>
      </c>
      <c r="H230" s="1287"/>
      <c r="I230" s="1287"/>
      <c r="J230" s="971"/>
      <c r="K230" s="1287"/>
      <c r="L230" s="257">
        <v>108</v>
      </c>
      <c r="M230" s="1287" t="s">
        <v>592</v>
      </c>
      <c r="N230" s="1287"/>
      <c r="O230" s="1287"/>
      <c r="P230" s="1287" t="s">
        <v>593</v>
      </c>
      <c r="Q230" s="1287"/>
      <c r="R230" s="1287"/>
      <c r="S230" s="298"/>
      <c r="T230" s="2022"/>
      <c r="U230" s="272">
        <v>48</v>
      </c>
      <c r="V230" s="1906" t="s">
        <v>557</v>
      </c>
      <c r="W230" s="1906"/>
      <c r="X230" s="1906"/>
      <c r="Y230" s="106">
        <v>38</v>
      </c>
      <c r="Z230" s="99">
        <v>40</v>
      </c>
      <c r="AA230" s="99">
        <v>56</v>
      </c>
      <c r="AB230" s="99">
        <v>58</v>
      </c>
      <c r="AC230" s="107"/>
      <c r="AD230" s="107"/>
      <c r="AE230" s="107"/>
      <c r="AF230" s="107"/>
      <c r="AG230" s="100"/>
      <c r="AH230" s="272">
        <v>48</v>
      </c>
      <c r="AI230" s="2008" t="s">
        <v>558</v>
      </c>
      <c r="AJ230" s="2009"/>
      <c r="AK230" s="2010"/>
      <c r="AL230" s="253">
        <v>37</v>
      </c>
      <c r="AM230" s="253">
        <v>39</v>
      </c>
      <c r="AN230" s="253">
        <v>41</v>
      </c>
      <c r="AO230" s="253">
        <v>55</v>
      </c>
      <c r="AP230" s="253">
        <v>57</v>
      </c>
      <c r="AQ230" s="253">
        <v>59</v>
      </c>
      <c r="AR230" s="273"/>
      <c r="AS230" s="273"/>
      <c r="AW230" s="74"/>
      <c r="AX230" s="295"/>
      <c r="AY230" s="295"/>
      <c r="AZ230" s="55"/>
      <c r="BA230" s="295"/>
    </row>
    <row r="231" spans="2:53" s="11" customFormat="1" ht="48.75" customHeight="1">
      <c r="B231" s="1287"/>
      <c r="C231" s="257">
        <v>18</v>
      </c>
      <c r="D231" s="1761" t="s">
        <v>626</v>
      </c>
      <c r="E231" s="1287"/>
      <c r="F231" s="1287"/>
      <c r="G231" s="1287" t="s">
        <v>627</v>
      </c>
      <c r="H231" s="1287"/>
      <c r="I231" s="1287"/>
      <c r="J231" s="971"/>
      <c r="K231" s="1287"/>
      <c r="L231" s="257">
        <v>144</v>
      </c>
      <c r="M231" s="1287" t="s">
        <v>594</v>
      </c>
      <c r="N231" s="1287"/>
      <c r="O231" s="1287"/>
      <c r="P231" s="1287" t="s">
        <v>595</v>
      </c>
      <c r="Q231" s="1287"/>
      <c r="R231" s="1287"/>
      <c r="S231" s="298"/>
      <c r="T231" s="1905">
        <v>4</v>
      </c>
      <c r="U231" s="108">
        <v>12</v>
      </c>
      <c r="V231" s="1905" t="s">
        <v>620</v>
      </c>
      <c r="W231" s="1905"/>
      <c r="X231" s="1905"/>
      <c r="Y231" s="98">
        <v>9</v>
      </c>
      <c r="Z231" s="109"/>
      <c r="AA231" s="109"/>
      <c r="AB231" s="109"/>
      <c r="AC231" s="109"/>
      <c r="AD231" s="109"/>
      <c r="AE231" s="109"/>
      <c r="AF231" s="273"/>
      <c r="AG231" s="100"/>
      <c r="AH231" s="108">
        <v>12</v>
      </c>
      <c r="AI231" s="1921" t="s">
        <v>625</v>
      </c>
      <c r="AJ231" s="1921"/>
      <c r="AK231" s="1921"/>
      <c r="AL231" s="97">
        <v>15</v>
      </c>
      <c r="AM231" s="97"/>
      <c r="AN231" s="97"/>
      <c r="AO231" s="280"/>
      <c r="AP231" s="280"/>
      <c r="AQ231" s="280"/>
      <c r="AR231" s="280"/>
      <c r="AS231" s="280"/>
      <c r="AW231" s="74"/>
      <c r="AX231" s="295"/>
      <c r="AY231" s="295"/>
      <c r="AZ231" s="55"/>
      <c r="BA231" s="295"/>
    </row>
    <row r="232" spans="2:53" s="11" customFormat="1" ht="48.75" customHeight="1">
      <c r="B232" s="1287"/>
      <c r="C232" s="257">
        <v>24</v>
      </c>
      <c r="D232" s="1761" t="s">
        <v>628</v>
      </c>
      <c r="E232" s="1287"/>
      <c r="F232" s="1287"/>
      <c r="G232" s="1287" t="s">
        <v>598</v>
      </c>
      <c r="H232" s="1287"/>
      <c r="I232" s="1287"/>
      <c r="J232" s="971"/>
      <c r="K232" s="1287">
        <v>14</v>
      </c>
      <c r="L232" s="1287">
        <v>84</v>
      </c>
      <c r="M232" s="1287" t="s">
        <v>577</v>
      </c>
      <c r="N232" s="1287"/>
      <c r="O232" s="1287"/>
      <c r="P232" s="1287" t="s">
        <v>604</v>
      </c>
      <c r="Q232" s="1287"/>
      <c r="R232" s="1287"/>
      <c r="S232" s="298"/>
      <c r="T232" s="1287"/>
      <c r="U232" s="265">
        <v>18</v>
      </c>
      <c r="V232" s="1287" t="s">
        <v>626</v>
      </c>
      <c r="W232" s="1287"/>
      <c r="X232" s="1287"/>
      <c r="Y232" s="253">
        <v>10</v>
      </c>
      <c r="Z232" s="253">
        <v>14</v>
      </c>
      <c r="AA232" s="273"/>
      <c r="AB232" s="273"/>
      <c r="AC232" s="273"/>
      <c r="AD232" s="273"/>
      <c r="AE232" s="273"/>
      <c r="AF232" s="273"/>
      <c r="AG232" s="100"/>
      <c r="AH232" s="265">
        <v>18</v>
      </c>
      <c r="AI232" s="1287" t="s">
        <v>627</v>
      </c>
      <c r="AJ232" s="1287"/>
      <c r="AK232" s="1287"/>
      <c r="AL232" s="253">
        <v>18</v>
      </c>
      <c r="AM232" s="253">
        <v>22</v>
      </c>
      <c r="AN232" s="253"/>
      <c r="AO232" s="10"/>
      <c r="AP232" s="10"/>
      <c r="AQ232" s="10"/>
      <c r="AR232" s="10"/>
      <c r="AS232" s="10"/>
      <c r="AW232" s="74"/>
      <c r="AX232" s="295"/>
      <c r="AY232" s="295"/>
      <c r="AZ232" s="55"/>
      <c r="BA232" s="295"/>
    </row>
    <row r="233" spans="2:53" s="11" customFormat="1" ht="48.75" customHeight="1">
      <c r="B233" s="1287"/>
      <c r="C233" s="257">
        <v>36</v>
      </c>
      <c r="D233" s="1761" t="s">
        <v>571</v>
      </c>
      <c r="E233" s="1287"/>
      <c r="F233" s="1287"/>
      <c r="G233" s="1287" t="s">
        <v>599</v>
      </c>
      <c r="H233" s="1287"/>
      <c r="I233" s="1287"/>
      <c r="J233" s="971"/>
      <c r="K233" s="1287"/>
      <c r="L233" s="1287"/>
      <c r="M233" s="1287"/>
      <c r="N233" s="1287"/>
      <c r="O233" s="1287"/>
      <c r="P233" s="1287"/>
      <c r="Q233" s="1287"/>
      <c r="R233" s="1287"/>
      <c r="S233" s="298"/>
      <c r="T233" s="1287"/>
      <c r="U233" s="265">
        <v>24</v>
      </c>
      <c r="V233" s="1287" t="s">
        <v>628</v>
      </c>
      <c r="W233" s="1287"/>
      <c r="X233" s="1287"/>
      <c r="Y233" s="253">
        <v>15</v>
      </c>
      <c r="Z233" s="253">
        <v>16</v>
      </c>
      <c r="AA233" s="253">
        <v>17</v>
      </c>
      <c r="AB233" s="253">
        <v>32</v>
      </c>
      <c r="AC233" s="273"/>
      <c r="AD233" s="273"/>
      <c r="AE233" s="273"/>
      <c r="AF233" s="273"/>
      <c r="AG233" s="100"/>
      <c r="AH233" s="265">
        <v>24</v>
      </c>
      <c r="AI233" s="1287" t="s">
        <v>598</v>
      </c>
      <c r="AJ233" s="1287"/>
      <c r="AK233" s="1287"/>
      <c r="AL233" s="322">
        <v>16</v>
      </c>
      <c r="AM233" s="322">
        <v>18</v>
      </c>
      <c r="AN233" s="322">
        <v>20</v>
      </c>
      <c r="AO233" s="322">
        <v>30</v>
      </c>
      <c r="AP233" s="322">
        <v>33</v>
      </c>
      <c r="AQ233" s="322">
        <v>34</v>
      </c>
      <c r="AR233" s="322">
        <v>35</v>
      </c>
      <c r="AS233" s="322">
        <v>36</v>
      </c>
      <c r="AW233" s="74"/>
      <c r="AX233" s="295"/>
      <c r="AY233" s="295"/>
      <c r="AZ233" s="55"/>
      <c r="BA233" s="295"/>
    </row>
    <row r="234" spans="2:53" s="11" customFormat="1" ht="48.75" customHeight="1">
      <c r="B234" s="1287"/>
      <c r="C234" s="257">
        <v>42</v>
      </c>
      <c r="D234" s="1761" t="s">
        <v>572</v>
      </c>
      <c r="E234" s="1287"/>
      <c r="F234" s="1287"/>
      <c r="G234" s="1287" t="s">
        <v>600</v>
      </c>
      <c r="H234" s="1287"/>
      <c r="I234" s="1287"/>
      <c r="J234" s="971"/>
      <c r="K234" s="1287"/>
      <c r="L234" s="1287">
        <v>126</v>
      </c>
      <c r="M234" s="1287" t="s">
        <v>603</v>
      </c>
      <c r="N234" s="1287"/>
      <c r="O234" s="1287"/>
      <c r="P234" s="1287" t="s">
        <v>605</v>
      </c>
      <c r="Q234" s="1287"/>
      <c r="R234" s="1287"/>
      <c r="S234" s="298"/>
      <c r="T234" s="1287"/>
      <c r="U234" s="265">
        <v>36</v>
      </c>
      <c r="V234" s="1287" t="s">
        <v>571</v>
      </c>
      <c r="W234" s="1287"/>
      <c r="X234" s="1287"/>
      <c r="Y234" s="253">
        <v>26</v>
      </c>
      <c r="Z234" s="253">
        <v>44</v>
      </c>
      <c r="AA234" s="253">
        <v>46</v>
      </c>
      <c r="AB234" s="273"/>
      <c r="AC234" s="273"/>
      <c r="AD234" s="273"/>
      <c r="AE234" s="273"/>
      <c r="AF234" s="273"/>
      <c r="AG234" s="100"/>
      <c r="AH234" s="265">
        <v>36</v>
      </c>
      <c r="AI234" s="1287" t="s">
        <v>599</v>
      </c>
      <c r="AJ234" s="1287"/>
      <c r="AK234" s="1287"/>
      <c r="AL234" s="322">
        <v>24</v>
      </c>
      <c r="AM234" s="322">
        <v>27</v>
      </c>
      <c r="AN234" s="322">
        <v>28</v>
      </c>
      <c r="AO234" s="322">
        <v>30</v>
      </c>
      <c r="AP234" s="322">
        <v>32</v>
      </c>
      <c r="AQ234" s="322">
        <v>34</v>
      </c>
      <c r="AR234" s="322">
        <v>45</v>
      </c>
      <c r="AS234" s="322">
        <v>48</v>
      </c>
      <c r="AW234" s="74"/>
      <c r="AX234" s="295"/>
      <c r="AY234" s="295"/>
      <c r="AZ234" s="55"/>
      <c r="BA234" s="295"/>
    </row>
    <row r="235" spans="2:53" s="11" customFormat="1" ht="48.75" customHeight="1">
      <c r="B235" s="1287"/>
      <c r="C235" s="257">
        <v>48</v>
      </c>
      <c r="D235" s="1761" t="s">
        <v>573</v>
      </c>
      <c r="E235" s="1287"/>
      <c r="F235" s="1287"/>
      <c r="G235" s="1287" t="s">
        <v>601</v>
      </c>
      <c r="H235" s="1287"/>
      <c r="I235" s="1287"/>
      <c r="J235" s="971"/>
      <c r="K235" s="1287"/>
      <c r="L235" s="1287"/>
      <c r="M235" s="1287"/>
      <c r="N235" s="1287"/>
      <c r="O235" s="1287"/>
      <c r="P235" s="1287"/>
      <c r="Q235" s="1287"/>
      <c r="R235" s="1287"/>
      <c r="S235" s="298"/>
      <c r="T235" s="1287"/>
      <c r="U235" s="265">
        <v>42</v>
      </c>
      <c r="V235" s="1287" t="s">
        <v>572</v>
      </c>
      <c r="W235" s="1287"/>
      <c r="X235" s="1287"/>
      <c r="Y235" s="253">
        <v>34</v>
      </c>
      <c r="Z235" s="253">
        <v>50</v>
      </c>
      <c r="AA235" s="253">
        <v>52</v>
      </c>
      <c r="AB235" s="253">
        <v>54</v>
      </c>
      <c r="AC235" s="273"/>
      <c r="AD235" s="273"/>
      <c r="AE235" s="273"/>
      <c r="AF235" s="273"/>
      <c r="AG235" s="100"/>
      <c r="AH235" s="265">
        <v>42</v>
      </c>
      <c r="AI235" s="1287" t="s">
        <v>600</v>
      </c>
      <c r="AJ235" s="1287"/>
      <c r="AK235" s="1287"/>
      <c r="AL235" s="322">
        <v>33</v>
      </c>
      <c r="AM235" s="322">
        <v>34</v>
      </c>
      <c r="AN235" s="322">
        <v>38</v>
      </c>
      <c r="AO235" s="322">
        <v>51</v>
      </c>
      <c r="AP235" s="322">
        <v>53</v>
      </c>
      <c r="AQ235" s="128"/>
      <c r="AR235" s="128"/>
      <c r="AS235" s="128"/>
      <c r="AW235" s="74"/>
      <c r="AX235" s="295"/>
      <c r="AY235" s="295"/>
      <c r="AZ235" s="55"/>
      <c r="BA235" s="295"/>
    </row>
    <row r="236" spans="2:53" s="11" customFormat="1" ht="48.75" customHeight="1">
      <c r="B236" s="1287"/>
      <c r="C236" s="257">
        <v>60</v>
      </c>
      <c r="D236" s="1761" t="s">
        <v>574</v>
      </c>
      <c r="E236" s="1287"/>
      <c r="F236" s="1287"/>
      <c r="G236" s="1287" t="s">
        <v>602</v>
      </c>
      <c r="H236" s="1287"/>
      <c r="I236" s="1287"/>
      <c r="J236" s="971"/>
      <c r="K236" s="1287">
        <v>16</v>
      </c>
      <c r="L236" s="1287">
        <v>96</v>
      </c>
      <c r="M236" s="1287" t="s">
        <v>607</v>
      </c>
      <c r="N236" s="1287"/>
      <c r="O236" s="1287"/>
      <c r="P236" s="1287">
        <v>90.102000000000004</v>
      </c>
      <c r="Q236" s="1287"/>
      <c r="R236" s="1287"/>
      <c r="S236" s="299"/>
      <c r="T236" s="1287"/>
      <c r="U236" s="265">
        <v>48</v>
      </c>
      <c r="V236" s="1287" t="s">
        <v>573</v>
      </c>
      <c r="W236" s="1287"/>
      <c r="X236" s="1287"/>
      <c r="Y236" s="253">
        <v>34</v>
      </c>
      <c r="Z236" s="253">
        <v>38</v>
      </c>
      <c r="AA236" s="253">
        <v>56</v>
      </c>
      <c r="AB236" s="253">
        <v>58</v>
      </c>
      <c r="AC236" s="253">
        <v>62</v>
      </c>
      <c r="AD236" s="253">
        <v>64</v>
      </c>
      <c r="AE236" s="273"/>
      <c r="AF236" s="273"/>
      <c r="AG236" s="100"/>
      <c r="AH236" s="265">
        <v>48</v>
      </c>
      <c r="AI236" s="1287" t="s">
        <v>601</v>
      </c>
      <c r="AJ236" s="1287"/>
      <c r="AK236" s="1287"/>
      <c r="AL236" s="322">
        <v>36</v>
      </c>
      <c r="AM236" s="322">
        <v>38</v>
      </c>
      <c r="AN236" s="322">
        <v>39</v>
      </c>
      <c r="AO236" s="322">
        <v>40</v>
      </c>
      <c r="AP236" s="322">
        <v>44</v>
      </c>
      <c r="AQ236" s="322">
        <v>57</v>
      </c>
      <c r="AR236" s="322">
        <v>59</v>
      </c>
      <c r="AS236" s="128"/>
      <c r="AW236" s="74"/>
      <c r="AX236" s="295"/>
      <c r="AY236" s="295"/>
      <c r="AZ236" s="55"/>
      <c r="BA236" s="295"/>
    </row>
    <row r="237" spans="2:53" s="11" customFormat="1" ht="48.75" customHeight="1">
      <c r="B237" s="1287"/>
      <c r="C237" s="257">
        <v>72</v>
      </c>
      <c r="D237" s="1761" t="s">
        <v>575</v>
      </c>
      <c r="E237" s="1287"/>
      <c r="F237" s="1287"/>
      <c r="G237" s="1287" t="s">
        <v>576</v>
      </c>
      <c r="H237" s="1287"/>
      <c r="I237" s="1287"/>
      <c r="J237" s="971"/>
      <c r="K237" s="1287"/>
      <c r="L237" s="1287"/>
      <c r="M237" s="1287"/>
      <c r="N237" s="1287"/>
      <c r="O237" s="1287"/>
      <c r="P237" s="1287"/>
      <c r="Q237" s="1287"/>
      <c r="R237" s="1287"/>
      <c r="S237" s="299"/>
      <c r="T237" s="1287"/>
      <c r="U237" s="265">
        <v>60</v>
      </c>
      <c r="V237" s="1287" t="s">
        <v>574</v>
      </c>
      <c r="W237" s="1287"/>
      <c r="X237" s="1287"/>
      <c r="Y237" s="253">
        <v>50</v>
      </c>
      <c r="Z237" s="253">
        <v>52</v>
      </c>
      <c r="AA237" s="253">
        <v>68</v>
      </c>
      <c r="AB237" s="253">
        <v>70</v>
      </c>
      <c r="AC237" s="253">
        <v>74</v>
      </c>
      <c r="AD237" s="273"/>
      <c r="AE237" s="273"/>
      <c r="AF237" s="273"/>
      <c r="AG237" s="100"/>
      <c r="AH237" s="265">
        <v>60</v>
      </c>
      <c r="AI237" s="1287" t="s">
        <v>602</v>
      </c>
      <c r="AJ237" s="1287"/>
      <c r="AK237" s="1287"/>
      <c r="AL237" s="322"/>
      <c r="AM237" s="322"/>
      <c r="AN237" s="322"/>
      <c r="AO237" s="322"/>
      <c r="AP237" s="322"/>
      <c r="AQ237" s="322"/>
      <c r="AR237" s="322"/>
      <c r="AS237" s="322"/>
      <c r="AW237" s="74"/>
      <c r="AX237" s="295"/>
      <c r="AY237" s="295"/>
      <c r="AZ237" s="55"/>
      <c r="BA237" s="295"/>
    </row>
    <row r="238" spans="2:53" s="11" customFormat="1" ht="48.75" customHeight="1" thickBot="1">
      <c r="B238" s="1287">
        <v>6</v>
      </c>
      <c r="C238" s="257">
        <v>36</v>
      </c>
      <c r="D238" s="1287" t="s">
        <v>559</v>
      </c>
      <c r="E238" s="1287"/>
      <c r="F238" s="1287"/>
      <c r="G238" s="1287" t="s">
        <v>629</v>
      </c>
      <c r="H238" s="1287"/>
      <c r="I238" s="1287"/>
      <c r="J238" s="971"/>
      <c r="K238" s="1287"/>
      <c r="L238" s="1287">
        <v>144</v>
      </c>
      <c r="M238" s="1287" t="s">
        <v>606</v>
      </c>
      <c r="N238" s="1287"/>
      <c r="O238" s="1287"/>
      <c r="P238" s="1287" t="s">
        <v>578</v>
      </c>
      <c r="Q238" s="1287"/>
      <c r="R238" s="1287"/>
      <c r="S238" s="299"/>
      <c r="T238" s="1906"/>
      <c r="U238" s="272">
        <v>72</v>
      </c>
      <c r="V238" s="1906" t="s">
        <v>575</v>
      </c>
      <c r="W238" s="1906"/>
      <c r="X238" s="1906"/>
      <c r="Y238" s="99">
        <v>62</v>
      </c>
      <c r="Z238" s="99">
        <v>64</v>
      </c>
      <c r="AA238" s="99">
        <v>80</v>
      </c>
      <c r="AB238" s="99">
        <v>82</v>
      </c>
      <c r="AC238" s="99">
        <v>86</v>
      </c>
      <c r="AD238" s="107"/>
      <c r="AE238" s="107"/>
      <c r="AF238" s="107"/>
      <c r="AG238" s="100"/>
      <c r="AH238" s="272">
        <v>72</v>
      </c>
      <c r="AI238" s="1906" t="s">
        <v>576</v>
      </c>
      <c r="AJ238" s="1906"/>
      <c r="AK238" s="1906"/>
      <c r="AL238" s="99"/>
      <c r="AM238" s="99"/>
      <c r="AN238" s="99"/>
      <c r="AO238" s="99"/>
      <c r="AP238" s="99"/>
      <c r="AQ238" s="99"/>
      <c r="AR238" s="99"/>
      <c r="AS238" s="99"/>
      <c r="AW238" s="74"/>
      <c r="AX238" s="295"/>
      <c r="AY238" s="295"/>
      <c r="AZ238" s="55"/>
      <c r="BA238" s="295"/>
    </row>
    <row r="239" spans="2:53" s="11" customFormat="1" ht="48.75" customHeight="1">
      <c r="B239" s="1287"/>
      <c r="C239" s="257">
        <v>54</v>
      </c>
      <c r="D239" s="1287" t="s">
        <v>560</v>
      </c>
      <c r="E239" s="1287"/>
      <c r="F239" s="1287"/>
      <c r="G239" s="1287" t="s">
        <v>561</v>
      </c>
      <c r="H239" s="1287"/>
      <c r="I239" s="1287"/>
      <c r="J239" s="971"/>
      <c r="K239" s="1287"/>
      <c r="L239" s="1287"/>
      <c r="M239" s="1287"/>
      <c r="N239" s="1287"/>
      <c r="O239" s="1287"/>
      <c r="P239" s="1287"/>
      <c r="Q239" s="1287"/>
      <c r="R239" s="1287"/>
      <c r="S239" s="299"/>
      <c r="T239" s="1905">
        <v>6</v>
      </c>
      <c r="U239" s="271">
        <v>36</v>
      </c>
      <c r="V239" s="1905" t="s">
        <v>559</v>
      </c>
      <c r="W239" s="1905"/>
      <c r="X239" s="1905"/>
      <c r="Y239" s="98">
        <v>26</v>
      </c>
      <c r="Z239" s="98">
        <v>46</v>
      </c>
      <c r="AA239" s="98">
        <v>48</v>
      </c>
      <c r="AB239" s="109"/>
      <c r="AC239" s="109"/>
      <c r="AD239" s="109"/>
      <c r="AE239" s="109"/>
      <c r="AF239" s="273"/>
      <c r="AG239" s="100"/>
      <c r="AH239" s="271">
        <v>36</v>
      </c>
      <c r="AI239" s="1921" t="s">
        <v>629</v>
      </c>
      <c r="AJ239" s="1921"/>
      <c r="AK239" s="1921"/>
      <c r="AL239" s="97"/>
      <c r="AM239" s="97"/>
      <c r="AN239" s="97"/>
      <c r="AO239" s="280"/>
      <c r="AP239" s="280"/>
      <c r="AQ239" s="280"/>
      <c r="AR239" s="280"/>
      <c r="AS239" s="280"/>
      <c r="AW239" s="74"/>
      <c r="AX239" s="295"/>
      <c r="AY239" s="295"/>
      <c r="AZ239" s="55"/>
      <c r="BA239" s="295"/>
    </row>
    <row r="240" spans="2:53" s="11" customFormat="1" ht="48.75" customHeight="1">
      <c r="B240" s="1287"/>
      <c r="C240" s="257">
        <v>72</v>
      </c>
      <c r="D240" s="1287" t="s">
        <v>579</v>
      </c>
      <c r="E240" s="1287"/>
      <c r="F240" s="1287"/>
      <c r="G240" s="1287" t="s">
        <v>580</v>
      </c>
      <c r="H240" s="1287"/>
      <c r="I240" s="1287"/>
      <c r="J240" s="971"/>
      <c r="K240" s="82"/>
      <c r="L240" s="83"/>
      <c r="M240" s="83"/>
      <c r="N240" s="83"/>
      <c r="O240" s="83"/>
      <c r="P240" s="83"/>
      <c r="Q240" s="83"/>
      <c r="R240" s="84"/>
      <c r="S240" s="299"/>
      <c r="T240" s="1287"/>
      <c r="U240" s="257">
        <v>54</v>
      </c>
      <c r="V240" s="1287" t="s">
        <v>560</v>
      </c>
      <c r="W240" s="1287"/>
      <c r="X240" s="1287"/>
      <c r="Y240" s="253">
        <v>44</v>
      </c>
      <c r="Z240" s="253">
        <v>64</v>
      </c>
      <c r="AA240" s="253">
        <v>66</v>
      </c>
      <c r="AB240" s="253">
        <v>68</v>
      </c>
      <c r="AC240" s="273"/>
      <c r="AD240" s="273"/>
      <c r="AE240" s="273"/>
      <c r="AF240" s="273"/>
      <c r="AG240" s="100"/>
      <c r="AH240" s="257">
        <v>54</v>
      </c>
      <c r="AI240" s="1287" t="s">
        <v>561</v>
      </c>
      <c r="AJ240" s="1287"/>
      <c r="AK240" s="1287"/>
      <c r="AL240" s="253"/>
      <c r="AM240" s="253"/>
      <c r="AN240" s="253"/>
      <c r="AO240" s="10"/>
      <c r="AP240" s="10"/>
      <c r="AQ240" s="10"/>
      <c r="AR240" s="10"/>
      <c r="AS240" s="10"/>
      <c r="AW240" s="74"/>
      <c r="AX240" s="295"/>
      <c r="AY240" s="295"/>
      <c r="AZ240" s="55"/>
      <c r="BA240" s="295"/>
    </row>
    <row r="241" spans="2:53" s="11" customFormat="1" ht="48.75" customHeight="1">
      <c r="B241" s="1287"/>
      <c r="C241" s="257">
        <v>90</v>
      </c>
      <c r="D241" s="1287" t="s">
        <v>581</v>
      </c>
      <c r="E241" s="1287"/>
      <c r="F241" s="1287"/>
      <c r="G241" s="1287" t="s">
        <v>582</v>
      </c>
      <c r="H241" s="1287"/>
      <c r="I241" s="1287"/>
      <c r="J241" s="972"/>
      <c r="K241" s="85"/>
      <c r="L241" s="86"/>
      <c r="M241" s="86"/>
      <c r="N241" s="86"/>
      <c r="O241" s="86"/>
      <c r="P241" s="86"/>
      <c r="Q241" s="86"/>
      <c r="R241" s="87"/>
      <c r="S241" s="299"/>
      <c r="T241" s="1287"/>
      <c r="U241" s="257">
        <v>72</v>
      </c>
      <c r="V241" s="1287" t="s">
        <v>579</v>
      </c>
      <c r="W241" s="1287"/>
      <c r="X241" s="1287"/>
      <c r="Y241" s="253">
        <v>56</v>
      </c>
      <c r="Z241" s="253">
        <v>62</v>
      </c>
      <c r="AA241" s="253">
        <v>82</v>
      </c>
      <c r="AB241" s="253">
        <v>84</v>
      </c>
      <c r="AC241" s="253">
        <v>86</v>
      </c>
      <c r="AD241" s="253">
        <v>88</v>
      </c>
      <c r="AE241" s="273"/>
      <c r="AF241" s="273"/>
      <c r="AG241" s="100"/>
      <c r="AH241" s="257">
        <v>72</v>
      </c>
      <c r="AI241" s="1287" t="s">
        <v>580</v>
      </c>
      <c r="AJ241" s="1287"/>
      <c r="AK241" s="1287"/>
      <c r="AL241" s="253"/>
      <c r="AM241" s="253"/>
      <c r="AN241" s="253"/>
      <c r="AO241" s="10"/>
      <c r="AP241" s="10"/>
      <c r="AQ241" s="10"/>
      <c r="AR241" s="10"/>
      <c r="AS241" s="10"/>
      <c r="AW241" s="74"/>
      <c r="AX241" s="295"/>
      <c r="AY241" s="295"/>
      <c r="AZ241" s="55"/>
      <c r="BA241" s="295"/>
    </row>
    <row r="242" spans="2:53" s="11" customFormat="1" ht="48.75" customHeight="1" thickBot="1">
      <c r="S242" s="299"/>
      <c r="T242" s="1906"/>
      <c r="U242" s="267">
        <v>90</v>
      </c>
      <c r="V242" s="1906" t="s">
        <v>581</v>
      </c>
      <c r="W242" s="1906"/>
      <c r="X242" s="1906"/>
      <c r="Y242" s="99">
        <v>74</v>
      </c>
      <c r="Z242" s="99">
        <v>76</v>
      </c>
      <c r="AA242" s="99">
        <v>78</v>
      </c>
      <c r="AB242" s="99">
        <v>80</v>
      </c>
      <c r="AC242" s="99">
        <v>100</v>
      </c>
      <c r="AD242" s="99">
        <v>102</v>
      </c>
      <c r="AE242" s="99">
        <v>104</v>
      </c>
      <c r="AF242" s="107"/>
      <c r="AG242" s="100"/>
      <c r="AH242" s="267">
        <v>90</v>
      </c>
      <c r="AI242" s="1906" t="s">
        <v>582</v>
      </c>
      <c r="AJ242" s="1906"/>
      <c r="AK242" s="1906"/>
      <c r="AL242" s="300"/>
      <c r="AM242" s="300"/>
      <c r="AN242" s="300"/>
      <c r="AO242" s="300"/>
      <c r="AP242" s="300"/>
      <c r="AQ242" s="300"/>
      <c r="AR242" s="300"/>
      <c r="AS242" s="300"/>
      <c r="AW242" s="74"/>
      <c r="AX242" s="295"/>
      <c r="AY242" s="295"/>
      <c r="AZ242" s="55"/>
      <c r="BA242" s="295"/>
    </row>
    <row r="243" spans="2:53" s="11" customFormat="1" ht="48.75" customHeight="1">
      <c r="S243" s="299"/>
      <c r="T243" s="1921">
        <v>8</v>
      </c>
      <c r="U243" s="269">
        <v>48</v>
      </c>
      <c r="V243" s="1921" t="s">
        <v>562</v>
      </c>
      <c r="W243" s="1921"/>
      <c r="X243" s="1921"/>
      <c r="Y243" s="97">
        <v>34</v>
      </c>
      <c r="Z243" s="97">
        <v>36</v>
      </c>
      <c r="AA243" s="97">
        <v>44</v>
      </c>
      <c r="AB243" s="97">
        <v>62</v>
      </c>
      <c r="AC243" s="97">
        <v>64</v>
      </c>
      <c r="AD243" s="273"/>
      <c r="AE243" s="273"/>
      <c r="AF243" s="273"/>
      <c r="AG243" s="100"/>
      <c r="AH243" s="269">
        <v>48</v>
      </c>
      <c r="AI243" s="1921" t="s">
        <v>563</v>
      </c>
      <c r="AJ243" s="1921"/>
      <c r="AK243" s="1921"/>
      <c r="AL243" s="97"/>
      <c r="AM243" s="97"/>
      <c r="AN243" s="97"/>
      <c r="AO243" s="280"/>
      <c r="AP243" s="280"/>
      <c r="AQ243" s="280"/>
      <c r="AR243" s="280"/>
      <c r="AS243" s="280"/>
      <c r="AW243" s="74"/>
      <c r="AX243" s="295"/>
      <c r="AY243" s="295"/>
      <c r="AZ243" s="55"/>
      <c r="BA243" s="295"/>
    </row>
    <row r="244" spans="2:53" s="11" customFormat="1" ht="48.75" customHeight="1">
      <c r="S244" s="299"/>
      <c r="T244" s="1287"/>
      <c r="U244" s="257">
        <v>72</v>
      </c>
      <c r="V244" s="1287" t="s">
        <v>564</v>
      </c>
      <c r="W244" s="1287"/>
      <c r="X244" s="1287"/>
      <c r="Y244" s="253">
        <v>56</v>
      </c>
      <c r="Z244" s="253">
        <v>58</v>
      </c>
      <c r="AA244" s="253">
        <v>86</v>
      </c>
      <c r="AB244" s="253">
        <v>88</v>
      </c>
      <c r="AC244" s="253">
        <v>90</v>
      </c>
      <c r="AD244" s="273"/>
      <c r="AE244" s="273"/>
      <c r="AF244" s="273"/>
      <c r="AG244" s="100"/>
      <c r="AH244" s="257">
        <v>72</v>
      </c>
      <c r="AI244" s="1287" t="s">
        <v>565</v>
      </c>
      <c r="AJ244" s="1287"/>
      <c r="AK244" s="1287"/>
      <c r="AL244" s="253"/>
      <c r="AM244" s="253"/>
      <c r="AN244" s="253"/>
      <c r="AO244" s="10"/>
      <c r="AP244" s="10"/>
      <c r="AQ244" s="10"/>
      <c r="AR244" s="10"/>
      <c r="AS244" s="10"/>
      <c r="AW244" s="74"/>
      <c r="AX244" s="295"/>
      <c r="AY244" s="295"/>
      <c r="AZ244" s="55"/>
      <c r="BA244" s="295"/>
    </row>
    <row r="245" spans="2:53" s="11" customFormat="1" ht="48.75" customHeight="1">
      <c r="B245" s="1121" t="s">
        <v>737</v>
      </c>
      <c r="C245" s="1122"/>
      <c r="D245" s="1122"/>
      <c r="E245" s="1122"/>
      <c r="F245" s="1122"/>
      <c r="G245" s="1122"/>
      <c r="H245" s="1123"/>
      <c r="I245" s="259"/>
      <c r="T245" s="1287"/>
      <c r="U245" s="257">
        <v>84</v>
      </c>
      <c r="V245" s="1287" t="s">
        <v>583</v>
      </c>
      <c r="W245" s="1287"/>
      <c r="X245" s="1287"/>
      <c r="Y245" s="253">
        <v>66</v>
      </c>
      <c r="Z245" s="253">
        <v>68</v>
      </c>
      <c r="AA245" s="253">
        <v>70</v>
      </c>
      <c r="AB245" s="253">
        <v>98</v>
      </c>
      <c r="AC245" s="253">
        <v>100</v>
      </c>
      <c r="AD245" s="253">
        <v>102</v>
      </c>
      <c r="AE245" s="253">
        <v>104</v>
      </c>
      <c r="AF245" s="273"/>
      <c r="AG245" s="100"/>
      <c r="AH245" s="257">
        <v>84</v>
      </c>
      <c r="AI245" s="1287" t="s">
        <v>584</v>
      </c>
      <c r="AJ245" s="1287"/>
      <c r="AK245" s="1287"/>
      <c r="AL245" s="253"/>
      <c r="AM245" s="253"/>
      <c r="AN245" s="253"/>
      <c r="AO245" s="10"/>
      <c r="AP245" s="10"/>
      <c r="AQ245" s="10"/>
      <c r="AR245" s="10"/>
      <c r="AS245" s="10"/>
      <c r="AW245" s="74"/>
      <c r="AX245" s="295"/>
      <c r="AY245" s="295"/>
      <c r="AZ245" s="55"/>
      <c r="BA245" s="295"/>
    </row>
    <row r="246" spans="2:53" s="11" customFormat="1" ht="48.75" customHeight="1">
      <c r="B246" s="257" t="s">
        <v>512</v>
      </c>
      <c r="C246" s="257" t="s">
        <v>609</v>
      </c>
      <c r="D246" s="257" t="s">
        <v>610</v>
      </c>
      <c r="E246" s="1287" t="s">
        <v>520</v>
      </c>
      <c r="F246" s="1287"/>
      <c r="G246" s="1287" t="s">
        <v>611</v>
      </c>
      <c r="H246" s="1287"/>
      <c r="I246" s="1287"/>
      <c r="T246" s="1287"/>
      <c r="U246" s="257">
        <v>96</v>
      </c>
      <c r="V246" s="1287" t="s">
        <v>566</v>
      </c>
      <c r="W246" s="1287"/>
      <c r="X246" s="1287"/>
      <c r="Y246" s="253">
        <v>78</v>
      </c>
      <c r="Z246" s="253">
        <v>82</v>
      </c>
      <c r="AA246" s="253">
        <v>110</v>
      </c>
      <c r="AB246" s="253">
        <v>112</v>
      </c>
      <c r="AC246" s="253">
        <v>114</v>
      </c>
      <c r="AD246" s="273"/>
      <c r="AE246" s="273"/>
      <c r="AF246" s="273"/>
      <c r="AG246" s="100"/>
      <c r="AH246" s="257">
        <v>96</v>
      </c>
      <c r="AI246" s="1287" t="s">
        <v>585</v>
      </c>
      <c r="AJ246" s="1287"/>
      <c r="AK246" s="1287"/>
      <c r="AL246" s="253"/>
      <c r="AM246" s="253"/>
      <c r="AN246" s="253"/>
      <c r="AO246" s="10"/>
      <c r="AP246" s="10"/>
      <c r="AQ246" s="10"/>
      <c r="AR246" s="10"/>
      <c r="AS246" s="10"/>
      <c r="AW246" s="74"/>
      <c r="AX246" s="295"/>
      <c r="AY246" s="295"/>
      <c r="AZ246" s="55"/>
      <c r="BA246" s="295"/>
    </row>
    <row r="247" spans="2:53" s="11" customFormat="1" ht="48.75" customHeight="1">
      <c r="B247" s="257" t="s">
        <v>402</v>
      </c>
      <c r="C247" s="257" t="s">
        <v>612</v>
      </c>
      <c r="D247" s="257" t="s">
        <v>613</v>
      </c>
      <c r="E247" s="257">
        <v>2</v>
      </c>
      <c r="F247" s="257" t="s">
        <v>614</v>
      </c>
      <c r="G247" s="257">
        <v>4</v>
      </c>
      <c r="H247" s="257">
        <v>6</v>
      </c>
      <c r="I247" s="222" t="s">
        <v>403</v>
      </c>
      <c r="T247" s="1919">
        <v>10</v>
      </c>
      <c r="U247" s="257">
        <v>60</v>
      </c>
      <c r="V247" s="1287" t="s">
        <v>567</v>
      </c>
      <c r="W247" s="1287"/>
      <c r="X247" s="1287"/>
      <c r="Y247" s="253">
        <v>44</v>
      </c>
      <c r="Z247" s="253">
        <v>46</v>
      </c>
      <c r="AA247" s="253">
        <v>74</v>
      </c>
      <c r="AB247" s="253">
        <v>76</v>
      </c>
      <c r="AC247" s="273"/>
      <c r="AD247" s="273"/>
      <c r="AE247" s="273"/>
      <c r="AF247" s="273"/>
      <c r="AG247" s="100"/>
      <c r="AH247" s="257">
        <v>60</v>
      </c>
      <c r="AI247" s="1287" t="s">
        <v>568</v>
      </c>
      <c r="AJ247" s="1287"/>
      <c r="AK247" s="1287"/>
      <c r="AL247" s="253"/>
      <c r="AM247" s="253"/>
      <c r="AN247" s="253"/>
      <c r="AO247" s="10"/>
      <c r="AP247" s="10"/>
      <c r="AQ247" s="10"/>
      <c r="AR247" s="10"/>
      <c r="AS247" s="10"/>
      <c r="AW247" s="74"/>
      <c r="AX247" s="295"/>
      <c r="AY247" s="295"/>
      <c r="AZ247" s="55"/>
      <c r="BA247" s="295"/>
    </row>
    <row r="248" spans="2:53" s="11" customFormat="1" ht="48.75" customHeight="1">
      <c r="B248" s="257" t="s">
        <v>998</v>
      </c>
      <c r="C248" s="257">
        <v>0.19</v>
      </c>
      <c r="D248" s="257">
        <v>0.23</v>
      </c>
      <c r="E248" s="257">
        <v>0.22</v>
      </c>
      <c r="F248" s="257">
        <v>0.23</v>
      </c>
      <c r="G248" s="257">
        <v>0.2</v>
      </c>
      <c r="H248" s="257">
        <v>0.23</v>
      </c>
      <c r="I248" s="222">
        <v>0.25</v>
      </c>
      <c r="T248" s="1920"/>
      <c r="U248" s="1287">
        <v>90</v>
      </c>
      <c r="V248" s="1287" t="s">
        <v>586</v>
      </c>
      <c r="W248" s="1287"/>
      <c r="X248" s="1287"/>
      <c r="Y248" s="253">
        <v>68</v>
      </c>
      <c r="Z248" s="253">
        <v>72</v>
      </c>
      <c r="AA248" s="253">
        <v>74</v>
      </c>
      <c r="AB248" s="253">
        <v>76</v>
      </c>
      <c r="AC248" s="253">
        <v>104</v>
      </c>
      <c r="AD248" s="253">
        <v>106</v>
      </c>
      <c r="AE248" s="253">
        <v>108</v>
      </c>
      <c r="AF248" s="253">
        <v>110</v>
      </c>
      <c r="AG248" s="100"/>
      <c r="AH248" s="1287">
        <v>90</v>
      </c>
      <c r="AI248" s="987" t="s">
        <v>587</v>
      </c>
      <c r="AJ248" s="988"/>
      <c r="AK248" s="989"/>
      <c r="AL248" s="253"/>
      <c r="AM248" s="253"/>
      <c r="AN248" s="253"/>
      <c r="AO248" s="10"/>
      <c r="AP248" s="10"/>
      <c r="AQ248" s="10"/>
      <c r="AR248" s="10"/>
      <c r="AS248" s="10"/>
      <c r="AW248" s="74"/>
      <c r="AX248" s="295"/>
      <c r="AY248" s="295"/>
      <c r="AZ248" s="55"/>
      <c r="BA248" s="295"/>
    </row>
    <row r="249" spans="2:53" s="11" customFormat="1" ht="48.75" customHeight="1">
      <c r="D249" s="651"/>
      <c r="E249" s="651"/>
      <c r="F249" s="651"/>
      <c r="G249" s="651"/>
      <c r="T249" s="1920"/>
      <c r="U249" s="1287"/>
      <c r="V249" s="1287"/>
      <c r="W249" s="1287"/>
      <c r="X249" s="1287"/>
      <c r="Y249" s="253">
        <v>112</v>
      </c>
      <c r="Z249" s="253">
        <v>114</v>
      </c>
      <c r="AA249" s="273"/>
      <c r="AB249" s="273"/>
      <c r="AC249" s="273"/>
      <c r="AD249" s="273"/>
      <c r="AE249" s="273"/>
      <c r="AF249" s="273"/>
      <c r="AG249" s="100"/>
      <c r="AH249" s="1287"/>
      <c r="AI249" s="993"/>
      <c r="AJ249" s="994"/>
      <c r="AK249" s="995"/>
      <c r="AL249" s="253"/>
      <c r="AM249" s="253"/>
      <c r="AN249" s="253"/>
      <c r="AO249" s="10"/>
      <c r="AP249" s="10"/>
      <c r="AQ249" s="10"/>
      <c r="AR249" s="10"/>
      <c r="AS249" s="10"/>
      <c r="AW249" s="74"/>
      <c r="AX249" s="295"/>
      <c r="AY249" s="295"/>
      <c r="AZ249" s="55"/>
      <c r="BA249" s="295"/>
    </row>
    <row r="250" spans="2:53" s="11" customFormat="1" ht="48.75" customHeight="1">
      <c r="B250" s="631" t="s">
        <v>212</v>
      </c>
      <c r="C250" s="630">
        <f>'Вывод расчетов'!$BA$30</f>
        <v>180</v>
      </c>
      <c r="D250" s="278"/>
      <c r="E250" s="278"/>
      <c r="F250" s="278"/>
      <c r="G250" s="278"/>
      <c r="T250" s="1920"/>
      <c r="U250" s="1919">
        <v>120</v>
      </c>
      <c r="V250" s="987" t="s">
        <v>588</v>
      </c>
      <c r="W250" s="988"/>
      <c r="X250" s="989"/>
      <c r="Y250" s="253">
        <v>86</v>
      </c>
      <c r="Z250" s="253">
        <v>88</v>
      </c>
      <c r="AA250" s="253">
        <v>92</v>
      </c>
      <c r="AB250" s="253">
        <v>94</v>
      </c>
      <c r="AC250" s="253">
        <v>96</v>
      </c>
      <c r="AD250" s="253">
        <v>98</v>
      </c>
      <c r="AE250" s="253">
        <v>102</v>
      </c>
      <c r="AF250" s="253">
        <v>104</v>
      </c>
      <c r="AG250" s="100"/>
      <c r="AH250" s="1919">
        <v>120</v>
      </c>
      <c r="AI250" s="987" t="s">
        <v>589</v>
      </c>
      <c r="AJ250" s="988"/>
      <c r="AK250" s="989"/>
      <c r="AL250" s="253"/>
      <c r="AM250" s="253"/>
      <c r="AN250" s="253"/>
      <c r="AO250" s="10"/>
      <c r="AP250" s="10"/>
      <c r="AQ250" s="10"/>
      <c r="AR250" s="10"/>
      <c r="AS250" s="10"/>
      <c r="AW250" s="74"/>
      <c r="AX250" s="295"/>
      <c r="AY250" s="295"/>
      <c r="AZ250" s="55"/>
      <c r="BA250" s="295"/>
    </row>
    <row r="251" spans="2:53" s="11" customFormat="1" ht="48.75" customHeight="1" thickBot="1">
      <c r="B251" s="631" t="s">
        <v>402</v>
      </c>
      <c r="C251" s="627">
        <f>'Вывод расчетов'!$AP$20</f>
        <v>4</v>
      </c>
      <c r="D251" s="278"/>
      <c r="E251" s="278"/>
      <c r="F251" s="278"/>
      <c r="G251" s="278"/>
      <c r="T251" s="1920"/>
      <c r="U251" s="1920"/>
      <c r="V251" s="990"/>
      <c r="W251" s="991"/>
      <c r="X251" s="992"/>
      <c r="Y251" s="253">
        <v>106</v>
      </c>
      <c r="Z251" s="253">
        <v>134</v>
      </c>
      <c r="AA251" s="253">
        <v>136</v>
      </c>
      <c r="AB251" s="99">
        <v>138</v>
      </c>
      <c r="AC251" s="99">
        <v>140</v>
      </c>
      <c r="AD251" s="99">
        <v>142</v>
      </c>
      <c r="AE251" s="99">
        <v>144</v>
      </c>
      <c r="AF251" s="99">
        <v>146</v>
      </c>
      <c r="AG251" s="100"/>
      <c r="AH251" s="1920"/>
      <c r="AI251" s="1935"/>
      <c r="AJ251" s="1936"/>
      <c r="AK251" s="1937"/>
      <c r="AL251" s="300"/>
      <c r="AM251" s="300"/>
      <c r="AN251" s="300"/>
      <c r="AO251" s="300"/>
      <c r="AP251" s="300"/>
      <c r="AQ251" s="300"/>
      <c r="AR251" s="300"/>
      <c r="AS251" s="300"/>
      <c r="AW251" s="74"/>
      <c r="AX251" s="295"/>
      <c r="AY251" s="295"/>
      <c r="AZ251" s="55"/>
      <c r="BA251" s="295"/>
    </row>
    <row r="252" spans="2:53" s="11" customFormat="1" ht="48.75" customHeight="1">
      <c r="D252" s="278"/>
      <c r="E252" s="278"/>
      <c r="F252" s="278"/>
      <c r="G252" s="278"/>
      <c r="T252" s="1905">
        <v>12</v>
      </c>
      <c r="U252" s="271">
        <v>72</v>
      </c>
      <c r="V252" s="1905" t="s">
        <v>569</v>
      </c>
      <c r="W252" s="1905"/>
      <c r="X252" s="1905"/>
      <c r="Y252" s="98">
        <v>56</v>
      </c>
      <c r="Z252" s="98">
        <v>64</v>
      </c>
      <c r="AA252" s="98">
        <v>80</v>
      </c>
      <c r="AB252" s="97">
        <v>88</v>
      </c>
      <c r="AC252" s="105"/>
      <c r="AD252" s="105"/>
      <c r="AE252" s="105"/>
      <c r="AF252" s="105"/>
      <c r="AG252" s="100"/>
      <c r="AH252" s="271">
        <v>72</v>
      </c>
      <c r="AI252" s="1921" t="s">
        <v>570</v>
      </c>
      <c r="AJ252" s="1921"/>
      <c r="AK252" s="1921"/>
      <c r="AL252" s="97"/>
      <c r="AM252" s="97"/>
      <c r="AN252" s="97"/>
      <c r="AO252" s="280"/>
      <c r="AP252" s="280"/>
      <c r="AQ252" s="280"/>
      <c r="AR252" s="280"/>
      <c r="AS252" s="280"/>
      <c r="AW252" s="74"/>
      <c r="AX252" s="295"/>
      <c r="AY252" s="295"/>
      <c r="AZ252" s="55"/>
      <c r="BA252" s="295"/>
    </row>
    <row r="253" spans="2:53" s="11" customFormat="1" ht="48.75" customHeight="1">
      <c r="D253" s="278"/>
      <c r="E253" s="278"/>
      <c r="F253" s="278"/>
      <c r="G253" s="278"/>
      <c r="T253" s="1287"/>
      <c r="U253" s="257">
        <v>90</v>
      </c>
      <c r="V253" s="1287" t="s">
        <v>590</v>
      </c>
      <c r="W253" s="1287"/>
      <c r="X253" s="1287"/>
      <c r="Y253" s="253">
        <v>68</v>
      </c>
      <c r="Z253" s="253">
        <v>70</v>
      </c>
      <c r="AA253" s="253">
        <v>74</v>
      </c>
      <c r="AB253" s="253">
        <v>88</v>
      </c>
      <c r="AC253" s="253">
        <v>98</v>
      </c>
      <c r="AD253" s="253">
        <v>108</v>
      </c>
      <c r="AE253" s="253">
        <v>110</v>
      </c>
      <c r="AF253" s="273"/>
      <c r="AG253" s="100"/>
      <c r="AH253" s="257">
        <v>90</v>
      </c>
      <c r="AI253" s="1287" t="s">
        <v>591</v>
      </c>
      <c r="AJ253" s="1287"/>
      <c r="AK253" s="1287"/>
      <c r="AL253" s="10"/>
      <c r="AM253" s="10"/>
      <c r="AN253" s="10"/>
      <c r="AO253" s="10"/>
      <c r="AP253" s="10"/>
      <c r="AQ253" s="10"/>
      <c r="AR253" s="10"/>
      <c r="AS253" s="10"/>
      <c r="AW253" s="74"/>
      <c r="AX253" s="295"/>
      <c r="AY253" s="295"/>
      <c r="AZ253" s="55"/>
      <c r="BA253" s="295"/>
    </row>
    <row r="254" spans="2:53" s="11" customFormat="1" ht="48.75" customHeight="1">
      <c r="T254" s="1287"/>
      <c r="U254" s="1287">
        <v>108</v>
      </c>
      <c r="V254" s="1287" t="s">
        <v>592</v>
      </c>
      <c r="W254" s="1287"/>
      <c r="X254" s="1287"/>
      <c r="Y254" s="253">
        <v>86</v>
      </c>
      <c r="Z254" s="253">
        <v>88</v>
      </c>
      <c r="AA254" s="253">
        <v>92</v>
      </c>
      <c r="AB254" s="253">
        <v>100</v>
      </c>
      <c r="AC254" s="253">
        <v>116</v>
      </c>
      <c r="AD254" s="253">
        <v>124</v>
      </c>
      <c r="AE254" s="253">
        <v>128</v>
      </c>
      <c r="AF254" s="253">
        <v>130</v>
      </c>
      <c r="AG254" s="100"/>
      <c r="AH254" s="1287">
        <v>108</v>
      </c>
      <c r="AI254" s="987" t="s">
        <v>593</v>
      </c>
      <c r="AJ254" s="988"/>
      <c r="AK254" s="989"/>
      <c r="AL254" s="253"/>
      <c r="AM254" s="253"/>
      <c r="AN254" s="253"/>
      <c r="AO254" s="10"/>
      <c r="AP254" s="10"/>
      <c r="AQ254" s="10"/>
      <c r="AR254" s="10"/>
      <c r="AS254" s="10"/>
      <c r="AW254" s="74"/>
      <c r="AX254" s="295"/>
      <c r="AY254" s="295"/>
      <c r="AZ254" s="55"/>
      <c r="BA254" s="295"/>
    </row>
    <row r="255" spans="2:53" s="11" customFormat="1" ht="48.75" customHeight="1">
      <c r="T255" s="1287"/>
      <c r="U255" s="1287"/>
      <c r="V255" s="1287"/>
      <c r="W255" s="1287"/>
      <c r="X255" s="1287"/>
      <c r="Y255" s="253">
        <v>123</v>
      </c>
      <c r="Z255" s="273"/>
      <c r="AA255" s="273"/>
      <c r="AB255" s="273"/>
      <c r="AC255" s="273"/>
      <c r="AD255" s="273"/>
      <c r="AE255" s="273"/>
      <c r="AF255" s="273"/>
      <c r="AG255" s="100"/>
      <c r="AH255" s="1287"/>
      <c r="AI255" s="993"/>
      <c r="AJ255" s="994"/>
      <c r="AK255" s="995"/>
      <c r="AL255" s="253"/>
      <c r="AM255" s="253"/>
      <c r="AN255" s="253"/>
      <c r="AO255" s="10"/>
      <c r="AP255" s="10"/>
      <c r="AQ255" s="10"/>
      <c r="AR255" s="10"/>
      <c r="AS255" s="10"/>
      <c r="AW255" s="74"/>
      <c r="AX255" s="295"/>
      <c r="AY255" s="295"/>
      <c r="AZ255" s="55"/>
      <c r="BA255" s="295"/>
    </row>
    <row r="256" spans="2:53" s="11" customFormat="1" ht="48.75" customHeight="1">
      <c r="T256" s="1287"/>
      <c r="U256" s="1287">
        <v>144</v>
      </c>
      <c r="V256" s="1287" t="s">
        <v>594</v>
      </c>
      <c r="W256" s="1287"/>
      <c r="X256" s="1287"/>
      <c r="Y256" s="253">
        <v>124</v>
      </c>
      <c r="Z256" s="253">
        <v>136</v>
      </c>
      <c r="AA256" s="253">
        <v>152</v>
      </c>
      <c r="AB256" s="253">
        <v>160</v>
      </c>
      <c r="AC256" s="253">
        <v>164</v>
      </c>
      <c r="AD256" s="253">
        <v>166</v>
      </c>
      <c r="AE256" s="253">
        <v>168</v>
      </c>
      <c r="AF256" s="253">
        <v>170</v>
      </c>
      <c r="AG256" s="100"/>
      <c r="AH256" s="1287">
        <v>144</v>
      </c>
      <c r="AI256" s="987" t="s">
        <v>595</v>
      </c>
      <c r="AJ256" s="988"/>
      <c r="AK256" s="989"/>
      <c r="AL256" s="253"/>
      <c r="AM256" s="253"/>
      <c r="AN256" s="253"/>
      <c r="AO256" s="10"/>
      <c r="AP256" s="10"/>
      <c r="AQ256" s="10"/>
      <c r="AR256" s="10"/>
      <c r="AS256" s="10"/>
      <c r="AW256" s="74"/>
      <c r="AX256" s="295"/>
      <c r="AY256" s="295"/>
      <c r="AZ256" s="55"/>
      <c r="BA256" s="295"/>
    </row>
    <row r="257" spans="17:61" ht="48.75" customHeight="1" thickBot="1">
      <c r="T257" s="1906"/>
      <c r="U257" s="1919"/>
      <c r="V257" s="1919"/>
      <c r="W257" s="1919"/>
      <c r="X257" s="1919"/>
      <c r="Y257" s="101">
        <v>172</v>
      </c>
      <c r="Z257" s="110"/>
      <c r="AA257" s="110"/>
      <c r="AB257" s="110"/>
      <c r="AC257" s="110"/>
      <c r="AD257" s="110"/>
      <c r="AE257" s="110"/>
      <c r="AF257" s="110"/>
      <c r="AG257" s="100"/>
      <c r="AH257" s="1906"/>
      <c r="AI257" s="1935"/>
      <c r="AJ257" s="1936"/>
      <c r="AK257" s="1937"/>
      <c r="AL257" s="300"/>
      <c r="AM257" s="300"/>
      <c r="AN257" s="300"/>
      <c r="AO257" s="300"/>
      <c r="AP257" s="300"/>
      <c r="AQ257" s="300"/>
      <c r="AR257" s="300"/>
      <c r="AS257" s="300"/>
      <c r="AW257" s="74"/>
      <c r="AX257" s="295"/>
      <c r="AY257" s="295"/>
      <c r="AZ257" s="55"/>
      <c r="BA257" s="295"/>
      <c r="BI257" s="11"/>
    </row>
    <row r="258" spans="17:61" ht="48.75" customHeight="1">
      <c r="Q258" s="299"/>
      <c r="R258" s="299"/>
      <c r="S258" s="299"/>
      <c r="T258" s="1287">
        <v>14</v>
      </c>
      <c r="U258" s="1287">
        <v>84</v>
      </c>
      <c r="V258" s="1287" t="s">
        <v>577</v>
      </c>
      <c r="W258" s="1287"/>
      <c r="X258" s="1287"/>
      <c r="Y258" s="634">
        <v>74</v>
      </c>
      <c r="Z258" s="634">
        <v>94</v>
      </c>
      <c r="AA258" s="634">
        <v>102</v>
      </c>
      <c r="AB258" s="634">
        <v>104</v>
      </c>
      <c r="AC258" s="634">
        <v>106</v>
      </c>
      <c r="AD258" s="638"/>
      <c r="AE258" s="638"/>
      <c r="AF258" s="638"/>
      <c r="AG258" s="100"/>
      <c r="AH258" s="1287">
        <v>84</v>
      </c>
      <c r="AI258" s="1921" t="s">
        <v>604</v>
      </c>
      <c r="AJ258" s="1921"/>
      <c r="AK258" s="1921"/>
      <c r="AL258" s="97"/>
      <c r="AM258" s="97"/>
      <c r="AN258" s="97"/>
      <c r="AO258" s="280"/>
      <c r="AP258" s="280"/>
      <c r="AQ258" s="280"/>
      <c r="AR258" s="280"/>
      <c r="AS258" s="280"/>
      <c r="AW258" s="74"/>
      <c r="AX258" s="295"/>
      <c r="AY258" s="295"/>
      <c r="AZ258" s="55"/>
      <c r="BA258" s="295"/>
      <c r="BI258" s="11"/>
    </row>
    <row r="259" spans="17:61" ht="48.75" customHeight="1">
      <c r="Q259" s="299"/>
      <c r="R259" s="299"/>
      <c r="S259" s="298"/>
      <c r="T259" s="1287"/>
      <c r="U259" s="1287"/>
      <c r="V259" s="1287"/>
      <c r="W259" s="1287"/>
      <c r="X259" s="1287"/>
      <c r="Y259" s="638"/>
      <c r="Z259" s="638"/>
      <c r="AA259" s="638"/>
      <c r="AB259" s="638"/>
      <c r="AC259" s="638"/>
      <c r="AD259" s="638"/>
      <c r="AE259" s="638"/>
      <c r="AF259" s="638"/>
      <c r="AG259" s="100"/>
      <c r="AH259" s="1287"/>
      <c r="AI259" s="1287"/>
      <c r="AJ259" s="1287"/>
      <c r="AK259" s="1287"/>
      <c r="AL259" s="253"/>
      <c r="AM259" s="253"/>
      <c r="AN259" s="253"/>
      <c r="AO259" s="10"/>
      <c r="AP259" s="10"/>
      <c r="AQ259" s="10"/>
      <c r="AR259" s="10"/>
      <c r="AS259" s="10"/>
      <c r="AW259" s="74"/>
      <c r="AX259" s="295"/>
      <c r="AY259" s="295"/>
      <c r="AZ259" s="55"/>
      <c r="BA259" s="295"/>
      <c r="BI259" s="11"/>
    </row>
    <row r="260" spans="17:61" ht="48.75" customHeight="1">
      <c r="Q260" s="299"/>
      <c r="R260" s="299"/>
      <c r="S260" s="298"/>
      <c r="T260" s="1287"/>
      <c r="U260" s="1287">
        <v>126</v>
      </c>
      <c r="V260" s="1287" t="s">
        <v>603</v>
      </c>
      <c r="W260" s="1287"/>
      <c r="X260" s="1287"/>
      <c r="Y260" s="634">
        <v>106</v>
      </c>
      <c r="Z260" s="634">
        <v>108</v>
      </c>
      <c r="AA260" s="634">
        <v>116</v>
      </c>
      <c r="AB260" s="634">
        <v>136</v>
      </c>
      <c r="AC260" s="634">
        <v>144</v>
      </c>
      <c r="AD260" s="634">
        <v>146</v>
      </c>
      <c r="AE260" s="634">
        <v>148</v>
      </c>
      <c r="AF260" s="634">
        <v>150</v>
      </c>
      <c r="AG260" s="100"/>
      <c r="AH260" s="1287">
        <v>126</v>
      </c>
      <c r="AI260" s="1287" t="s">
        <v>605</v>
      </c>
      <c r="AJ260" s="1287"/>
      <c r="AK260" s="1287"/>
      <c r="AL260" s="253"/>
      <c r="AM260" s="253"/>
      <c r="AN260" s="253"/>
      <c r="AO260" s="10"/>
      <c r="AP260" s="10"/>
      <c r="AQ260" s="10"/>
      <c r="AR260" s="10"/>
      <c r="AS260" s="10"/>
      <c r="AW260" s="74"/>
      <c r="AX260" s="295"/>
      <c r="AY260" s="295"/>
      <c r="AZ260" s="55"/>
      <c r="BA260" s="295"/>
      <c r="BI260" s="11"/>
    </row>
    <row r="261" spans="17:61" ht="48.75" customHeight="1">
      <c r="Q261" s="299"/>
      <c r="R261" s="299"/>
      <c r="S261" s="298"/>
      <c r="T261" s="1287"/>
      <c r="U261" s="1287"/>
      <c r="V261" s="1287"/>
      <c r="W261" s="1287"/>
      <c r="X261" s="1287"/>
      <c r="Y261" s="634">
        <v>152</v>
      </c>
      <c r="Z261" s="634">
        <v>154</v>
      </c>
      <c r="AA261" s="634">
        <v>158</v>
      </c>
      <c r="AB261" s="638"/>
      <c r="AC261" s="638"/>
      <c r="AD261" s="638"/>
      <c r="AE261" s="638"/>
      <c r="AF261" s="638"/>
      <c r="AG261" s="100"/>
      <c r="AH261" s="1287"/>
      <c r="AI261" s="1287"/>
      <c r="AJ261" s="1287"/>
      <c r="AK261" s="1287"/>
      <c r="AL261" s="253"/>
      <c r="AM261" s="253"/>
      <c r="AN261" s="253"/>
      <c r="AO261" s="10"/>
      <c r="AP261" s="10"/>
      <c r="AQ261" s="10"/>
      <c r="AR261" s="10"/>
      <c r="AS261" s="10"/>
      <c r="AW261" s="74"/>
      <c r="AX261" s="295"/>
      <c r="AY261" s="295"/>
      <c r="AZ261" s="55"/>
      <c r="BA261" s="295"/>
      <c r="BI261" s="11"/>
    </row>
    <row r="262" spans="17:61" ht="48.75" customHeight="1">
      <c r="Q262" s="299"/>
      <c r="R262" s="299"/>
      <c r="S262" s="298"/>
      <c r="T262" s="1287">
        <v>16</v>
      </c>
      <c r="U262" s="636">
        <v>96</v>
      </c>
      <c r="V262" s="1287" t="s">
        <v>607</v>
      </c>
      <c r="W262" s="1287"/>
      <c r="X262" s="1287"/>
      <c r="Y262" s="634">
        <v>84</v>
      </c>
      <c r="Z262" s="634">
        <v>86</v>
      </c>
      <c r="AA262" s="634">
        <v>106</v>
      </c>
      <c r="AB262" s="634">
        <v>108</v>
      </c>
      <c r="AC262" s="634">
        <v>116</v>
      </c>
      <c r="AD262" s="634">
        <v>118</v>
      </c>
      <c r="AE262" s="638"/>
      <c r="AF262" s="638"/>
      <c r="AG262" s="100"/>
      <c r="AH262" s="257">
        <v>96</v>
      </c>
      <c r="AI262" s="1287">
        <v>90.102000000000004</v>
      </c>
      <c r="AJ262" s="1287"/>
      <c r="AK262" s="1287"/>
      <c r="AL262" s="10"/>
      <c r="AM262" s="10"/>
      <c r="AN262" s="10"/>
      <c r="AO262" s="10"/>
      <c r="AP262" s="10"/>
      <c r="AQ262" s="10"/>
      <c r="AR262" s="10"/>
      <c r="AS262" s="10"/>
      <c r="AW262" s="74"/>
      <c r="AX262" s="295"/>
      <c r="AY262" s="295"/>
      <c r="AZ262" s="55"/>
      <c r="BA262" s="295"/>
      <c r="BI262" s="11"/>
    </row>
    <row r="263" spans="17:61" ht="48.75" customHeight="1">
      <c r="Q263" s="299"/>
      <c r="R263" s="299"/>
      <c r="S263" s="298"/>
      <c r="T263" s="1287"/>
      <c r="U263" s="1287">
        <v>144</v>
      </c>
      <c r="V263" s="1287" t="s">
        <v>606</v>
      </c>
      <c r="W263" s="1287"/>
      <c r="X263" s="1287"/>
      <c r="Y263" s="634">
        <v>120</v>
      </c>
      <c r="Z263" s="634">
        <v>122</v>
      </c>
      <c r="AA263" s="634">
        <v>124</v>
      </c>
      <c r="AB263" s="634">
        <v>132</v>
      </c>
      <c r="AC263" s="634">
        <v>134</v>
      </c>
      <c r="AD263" s="634">
        <v>154</v>
      </c>
      <c r="AE263" s="634">
        <v>156</v>
      </c>
      <c r="AF263" s="634">
        <v>164</v>
      </c>
      <c r="AG263" s="100"/>
      <c r="AH263" s="1287">
        <v>144</v>
      </c>
      <c r="AI263" s="1287" t="s">
        <v>578</v>
      </c>
      <c r="AJ263" s="1287"/>
      <c r="AK263" s="1287"/>
      <c r="AL263" s="10"/>
      <c r="AM263" s="10"/>
      <c r="AN263" s="10"/>
      <c r="AO263" s="10"/>
      <c r="AP263" s="10"/>
      <c r="AQ263" s="10"/>
      <c r="AR263" s="10"/>
      <c r="AS263" s="10"/>
      <c r="AW263" s="74"/>
      <c r="AX263" s="295"/>
      <c r="AY263" s="295"/>
      <c r="AZ263" s="55"/>
      <c r="BA263" s="295"/>
      <c r="BI263" s="11"/>
    </row>
    <row r="264" spans="17:61" ht="48.75" customHeight="1">
      <c r="Q264" s="299"/>
      <c r="R264" s="299"/>
      <c r="S264" s="299"/>
      <c r="T264" s="1287"/>
      <c r="U264" s="1287"/>
      <c r="V264" s="1287"/>
      <c r="W264" s="1287"/>
      <c r="X264" s="1287"/>
      <c r="Y264" s="634">
        <v>166</v>
      </c>
      <c r="Z264" s="634">
        <v>168</v>
      </c>
      <c r="AA264" s="634">
        <v>170</v>
      </c>
      <c r="AB264" s="634">
        <v>172</v>
      </c>
      <c r="AC264" s="638"/>
      <c r="AD264" s="638"/>
      <c r="AE264" s="638"/>
      <c r="AF264" s="638"/>
      <c r="AG264" s="104"/>
      <c r="AH264" s="1287"/>
      <c r="AI264" s="1287"/>
      <c r="AJ264" s="1287"/>
      <c r="AK264" s="1287"/>
      <c r="AL264" s="10"/>
      <c r="AM264" s="10"/>
      <c r="AN264" s="10"/>
      <c r="AO264" s="10"/>
      <c r="AP264" s="10"/>
      <c r="AQ264" s="10"/>
      <c r="AR264" s="10"/>
      <c r="AS264" s="10"/>
      <c r="AW264" s="74"/>
      <c r="AX264" s="295"/>
      <c r="AY264" s="295"/>
      <c r="AZ264" s="55"/>
      <c r="BA264" s="295"/>
      <c r="BI264" s="11"/>
    </row>
    <row r="265" spans="17:61" ht="48.75" customHeight="1">
      <c r="Q265" s="299"/>
      <c r="R265" s="299"/>
      <c r="S265" s="299"/>
      <c r="T265" s="88"/>
      <c r="X265" s="12"/>
      <c r="Y265" s="16"/>
      <c r="Z265" s="16"/>
      <c r="AA265" s="16"/>
      <c r="AB265" s="16"/>
      <c r="AC265" s="16"/>
      <c r="AD265" s="16"/>
      <c r="AE265" s="16"/>
      <c r="AF265" s="16"/>
      <c r="AG265" s="12"/>
      <c r="AN265" s="12"/>
      <c r="AO265" s="12"/>
      <c r="AP265" s="12"/>
      <c r="AW265" s="74"/>
      <c r="AX265" s="295"/>
      <c r="AY265" s="295"/>
      <c r="AZ265" s="55"/>
      <c r="BA265" s="295"/>
      <c r="BI265" s="11"/>
    </row>
    <row r="266" spans="17:61" ht="48.75" customHeight="1">
      <c r="Q266" s="299"/>
      <c r="R266" s="299"/>
      <c r="S266" s="299"/>
      <c r="T266" s="299"/>
      <c r="U266" s="299"/>
      <c r="X266" s="12"/>
      <c r="Y266" s="12"/>
      <c r="Z266" s="295"/>
      <c r="AA266" s="295"/>
      <c r="AB266" s="295"/>
      <c r="AC266" s="295"/>
      <c r="AD266" s="295"/>
      <c r="AE266" s="295"/>
      <c r="AF266" s="295"/>
      <c r="AG266" s="12"/>
      <c r="AN266" s="12"/>
      <c r="AO266" s="12"/>
      <c r="AP266" s="12"/>
      <c r="AW266" s="74"/>
      <c r="AX266" s="295"/>
      <c r="AY266" s="295"/>
      <c r="AZ266" s="55"/>
      <c r="BA266" s="295"/>
      <c r="BI266" s="11"/>
    </row>
    <row r="267" spans="17:61" ht="48.75" customHeight="1">
      <c r="X267" s="12"/>
      <c r="Y267" s="12"/>
      <c r="Z267" s="12"/>
      <c r="AA267" s="12"/>
      <c r="AB267" s="12"/>
      <c r="AC267" s="12"/>
      <c r="AD267" s="12"/>
      <c r="AE267" s="12"/>
      <c r="AF267" s="12"/>
      <c r="AG267" s="12"/>
      <c r="AH267" s="12"/>
      <c r="AI267" s="12"/>
      <c r="AJ267" s="12"/>
      <c r="AK267" s="12"/>
      <c r="AL267" s="12"/>
      <c r="AM267" s="12"/>
      <c r="AN267" s="12"/>
      <c r="AO267" s="12"/>
      <c r="AP267" s="12"/>
      <c r="AW267" s="74"/>
      <c r="AX267" s="295"/>
      <c r="AY267" s="295"/>
      <c r="AZ267" s="55"/>
      <c r="BA267" s="295"/>
      <c r="BI267" s="11"/>
    </row>
    <row r="268" spans="17:61" ht="48.75" customHeight="1">
      <c r="AW268" s="74"/>
      <c r="AX268" s="295"/>
      <c r="AY268" s="295"/>
      <c r="AZ268" s="55"/>
      <c r="BA268" s="295"/>
      <c r="BI268" s="11"/>
    </row>
    <row r="269" spans="17:61" ht="48.75" customHeight="1">
      <c r="AQ269" s="295"/>
      <c r="AR269" s="295"/>
      <c r="AS269" s="296"/>
      <c r="AT269" s="295"/>
      <c r="AU269" s="295"/>
      <c r="AV269" s="295"/>
      <c r="AW269" s="74"/>
      <c r="AX269" s="295"/>
      <c r="AY269" s="295"/>
      <c r="AZ269" s="55"/>
      <c r="BA269" s="295"/>
      <c r="BI269" s="11"/>
    </row>
    <row r="270" spans="17:61" ht="48.75" customHeight="1">
      <c r="AQ270" s="295"/>
      <c r="AR270" s="295"/>
      <c r="AS270" s="296"/>
      <c r="AT270" s="295"/>
      <c r="AU270" s="295"/>
      <c r="AV270" s="295"/>
      <c r="AW270" s="74"/>
      <c r="AX270" s="295"/>
      <c r="AY270" s="295"/>
      <c r="AZ270" s="55"/>
      <c r="BA270" s="295"/>
      <c r="BB270" s="295"/>
      <c r="BC270" s="295"/>
      <c r="BD270" s="295"/>
      <c r="BE270" s="295"/>
      <c r="BF270" s="295"/>
      <c r="BH270" s="295"/>
      <c r="BI270" s="297"/>
    </row>
    <row r="271" spans="17:61" ht="48.75" customHeight="1">
      <c r="AQ271" s="295"/>
      <c r="AR271" s="295"/>
      <c r="AS271" s="296"/>
      <c r="AT271" s="295"/>
      <c r="AU271" s="295"/>
      <c r="AV271" s="295"/>
      <c r="AW271" s="74"/>
      <c r="AX271" s="295"/>
      <c r="AY271" s="295"/>
      <c r="AZ271" s="55"/>
      <c r="BA271" s="295"/>
      <c r="BB271" s="295"/>
      <c r="BC271" s="295"/>
      <c r="BD271" s="295"/>
      <c r="BE271" s="295"/>
      <c r="BF271" s="295"/>
      <c r="BH271" s="295"/>
      <c r="BI271" s="297"/>
    </row>
    <row r="272" spans="17:61" ht="48.75" customHeight="1">
      <c r="AQ272" s="295"/>
      <c r="AR272" s="295"/>
      <c r="AS272" s="296"/>
      <c r="AT272" s="295"/>
      <c r="AU272" s="295"/>
      <c r="AV272" s="295"/>
      <c r="AW272" s="74"/>
      <c r="AX272" s="295"/>
      <c r="AY272" s="295"/>
      <c r="AZ272" s="55"/>
      <c r="BA272" s="295"/>
      <c r="BB272" s="295"/>
      <c r="BC272" s="295"/>
      <c r="BD272" s="295"/>
      <c r="BE272" s="295"/>
      <c r="BF272" s="295"/>
      <c r="BH272" s="295"/>
      <c r="BI272" s="297"/>
    </row>
    <row r="273" spans="2:102" ht="48.75" customHeight="1">
      <c r="AQ273" s="295"/>
      <c r="AR273" s="295"/>
      <c r="AS273" s="296"/>
      <c r="AT273" s="295"/>
      <c r="AU273" s="295"/>
      <c r="AV273" s="295"/>
      <c r="AW273" s="74"/>
      <c r="AX273" s="295"/>
      <c r="AY273" s="295"/>
      <c r="AZ273" s="55"/>
      <c r="BA273" s="295"/>
      <c r="BB273" s="295"/>
      <c r="BC273" s="295"/>
      <c r="BD273" s="295"/>
      <c r="BE273" s="295"/>
      <c r="BF273" s="295"/>
      <c r="BH273" s="295"/>
      <c r="BI273" s="297"/>
    </row>
    <row r="274" spans="2:102" ht="48.75" customHeight="1">
      <c r="AQ274" s="295"/>
      <c r="AR274" s="295"/>
      <c r="AS274" s="296"/>
      <c r="AT274" s="295"/>
      <c r="AU274" s="295"/>
      <c r="AV274" s="295"/>
      <c r="AW274" s="74"/>
      <c r="AX274" s="295"/>
      <c r="AY274" s="295"/>
      <c r="AZ274" s="55"/>
      <c r="BA274" s="295"/>
      <c r="BB274" s="295"/>
      <c r="BC274" s="295"/>
      <c r="BD274" s="295"/>
      <c r="BE274" s="295"/>
      <c r="BF274" s="295"/>
      <c r="BH274" s="295"/>
      <c r="BI274" s="297"/>
    </row>
    <row r="275" spans="2:102" ht="48.75" customHeight="1">
      <c r="AQ275" s="295"/>
      <c r="AR275" s="295"/>
      <c r="AS275" s="296"/>
      <c r="AT275" s="295"/>
      <c r="AU275" s="295"/>
      <c r="AV275" s="295"/>
      <c r="AW275" s="74"/>
      <c r="AX275" s="295"/>
      <c r="AY275" s="295"/>
      <c r="AZ275" s="55"/>
      <c r="BA275" s="295"/>
      <c r="BB275" s="295"/>
      <c r="BC275" s="295"/>
      <c r="BD275" s="295"/>
      <c r="BE275" s="295"/>
      <c r="BF275" s="295"/>
      <c r="BH275" s="295"/>
      <c r="BI275" s="297"/>
    </row>
    <row r="276" spans="2:102" ht="48.75" customHeight="1">
      <c r="AQ276" s="295"/>
      <c r="AR276" s="295"/>
      <c r="AS276" s="296"/>
      <c r="AT276" s="295"/>
      <c r="AU276" s="295"/>
      <c r="AV276" s="295"/>
      <c r="AW276" s="74"/>
      <c r="AX276" s="295"/>
      <c r="AY276" s="295"/>
      <c r="AZ276" s="55"/>
      <c r="BA276" s="295"/>
      <c r="BB276" s="295"/>
      <c r="BC276" s="295"/>
      <c r="BD276" s="295"/>
      <c r="BE276" s="295"/>
      <c r="BF276" s="295"/>
      <c r="BH276" s="295"/>
      <c r="BI276" s="297"/>
    </row>
    <row r="277" spans="2:102" ht="48.75" customHeight="1">
      <c r="AQ277" s="295"/>
      <c r="AR277" s="295"/>
      <c r="AS277" s="296"/>
      <c r="AT277" s="295"/>
      <c r="AU277" s="295"/>
      <c r="AV277" s="295"/>
      <c r="AW277" s="74"/>
      <c r="AX277" s="295"/>
      <c r="AY277" s="295"/>
      <c r="AZ277" s="55"/>
      <c r="BA277" s="295"/>
      <c r="BB277" s="295"/>
      <c r="BC277" s="295"/>
      <c r="BD277" s="295"/>
      <c r="BE277" s="295"/>
      <c r="BF277" s="295"/>
      <c r="BH277" s="295"/>
      <c r="BI277" s="297"/>
    </row>
    <row r="278" spans="2:102" ht="48.75" customHeight="1">
      <c r="AQ278" s="295"/>
      <c r="AR278" s="295"/>
      <c r="AS278" s="296"/>
      <c r="AT278" s="295"/>
      <c r="AU278" s="295"/>
      <c r="AV278" s="295"/>
      <c r="AW278" s="74"/>
      <c r="AX278" s="295"/>
      <c r="AY278" s="295"/>
      <c r="AZ278" s="55"/>
      <c r="BA278" s="295"/>
      <c r="BB278" s="295"/>
      <c r="BC278" s="295"/>
      <c r="BD278" s="295"/>
      <c r="BE278" s="295"/>
      <c r="BF278" s="295"/>
      <c r="BH278" s="295"/>
      <c r="BI278" s="297"/>
    </row>
    <row r="279" spans="2:102" ht="48.75" customHeight="1">
      <c r="B279" s="756" t="s">
        <v>617</v>
      </c>
      <c r="C279" s="756"/>
      <c r="D279" s="756"/>
      <c r="E279" s="756"/>
      <c r="F279" s="756"/>
      <c r="G279" s="756"/>
      <c r="H279" s="756"/>
      <c r="I279" s="756"/>
      <c r="J279" s="756"/>
      <c r="K279" s="756"/>
      <c r="L279" s="259"/>
      <c r="M279" s="1452"/>
      <c r="N279" s="756" t="s">
        <v>618</v>
      </c>
      <c r="O279" s="756"/>
      <c r="P279" s="756"/>
      <c r="Q279" s="756"/>
      <c r="R279" s="756"/>
      <c r="S279" s="756"/>
      <c r="T279" s="756"/>
      <c r="U279" s="756"/>
      <c r="V279" s="756"/>
      <c r="W279" s="756"/>
      <c r="X279" s="259"/>
      <c r="Y279" s="1452"/>
      <c r="Z279" s="756" t="s">
        <v>619</v>
      </c>
      <c r="AA279" s="756"/>
      <c r="AB279" s="756"/>
      <c r="AC279" s="756"/>
      <c r="AD279" s="756"/>
      <c r="AE279" s="756"/>
      <c r="AF279" s="756"/>
      <c r="AG279" s="756"/>
      <c r="AH279" s="756"/>
      <c r="AI279" s="756"/>
      <c r="AJ279" s="259"/>
      <c r="AQ279" s="295"/>
      <c r="AR279" s="295"/>
      <c r="AS279" s="296"/>
      <c r="AT279" s="295"/>
      <c r="AU279" s="295"/>
      <c r="AV279" s="295"/>
      <c r="AW279" s="74"/>
      <c r="AX279" s="295"/>
      <c r="AY279" s="295"/>
      <c r="AZ279" s="55"/>
      <c r="BA279" s="295"/>
      <c r="BB279" s="295"/>
      <c r="BC279" s="295"/>
      <c r="BD279" s="295"/>
      <c r="BE279" s="295"/>
      <c r="BF279" s="295"/>
      <c r="BH279" s="295"/>
      <c r="BI279" s="297"/>
    </row>
    <row r="280" spans="2:102" ht="48.75" customHeight="1">
      <c r="B280" s="1287" t="s">
        <v>615</v>
      </c>
      <c r="C280" s="257">
        <v>0</v>
      </c>
      <c r="D280" s="257">
        <v>0.01</v>
      </c>
      <c r="E280" s="257">
        <v>0.02</v>
      </c>
      <c r="F280" s="257">
        <v>0.03</v>
      </c>
      <c r="G280" s="257">
        <v>0.04</v>
      </c>
      <c r="H280" s="257">
        <v>0.05</v>
      </c>
      <c r="I280" s="257">
        <v>0.06</v>
      </c>
      <c r="J280" s="257">
        <v>7.0000000000000007E-2</v>
      </c>
      <c r="K280" s="257">
        <v>0.08</v>
      </c>
      <c r="L280" s="257">
        <v>0.09</v>
      </c>
      <c r="M280" s="1452"/>
      <c r="N280" s="1287" t="s">
        <v>615</v>
      </c>
      <c r="O280" s="257">
        <v>0</v>
      </c>
      <c r="P280" s="257">
        <v>0.01</v>
      </c>
      <c r="Q280" s="257">
        <v>0.02</v>
      </c>
      <c r="R280" s="257">
        <v>0.03</v>
      </c>
      <c r="S280" s="257">
        <v>0.04</v>
      </c>
      <c r="T280" s="257">
        <v>0.05</v>
      </c>
      <c r="U280" s="257">
        <v>0.06</v>
      </c>
      <c r="V280" s="257">
        <v>7.0000000000000007E-2</v>
      </c>
      <c r="W280" s="257">
        <v>0.08</v>
      </c>
      <c r="X280" s="257">
        <v>0.09</v>
      </c>
      <c r="Y280" s="1452"/>
      <c r="Z280" s="1287" t="s">
        <v>615</v>
      </c>
      <c r="AA280" s="257">
        <v>0</v>
      </c>
      <c r="AB280" s="257">
        <v>0.01</v>
      </c>
      <c r="AC280" s="257">
        <v>0.02</v>
      </c>
      <c r="AD280" s="257">
        <v>0.03</v>
      </c>
      <c r="AE280" s="257">
        <v>0.04</v>
      </c>
      <c r="AF280" s="257">
        <v>0.05</v>
      </c>
      <c r="AG280" s="257">
        <v>0.06</v>
      </c>
      <c r="AH280" s="257">
        <v>7.0000000000000007E-2</v>
      </c>
      <c r="AI280" s="257">
        <v>0.08</v>
      </c>
      <c r="AJ280" s="257">
        <v>0.09</v>
      </c>
      <c r="AQ280" s="295"/>
      <c r="AR280" s="295"/>
      <c r="AS280" s="296"/>
      <c r="AT280" s="295"/>
      <c r="AU280" s="295"/>
      <c r="AV280" s="295"/>
      <c r="AW280" s="74"/>
      <c r="AX280" s="295"/>
      <c r="AY280" s="295"/>
      <c r="AZ280" s="55"/>
      <c r="BA280" s="295"/>
      <c r="BB280" s="295"/>
      <c r="BC280" s="295"/>
      <c r="BD280" s="295"/>
      <c r="BE280" s="295"/>
      <c r="BF280" s="295"/>
      <c r="BH280" s="295"/>
      <c r="BI280" s="297"/>
    </row>
    <row r="281" spans="2:102" ht="48.75" customHeight="1">
      <c r="B281" s="1287"/>
      <c r="C281" s="1287" t="s">
        <v>616</v>
      </c>
      <c r="D281" s="1287"/>
      <c r="E281" s="1287"/>
      <c r="F281" s="1287"/>
      <c r="G281" s="1287"/>
      <c r="H281" s="1287"/>
      <c r="I281" s="1287"/>
      <c r="J281" s="1287"/>
      <c r="K281" s="1287"/>
      <c r="L281" s="1287"/>
      <c r="M281" s="1452"/>
      <c r="N281" s="1287"/>
      <c r="O281" s="1287" t="s">
        <v>616</v>
      </c>
      <c r="P281" s="1287"/>
      <c r="Q281" s="1287"/>
      <c r="R281" s="1287"/>
      <c r="S281" s="1287"/>
      <c r="T281" s="1287"/>
      <c r="U281" s="1287"/>
      <c r="V281" s="1287"/>
      <c r="W281" s="1287"/>
      <c r="X281" s="1287"/>
      <c r="Y281" s="1452"/>
      <c r="Z281" s="1287"/>
      <c r="AA281" s="1287" t="s">
        <v>616</v>
      </c>
      <c r="AB281" s="1287"/>
      <c r="AC281" s="1287"/>
      <c r="AD281" s="1287"/>
      <c r="AE281" s="1287"/>
      <c r="AF281" s="1287"/>
      <c r="AG281" s="1287"/>
      <c r="AH281" s="1287"/>
      <c r="AI281" s="1287"/>
      <c r="AJ281" s="1287"/>
      <c r="AQ281" s="295"/>
      <c r="AR281" s="295"/>
      <c r="AS281" s="296"/>
      <c r="AT281" s="295"/>
      <c r="AU281" s="295"/>
      <c r="AV281" s="295"/>
      <c r="AW281" s="74"/>
      <c r="AX281" s="295"/>
      <c r="AY281" s="295"/>
      <c r="AZ281" s="55"/>
      <c r="BA281" s="295"/>
      <c r="BB281" s="295"/>
      <c r="BC281" s="295"/>
      <c r="BD281" s="295"/>
      <c r="BE281" s="295"/>
      <c r="BF281" s="295"/>
      <c r="BH281" s="295"/>
      <c r="BI281" s="297"/>
    </row>
    <row r="282" spans="2:102" ht="48.75" customHeight="1">
      <c r="B282" s="257">
        <v>0.4</v>
      </c>
      <c r="C282" s="257">
        <v>56</v>
      </c>
      <c r="D282" s="257">
        <v>56</v>
      </c>
      <c r="E282" s="257">
        <v>57</v>
      </c>
      <c r="F282" s="257">
        <v>58</v>
      </c>
      <c r="G282" s="257">
        <v>59</v>
      </c>
      <c r="H282" s="257">
        <v>60</v>
      </c>
      <c r="I282" s="257">
        <v>60</v>
      </c>
      <c r="J282" s="257">
        <v>61</v>
      </c>
      <c r="K282" s="257">
        <v>61</v>
      </c>
      <c r="L282" s="257">
        <v>62</v>
      </c>
      <c r="M282" s="264"/>
      <c r="N282" s="257">
        <v>0.4</v>
      </c>
      <c r="O282" s="257">
        <v>52</v>
      </c>
      <c r="P282" s="257">
        <v>53</v>
      </c>
      <c r="Q282" s="257">
        <v>54</v>
      </c>
      <c r="R282" s="257">
        <v>55</v>
      </c>
      <c r="S282" s="257">
        <v>56</v>
      </c>
      <c r="T282" s="257">
        <v>58</v>
      </c>
      <c r="U282" s="257">
        <v>59</v>
      </c>
      <c r="V282" s="257">
        <v>60</v>
      </c>
      <c r="W282" s="257">
        <v>61</v>
      </c>
      <c r="X282" s="257">
        <v>62</v>
      </c>
      <c r="Y282" s="264"/>
      <c r="Z282" s="257">
        <v>0.4</v>
      </c>
      <c r="AA282" s="257">
        <v>124</v>
      </c>
      <c r="AB282" s="257">
        <v>127</v>
      </c>
      <c r="AC282" s="257">
        <v>130</v>
      </c>
      <c r="AD282" s="257">
        <v>133</v>
      </c>
      <c r="AE282" s="257">
        <v>136</v>
      </c>
      <c r="AF282" s="257">
        <v>138</v>
      </c>
      <c r="AG282" s="257">
        <v>141</v>
      </c>
      <c r="AH282" s="257">
        <v>144</v>
      </c>
      <c r="AI282" s="257">
        <v>147</v>
      </c>
      <c r="AJ282" s="257">
        <v>150</v>
      </c>
      <c r="AQ282" s="295"/>
      <c r="AR282" s="295"/>
      <c r="AS282" s="296"/>
      <c r="AT282" s="295"/>
      <c r="AU282" s="295"/>
      <c r="AV282" s="295"/>
      <c r="AW282" s="74"/>
      <c r="AX282" s="295"/>
      <c r="AY282" s="295"/>
      <c r="AZ282" s="55"/>
      <c r="BA282" s="295"/>
      <c r="BB282" s="295"/>
      <c r="BC282" s="295"/>
      <c r="BD282" s="295"/>
      <c r="BE282" s="295"/>
      <c r="BF282" s="295"/>
      <c r="BH282" s="295"/>
      <c r="BI282" s="297"/>
      <c r="CN282" s="278"/>
      <c r="CO282" s="278"/>
      <c r="CP282" s="278"/>
      <c r="CQ282" s="278"/>
      <c r="CR282" s="278"/>
      <c r="CS282" s="278"/>
      <c r="CT282" s="278"/>
      <c r="CU282" s="278"/>
      <c r="CV282" s="278"/>
      <c r="CW282" s="278"/>
      <c r="CX282" s="278"/>
    </row>
    <row r="283" spans="2:102" ht="48.75" customHeight="1">
      <c r="B283" s="257">
        <v>0.5</v>
      </c>
      <c r="C283" s="257">
        <v>63</v>
      </c>
      <c r="D283" s="257">
        <v>63</v>
      </c>
      <c r="E283" s="257">
        <v>64</v>
      </c>
      <c r="F283" s="257">
        <v>65</v>
      </c>
      <c r="G283" s="257">
        <v>66</v>
      </c>
      <c r="H283" s="257">
        <v>67</v>
      </c>
      <c r="I283" s="257">
        <v>67</v>
      </c>
      <c r="J283" s="257">
        <v>68</v>
      </c>
      <c r="K283" s="257">
        <v>68</v>
      </c>
      <c r="L283" s="257">
        <v>69</v>
      </c>
      <c r="M283" s="264"/>
      <c r="N283" s="257">
        <v>0.5</v>
      </c>
      <c r="O283" s="257">
        <v>64</v>
      </c>
      <c r="P283" s="257">
        <v>65</v>
      </c>
      <c r="Q283" s="257">
        <v>66</v>
      </c>
      <c r="R283" s="257">
        <v>67</v>
      </c>
      <c r="S283" s="257">
        <v>69</v>
      </c>
      <c r="T283" s="257">
        <v>71</v>
      </c>
      <c r="U283" s="257">
        <v>72</v>
      </c>
      <c r="V283" s="257">
        <v>74</v>
      </c>
      <c r="W283" s="257">
        <v>76</v>
      </c>
      <c r="X283" s="257">
        <v>78</v>
      </c>
      <c r="Y283" s="264"/>
      <c r="Z283" s="257">
        <v>0.5</v>
      </c>
      <c r="AA283" s="257">
        <v>154</v>
      </c>
      <c r="AB283" s="257">
        <v>157</v>
      </c>
      <c r="AC283" s="257">
        <v>160</v>
      </c>
      <c r="AD283" s="257">
        <v>164</v>
      </c>
      <c r="AE283" s="257">
        <v>167</v>
      </c>
      <c r="AF283" s="257">
        <v>171</v>
      </c>
      <c r="AG283" s="257">
        <v>174</v>
      </c>
      <c r="AH283" s="257">
        <v>177</v>
      </c>
      <c r="AI283" s="257">
        <v>180</v>
      </c>
      <c r="AJ283" s="257">
        <v>184</v>
      </c>
      <c r="AQ283" s="295"/>
      <c r="AR283" s="295"/>
      <c r="AS283" s="296"/>
      <c r="AT283" s="295"/>
      <c r="AU283" s="295"/>
      <c r="AV283" s="295"/>
      <c r="AW283" s="74"/>
      <c r="AX283" s="295"/>
      <c r="AY283" s="295"/>
      <c r="AZ283" s="55"/>
      <c r="BA283" s="295"/>
      <c r="BB283" s="295"/>
      <c r="BC283" s="295"/>
      <c r="BD283" s="295"/>
      <c r="BE283" s="295"/>
      <c r="BF283" s="295"/>
      <c r="BH283" s="295"/>
      <c r="BI283" s="297"/>
      <c r="CN283" s="278"/>
      <c r="CO283" s="278"/>
      <c r="CP283" s="278"/>
      <c r="CQ283" s="278"/>
      <c r="CR283" s="278"/>
      <c r="CS283" s="278"/>
      <c r="CT283" s="278"/>
      <c r="CU283" s="278"/>
      <c r="CV283" s="278"/>
      <c r="CW283" s="278"/>
      <c r="CX283" s="278"/>
    </row>
    <row r="284" spans="2:102" ht="48.75" customHeight="1">
      <c r="B284" s="257">
        <v>0.6</v>
      </c>
      <c r="C284" s="257">
        <v>70</v>
      </c>
      <c r="D284" s="257">
        <v>70</v>
      </c>
      <c r="E284" s="257">
        <v>71</v>
      </c>
      <c r="F284" s="257">
        <v>72</v>
      </c>
      <c r="G284" s="257">
        <v>73</v>
      </c>
      <c r="H284" s="257">
        <v>74</v>
      </c>
      <c r="I284" s="257">
        <v>74</v>
      </c>
      <c r="J284" s="257">
        <v>75</v>
      </c>
      <c r="K284" s="257">
        <v>76</v>
      </c>
      <c r="L284" s="257">
        <v>77</v>
      </c>
      <c r="M284" s="264"/>
      <c r="N284" s="257">
        <v>0.6</v>
      </c>
      <c r="O284" s="257">
        <v>80</v>
      </c>
      <c r="P284" s="257">
        <v>81</v>
      </c>
      <c r="Q284" s="257">
        <v>83</v>
      </c>
      <c r="R284" s="257">
        <v>85</v>
      </c>
      <c r="S284" s="257">
        <v>87</v>
      </c>
      <c r="T284" s="257">
        <v>89</v>
      </c>
      <c r="U284" s="257">
        <v>91</v>
      </c>
      <c r="V284" s="257">
        <v>93</v>
      </c>
      <c r="W284" s="257">
        <v>95</v>
      </c>
      <c r="X284" s="257">
        <v>97</v>
      </c>
      <c r="Y284" s="264"/>
      <c r="Z284" s="257">
        <v>0.6</v>
      </c>
      <c r="AA284" s="257">
        <v>188</v>
      </c>
      <c r="AB284" s="257">
        <v>191</v>
      </c>
      <c r="AC284" s="257">
        <v>194</v>
      </c>
      <c r="AD284" s="257">
        <v>198</v>
      </c>
      <c r="AE284" s="257">
        <v>201</v>
      </c>
      <c r="AF284" s="257">
        <v>205</v>
      </c>
      <c r="AG284" s="257">
        <v>208</v>
      </c>
      <c r="AH284" s="257">
        <v>212</v>
      </c>
      <c r="AI284" s="257">
        <v>216</v>
      </c>
      <c r="AJ284" s="257">
        <v>220</v>
      </c>
      <c r="AQ284" s="295"/>
      <c r="AR284" s="295"/>
      <c r="AS284" s="296"/>
      <c r="AT284" s="295"/>
      <c r="AU284" s="295"/>
      <c r="AV284" s="295"/>
      <c r="AW284" s="74"/>
      <c r="AX284" s="295"/>
      <c r="AY284" s="295"/>
      <c r="AZ284" s="55"/>
      <c r="BA284" s="295"/>
      <c r="BB284" s="295"/>
      <c r="BC284" s="295"/>
      <c r="BD284" s="295"/>
      <c r="BE284" s="295"/>
      <c r="BF284" s="295"/>
      <c r="BH284" s="295"/>
      <c r="BI284" s="297"/>
      <c r="CN284" s="278"/>
      <c r="CO284" s="278"/>
      <c r="CP284" s="278"/>
      <c r="CQ284" s="278"/>
      <c r="CR284" s="278"/>
      <c r="CS284" s="278"/>
      <c r="CT284" s="278"/>
      <c r="CU284" s="278"/>
      <c r="CV284" s="278"/>
      <c r="CW284" s="278"/>
      <c r="CX284" s="278"/>
    </row>
    <row r="285" spans="2:102" ht="48.75" customHeight="1">
      <c r="B285" s="257">
        <v>0.7</v>
      </c>
      <c r="C285" s="257">
        <v>78</v>
      </c>
      <c r="D285" s="257">
        <v>79</v>
      </c>
      <c r="E285" s="257">
        <v>80</v>
      </c>
      <c r="F285" s="257">
        <v>81</v>
      </c>
      <c r="G285" s="257">
        <v>82</v>
      </c>
      <c r="H285" s="257">
        <v>83</v>
      </c>
      <c r="I285" s="257">
        <v>84</v>
      </c>
      <c r="J285" s="257">
        <v>85</v>
      </c>
      <c r="K285" s="257">
        <v>86</v>
      </c>
      <c r="L285" s="257">
        <v>87</v>
      </c>
      <c r="M285" s="264"/>
      <c r="N285" s="257">
        <v>0.7</v>
      </c>
      <c r="O285" s="257">
        <v>100</v>
      </c>
      <c r="P285" s="257">
        <v>102</v>
      </c>
      <c r="Q285" s="257">
        <v>104</v>
      </c>
      <c r="R285" s="257">
        <v>106</v>
      </c>
      <c r="S285" s="257">
        <v>108</v>
      </c>
      <c r="T285" s="257">
        <v>111</v>
      </c>
      <c r="U285" s="257">
        <v>113</v>
      </c>
      <c r="V285" s="257">
        <v>115</v>
      </c>
      <c r="W285" s="257">
        <v>118</v>
      </c>
      <c r="X285" s="257">
        <v>121</v>
      </c>
      <c r="Y285" s="264"/>
      <c r="Z285" s="257">
        <v>0.7</v>
      </c>
      <c r="AA285" s="257">
        <v>223</v>
      </c>
      <c r="AB285" s="257">
        <v>226</v>
      </c>
      <c r="AC285" s="257">
        <v>229</v>
      </c>
      <c r="AD285" s="257">
        <v>233</v>
      </c>
      <c r="AE285" s="257">
        <v>236</v>
      </c>
      <c r="AF285" s="257">
        <v>240</v>
      </c>
      <c r="AG285" s="257">
        <v>243</v>
      </c>
      <c r="AH285" s="257">
        <v>247</v>
      </c>
      <c r="AI285" s="257">
        <v>250</v>
      </c>
      <c r="AJ285" s="257">
        <v>253</v>
      </c>
      <c r="AQ285" s="295"/>
      <c r="AR285" s="295"/>
      <c r="AS285" s="296"/>
      <c r="AT285" s="295"/>
      <c r="AU285" s="295"/>
      <c r="AV285" s="295"/>
      <c r="AW285" s="74"/>
      <c r="AX285" s="295"/>
      <c r="AY285" s="295"/>
      <c r="AZ285" s="55"/>
      <c r="BA285" s="295"/>
      <c r="BB285" s="295"/>
      <c r="BC285" s="295"/>
      <c r="BD285" s="295"/>
      <c r="BE285" s="295"/>
      <c r="BF285" s="295"/>
      <c r="BH285" s="295"/>
      <c r="BI285" s="297"/>
      <c r="CN285" s="278"/>
      <c r="CO285" s="278"/>
      <c r="CP285" s="278"/>
      <c r="CQ285" s="278"/>
      <c r="CR285" s="278"/>
      <c r="CS285" s="278"/>
      <c r="CT285" s="278"/>
      <c r="CU285" s="278"/>
      <c r="CV285" s="278"/>
      <c r="CW285" s="278"/>
      <c r="CX285" s="278"/>
    </row>
    <row r="286" spans="2:102" ht="48.75" customHeight="1">
      <c r="B286" s="257">
        <v>0.8</v>
      </c>
      <c r="C286" s="257">
        <v>88</v>
      </c>
      <c r="D286" s="257">
        <v>89</v>
      </c>
      <c r="E286" s="257">
        <v>90</v>
      </c>
      <c r="F286" s="257">
        <v>91</v>
      </c>
      <c r="G286" s="257">
        <v>92</v>
      </c>
      <c r="H286" s="257">
        <v>93</v>
      </c>
      <c r="I286" s="257">
        <v>94</v>
      </c>
      <c r="J286" s="257">
        <v>95</v>
      </c>
      <c r="K286" s="257">
        <v>96</v>
      </c>
      <c r="L286" s="257">
        <v>97</v>
      </c>
      <c r="M286" s="264"/>
      <c r="N286" s="257">
        <v>0.8</v>
      </c>
      <c r="O286" s="257">
        <v>124</v>
      </c>
      <c r="P286" s="257">
        <v>126</v>
      </c>
      <c r="Q286" s="257">
        <v>129</v>
      </c>
      <c r="R286" s="257">
        <v>132</v>
      </c>
      <c r="S286" s="257">
        <v>135</v>
      </c>
      <c r="T286" s="257">
        <v>138</v>
      </c>
      <c r="U286" s="257">
        <v>140</v>
      </c>
      <c r="V286" s="257">
        <v>143</v>
      </c>
      <c r="W286" s="257">
        <v>146</v>
      </c>
      <c r="X286" s="257">
        <v>149</v>
      </c>
      <c r="Y286" s="264"/>
      <c r="Z286" s="257">
        <v>0.8</v>
      </c>
      <c r="AA286" s="257">
        <v>256</v>
      </c>
      <c r="AB286" s="257">
        <v>259</v>
      </c>
      <c r="AC286" s="257">
        <v>262</v>
      </c>
      <c r="AD286" s="257">
        <v>265</v>
      </c>
      <c r="AE286" s="257">
        <v>268</v>
      </c>
      <c r="AF286" s="257">
        <v>271</v>
      </c>
      <c r="AG286" s="257">
        <v>274</v>
      </c>
      <c r="AH286" s="257">
        <v>277</v>
      </c>
      <c r="AI286" s="257">
        <v>280</v>
      </c>
      <c r="AJ286" s="257">
        <v>283</v>
      </c>
      <c r="AQ286" s="295"/>
      <c r="AR286" s="295"/>
      <c r="AS286" s="296"/>
      <c r="AT286" s="295"/>
      <c r="AU286" s="295"/>
      <c r="AV286" s="295"/>
      <c r="AW286" s="74"/>
      <c r="AX286" s="295"/>
      <c r="AY286" s="295"/>
      <c r="AZ286" s="55"/>
      <c r="BA286" s="295"/>
      <c r="BB286" s="295"/>
      <c r="BC286" s="295"/>
      <c r="BD286" s="295"/>
      <c r="BE286" s="295"/>
      <c r="BF286" s="295"/>
      <c r="BH286" s="295"/>
      <c r="BI286" s="297"/>
      <c r="CN286" s="278"/>
      <c r="CO286" s="278"/>
      <c r="CP286" s="278"/>
      <c r="CQ286" s="278"/>
      <c r="CR286" s="278"/>
      <c r="CS286" s="278"/>
      <c r="CT286" s="278"/>
      <c r="CU286" s="278"/>
      <c r="CV286" s="278"/>
      <c r="CW286" s="278"/>
      <c r="CX286" s="278"/>
    </row>
    <row r="287" spans="2:102" ht="48.75" customHeight="1">
      <c r="B287" s="257">
        <v>0.9</v>
      </c>
      <c r="C287" s="257">
        <v>99</v>
      </c>
      <c r="D287" s="257">
        <v>100</v>
      </c>
      <c r="E287" s="257">
        <v>101</v>
      </c>
      <c r="F287" s="257">
        <v>102</v>
      </c>
      <c r="G287" s="257">
        <v>103</v>
      </c>
      <c r="H287" s="257">
        <v>104</v>
      </c>
      <c r="I287" s="257">
        <v>105</v>
      </c>
      <c r="J287" s="257">
        <v>106</v>
      </c>
      <c r="K287" s="257">
        <v>107</v>
      </c>
      <c r="L287" s="257">
        <v>108</v>
      </c>
      <c r="M287" s="264"/>
      <c r="N287" s="257">
        <v>0.9</v>
      </c>
      <c r="O287" s="257">
        <v>152</v>
      </c>
      <c r="P287" s="257">
        <v>155</v>
      </c>
      <c r="Q287" s="257">
        <v>158</v>
      </c>
      <c r="R287" s="257">
        <v>161</v>
      </c>
      <c r="S287" s="257">
        <v>164</v>
      </c>
      <c r="T287" s="257">
        <v>168</v>
      </c>
      <c r="U287" s="257">
        <v>171</v>
      </c>
      <c r="V287" s="257">
        <v>174</v>
      </c>
      <c r="W287" s="257">
        <v>177</v>
      </c>
      <c r="X287" s="257">
        <v>181</v>
      </c>
      <c r="Y287" s="264"/>
      <c r="Z287" s="257">
        <v>0.9</v>
      </c>
      <c r="AA287" s="257">
        <v>286</v>
      </c>
      <c r="AB287" s="257">
        <v>290</v>
      </c>
      <c r="AC287" s="257">
        <v>293</v>
      </c>
      <c r="AD287" s="257">
        <v>297</v>
      </c>
      <c r="AE287" s="257">
        <v>301</v>
      </c>
      <c r="AF287" s="257">
        <v>304</v>
      </c>
      <c r="AG287" s="257">
        <v>308</v>
      </c>
      <c r="AH287" s="257">
        <v>312</v>
      </c>
      <c r="AI287" s="257">
        <v>316</v>
      </c>
      <c r="AJ287" s="257">
        <v>320</v>
      </c>
      <c r="AQ287" s="295"/>
      <c r="AR287" s="295"/>
      <c r="AS287" s="296"/>
      <c r="AT287" s="295"/>
      <c r="AU287" s="295"/>
      <c r="AV287" s="295"/>
      <c r="AW287" s="74"/>
      <c r="AX287" s="295"/>
      <c r="AY287" s="295"/>
      <c r="AZ287" s="55"/>
      <c r="BA287" s="295"/>
      <c r="BB287" s="295"/>
      <c r="BC287" s="295"/>
      <c r="BD287" s="295"/>
      <c r="BE287" s="295"/>
      <c r="BF287" s="295"/>
      <c r="BH287" s="295"/>
      <c r="BI287" s="297"/>
      <c r="CN287" s="278"/>
      <c r="CO287" s="278"/>
      <c r="CP287" s="278"/>
      <c r="CQ287" s="278"/>
      <c r="CR287" s="278"/>
      <c r="CS287" s="278"/>
      <c r="CT287" s="278"/>
      <c r="CU287" s="278"/>
      <c r="CV287" s="278"/>
      <c r="CW287" s="278"/>
      <c r="CX287" s="278"/>
    </row>
    <row r="288" spans="2:102" ht="48.75" customHeight="1">
      <c r="B288" s="257">
        <v>1</v>
      </c>
      <c r="C288" s="257">
        <v>110</v>
      </c>
      <c r="D288" s="257">
        <v>111</v>
      </c>
      <c r="E288" s="257">
        <v>113</v>
      </c>
      <c r="F288" s="257">
        <v>114</v>
      </c>
      <c r="G288" s="257">
        <v>115</v>
      </c>
      <c r="H288" s="257">
        <v>117</v>
      </c>
      <c r="I288" s="257">
        <v>118</v>
      </c>
      <c r="J288" s="257">
        <v>120</v>
      </c>
      <c r="K288" s="257">
        <v>121</v>
      </c>
      <c r="L288" s="257">
        <v>123</v>
      </c>
      <c r="M288" s="264"/>
      <c r="N288" s="257">
        <v>1</v>
      </c>
      <c r="O288" s="257">
        <v>185</v>
      </c>
      <c r="P288" s="257">
        <v>188</v>
      </c>
      <c r="Q288" s="257">
        <v>191</v>
      </c>
      <c r="R288" s="257">
        <v>195</v>
      </c>
      <c r="S288" s="257">
        <v>199</v>
      </c>
      <c r="T288" s="257">
        <v>203</v>
      </c>
      <c r="U288" s="257">
        <v>206</v>
      </c>
      <c r="V288" s="257">
        <v>209</v>
      </c>
      <c r="W288" s="257">
        <v>213</v>
      </c>
      <c r="X288" s="257">
        <v>217</v>
      </c>
      <c r="Y288" s="264"/>
      <c r="Z288" s="257">
        <v>1</v>
      </c>
      <c r="AA288" s="257">
        <v>324</v>
      </c>
      <c r="AB288" s="257">
        <v>329</v>
      </c>
      <c r="AC288" s="257">
        <v>333</v>
      </c>
      <c r="AD288" s="257">
        <v>338</v>
      </c>
      <c r="AE288" s="257">
        <v>342</v>
      </c>
      <c r="AF288" s="257">
        <v>346</v>
      </c>
      <c r="AG288" s="257">
        <v>350</v>
      </c>
      <c r="AH288" s="257">
        <v>355</v>
      </c>
      <c r="AI288" s="257">
        <v>360</v>
      </c>
      <c r="AJ288" s="257">
        <v>365</v>
      </c>
      <c r="AQ288" s="295"/>
      <c r="AR288" s="295"/>
      <c r="AS288" s="296"/>
      <c r="AT288" s="295"/>
      <c r="AU288" s="295"/>
      <c r="AV288" s="295"/>
      <c r="AX288" s="295"/>
      <c r="AY288" s="295"/>
      <c r="AZ288" s="55"/>
      <c r="BA288" s="295"/>
      <c r="BB288" s="295"/>
      <c r="BC288" s="295"/>
      <c r="BD288" s="295"/>
      <c r="BE288" s="295"/>
      <c r="BF288" s="295"/>
      <c r="BH288" s="295"/>
      <c r="BI288" s="297"/>
      <c r="CN288" s="278"/>
      <c r="CO288" s="278"/>
      <c r="CP288" s="278"/>
      <c r="CQ288" s="278"/>
      <c r="CR288" s="278"/>
      <c r="CS288" s="278"/>
      <c r="CT288" s="278"/>
      <c r="CU288" s="278"/>
      <c r="CV288" s="278"/>
      <c r="CW288" s="278"/>
      <c r="CX288" s="278"/>
    </row>
    <row r="289" spans="2:142" ht="48.75" customHeight="1">
      <c r="B289" s="257">
        <v>1.1000000000000001</v>
      </c>
      <c r="C289" s="257">
        <v>125</v>
      </c>
      <c r="D289" s="257">
        <v>126</v>
      </c>
      <c r="E289" s="257">
        <v>127</v>
      </c>
      <c r="F289" s="257">
        <v>128</v>
      </c>
      <c r="G289" s="257">
        <v>129</v>
      </c>
      <c r="H289" s="257">
        <v>132</v>
      </c>
      <c r="I289" s="257">
        <v>133</v>
      </c>
      <c r="J289" s="257">
        <v>134</v>
      </c>
      <c r="K289" s="257">
        <v>136</v>
      </c>
      <c r="L289" s="257">
        <v>138</v>
      </c>
      <c r="M289" s="264"/>
      <c r="N289" s="257">
        <v>1.1000000000000001</v>
      </c>
      <c r="O289" s="257">
        <v>221</v>
      </c>
      <c r="P289" s="257">
        <v>225</v>
      </c>
      <c r="Q289" s="257">
        <v>229</v>
      </c>
      <c r="R289" s="257">
        <v>233</v>
      </c>
      <c r="S289" s="257">
        <v>237</v>
      </c>
      <c r="T289" s="257">
        <v>241</v>
      </c>
      <c r="U289" s="257">
        <v>245</v>
      </c>
      <c r="V289" s="257">
        <v>249</v>
      </c>
      <c r="W289" s="257">
        <v>253</v>
      </c>
      <c r="X289" s="257">
        <v>257</v>
      </c>
      <c r="Y289" s="264"/>
      <c r="Z289" s="257">
        <v>1.1000000000000001</v>
      </c>
      <c r="AA289" s="257">
        <v>370</v>
      </c>
      <c r="AB289" s="257">
        <v>375</v>
      </c>
      <c r="AC289" s="257">
        <v>380</v>
      </c>
      <c r="AD289" s="257">
        <v>385</v>
      </c>
      <c r="AE289" s="257">
        <v>391</v>
      </c>
      <c r="AF289" s="257">
        <v>396</v>
      </c>
      <c r="AG289" s="257">
        <v>401</v>
      </c>
      <c r="AH289" s="257">
        <v>406</v>
      </c>
      <c r="AI289" s="257">
        <v>411</v>
      </c>
      <c r="AJ289" s="257">
        <v>417</v>
      </c>
      <c r="AQ289" s="295"/>
      <c r="AR289" s="295"/>
      <c r="AS289" s="296"/>
      <c r="AT289" s="295"/>
      <c r="AU289" s="295"/>
      <c r="AV289" s="295"/>
      <c r="AX289" s="295"/>
      <c r="AY289" s="295"/>
      <c r="AZ289" s="55"/>
      <c r="BA289" s="295"/>
      <c r="BB289" s="295"/>
      <c r="BC289" s="295"/>
      <c r="BD289" s="295"/>
      <c r="BE289" s="295"/>
      <c r="BF289" s="295"/>
      <c r="BH289" s="295"/>
      <c r="BI289" s="297"/>
      <c r="CN289" s="278"/>
      <c r="CO289" s="278"/>
      <c r="CP289" s="278"/>
      <c r="CQ289" s="278"/>
      <c r="CR289" s="278"/>
      <c r="CS289" s="278"/>
      <c r="CT289" s="278"/>
      <c r="CU289" s="278"/>
      <c r="CV289" s="278"/>
      <c r="CW289" s="278"/>
      <c r="CX289" s="278"/>
    </row>
    <row r="290" spans="2:142" ht="48.75" customHeight="1">
      <c r="B290" s="257">
        <v>1.2</v>
      </c>
      <c r="C290" s="257">
        <v>141</v>
      </c>
      <c r="D290" s="257">
        <v>146</v>
      </c>
      <c r="E290" s="257">
        <v>152</v>
      </c>
      <c r="F290" s="257">
        <v>158</v>
      </c>
      <c r="G290" s="257">
        <v>164</v>
      </c>
      <c r="H290" s="257">
        <v>170</v>
      </c>
      <c r="I290" s="257">
        <v>176</v>
      </c>
      <c r="J290" s="257">
        <v>182</v>
      </c>
      <c r="K290" s="257">
        <v>188</v>
      </c>
      <c r="L290" s="257">
        <v>194</v>
      </c>
      <c r="M290" s="264"/>
      <c r="N290" s="257">
        <v>1.2</v>
      </c>
      <c r="O290" s="257">
        <v>262</v>
      </c>
      <c r="P290" s="257">
        <v>267</v>
      </c>
      <c r="Q290" s="257">
        <v>272</v>
      </c>
      <c r="R290" s="257">
        <v>277</v>
      </c>
      <c r="S290" s="257">
        <v>283</v>
      </c>
      <c r="T290" s="257">
        <v>289</v>
      </c>
      <c r="U290" s="257">
        <v>295</v>
      </c>
      <c r="V290" s="257">
        <v>301</v>
      </c>
      <c r="W290" s="257">
        <v>307</v>
      </c>
      <c r="X290" s="257">
        <v>313</v>
      </c>
      <c r="Y290" s="264"/>
      <c r="Z290" s="257">
        <v>1.2</v>
      </c>
      <c r="AA290" s="257">
        <v>424</v>
      </c>
      <c r="AB290" s="257">
        <v>430</v>
      </c>
      <c r="AC290" s="257">
        <v>436</v>
      </c>
      <c r="AD290" s="257">
        <v>442</v>
      </c>
      <c r="AE290" s="257">
        <v>448</v>
      </c>
      <c r="AF290" s="257">
        <v>455</v>
      </c>
      <c r="AG290" s="257">
        <v>461</v>
      </c>
      <c r="AH290" s="257">
        <v>467</v>
      </c>
      <c r="AI290" s="257">
        <v>473</v>
      </c>
      <c r="AJ290" s="257">
        <v>479</v>
      </c>
      <c r="AQ290" s="295"/>
      <c r="AR290" s="295"/>
      <c r="AS290" s="296"/>
      <c r="AT290" s="295"/>
      <c r="AU290" s="295"/>
      <c r="AV290" s="295"/>
      <c r="AX290" s="295"/>
      <c r="AY290" s="295"/>
      <c r="AZ290" s="55"/>
      <c r="BA290" s="295"/>
      <c r="BB290" s="295"/>
      <c r="BC290" s="295"/>
      <c r="BD290" s="295"/>
      <c r="BE290" s="295"/>
      <c r="BF290" s="295"/>
      <c r="BH290" s="295"/>
      <c r="BI290" s="297"/>
      <c r="CN290" s="278"/>
      <c r="CO290" s="278"/>
      <c r="CP290" s="278"/>
      <c r="CQ290" s="278"/>
      <c r="CR290" s="278"/>
      <c r="CS290" s="278"/>
      <c r="CT290" s="278"/>
      <c r="CU290" s="278"/>
      <c r="CV290" s="278"/>
      <c r="CW290" s="278"/>
      <c r="CX290" s="278"/>
    </row>
    <row r="291" spans="2:142" ht="48.75" customHeight="1">
      <c r="B291" s="257">
        <v>1.3</v>
      </c>
      <c r="C291" s="257">
        <v>200</v>
      </c>
      <c r="D291" s="257">
        <v>210</v>
      </c>
      <c r="E291" s="257">
        <v>220</v>
      </c>
      <c r="F291" s="257">
        <v>230</v>
      </c>
      <c r="G291" s="257">
        <v>240</v>
      </c>
      <c r="H291" s="257">
        <v>250</v>
      </c>
      <c r="I291" s="257">
        <v>260</v>
      </c>
      <c r="J291" s="257">
        <v>270</v>
      </c>
      <c r="K291" s="257">
        <v>280</v>
      </c>
      <c r="L291" s="257">
        <v>290</v>
      </c>
      <c r="M291" s="264"/>
      <c r="N291" s="257">
        <v>1.3</v>
      </c>
      <c r="O291" s="257">
        <v>320</v>
      </c>
      <c r="P291" s="257">
        <v>327</v>
      </c>
      <c r="Q291" s="257">
        <v>334</v>
      </c>
      <c r="R291" s="257">
        <v>341</v>
      </c>
      <c r="S291" s="257">
        <v>349</v>
      </c>
      <c r="T291" s="257">
        <v>357</v>
      </c>
      <c r="U291" s="257">
        <v>365</v>
      </c>
      <c r="V291" s="257">
        <v>373</v>
      </c>
      <c r="W291" s="257">
        <v>382</v>
      </c>
      <c r="X291" s="257">
        <v>391</v>
      </c>
      <c r="Y291" s="264"/>
      <c r="Z291" s="257">
        <v>1.3</v>
      </c>
      <c r="AA291" s="257">
        <v>486</v>
      </c>
      <c r="AB291" s="257">
        <v>495</v>
      </c>
      <c r="AC291" s="257">
        <v>504</v>
      </c>
      <c r="AD291" s="257">
        <v>514</v>
      </c>
      <c r="AE291" s="257">
        <v>524</v>
      </c>
      <c r="AF291" s="257">
        <v>533</v>
      </c>
      <c r="AG291" s="257">
        <v>563</v>
      </c>
      <c r="AH291" s="257">
        <v>574</v>
      </c>
      <c r="AI291" s="257">
        <v>584</v>
      </c>
      <c r="AJ291" s="257">
        <v>585</v>
      </c>
      <c r="AQ291" s="295"/>
      <c r="AR291" s="295"/>
      <c r="AS291" s="296"/>
      <c r="AT291" s="295"/>
      <c r="AU291" s="295"/>
      <c r="AV291" s="295"/>
      <c r="AX291" s="295"/>
      <c r="AY291" s="295"/>
      <c r="AZ291" s="55"/>
      <c r="BA291" s="295"/>
      <c r="BB291" s="295"/>
      <c r="BC291" s="295"/>
      <c r="BD291" s="295"/>
      <c r="BE291" s="295"/>
      <c r="BF291" s="295"/>
      <c r="BH291" s="295"/>
      <c r="BI291" s="297"/>
      <c r="CP291" s="278"/>
      <c r="CQ291" s="278"/>
      <c r="CR291" s="278"/>
      <c r="CS291" s="278"/>
      <c r="CT291" s="278"/>
      <c r="CU291" s="278"/>
      <c r="CV291" s="278"/>
      <c r="CW291" s="278"/>
      <c r="CX291" s="278"/>
    </row>
    <row r="292" spans="2:142" ht="48.75" customHeight="1">
      <c r="B292" s="257">
        <v>1.4</v>
      </c>
      <c r="C292" s="257">
        <v>300</v>
      </c>
      <c r="D292" s="257">
        <v>320</v>
      </c>
      <c r="E292" s="257">
        <v>350</v>
      </c>
      <c r="F292" s="257">
        <v>380</v>
      </c>
      <c r="G292" s="257">
        <v>410</v>
      </c>
      <c r="H292" s="257">
        <v>430</v>
      </c>
      <c r="I292" s="257">
        <v>460</v>
      </c>
      <c r="J292" s="257">
        <v>500</v>
      </c>
      <c r="K292" s="257">
        <v>540</v>
      </c>
      <c r="L292" s="257">
        <v>580</v>
      </c>
      <c r="M292" s="264"/>
      <c r="N292" s="257">
        <v>1.4</v>
      </c>
      <c r="O292" s="257">
        <v>400</v>
      </c>
      <c r="P292" s="257">
        <v>410</v>
      </c>
      <c r="Q292" s="257">
        <v>420</v>
      </c>
      <c r="R292" s="257">
        <v>430</v>
      </c>
      <c r="S292" s="257">
        <v>440</v>
      </c>
      <c r="T292" s="257">
        <v>450</v>
      </c>
      <c r="U292" s="257">
        <v>464</v>
      </c>
      <c r="V292" s="257">
        <v>478</v>
      </c>
      <c r="W292" s="257">
        <v>492</v>
      </c>
      <c r="X292" s="257">
        <v>506</v>
      </c>
      <c r="Y292" s="264"/>
      <c r="Z292" s="257">
        <v>1.4</v>
      </c>
      <c r="AA292" s="257">
        <v>586</v>
      </c>
      <c r="AB292" s="257">
        <v>598</v>
      </c>
      <c r="AC292" s="257">
        <v>610</v>
      </c>
      <c r="AD292" s="257">
        <v>622</v>
      </c>
      <c r="AE292" s="257">
        <v>634</v>
      </c>
      <c r="AF292" s="257">
        <v>646</v>
      </c>
      <c r="AG292" s="257">
        <v>658</v>
      </c>
      <c r="AH292" s="257">
        <v>670</v>
      </c>
      <c r="AI292" s="257">
        <v>683</v>
      </c>
      <c r="AJ292" s="257">
        <v>696</v>
      </c>
      <c r="AQ292" s="295"/>
      <c r="AR292" s="295"/>
      <c r="AS292" s="296"/>
      <c r="AT292" s="295"/>
      <c r="AU292" s="295"/>
      <c r="AV292" s="295"/>
      <c r="AW292" s="74"/>
      <c r="AX292" s="295"/>
      <c r="AY292" s="295"/>
      <c r="AZ292" s="55"/>
      <c r="BA292" s="295"/>
      <c r="BB292" s="295"/>
      <c r="BC292" s="295"/>
      <c r="BD292" s="295"/>
      <c r="BE292" s="295"/>
      <c r="BF292" s="295"/>
      <c r="BH292" s="295"/>
      <c r="BI292" s="297"/>
      <c r="CV292" s="278"/>
      <c r="CW292" s="278"/>
      <c r="CX292" s="278"/>
    </row>
    <row r="293" spans="2:142" ht="48.75" customHeight="1" thickBot="1">
      <c r="B293" s="257">
        <v>1.5</v>
      </c>
      <c r="C293" s="257">
        <v>620</v>
      </c>
      <c r="D293" s="257">
        <v>670</v>
      </c>
      <c r="E293" s="257">
        <v>780</v>
      </c>
      <c r="F293" s="257">
        <v>890</v>
      </c>
      <c r="G293" s="257">
        <v>1000</v>
      </c>
      <c r="H293" s="257">
        <v>1130</v>
      </c>
      <c r="I293" s="257">
        <v>1240</v>
      </c>
      <c r="J293" s="257">
        <v>1350</v>
      </c>
      <c r="K293" s="257">
        <v>1460</v>
      </c>
      <c r="L293" s="257">
        <v>1580</v>
      </c>
      <c r="M293" s="264"/>
      <c r="N293" s="257">
        <v>1.5</v>
      </c>
      <c r="O293" s="257">
        <v>520</v>
      </c>
      <c r="P293" s="257">
        <v>542</v>
      </c>
      <c r="Q293" s="257">
        <v>564</v>
      </c>
      <c r="R293" s="257">
        <v>586</v>
      </c>
      <c r="S293" s="257">
        <v>608</v>
      </c>
      <c r="T293" s="257">
        <v>630</v>
      </c>
      <c r="U293" s="257">
        <v>654</v>
      </c>
      <c r="V293" s="257">
        <v>678</v>
      </c>
      <c r="W293" s="257">
        <v>702</v>
      </c>
      <c r="X293" s="257">
        <v>726</v>
      </c>
      <c r="Y293" s="264"/>
      <c r="Z293" s="257">
        <v>1.5</v>
      </c>
      <c r="AA293" s="257">
        <v>709</v>
      </c>
      <c r="AB293" s="257">
        <v>722</v>
      </c>
      <c r="AC293" s="257">
        <v>735</v>
      </c>
      <c r="AD293" s="257">
        <v>749</v>
      </c>
      <c r="AE293" s="257">
        <v>763</v>
      </c>
      <c r="AF293" s="257">
        <v>777</v>
      </c>
      <c r="AG293" s="257">
        <v>791</v>
      </c>
      <c r="AH293" s="257">
        <v>805</v>
      </c>
      <c r="AI293" s="257">
        <v>820</v>
      </c>
      <c r="AJ293" s="257">
        <v>835</v>
      </c>
      <c r="AQ293" s="295"/>
      <c r="AR293" s="295"/>
      <c r="AS293" s="296"/>
      <c r="AT293" s="295"/>
      <c r="AU293" s="295"/>
      <c r="AV293" s="295"/>
      <c r="AW293" s="74"/>
      <c r="AX293" s="295"/>
      <c r="AY293" s="295"/>
      <c r="AZ293" s="55"/>
      <c r="BA293" s="295"/>
      <c r="BB293" s="295"/>
      <c r="BI293" s="11"/>
      <c r="CV293" s="278"/>
      <c r="CW293" s="278"/>
      <c r="CX293" s="278"/>
    </row>
    <row r="294" spans="2:142" ht="48.75" customHeight="1">
      <c r="B294" s="257">
        <v>1.6</v>
      </c>
      <c r="C294" s="257">
        <v>1700</v>
      </c>
      <c r="D294" s="257">
        <v>1860</v>
      </c>
      <c r="E294" s="257">
        <v>2020</v>
      </c>
      <c r="F294" s="257">
        <v>2180</v>
      </c>
      <c r="G294" s="257">
        <v>2340</v>
      </c>
      <c r="H294" s="257">
        <v>2500</v>
      </c>
      <c r="I294" s="257">
        <v>2700</v>
      </c>
      <c r="J294" s="257">
        <v>2800</v>
      </c>
      <c r="K294" s="257">
        <v>3000</v>
      </c>
      <c r="L294" s="257">
        <v>3200</v>
      </c>
      <c r="M294" s="264"/>
      <c r="N294" s="257">
        <v>1.6</v>
      </c>
      <c r="O294" s="257">
        <v>750</v>
      </c>
      <c r="P294" s="257">
        <v>788</v>
      </c>
      <c r="Q294" s="257">
        <v>826</v>
      </c>
      <c r="R294" s="257">
        <v>864</v>
      </c>
      <c r="S294" s="257">
        <v>902</v>
      </c>
      <c r="T294" s="257">
        <v>940</v>
      </c>
      <c r="U294" s="257">
        <v>982</v>
      </c>
      <c r="V294" s="257">
        <v>1020</v>
      </c>
      <c r="W294" s="257">
        <v>1070</v>
      </c>
      <c r="X294" s="257">
        <v>1110</v>
      </c>
      <c r="Y294" s="264"/>
      <c r="Z294" s="257">
        <v>1.6</v>
      </c>
      <c r="AA294" s="257">
        <v>850</v>
      </c>
      <c r="AB294" s="257">
        <v>878</v>
      </c>
      <c r="AC294" s="257">
        <v>906</v>
      </c>
      <c r="AD294" s="257">
        <v>934</v>
      </c>
      <c r="AE294" s="257">
        <v>962</v>
      </c>
      <c r="AF294" s="257">
        <v>990</v>
      </c>
      <c r="AG294" s="257">
        <v>1020</v>
      </c>
      <c r="AH294" s="257">
        <v>1050</v>
      </c>
      <c r="AI294" s="257">
        <v>1080</v>
      </c>
      <c r="AJ294" s="257">
        <v>1110</v>
      </c>
      <c r="AQ294" s="295"/>
      <c r="AR294" s="295"/>
      <c r="AS294" s="296"/>
      <c r="AT294" s="295"/>
      <c r="AU294" s="295"/>
      <c r="AV294" s="295"/>
      <c r="AW294" s="74"/>
      <c r="AX294" s="295"/>
      <c r="AY294" s="295"/>
      <c r="AZ294" s="55"/>
      <c r="BA294" s="295"/>
      <c r="BB294" s="295"/>
      <c r="BI294" s="11"/>
      <c r="CE294" s="301"/>
      <c r="CF294" s="302"/>
      <c r="CG294" s="302"/>
      <c r="CH294" s="302"/>
      <c r="CI294" s="302"/>
      <c r="CJ294" s="302"/>
      <c r="CK294" s="302"/>
      <c r="CL294" s="302"/>
      <c r="CM294" s="302"/>
      <c r="CN294" s="302"/>
      <c r="CO294" s="302"/>
      <c r="CP294" s="302"/>
      <c r="CQ294" s="302"/>
      <c r="CR294" s="302"/>
      <c r="CS294" s="302"/>
      <c r="CT294" s="302"/>
      <c r="CU294" s="302"/>
      <c r="CV294" s="303"/>
      <c r="CW294" s="303"/>
      <c r="CX294" s="303"/>
      <c r="CY294" s="302"/>
      <c r="CZ294" s="302"/>
      <c r="DA294" s="302"/>
      <c r="DB294" s="302"/>
      <c r="DC294" s="302"/>
      <c r="DD294" s="302"/>
      <c r="DE294" s="302"/>
      <c r="DF294" s="302"/>
      <c r="DG294" s="302"/>
      <c r="DH294" s="302"/>
      <c r="DI294" s="302"/>
      <c r="DJ294" s="302"/>
      <c r="DK294" s="302"/>
      <c r="DL294" s="302"/>
      <c r="DM294" s="302"/>
      <c r="DN294" s="304"/>
    </row>
    <row r="295" spans="2:142" ht="48.75" customHeight="1">
      <c r="B295" s="257">
        <v>1.7</v>
      </c>
      <c r="C295" s="257">
        <v>3400</v>
      </c>
      <c r="D295" s="257">
        <v>3700</v>
      </c>
      <c r="E295" s="257">
        <v>4000</v>
      </c>
      <c r="F295" s="257">
        <v>4300</v>
      </c>
      <c r="G295" s="257">
        <v>4700</v>
      </c>
      <c r="H295" s="257">
        <v>5000</v>
      </c>
      <c r="I295" s="257">
        <v>5400</v>
      </c>
      <c r="J295" s="257">
        <v>5800</v>
      </c>
      <c r="K295" s="257">
        <v>6200</v>
      </c>
      <c r="L295" s="257">
        <v>6600</v>
      </c>
      <c r="M295" s="264"/>
      <c r="N295" s="257">
        <v>1.7</v>
      </c>
      <c r="O295" s="257">
        <v>1150</v>
      </c>
      <c r="P295" s="257">
        <v>1220</v>
      </c>
      <c r="Q295" s="257">
        <v>1290</v>
      </c>
      <c r="R295" s="257">
        <v>1360</v>
      </c>
      <c r="S295" s="257">
        <v>1430</v>
      </c>
      <c r="T295" s="257">
        <v>1500</v>
      </c>
      <c r="U295" s="257">
        <v>1600</v>
      </c>
      <c r="V295" s="257">
        <v>1700</v>
      </c>
      <c r="W295" s="257">
        <v>1800</v>
      </c>
      <c r="X295" s="257">
        <v>1900</v>
      </c>
      <c r="Y295" s="264"/>
      <c r="Z295" s="257">
        <v>1.7</v>
      </c>
      <c r="AA295" s="257">
        <v>1150</v>
      </c>
      <c r="AB295" s="257">
        <v>1180</v>
      </c>
      <c r="AC295" s="257">
        <v>1220</v>
      </c>
      <c r="AD295" s="257">
        <v>1250</v>
      </c>
      <c r="AE295" s="257">
        <v>1290</v>
      </c>
      <c r="AF295" s="257">
        <v>1330</v>
      </c>
      <c r="AG295" s="257">
        <v>1360</v>
      </c>
      <c r="AH295" s="257">
        <v>1400</v>
      </c>
      <c r="AI295" s="257">
        <v>1440</v>
      </c>
      <c r="AJ295" s="257">
        <v>1480</v>
      </c>
      <c r="AQ295" s="295"/>
      <c r="AR295" s="295"/>
      <c r="AS295" s="296"/>
      <c r="AT295" s="295"/>
      <c r="AU295" s="295"/>
      <c r="AV295" s="295"/>
      <c r="AW295" s="74"/>
      <c r="AX295" s="295"/>
      <c r="AY295" s="295"/>
      <c r="AZ295" s="55"/>
      <c r="BA295" s="295"/>
      <c r="BB295" s="295"/>
      <c r="BI295" s="11"/>
      <c r="CE295" s="305"/>
      <c r="CF295" s="12"/>
      <c r="CG295" s="12"/>
      <c r="CH295" s="12"/>
      <c r="CI295" s="12"/>
      <c r="CJ295" s="12"/>
      <c r="CK295" s="12"/>
      <c r="CL295" s="12"/>
      <c r="CM295" s="12"/>
      <c r="CN295" s="12"/>
      <c r="CO295" s="12"/>
      <c r="CP295" s="12"/>
      <c r="CQ295" s="12"/>
      <c r="CR295" s="12"/>
      <c r="CS295" s="12"/>
      <c r="CT295" s="12"/>
      <c r="CU295" s="12"/>
      <c r="CV295" s="306"/>
      <c r="CW295" s="306"/>
      <c r="CX295" s="306"/>
      <c r="CY295" s="12"/>
      <c r="CZ295" s="12"/>
      <c r="DA295" s="12"/>
      <c r="DB295" s="12"/>
      <c r="DC295" s="12"/>
      <c r="DD295" s="12"/>
      <c r="DE295" s="12"/>
      <c r="DF295" s="12"/>
      <c r="DG295" s="12"/>
      <c r="DH295" s="12"/>
      <c r="DI295" s="12"/>
      <c r="DJ295" s="12"/>
      <c r="DK295" s="12"/>
      <c r="DL295" s="12"/>
      <c r="DM295" s="12"/>
      <c r="DN295" s="191"/>
    </row>
    <row r="296" spans="2:142" ht="48.75" customHeight="1">
      <c r="B296" s="257">
        <v>1.8</v>
      </c>
      <c r="C296" s="257">
        <v>7000</v>
      </c>
      <c r="D296" s="257">
        <v>7500</v>
      </c>
      <c r="E296" s="257">
        <v>8000</v>
      </c>
      <c r="F296" s="257">
        <v>8500</v>
      </c>
      <c r="G296" s="257">
        <v>9200</v>
      </c>
      <c r="H296" s="257">
        <v>10000</v>
      </c>
      <c r="I296" s="257">
        <v>10600</v>
      </c>
      <c r="J296" s="257">
        <v>11200</v>
      </c>
      <c r="K296" s="257">
        <v>11800</v>
      </c>
      <c r="L296" s="257">
        <v>12400</v>
      </c>
      <c r="M296" s="264"/>
      <c r="N296" s="257">
        <v>1.8</v>
      </c>
      <c r="O296" s="257">
        <v>2000</v>
      </c>
      <c r="P296" s="257">
        <v>2160</v>
      </c>
      <c r="Q296" s="257">
        <v>2320</v>
      </c>
      <c r="R296" s="257">
        <v>2490</v>
      </c>
      <c r="S296" s="257">
        <v>2650</v>
      </c>
      <c r="T296" s="257">
        <v>2810</v>
      </c>
      <c r="U296" s="257">
        <v>2960</v>
      </c>
      <c r="V296" s="257">
        <v>3110</v>
      </c>
      <c r="W296" s="257">
        <v>3270</v>
      </c>
      <c r="X296" s="257">
        <v>3420</v>
      </c>
      <c r="Y296" s="264"/>
      <c r="Z296" s="257">
        <v>1.8</v>
      </c>
      <c r="AA296" s="257">
        <v>1520</v>
      </c>
      <c r="AB296" s="257">
        <v>1570</v>
      </c>
      <c r="AC296" s="257">
        <v>1620</v>
      </c>
      <c r="AD296" s="257">
        <v>1670</v>
      </c>
      <c r="AE296" s="257">
        <v>1720</v>
      </c>
      <c r="AF296" s="257">
        <v>1770</v>
      </c>
      <c r="AG296" s="257">
        <v>1830</v>
      </c>
      <c r="AH296" s="257">
        <v>1890</v>
      </c>
      <c r="AI296" s="257">
        <v>1950</v>
      </c>
      <c r="AJ296" s="257">
        <v>2010</v>
      </c>
      <c r="AN296" s="307"/>
      <c r="AO296" s="307"/>
      <c r="AP296" s="307"/>
      <c r="AQ296" s="307"/>
      <c r="AR296" s="295"/>
      <c r="AS296" s="296"/>
      <c r="AT296" s="295"/>
      <c r="AU296" s="295"/>
      <c r="AV296" s="295"/>
      <c r="AW296" s="295"/>
      <c r="AX296" s="295"/>
      <c r="AY296" s="295"/>
      <c r="AZ296" s="295"/>
      <c r="BA296" s="295"/>
      <c r="BB296" s="295"/>
      <c r="BE296" s="295"/>
      <c r="BF296" s="295"/>
      <c r="BG296" s="295"/>
      <c r="BI296" s="297"/>
      <c r="CE296" s="305"/>
      <c r="CF296" s="12"/>
      <c r="CG296" s="12"/>
      <c r="CH296" s="12"/>
      <c r="CI296" s="258"/>
      <c r="CJ296" s="16"/>
      <c r="CK296" s="12"/>
      <c r="CL296" s="1964"/>
      <c r="CM296" s="1964"/>
      <c r="CN296" s="1964"/>
      <c r="CO296" s="1964"/>
      <c r="CP296" s="12"/>
      <c r="CQ296" s="12"/>
      <c r="CR296" s="12"/>
      <c r="CS296" s="12"/>
      <c r="CT296" s="12"/>
      <c r="CU296" s="258"/>
      <c r="CV296" s="16"/>
      <c r="CW296" s="12"/>
      <c r="CX296" s="1965"/>
      <c r="CY296" s="1966"/>
      <c r="CZ296" s="1966"/>
      <c r="DA296" s="1967"/>
      <c r="DB296" s="12"/>
      <c r="DC296" s="12"/>
      <c r="DD296" s="12"/>
      <c r="DE296" s="12"/>
      <c r="DF296" s="12"/>
      <c r="DG296" s="192"/>
      <c r="DH296" s="12"/>
      <c r="DI296" s="12"/>
      <c r="DJ296" s="1964"/>
      <c r="DK296" s="1964"/>
      <c r="DL296" s="1964"/>
      <c r="DM296" s="1964"/>
      <c r="DN296" s="191"/>
    </row>
    <row r="297" spans="2:142" ht="48.75" customHeight="1">
      <c r="B297" s="257">
        <v>1.9</v>
      </c>
      <c r="C297" s="257">
        <v>13000</v>
      </c>
      <c r="D297" s="257">
        <v>13600</v>
      </c>
      <c r="E297" s="257">
        <v>14200</v>
      </c>
      <c r="F297" s="257">
        <v>14800</v>
      </c>
      <c r="G297" s="257">
        <v>15600</v>
      </c>
      <c r="H297" s="257">
        <v>16500</v>
      </c>
      <c r="I297" s="257">
        <v>17300</v>
      </c>
      <c r="J297" s="257">
        <v>18100</v>
      </c>
      <c r="K297" s="257">
        <v>18900</v>
      </c>
      <c r="L297" s="257">
        <v>19800</v>
      </c>
      <c r="M297" s="264"/>
      <c r="N297" s="257">
        <v>1.9</v>
      </c>
      <c r="O297" s="257">
        <v>3570</v>
      </c>
      <c r="P297" s="257">
        <v>3800</v>
      </c>
      <c r="Q297" s="257">
        <v>4030</v>
      </c>
      <c r="R297" s="257">
        <v>4260</v>
      </c>
      <c r="S297" s="257">
        <v>4490</v>
      </c>
      <c r="T297" s="257">
        <v>4720</v>
      </c>
      <c r="U297" s="257">
        <v>4930</v>
      </c>
      <c r="V297" s="257">
        <v>5140</v>
      </c>
      <c r="W297" s="257">
        <v>5350</v>
      </c>
      <c r="X297" s="257">
        <v>5560</v>
      </c>
      <c r="Y297" s="264"/>
      <c r="Z297" s="257">
        <v>1.9</v>
      </c>
      <c r="AA297" s="257">
        <v>2070</v>
      </c>
      <c r="AB297" s="257">
        <v>2160</v>
      </c>
      <c r="AC297" s="257">
        <v>2250</v>
      </c>
      <c r="AD297" s="257">
        <v>2340</v>
      </c>
      <c r="AE297" s="257">
        <v>2430</v>
      </c>
      <c r="AF297" s="257">
        <v>2520</v>
      </c>
      <c r="AG297" s="257">
        <v>2640</v>
      </c>
      <c r="AH297" s="257">
        <v>2760</v>
      </c>
      <c r="AI297" s="257">
        <v>2890</v>
      </c>
      <c r="AJ297" s="257">
        <v>3020</v>
      </c>
      <c r="AQ297" s="295"/>
      <c r="AR297" s="295"/>
      <c r="AS297" s="295"/>
      <c r="AT297" s="295"/>
      <c r="AU297" s="295"/>
      <c r="AV297" s="295"/>
      <c r="AW297" s="295"/>
      <c r="AX297" s="295"/>
      <c r="AY297" s="295"/>
      <c r="AZ297" s="295"/>
      <c r="BA297" s="295"/>
      <c r="BB297" s="295"/>
      <c r="BC297" s="295"/>
      <c r="BD297" s="295"/>
      <c r="BE297" s="295"/>
      <c r="BG297" s="295"/>
      <c r="CE297" s="305"/>
      <c r="CF297" s="1963" t="s">
        <v>32</v>
      </c>
      <c r="CG297" s="1963"/>
      <c r="CH297" s="1963"/>
      <c r="CI297" s="261" t="s">
        <v>111</v>
      </c>
      <c r="CJ297" s="184" t="s">
        <v>704</v>
      </c>
      <c r="CK297" s="12"/>
      <c r="CL297" s="1964"/>
      <c r="CM297" s="1964"/>
      <c r="CN297" s="1964"/>
      <c r="CO297" s="1964"/>
      <c r="CP297" s="12"/>
      <c r="CQ297" s="12"/>
      <c r="CR297" s="1963" t="s">
        <v>821</v>
      </c>
      <c r="CS297" s="1963"/>
      <c r="CT297" s="1963"/>
      <c r="CU297" s="261" t="s">
        <v>111</v>
      </c>
      <c r="CV297" s="184" t="s">
        <v>704</v>
      </c>
      <c r="CW297" s="12"/>
      <c r="CX297" s="1968"/>
      <c r="CY297" s="1969"/>
      <c r="CZ297" s="1969"/>
      <c r="DA297" s="1970"/>
      <c r="DB297" s="12"/>
      <c r="DC297" s="12"/>
      <c r="DD297" s="1963" t="s">
        <v>5</v>
      </c>
      <c r="DE297" s="1963"/>
      <c r="DF297" s="1963"/>
      <c r="DG297" s="261" t="s">
        <v>111</v>
      </c>
      <c r="DH297" s="184" t="s">
        <v>704</v>
      </c>
      <c r="DI297" s="12"/>
      <c r="DJ297" s="1964"/>
      <c r="DK297" s="1964"/>
      <c r="DL297" s="1964"/>
      <c r="DM297" s="1964"/>
      <c r="DN297" s="191"/>
    </row>
    <row r="298" spans="2:142" ht="48.75" customHeight="1">
      <c r="B298" s="257">
        <v>2</v>
      </c>
      <c r="C298" s="257">
        <v>20700</v>
      </c>
      <c r="D298" s="257">
        <v>22600</v>
      </c>
      <c r="E298" s="257">
        <v>24400</v>
      </c>
      <c r="F298" s="257">
        <v>26300</v>
      </c>
      <c r="G298" s="257">
        <v>28100</v>
      </c>
      <c r="H298" s="257">
        <v>30000</v>
      </c>
      <c r="I298" s="257">
        <v>36000</v>
      </c>
      <c r="J298" s="257">
        <v>42000</v>
      </c>
      <c r="K298" s="257">
        <v>48000</v>
      </c>
      <c r="L298" s="257">
        <v>54000</v>
      </c>
      <c r="M298" s="264"/>
      <c r="N298" s="257">
        <v>2</v>
      </c>
      <c r="O298" s="257">
        <v>5770</v>
      </c>
      <c r="P298" s="257">
        <v>6000</v>
      </c>
      <c r="Q298" s="257">
        <v>6300</v>
      </c>
      <c r="R298" s="257">
        <v>6600</v>
      </c>
      <c r="S298" s="257">
        <v>7000</v>
      </c>
      <c r="T298" s="257">
        <v>7400</v>
      </c>
      <c r="U298" s="257">
        <v>7900</v>
      </c>
      <c r="V298" s="257">
        <v>8400</v>
      </c>
      <c r="W298" s="257">
        <v>9000</v>
      </c>
      <c r="X298" s="257">
        <v>9700</v>
      </c>
      <c r="Y298" s="264"/>
      <c r="Z298" s="257">
        <v>2</v>
      </c>
      <c r="AA298" s="257">
        <v>3150</v>
      </c>
      <c r="AB298" s="257">
        <v>3320</v>
      </c>
      <c r="AC298" s="257">
        <v>3500</v>
      </c>
      <c r="AD298" s="257">
        <v>3680</v>
      </c>
      <c r="AE298" s="257">
        <v>3860</v>
      </c>
      <c r="AF298" s="257">
        <v>4040</v>
      </c>
      <c r="AG298" s="257">
        <v>4260</v>
      </c>
      <c r="AH298" s="257">
        <v>4480</v>
      </c>
      <c r="AI298" s="257">
        <v>4700</v>
      </c>
      <c r="AJ298" s="257">
        <v>4920</v>
      </c>
      <c r="AQ298" s="295"/>
      <c r="AR298" s="295"/>
      <c r="AS298" s="295"/>
      <c r="AT298" s="295"/>
      <c r="AU298" s="295"/>
      <c r="AV298" s="295"/>
      <c r="AW298" s="295"/>
      <c r="AX298" s="295"/>
      <c r="AY298" s="295"/>
      <c r="AZ298" s="295"/>
      <c r="BF298" s="278"/>
      <c r="BG298" s="278"/>
      <c r="BH298" s="278"/>
      <c r="BI298" s="278"/>
      <c r="BJ298" s="278"/>
      <c r="BK298" s="278"/>
      <c r="BL298" s="278"/>
      <c r="BM298" s="278"/>
      <c r="BN298" s="278"/>
      <c r="BO298" s="278"/>
      <c r="BP298" s="278"/>
      <c r="BX298" s="278"/>
      <c r="BY298" s="278"/>
      <c r="BZ298" s="278"/>
      <c r="CA298" s="278"/>
      <c r="CB298" s="278"/>
      <c r="CC298" s="278"/>
      <c r="CE298" s="305"/>
      <c r="CF298" s="329" t="s">
        <v>1117</v>
      </c>
      <c r="CG298" s="1942" t="s">
        <v>1118</v>
      </c>
      <c r="CH298" s="1943"/>
      <c r="CI298" s="256"/>
      <c r="CJ298" s="253" t="s">
        <v>45</v>
      </c>
      <c r="CK298" s="12"/>
      <c r="CL298" s="1964"/>
      <c r="CM298" s="1964"/>
      <c r="CN298" s="1964"/>
      <c r="CO298" s="1964"/>
      <c r="CP298" s="12"/>
      <c r="CQ298" s="12"/>
      <c r="CR298" s="329" t="s">
        <v>1117</v>
      </c>
      <c r="CS298" s="756" t="s">
        <v>89</v>
      </c>
      <c r="CT298" s="756"/>
      <c r="CU298" s="256"/>
      <c r="CV298" s="253"/>
      <c r="CW298" s="12"/>
      <c r="CX298" s="1968"/>
      <c r="CY298" s="1969"/>
      <c r="CZ298" s="1969"/>
      <c r="DA298" s="1970"/>
      <c r="DB298" s="12"/>
      <c r="DC298" s="12"/>
      <c r="DD298" s="329" t="s">
        <v>1117</v>
      </c>
      <c r="DE298" s="1121" t="s">
        <v>89</v>
      </c>
      <c r="DF298" s="1123"/>
      <c r="DG298" s="10"/>
      <c r="DH298" s="10"/>
      <c r="DI298" s="12"/>
      <c r="DJ298" s="1964"/>
      <c r="DK298" s="1964"/>
      <c r="DL298" s="1964"/>
      <c r="DM298" s="1964"/>
      <c r="DN298" s="191"/>
    </row>
    <row r="299" spans="2:142" ht="48.75" customHeight="1">
      <c r="B299" s="257">
        <v>2.1</v>
      </c>
      <c r="C299" s="257">
        <v>60000</v>
      </c>
      <c r="D299" s="257">
        <v>67000</v>
      </c>
      <c r="E299" s="257">
        <v>74000</v>
      </c>
      <c r="F299" s="257">
        <v>81000</v>
      </c>
      <c r="G299" s="257">
        <v>88000</v>
      </c>
      <c r="H299" s="257">
        <v>95000</v>
      </c>
      <c r="I299" s="257">
        <v>102000</v>
      </c>
      <c r="J299" s="257">
        <v>109000</v>
      </c>
      <c r="K299" s="257">
        <v>116000</v>
      </c>
      <c r="L299" s="257">
        <v>123000</v>
      </c>
      <c r="M299" s="264"/>
      <c r="N299" s="527" t="s">
        <v>1605</v>
      </c>
      <c r="O299" s="890">
        <f>'Вывод расчетов'!$KL$45</f>
        <v>0.83680148173449342</v>
      </c>
      <c r="P299" s="890"/>
      <c r="Q299" s="83"/>
      <c r="R299" s="83"/>
      <c r="S299" s="83"/>
      <c r="T299" s="83"/>
      <c r="U299" s="83"/>
      <c r="V299" s="83"/>
      <c r="W299" s="83"/>
      <c r="X299" s="84"/>
      <c r="Y299" s="264"/>
      <c r="Z299" s="257">
        <v>2.1</v>
      </c>
      <c r="AA299" s="257">
        <v>5140</v>
      </c>
      <c r="AB299" s="257">
        <v>5440</v>
      </c>
      <c r="AC299" s="257">
        <v>5740</v>
      </c>
      <c r="AD299" s="257">
        <v>6050</v>
      </c>
      <c r="AE299" s="257">
        <v>6360</v>
      </c>
      <c r="AF299" s="257">
        <v>6670</v>
      </c>
      <c r="AG299" s="257">
        <v>7120</v>
      </c>
      <c r="AH299" s="257">
        <v>7570</v>
      </c>
      <c r="AI299" s="257">
        <v>8020</v>
      </c>
      <c r="AJ299" s="257">
        <v>8470</v>
      </c>
      <c r="AQ299" s="295"/>
      <c r="AR299" s="295"/>
      <c r="AS299" s="296"/>
      <c r="AT299" s="55"/>
      <c r="AU299" s="55"/>
      <c r="AV299" s="55"/>
      <c r="AW299" s="55"/>
      <c r="AX299" s="55"/>
      <c r="AY299" s="55"/>
      <c r="AZ299" s="308"/>
      <c r="BF299" s="278"/>
      <c r="BG299" s="278"/>
      <c r="BH299" s="278"/>
      <c r="BI299" s="278"/>
      <c r="BJ299" s="278"/>
      <c r="BK299" s="278"/>
      <c r="BL299" s="278"/>
      <c r="BM299" s="278"/>
      <c r="BN299" s="278"/>
      <c r="BO299" s="278"/>
      <c r="BP299" s="278"/>
      <c r="BX299" s="278"/>
      <c r="BY299" s="278"/>
      <c r="BZ299" s="278"/>
      <c r="CA299" s="278"/>
      <c r="CB299" s="278"/>
      <c r="CC299" s="278"/>
      <c r="CE299" s="305"/>
      <c r="CF299" s="329" t="s">
        <v>1117</v>
      </c>
      <c r="CG299" s="1942" t="s">
        <v>1119</v>
      </c>
      <c r="CH299" s="1943"/>
      <c r="CI299" s="256"/>
      <c r="CJ299" s="253" t="s">
        <v>45</v>
      </c>
      <c r="CK299" s="12"/>
      <c r="CL299" s="1964"/>
      <c r="CM299" s="1964"/>
      <c r="CN299" s="1964"/>
      <c r="CO299" s="1964"/>
      <c r="CP299" s="12"/>
      <c r="CQ299" s="12"/>
      <c r="CR299" s="329" t="s">
        <v>1117</v>
      </c>
      <c r="CS299" s="756" t="s">
        <v>88</v>
      </c>
      <c r="CT299" s="756"/>
      <c r="CU299" s="256"/>
      <c r="CV299" s="253"/>
      <c r="CW299" s="12"/>
      <c r="CX299" s="1968"/>
      <c r="CY299" s="1969"/>
      <c r="CZ299" s="1969"/>
      <c r="DA299" s="1970"/>
      <c r="DB299" s="12"/>
      <c r="DC299" s="12"/>
      <c r="DD299" s="329" t="s">
        <v>1117</v>
      </c>
      <c r="DE299" s="1121" t="s">
        <v>88</v>
      </c>
      <c r="DF299" s="1123"/>
      <c r="DG299" s="10"/>
      <c r="DH299" s="10"/>
      <c r="DI299" s="12"/>
      <c r="DJ299" s="1964"/>
      <c r="DK299" s="1964"/>
      <c r="DL299" s="1964"/>
      <c r="DM299" s="1964"/>
      <c r="DN299" s="191"/>
    </row>
    <row r="300" spans="2:142" ht="48.75" customHeight="1">
      <c r="B300" s="257">
        <v>2.2000000000000002</v>
      </c>
      <c r="C300" s="257">
        <v>130000</v>
      </c>
      <c r="D300" s="257">
        <v>138000</v>
      </c>
      <c r="E300" s="257">
        <v>146000</v>
      </c>
      <c r="F300" s="257">
        <v>154000</v>
      </c>
      <c r="G300" s="257">
        <v>162000</v>
      </c>
      <c r="H300" s="257">
        <v>170000</v>
      </c>
      <c r="I300" s="257">
        <v>178000</v>
      </c>
      <c r="J300" s="257">
        <v>186000</v>
      </c>
      <c r="K300" s="257">
        <v>194000</v>
      </c>
      <c r="L300" s="257">
        <v>202000</v>
      </c>
      <c r="M300" s="264"/>
      <c r="N300" s="598" t="s">
        <v>1105</v>
      </c>
      <c r="O300" s="761">
        <f>'Вывод расчетов'!$KL$16</f>
        <v>1.6000000000000005</v>
      </c>
      <c r="P300" s="761"/>
      <c r="Q300" s="177"/>
      <c r="R300" s="177"/>
      <c r="S300" s="177"/>
      <c r="T300" s="177"/>
      <c r="U300" s="177"/>
      <c r="V300" s="177"/>
      <c r="W300" s="177"/>
      <c r="X300" s="178"/>
      <c r="Y300" s="264"/>
      <c r="Z300" s="257">
        <v>2.2000000000000002</v>
      </c>
      <c r="AA300" s="257">
        <v>8920</v>
      </c>
      <c r="AB300" s="257">
        <v>9430</v>
      </c>
      <c r="AC300" s="257">
        <v>9940</v>
      </c>
      <c r="AD300" s="257">
        <v>10460</v>
      </c>
      <c r="AE300" s="257">
        <v>10980</v>
      </c>
      <c r="AF300" s="257">
        <v>11500</v>
      </c>
      <c r="AG300" s="257">
        <v>12000</v>
      </c>
      <c r="AH300" s="257">
        <v>12600</v>
      </c>
      <c r="AI300" s="257">
        <v>13200</v>
      </c>
      <c r="AJ300" s="257">
        <v>13800</v>
      </c>
      <c r="AQ300" s="295"/>
      <c r="AR300" s="295"/>
      <c r="AS300" s="296"/>
      <c r="AT300" s="309"/>
      <c r="AU300" s="309"/>
      <c r="AV300" s="309"/>
      <c r="AW300" s="309"/>
      <c r="AX300" s="309"/>
      <c r="AY300" s="309"/>
      <c r="AZ300" s="309"/>
      <c r="BE300" s="19"/>
      <c r="BF300" s="278"/>
      <c r="BG300" s="278"/>
      <c r="BH300" s="278"/>
      <c r="BI300" s="278"/>
      <c r="BJ300" s="278"/>
      <c r="BK300" s="278"/>
      <c r="BL300" s="278"/>
      <c r="BM300" s="278"/>
      <c r="BN300" s="278"/>
      <c r="BO300" s="278"/>
      <c r="BP300" s="278"/>
      <c r="BX300" s="278"/>
      <c r="BY300" s="278"/>
      <c r="BZ300" s="278"/>
      <c r="CA300" s="278"/>
      <c r="CB300" s="278"/>
      <c r="CC300" s="278"/>
      <c r="CE300" s="305"/>
      <c r="CF300" s="329" t="s">
        <v>1117</v>
      </c>
      <c r="CG300" s="1942" t="s">
        <v>1120</v>
      </c>
      <c r="CH300" s="1943"/>
      <c r="CI300" s="310"/>
      <c r="CJ300" s="253" t="s">
        <v>45</v>
      </c>
      <c r="CK300" s="12"/>
      <c r="CL300" s="1964"/>
      <c r="CM300" s="1964"/>
      <c r="CN300" s="1964"/>
      <c r="CO300" s="1964"/>
      <c r="CP300" s="12"/>
      <c r="CQ300" s="12"/>
      <c r="CR300" s="329" t="s">
        <v>1117</v>
      </c>
      <c r="CS300" s="756" t="s">
        <v>85</v>
      </c>
      <c r="CT300" s="756"/>
      <c r="CU300" s="256"/>
      <c r="CV300" s="253"/>
      <c r="CW300" s="12"/>
      <c r="CX300" s="1968"/>
      <c r="CY300" s="1969"/>
      <c r="CZ300" s="1969"/>
      <c r="DA300" s="1970"/>
      <c r="DB300" s="12"/>
      <c r="DC300" s="12"/>
      <c r="DD300" s="329" t="s">
        <v>1117</v>
      </c>
      <c r="DE300" s="1121" t="s">
        <v>85</v>
      </c>
      <c r="DF300" s="1123"/>
      <c r="DG300" s="10"/>
      <c r="DH300" s="10"/>
      <c r="DI300" s="12"/>
      <c r="DJ300" s="1964"/>
      <c r="DK300" s="1964"/>
      <c r="DL300" s="1964"/>
      <c r="DM300" s="1964"/>
      <c r="DN300" s="191"/>
    </row>
    <row r="301" spans="2:142" ht="48.75" customHeight="1">
      <c r="B301" s="257">
        <v>2.2999999999999998</v>
      </c>
      <c r="C301" s="257">
        <v>210000</v>
      </c>
      <c r="D301" s="257">
        <v>218000</v>
      </c>
      <c r="E301" s="257">
        <v>226000</v>
      </c>
      <c r="F301" s="257">
        <v>234000</v>
      </c>
      <c r="G301" s="257">
        <v>242000</v>
      </c>
      <c r="H301" s="257">
        <v>250000</v>
      </c>
      <c r="I301" s="257">
        <v>258000</v>
      </c>
      <c r="J301" s="257">
        <v>266000</v>
      </c>
      <c r="K301" s="257">
        <v>274000</v>
      </c>
      <c r="L301" s="257">
        <v>282000</v>
      </c>
      <c r="M301" s="264"/>
      <c r="N301" s="176"/>
      <c r="O301" s="177"/>
      <c r="P301" s="177"/>
      <c r="Q301" s="177"/>
      <c r="R301" s="177"/>
      <c r="S301" s="177"/>
      <c r="T301" s="177"/>
      <c r="U301" s="177"/>
      <c r="V301" s="177"/>
      <c r="W301" s="177"/>
      <c r="X301" s="178"/>
      <c r="Y301" s="264"/>
      <c r="Z301" s="257">
        <v>2.2999999999999998</v>
      </c>
      <c r="AA301" s="257">
        <v>14400</v>
      </c>
      <c r="AB301" s="257">
        <v>15100</v>
      </c>
      <c r="AC301" s="257">
        <v>15800</v>
      </c>
      <c r="AD301" s="257">
        <v>16500</v>
      </c>
      <c r="AE301" s="257">
        <v>17200</v>
      </c>
      <c r="AF301" s="257">
        <v>18000</v>
      </c>
      <c r="AG301" s="257">
        <v>18800</v>
      </c>
      <c r="AH301" s="257">
        <v>19600</v>
      </c>
      <c r="AI301" s="257">
        <v>20500</v>
      </c>
      <c r="AJ301" s="268">
        <v>21400</v>
      </c>
      <c r="AQ301" s="295"/>
      <c r="AR301" s="295"/>
      <c r="AS301" s="296"/>
      <c r="AT301" s="309"/>
      <c r="AU301" s="309"/>
      <c r="AV301" s="309"/>
      <c r="AW301" s="309"/>
      <c r="AX301" s="309"/>
      <c r="AY301" s="309"/>
      <c r="AZ301" s="309"/>
      <c r="BA301" s="309"/>
      <c r="BB301" s="309"/>
      <c r="BC301" s="309"/>
      <c r="BD301" s="309"/>
      <c r="BE301" s="19"/>
      <c r="BF301" s="17"/>
      <c r="BG301" s="1121" t="s">
        <v>1299</v>
      </c>
      <c r="BH301" s="1122"/>
      <c r="BI301" s="1122"/>
      <c r="BJ301" s="1122"/>
      <c r="BK301" s="1122"/>
      <c r="BL301" s="1122"/>
      <c r="BM301" s="1122"/>
      <c r="BN301" s="1122"/>
      <c r="BO301" s="1123"/>
      <c r="BP301" s="127"/>
      <c r="BX301" s="278"/>
      <c r="BY301" s="278"/>
      <c r="BZ301" s="278"/>
      <c r="CA301" s="278"/>
      <c r="CB301" s="278"/>
      <c r="CC301" s="278"/>
      <c r="CE301" s="305"/>
      <c r="CF301" s="329" t="s">
        <v>1117</v>
      </c>
      <c r="CG301" s="1942" t="s">
        <v>1121</v>
      </c>
      <c r="CH301" s="1943"/>
      <c r="CI301" s="256"/>
      <c r="CJ301" s="253" t="s">
        <v>45</v>
      </c>
      <c r="CK301" s="12"/>
      <c r="CL301" s="1964"/>
      <c r="CM301" s="1964"/>
      <c r="CN301" s="1964"/>
      <c r="CO301" s="1964"/>
      <c r="CP301" s="12"/>
      <c r="CQ301" s="12"/>
      <c r="CR301" s="329" t="s">
        <v>1117</v>
      </c>
      <c r="CS301" s="756" t="s">
        <v>46</v>
      </c>
      <c r="CT301" s="756"/>
      <c r="CU301" s="256"/>
      <c r="CV301" s="253"/>
      <c r="CW301" s="12"/>
      <c r="CX301" s="1968"/>
      <c r="CY301" s="1969"/>
      <c r="CZ301" s="1969"/>
      <c r="DA301" s="1970"/>
      <c r="DB301" s="12"/>
      <c r="DC301" s="12"/>
      <c r="DD301" s="329" t="s">
        <v>1117</v>
      </c>
      <c r="DE301" s="1121" t="s">
        <v>46</v>
      </c>
      <c r="DF301" s="1123"/>
      <c r="DG301" s="10"/>
      <c r="DH301" s="10"/>
      <c r="DI301" s="12"/>
      <c r="DJ301" s="1964"/>
      <c r="DK301" s="1964"/>
      <c r="DL301" s="1964"/>
      <c r="DM301" s="1964"/>
      <c r="DN301" s="191"/>
    </row>
    <row r="302" spans="2:142" ht="48.75" customHeight="1">
      <c r="B302" s="257">
        <v>2.4</v>
      </c>
      <c r="C302" s="257">
        <v>290000</v>
      </c>
      <c r="D302" s="257">
        <v>298000</v>
      </c>
      <c r="E302" s="257">
        <v>306000</v>
      </c>
      <c r="F302" s="257">
        <v>314000</v>
      </c>
      <c r="G302" s="257">
        <v>322000</v>
      </c>
      <c r="H302" s="257">
        <v>330000</v>
      </c>
      <c r="I302" s="257">
        <v>338000</v>
      </c>
      <c r="J302" s="257">
        <v>346000</v>
      </c>
      <c r="K302" s="257">
        <v>354000</v>
      </c>
      <c r="L302" s="257">
        <v>362000</v>
      </c>
      <c r="M302" s="260"/>
      <c r="N302" s="85"/>
      <c r="O302" s="86"/>
      <c r="P302" s="86"/>
      <c r="Q302" s="86"/>
      <c r="R302" s="86"/>
      <c r="S302" s="86"/>
      <c r="T302" s="86"/>
      <c r="U302" s="86"/>
      <c r="V302" s="86"/>
      <c r="W302" s="86"/>
      <c r="X302" s="87"/>
      <c r="Y302" s="260"/>
      <c r="Z302" s="525" t="s">
        <v>1635</v>
      </c>
      <c r="AA302" s="526">
        <f>'Вывод расчетов'!$KL$53</f>
        <v>1.8500000000000003</v>
      </c>
      <c r="AB302" s="533" t="s">
        <v>1104</v>
      </c>
      <c r="AC302" s="534">
        <f>'Вывод расчетов'!JD23</f>
        <v>1.9</v>
      </c>
      <c r="AD302" s="262"/>
      <c r="AE302" s="262"/>
      <c r="AF302" s="262"/>
      <c r="AG302" s="262"/>
      <c r="AH302" s="262"/>
      <c r="AI302" s="262"/>
      <c r="AJ302" s="274"/>
      <c r="AT302" s="309"/>
      <c r="AU302" s="309"/>
      <c r="AV302" s="309"/>
      <c r="AW302" s="309"/>
      <c r="AX302" s="309"/>
      <c r="AY302" s="309"/>
      <c r="AZ302" s="309"/>
      <c r="BA302" s="309"/>
      <c r="BB302" s="309"/>
      <c r="BC302" s="309"/>
      <c r="BD302" s="309"/>
      <c r="BE302" s="19"/>
      <c r="BF302" s="17"/>
      <c r="BG302" s="1946"/>
      <c r="BH302" s="991" t="s">
        <v>1419</v>
      </c>
      <c r="BI302" s="991"/>
      <c r="BJ302" s="991"/>
      <c r="BK302" s="991"/>
      <c r="BL302" s="991"/>
      <c r="BM302" s="991"/>
      <c r="BN302" s="991"/>
      <c r="BO302" s="991"/>
      <c r="BP302" s="1946"/>
      <c r="BX302" s="278"/>
      <c r="BY302" s="278"/>
      <c r="BZ302" s="278"/>
      <c r="CA302" s="278"/>
      <c r="CB302" s="278"/>
      <c r="CC302" s="278"/>
      <c r="CE302" s="305"/>
      <c r="CF302" s="12"/>
      <c r="CG302" s="12"/>
      <c r="CH302" s="12"/>
      <c r="CI302" s="258"/>
      <c r="CJ302" s="16"/>
      <c r="CK302" s="12"/>
      <c r="CL302" s="1964"/>
      <c r="CM302" s="1964"/>
      <c r="CN302" s="1964"/>
      <c r="CO302" s="1964"/>
      <c r="CP302" s="12"/>
      <c r="CQ302" s="12"/>
      <c r="CR302" s="329" t="s">
        <v>1117</v>
      </c>
      <c r="CS302" s="756" t="s">
        <v>83</v>
      </c>
      <c r="CT302" s="756"/>
      <c r="CU302" s="256"/>
      <c r="CV302" s="253"/>
      <c r="CW302" s="12"/>
      <c r="CX302" s="1968"/>
      <c r="CY302" s="1969"/>
      <c r="CZ302" s="1969"/>
      <c r="DA302" s="1970"/>
      <c r="DB302" s="12"/>
      <c r="DC302" s="12"/>
      <c r="DD302" s="329" t="s">
        <v>1117</v>
      </c>
      <c r="DE302" s="1121" t="s">
        <v>83</v>
      </c>
      <c r="DF302" s="1123"/>
      <c r="DG302" s="10"/>
      <c r="DH302" s="10"/>
      <c r="DI302" s="12"/>
      <c r="DJ302" s="1964"/>
      <c r="DK302" s="1964"/>
      <c r="DL302" s="1964"/>
      <c r="DM302" s="1964"/>
      <c r="DN302" s="191"/>
      <c r="EF302" s="278"/>
      <c r="EG302" s="278"/>
      <c r="EH302" s="278"/>
      <c r="EI302" s="278"/>
      <c r="EJ302" s="278"/>
      <c r="EK302" s="278"/>
      <c r="EL302" s="278"/>
    </row>
    <row r="303" spans="2:142" ht="48.75" customHeight="1">
      <c r="B303" s="278"/>
      <c r="C303" s="278"/>
      <c r="D303" s="278"/>
      <c r="E303" s="278"/>
      <c r="F303" s="278"/>
      <c r="G303" s="278"/>
      <c r="H303" s="278"/>
      <c r="I303" s="278"/>
      <c r="J303" s="278"/>
      <c r="S303" s="12"/>
      <c r="T303" s="12"/>
      <c r="U303" s="12"/>
      <c r="AT303" s="309"/>
      <c r="AU303" s="309"/>
      <c r="AV303" s="309"/>
      <c r="AW303" s="309"/>
      <c r="AX303" s="309"/>
      <c r="AY303" s="309"/>
      <c r="AZ303" s="309"/>
      <c r="BA303" s="309"/>
      <c r="BB303" s="309"/>
      <c r="BC303" s="309"/>
      <c r="BD303" s="309"/>
      <c r="BG303" s="1946"/>
      <c r="BH303" s="991"/>
      <c r="BI303" s="991"/>
      <c r="BJ303" s="991"/>
      <c r="BK303" s="991"/>
      <c r="BL303" s="991"/>
      <c r="BM303" s="991"/>
      <c r="BN303" s="991"/>
      <c r="BO303" s="991"/>
      <c r="BP303" s="1946"/>
      <c r="BQ303" s="311"/>
      <c r="BR303" s="295"/>
      <c r="BV303" s="12"/>
      <c r="BW303" s="12"/>
      <c r="BX303" s="278"/>
      <c r="BY303" s="278"/>
      <c r="BZ303" s="278"/>
      <c r="CA303" s="278"/>
      <c r="CB303" s="278"/>
      <c r="CC303" s="278"/>
      <c r="CD303" s="12"/>
      <c r="CE303" s="305"/>
      <c r="CF303" s="12"/>
      <c r="CG303" s="12"/>
      <c r="CH303" s="12"/>
      <c r="CI303" s="258"/>
      <c r="CJ303" s="16"/>
      <c r="CK303" s="12"/>
      <c r="CL303" s="1964"/>
      <c r="CM303" s="1964"/>
      <c r="CN303" s="1964"/>
      <c r="CO303" s="1964"/>
      <c r="CP303" s="12"/>
      <c r="CQ303" s="12"/>
      <c r="CR303" s="329" t="s">
        <v>1117</v>
      </c>
      <c r="CS303" s="756" t="s">
        <v>84</v>
      </c>
      <c r="CT303" s="756"/>
      <c r="CU303" s="256"/>
      <c r="CV303" s="253"/>
      <c r="CW303" s="12"/>
      <c r="CX303" s="1968"/>
      <c r="CY303" s="1969"/>
      <c r="CZ303" s="1969"/>
      <c r="DA303" s="1970"/>
      <c r="DB303" s="12"/>
      <c r="DC303" s="12"/>
      <c r="DD303" s="329" t="s">
        <v>1117</v>
      </c>
      <c r="DE303" s="1121" t="s">
        <v>84</v>
      </c>
      <c r="DF303" s="1123"/>
      <c r="DG303" s="10"/>
      <c r="DH303" s="10"/>
      <c r="DI303" s="12"/>
      <c r="DJ303" s="1964"/>
      <c r="DK303" s="1964"/>
      <c r="DL303" s="1964"/>
      <c r="DM303" s="1964"/>
      <c r="DN303" s="191"/>
      <c r="EF303" s="278"/>
      <c r="EG303" s="278"/>
      <c r="EH303" s="278"/>
      <c r="EI303" s="278"/>
      <c r="EJ303" s="278"/>
      <c r="EK303" s="278"/>
      <c r="EL303" s="278"/>
    </row>
    <row r="304" spans="2:142" ht="48.75" customHeight="1">
      <c r="B304" s="278"/>
      <c r="C304" s="278"/>
      <c r="D304" s="278"/>
      <c r="E304" s="278"/>
      <c r="F304" s="278"/>
      <c r="G304" s="278"/>
      <c r="H304" s="278"/>
      <c r="I304" s="278"/>
      <c r="J304" s="278"/>
      <c r="S304" s="12"/>
      <c r="T304" s="12"/>
      <c r="U304" s="12"/>
      <c r="AA304" s="278"/>
      <c r="AB304" s="278"/>
      <c r="AC304" s="278"/>
      <c r="AT304" s="309"/>
      <c r="AU304" s="309"/>
      <c r="AV304" s="309"/>
      <c r="AW304" s="1934" t="s">
        <v>676</v>
      </c>
      <c r="AX304" s="1934"/>
      <c r="AY304" s="957" t="s">
        <v>1333</v>
      </c>
      <c r="AZ304" s="957"/>
      <c r="BA304" s="957"/>
      <c r="BB304" s="957"/>
      <c r="BC304" s="957"/>
      <c r="BD304" s="957"/>
      <c r="BE304" s="957"/>
      <c r="BG304" s="1946"/>
      <c r="BH304" s="991"/>
      <c r="BI304" s="991"/>
      <c r="BJ304" s="991"/>
      <c r="BK304" s="991"/>
      <c r="BL304" s="991"/>
      <c r="BM304" s="991"/>
      <c r="BN304" s="991"/>
      <c r="BO304" s="991"/>
      <c r="BP304" s="1946"/>
      <c r="BQ304" s="297"/>
      <c r="BR304" s="299"/>
      <c r="BU304" s="1942" t="s">
        <v>1122</v>
      </c>
      <c r="BV304" s="1943"/>
      <c r="BW304" s="1942" t="s">
        <v>1123</v>
      </c>
      <c r="BX304" s="1943"/>
      <c r="CC304" s="278"/>
      <c r="CD304" s="12"/>
      <c r="CE304" s="305"/>
      <c r="CF304" s="12"/>
      <c r="CG304" s="12"/>
      <c r="CH304" s="12"/>
      <c r="CI304" s="258"/>
      <c r="CJ304" s="16"/>
      <c r="CK304" s="12"/>
      <c r="CL304" s="1964"/>
      <c r="CM304" s="1964"/>
      <c r="CN304" s="1964"/>
      <c r="CO304" s="1964"/>
      <c r="CP304" s="12"/>
      <c r="CQ304" s="12"/>
      <c r="CR304" s="12"/>
      <c r="CS304" s="12"/>
      <c r="CT304" s="12"/>
      <c r="CU304" s="258"/>
      <c r="CV304" s="16"/>
      <c r="CW304" s="12"/>
      <c r="CX304" s="1968"/>
      <c r="CY304" s="1969"/>
      <c r="CZ304" s="1969"/>
      <c r="DA304" s="1970"/>
      <c r="DB304" s="12"/>
      <c r="DC304" s="12"/>
      <c r="DD304" s="12"/>
      <c r="DE304" s="12"/>
      <c r="DF304" s="12"/>
      <c r="DG304" s="192"/>
      <c r="DH304" s="12"/>
      <c r="DI304" s="12"/>
      <c r="DJ304" s="1964"/>
      <c r="DK304" s="1964"/>
      <c r="DL304" s="1964"/>
      <c r="DM304" s="1964"/>
      <c r="DN304" s="191"/>
      <c r="EF304" s="278"/>
      <c r="EG304" s="278"/>
      <c r="EH304" s="278"/>
      <c r="EI304" s="278"/>
      <c r="EJ304" s="278"/>
      <c r="EK304" s="278"/>
      <c r="EL304" s="278"/>
    </row>
    <row r="305" spans="2:118" ht="48.75" customHeight="1">
      <c r="B305" s="278"/>
      <c r="C305" s="278"/>
      <c r="D305" s="278"/>
      <c r="E305" s="278"/>
      <c r="F305" s="278"/>
      <c r="G305" s="278"/>
      <c r="H305" s="278"/>
      <c r="I305" s="278"/>
      <c r="J305" s="278"/>
      <c r="S305" s="12"/>
      <c r="T305" s="12"/>
      <c r="U305" s="12"/>
      <c r="AA305" s="278"/>
      <c r="AB305" s="278"/>
      <c r="AC305" s="278"/>
      <c r="AT305" s="309"/>
      <c r="AU305" s="309"/>
      <c r="AV305" s="309"/>
      <c r="AW305" s="1934"/>
      <c r="AX305" s="1934"/>
      <c r="AY305" s="957"/>
      <c r="AZ305" s="957"/>
      <c r="BA305" s="957"/>
      <c r="BB305" s="957"/>
      <c r="BC305" s="957"/>
      <c r="BD305" s="957"/>
      <c r="BE305" s="957"/>
      <c r="BG305" s="1946"/>
      <c r="BH305" s="994"/>
      <c r="BI305" s="994"/>
      <c r="BJ305" s="994"/>
      <c r="BK305" s="994"/>
      <c r="BL305" s="994"/>
      <c r="BM305" s="994"/>
      <c r="BN305" s="994"/>
      <c r="BO305" s="994"/>
      <c r="BP305" s="1946"/>
      <c r="BU305" s="1942" t="s">
        <v>1124</v>
      </c>
      <c r="BV305" s="1943"/>
      <c r="BW305" s="1942" t="s">
        <v>829</v>
      </c>
      <c r="BX305" s="1943"/>
      <c r="CC305" s="278"/>
      <c r="CD305" s="12"/>
      <c r="CE305" s="305"/>
      <c r="CF305" s="12"/>
      <c r="CG305" s="12"/>
      <c r="CH305" s="12"/>
      <c r="CI305" s="258"/>
      <c r="CJ305" s="16"/>
      <c r="CK305" s="12"/>
      <c r="CL305" s="1964"/>
      <c r="CM305" s="1964"/>
      <c r="CN305" s="1964"/>
      <c r="CO305" s="1964"/>
      <c r="CP305" s="12"/>
      <c r="CQ305" s="12"/>
      <c r="CR305" s="12"/>
      <c r="CS305" s="12"/>
      <c r="CT305" s="12"/>
      <c r="CU305" s="258"/>
      <c r="CV305" s="16"/>
      <c r="CW305" s="12"/>
      <c r="CX305" s="1968"/>
      <c r="CY305" s="1969"/>
      <c r="CZ305" s="1969"/>
      <c r="DA305" s="1970"/>
      <c r="DB305" s="12"/>
      <c r="DC305" s="12"/>
      <c r="DD305" s="12"/>
      <c r="DE305" s="12"/>
      <c r="DF305" s="12"/>
      <c r="DG305" s="192"/>
      <c r="DH305" s="12"/>
      <c r="DI305" s="12"/>
      <c r="DJ305" s="1964"/>
      <c r="DK305" s="1964"/>
      <c r="DL305" s="1964"/>
      <c r="DM305" s="1964"/>
      <c r="DN305" s="191"/>
    </row>
    <row r="306" spans="2:118" ht="48.75" customHeight="1">
      <c r="B306" s="756" t="s">
        <v>634</v>
      </c>
      <c r="C306" s="756"/>
      <c r="D306" s="756"/>
      <c r="E306" s="756"/>
      <c r="F306" s="756"/>
      <c r="G306" s="756"/>
      <c r="H306" s="756"/>
      <c r="I306" s="756"/>
      <c r="J306" s="259"/>
      <c r="U306" s="12"/>
      <c r="AA306" s="278"/>
      <c r="AB306" s="278"/>
      <c r="AC306" s="278"/>
      <c r="AT306" s="309"/>
      <c r="AU306" s="309"/>
      <c r="AV306" s="309"/>
      <c r="AW306" s="309"/>
      <c r="AX306" s="309"/>
      <c r="AY306" s="309"/>
      <c r="AZ306" s="309"/>
      <c r="BA306" s="309"/>
      <c r="BB306" s="309"/>
      <c r="BC306" s="309"/>
      <c r="BD306" s="309"/>
      <c r="BG306" s="800" t="s">
        <v>1331</v>
      </c>
      <c r="BH306" s="982"/>
      <c r="BI306" s="883">
        <f>'Вывод расчетов'!$MI$186</f>
        <v>0.28728855861344965</v>
      </c>
      <c r="BJ306" s="884"/>
      <c r="BK306" s="800" t="s">
        <v>1321</v>
      </c>
      <c r="BL306" s="982"/>
      <c r="BM306" s="534">
        <f>'Вывод расчетов'!$MI$185</f>
        <v>5</v>
      </c>
      <c r="BN306" s="177"/>
      <c r="BO306" s="177"/>
      <c r="BP306" s="178"/>
      <c r="BU306" s="1942" t="s">
        <v>1125</v>
      </c>
      <c r="BV306" s="1943"/>
      <c r="BW306" s="278"/>
      <c r="BX306" s="278"/>
      <c r="CC306" s="278"/>
      <c r="CD306" s="12"/>
      <c r="CE306" s="305"/>
      <c r="CF306" s="12"/>
      <c r="CG306" s="12"/>
      <c r="CH306" s="12"/>
      <c r="CI306" s="258"/>
      <c r="CJ306" s="16"/>
      <c r="CK306" s="12"/>
      <c r="CL306" s="1964"/>
      <c r="CM306" s="1964"/>
      <c r="CN306" s="1964"/>
      <c r="CO306" s="1964"/>
      <c r="CP306" s="12"/>
      <c r="CQ306" s="12"/>
      <c r="CR306" s="12"/>
      <c r="CS306" s="12"/>
      <c r="CT306" s="12"/>
      <c r="CU306" s="258"/>
      <c r="CV306" s="16"/>
      <c r="CW306" s="12"/>
      <c r="CX306" s="1968"/>
      <c r="CY306" s="1969"/>
      <c r="CZ306" s="1969"/>
      <c r="DA306" s="1970"/>
      <c r="DB306" s="12"/>
      <c r="DC306" s="12"/>
      <c r="DD306" s="12"/>
      <c r="DE306" s="12"/>
      <c r="DF306" s="12"/>
      <c r="DG306" s="192"/>
      <c r="DH306" s="12"/>
      <c r="DI306" s="12"/>
      <c r="DJ306" s="1964"/>
      <c r="DK306" s="1964"/>
      <c r="DL306" s="1964"/>
      <c r="DM306" s="1964"/>
      <c r="DN306" s="191"/>
    </row>
    <row r="307" spans="2:118" ht="48.75" customHeight="1">
      <c r="B307" s="1287" t="s">
        <v>630</v>
      </c>
      <c r="C307" s="1287" t="s">
        <v>631</v>
      </c>
      <c r="D307" s="1287"/>
      <c r="E307" s="1287"/>
      <c r="F307" s="1287"/>
      <c r="G307" s="1287"/>
      <c r="H307" s="1287"/>
      <c r="I307" s="1287"/>
      <c r="J307" s="1287"/>
      <c r="K307" s="278"/>
      <c r="L307" s="278"/>
      <c r="M307" s="278"/>
      <c r="U307" s="12"/>
      <c r="AA307" s="278"/>
      <c r="AB307" s="278"/>
      <c r="AC307" s="278"/>
      <c r="AT307" s="309"/>
      <c r="AU307" s="309"/>
      <c r="AV307" s="309"/>
      <c r="AW307" s="309"/>
      <c r="AX307" s="309"/>
      <c r="AY307" s="309"/>
      <c r="AZ307" s="309"/>
      <c r="BA307" s="309"/>
      <c r="BB307" s="309"/>
      <c r="BD307" s="309"/>
      <c r="BG307" s="800" t="s">
        <v>1332</v>
      </c>
      <c r="BH307" s="982"/>
      <c r="BI307" s="883">
        <f>'Вывод расчетов'!$MI$187</f>
        <v>0.2774035510066733</v>
      </c>
      <c r="BJ307" s="884"/>
      <c r="BK307" s="177"/>
      <c r="BL307" s="177"/>
      <c r="BM307" s="177"/>
      <c r="BN307" s="177"/>
      <c r="BO307" s="177"/>
      <c r="BP307" s="178"/>
      <c r="BV307" s="12"/>
      <c r="BW307" s="12"/>
      <c r="BX307" s="12"/>
      <c r="CC307" s="12"/>
      <c r="CD307" s="12"/>
      <c r="CE307" s="305"/>
      <c r="CF307" s="12"/>
      <c r="CG307" s="12"/>
      <c r="CH307" s="12"/>
      <c r="CI307" s="258"/>
      <c r="CJ307" s="16"/>
      <c r="CK307" s="12"/>
      <c r="CL307" s="1964"/>
      <c r="CM307" s="1964"/>
      <c r="CN307" s="1964"/>
      <c r="CO307" s="1964"/>
      <c r="CP307" s="306"/>
      <c r="CQ307" s="306"/>
      <c r="CR307" s="12"/>
      <c r="CS307" s="12"/>
      <c r="CT307" s="12"/>
      <c r="CU307" s="258"/>
      <c r="CV307" s="16"/>
      <c r="CW307" s="12"/>
      <c r="CX307" s="1971"/>
      <c r="CY307" s="1972"/>
      <c r="CZ307" s="1972"/>
      <c r="DA307" s="1973"/>
      <c r="DB307" s="306"/>
      <c r="DC307" s="306"/>
      <c r="DD307" s="12"/>
      <c r="DE307" s="12"/>
      <c r="DF307" s="12"/>
      <c r="DG307" s="192"/>
      <c r="DH307" s="12"/>
      <c r="DI307" s="12"/>
      <c r="DJ307" s="1964"/>
      <c r="DK307" s="1964"/>
      <c r="DL307" s="1964"/>
      <c r="DM307" s="1964"/>
      <c r="DN307" s="191"/>
    </row>
    <row r="308" spans="2:118" ht="48.75" customHeight="1">
      <c r="B308" s="1287"/>
      <c r="C308" s="1287" t="s">
        <v>632</v>
      </c>
      <c r="D308" s="1287"/>
      <c r="E308" s="1287"/>
      <c r="F308" s="1287"/>
      <c r="G308" s="1285" t="s">
        <v>633</v>
      </c>
      <c r="H308" s="1286"/>
      <c r="I308" s="1286"/>
      <c r="J308" s="1761"/>
      <c r="K308" s="278"/>
      <c r="L308" s="278"/>
      <c r="M308" s="278"/>
      <c r="AA308" s="278"/>
      <c r="AB308" s="278"/>
      <c r="AC308" s="278"/>
      <c r="AD308" s="278"/>
      <c r="AT308" s="309"/>
      <c r="AU308" s="309"/>
      <c r="AV308" s="309"/>
      <c r="AW308" s="309"/>
      <c r="AX308" s="309"/>
      <c r="AY308" s="309"/>
      <c r="AZ308" s="309"/>
      <c r="BA308" s="309"/>
      <c r="BB308" s="309"/>
      <c r="BC308" s="309"/>
      <c r="BD308" s="309"/>
      <c r="BG308" s="176"/>
      <c r="BH308" s="177"/>
      <c r="BI308" s="177"/>
      <c r="BJ308" s="177"/>
      <c r="BK308" s="177"/>
      <c r="BL308" s="177"/>
      <c r="BM308" s="177"/>
      <c r="BN308" s="177"/>
      <c r="BO308" s="177"/>
      <c r="BP308" s="178"/>
      <c r="BQ308" s="12"/>
      <c r="BR308" s="12"/>
      <c r="BS308" s="12"/>
      <c r="BT308" s="12"/>
      <c r="BU308" s="12"/>
      <c r="BV308" s="12"/>
      <c r="BW308" s="12"/>
      <c r="BX308" s="12"/>
      <c r="CA308" s="12"/>
      <c r="CB308" s="12"/>
      <c r="CC308" s="12"/>
      <c r="CD308" s="12"/>
      <c r="CE308" s="305"/>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91"/>
    </row>
    <row r="309" spans="2:118" ht="48.75" customHeight="1">
      <c r="B309" s="1287"/>
      <c r="C309" s="1287" t="s">
        <v>663</v>
      </c>
      <c r="D309" s="1287"/>
      <c r="E309" s="1287" t="s">
        <v>738</v>
      </c>
      <c r="F309" s="1287"/>
      <c r="G309" s="1287" t="s">
        <v>663</v>
      </c>
      <c r="H309" s="1287"/>
      <c r="I309" s="1285" t="s">
        <v>738</v>
      </c>
      <c r="J309" s="1761"/>
      <c r="K309" s="278"/>
      <c r="L309" s="278"/>
      <c r="M309" s="1121" t="s">
        <v>724</v>
      </c>
      <c r="N309" s="1122"/>
      <c r="O309" s="1122"/>
      <c r="P309" s="1122"/>
      <c r="Q309" s="1122"/>
      <c r="R309" s="1122"/>
      <c r="S309" s="1122"/>
      <c r="T309" s="1122"/>
      <c r="U309" s="1122"/>
      <c r="V309" s="1123"/>
      <c r="W309" s="127"/>
      <c r="AA309" s="278"/>
      <c r="AB309" s="278"/>
      <c r="AC309" s="278"/>
      <c r="AD309" s="278"/>
      <c r="AT309" s="309"/>
      <c r="AU309" s="309"/>
      <c r="AV309" s="309"/>
      <c r="AW309" s="309"/>
      <c r="AX309" s="309"/>
      <c r="AY309" s="309"/>
      <c r="AZ309" s="309"/>
      <c r="BA309" s="309"/>
      <c r="BB309" s="309"/>
      <c r="BC309" s="309"/>
      <c r="BD309" s="309"/>
      <c r="BE309" s="309"/>
      <c r="BG309" s="176"/>
      <c r="BH309" s="177"/>
      <c r="BI309" s="177"/>
      <c r="BJ309" s="177"/>
      <c r="BK309" s="177"/>
      <c r="BL309" s="177"/>
      <c r="BM309" s="177"/>
      <c r="BN309" s="177"/>
      <c r="BO309" s="177"/>
      <c r="BP309" s="178"/>
      <c r="BQ309" s="12"/>
      <c r="BR309" s="12"/>
      <c r="BS309" s="12"/>
      <c r="BY309" s="12"/>
      <c r="BZ309" s="12"/>
      <c r="CA309" s="12"/>
      <c r="CB309" s="12"/>
      <c r="CC309" s="12"/>
      <c r="CD309" s="12"/>
      <c r="CE309" s="305"/>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91"/>
    </row>
    <row r="310" spans="2:118" ht="48.75" customHeight="1">
      <c r="B310" s="257">
        <v>2</v>
      </c>
      <c r="C310" s="1287">
        <v>1.2</v>
      </c>
      <c r="D310" s="1287"/>
      <c r="E310" s="1287">
        <v>0.26</v>
      </c>
      <c r="F310" s="1287"/>
      <c r="G310" s="1287">
        <v>1.45</v>
      </c>
      <c r="H310" s="1287"/>
      <c r="I310" s="1285">
        <v>0.44</v>
      </c>
      <c r="J310" s="1761"/>
      <c r="K310" s="278"/>
      <c r="L310" s="278"/>
      <c r="M310" s="1513"/>
      <c r="N310" s="1514"/>
      <c r="O310" s="1514"/>
      <c r="P310" s="1514"/>
      <c r="Q310" s="1514"/>
      <c r="R310" s="1514"/>
      <c r="S310" s="1514"/>
      <c r="T310" s="1514"/>
      <c r="U310" s="1514"/>
      <c r="V310" s="1514"/>
      <c r="W310" s="1515"/>
      <c r="AA310" s="278"/>
      <c r="AB310" s="278"/>
      <c r="AC310" s="278"/>
      <c r="AD310" s="278"/>
      <c r="AT310" s="309"/>
      <c r="AU310" s="309"/>
      <c r="AV310" s="309"/>
      <c r="AW310" s="309"/>
      <c r="BE310" s="309"/>
      <c r="BG310" s="176"/>
      <c r="BH310" s="177"/>
      <c r="BI310" s="177"/>
      <c r="BJ310" s="177"/>
      <c r="BK310" s="177"/>
      <c r="BL310" s="177"/>
      <c r="BM310" s="177"/>
      <c r="BN310" s="177"/>
      <c r="BO310" s="177"/>
      <c r="BP310" s="178"/>
      <c r="BQ310" s="12"/>
      <c r="BR310" s="12"/>
      <c r="BS310" s="12"/>
      <c r="BT310" s="1121" t="s">
        <v>828</v>
      </c>
      <c r="BU310" s="1122"/>
      <c r="BV310" s="1122"/>
      <c r="BW310" s="1122"/>
      <c r="BX310" s="1122"/>
      <c r="BY310" s="1123"/>
      <c r="BZ310" s="127"/>
      <c r="CA310" s="12"/>
      <c r="CB310" s="12"/>
      <c r="CC310" s="12"/>
      <c r="CD310" s="12"/>
      <c r="CE310" s="305"/>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91"/>
    </row>
    <row r="311" spans="2:118" ht="48.75" customHeight="1">
      <c r="B311" s="257">
        <v>4</v>
      </c>
      <c r="C311" s="1287">
        <v>1.3</v>
      </c>
      <c r="D311" s="1287"/>
      <c r="E311" s="1287">
        <v>0.4</v>
      </c>
      <c r="F311" s="1287"/>
      <c r="G311" s="1287">
        <v>1.55</v>
      </c>
      <c r="H311" s="1287"/>
      <c r="I311" s="1285">
        <v>0.5</v>
      </c>
      <c r="J311" s="1761"/>
      <c r="K311" s="278"/>
      <c r="L311" s="278"/>
      <c r="M311" s="1516"/>
      <c r="N311" s="1517"/>
      <c r="O311" s="1517"/>
      <c r="P311" s="1517"/>
      <c r="Q311" s="1517"/>
      <c r="R311" s="1517"/>
      <c r="S311" s="1517"/>
      <c r="T311" s="1517"/>
      <c r="U311" s="1517"/>
      <c r="V311" s="1517"/>
      <c r="W311" s="1518"/>
      <c r="AA311" s="278"/>
      <c r="AB311" s="278"/>
      <c r="AC311" s="278"/>
      <c r="AD311" s="278"/>
      <c r="AT311" s="309"/>
      <c r="AU311" s="309"/>
      <c r="AV311" s="309"/>
      <c r="AW311" s="309"/>
      <c r="BE311" s="309"/>
      <c r="BF311" s="16"/>
      <c r="BG311" s="176"/>
      <c r="BH311" s="177"/>
      <c r="BI311" s="177"/>
      <c r="BJ311" s="177"/>
      <c r="BK311" s="177"/>
      <c r="BL311" s="177"/>
      <c r="BM311" s="177"/>
      <c r="BN311" s="177"/>
      <c r="BO311" s="177"/>
      <c r="BP311" s="178"/>
      <c r="BQ311" s="12"/>
      <c r="BR311" s="12"/>
      <c r="BS311" s="12"/>
      <c r="BT311" s="329" t="s">
        <v>1117</v>
      </c>
      <c r="BU311" s="1947" t="s">
        <v>98</v>
      </c>
      <c r="BV311" s="1948"/>
      <c r="BW311" s="252" t="e">
        <f>'Вывод расчетов'!#REF!</f>
        <v>#REF!</v>
      </c>
      <c r="BX311" s="253" t="s">
        <v>45</v>
      </c>
      <c r="BY311" s="1942" t="s">
        <v>1123</v>
      </c>
      <c r="BZ311" s="1943"/>
      <c r="CA311" s="12"/>
      <c r="CB311" s="12"/>
      <c r="CC311" s="12"/>
      <c r="CD311" s="12"/>
      <c r="CE311" s="305"/>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91"/>
    </row>
    <row r="312" spans="2:118" ht="48.75" customHeight="1">
      <c r="B312" s="257">
        <v>6</v>
      </c>
      <c r="C312" s="1287">
        <v>1.4</v>
      </c>
      <c r="D312" s="1287"/>
      <c r="E312" s="1287">
        <v>0.5</v>
      </c>
      <c r="F312" s="1287"/>
      <c r="G312" s="1287">
        <v>1.75</v>
      </c>
      <c r="H312" s="1287"/>
      <c r="I312" s="1285">
        <v>0.62</v>
      </c>
      <c r="J312" s="1761"/>
      <c r="K312" s="278"/>
      <c r="L312" s="278"/>
      <c r="M312" s="1516"/>
      <c r="N312" s="1517"/>
      <c r="O312" s="1517"/>
      <c r="P312" s="1517"/>
      <c r="Q312" s="1517"/>
      <c r="R312" s="1517"/>
      <c r="S312" s="1517"/>
      <c r="T312" s="1517"/>
      <c r="U312" s="1517"/>
      <c r="V312" s="1517"/>
      <c r="W312" s="1518"/>
      <c r="AT312" s="309"/>
      <c r="AU312" s="309"/>
      <c r="AV312" s="309"/>
      <c r="AW312" s="309"/>
      <c r="AX312" s="309"/>
      <c r="AY312" s="309"/>
      <c r="AZ312" s="309"/>
      <c r="BB312" s="309"/>
      <c r="BC312" s="309"/>
      <c r="BD312" s="309"/>
      <c r="BE312" s="309"/>
      <c r="BF312" s="17"/>
      <c r="BG312" s="176"/>
      <c r="BH312" s="177"/>
      <c r="BI312" s="177"/>
      <c r="BJ312" s="177"/>
      <c r="BK312" s="177"/>
      <c r="BL312" s="177"/>
      <c r="BM312" s="177"/>
      <c r="BN312" s="177"/>
      <c r="BO312" s="177"/>
      <c r="BP312" s="178"/>
      <c r="BT312" s="329" t="s">
        <v>1117</v>
      </c>
      <c r="BU312" s="1947" t="s">
        <v>99</v>
      </c>
      <c r="BV312" s="1948"/>
      <c r="BW312" s="252" t="e">
        <f>'Вывод расчетов'!#REF!</f>
        <v>#REF!</v>
      </c>
      <c r="BX312" s="253" t="s">
        <v>45</v>
      </c>
      <c r="BY312" s="1942" t="s">
        <v>1126</v>
      </c>
      <c r="BZ312" s="1943"/>
      <c r="CE312" s="305"/>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91"/>
    </row>
    <row r="313" spans="2:118" ht="48.75" customHeight="1">
      <c r="B313" s="90" t="s">
        <v>664</v>
      </c>
      <c r="C313" s="1287">
        <v>1.5</v>
      </c>
      <c r="D313" s="1287"/>
      <c r="E313" s="1287">
        <v>0.5</v>
      </c>
      <c r="F313" s="1287"/>
      <c r="G313" s="1287">
        <v>1.9</v>
      </c>
      <c r="H313" s="1287"/>
      <c r="I313" s="1285">
        <v>0.72</v>
      </c>
      <c r="J313" s="1761"/>
      <c r="K313" s="278"/>
      <c r="L313" s="278"/>
      <c r="M313" s="1516"/>
      <c r="N313" s="1517"/>
      <c r="O313" s="1517"/>
      <c r="P313" s="1517"/>
      <c r="Q313" s="1517"/>
      <c r="R313" s="1517"/>
      <c r="S313" s="1517"/>
      <c r="T313" s="1517"/>
      <c r="U313" s="1517"/>
      <c r="V313" s="1517"/>
      <c r="W313" s="1518"/>
      <c r="AT313" s="309"/>
      <c r="AU313" s="309"/>
      <c r="AV313" s="309"/>
      <c r="AW313" s="309"/>
      <c r="AX313" s="309"/>
      <c r="AY313" s="309"/>
      <c r="AZ313" s="309"/>
      <c r="BA313" s="309"/>
      <c r="BB313" s="309"/>
      <c r="BC313" s="309"/>
      <c r="BD313" s="309"/>
      <c r="BE313" s="309"/>
      <c r="BF313" s="17"/>
      <c r="BG313" s="176"/>
      <c r="BH313" s="177"/>
      <c r="BI313" s="177"/>
      <c r="BJ313" s="177"/>
      <c r="BK313" s="177"/>
      <c r="BL313" s="177"/>
      <c r="BM313" s="177"/>
      <c r="BN313" s="177"/>
      <c r="BO313" s="177"/>
      <c r="BP313" s="178"/>
      <c r="BT313" s="329" t="s">
        <v>1117</v>
      </c>
      <c r="BU313" s="1947" t="s">
        <v>100</v>
      </c>
      <c r="BV313" s="1948"/>
      <c r="BW313" s="252">
        <f>'Вывод расчетов'!EQ45</f>
        <v>4</v>
      </c>
      <c r="BX313" s="253" t="s">
        <v>45</v>
      </c>
      <c r="BY313" s="1942" t="s">
        <v>1127</v>
      </c>
      <c r="BZ313" s="1943"/>
      <c r="CE313" s="305"/>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91"/>
    </row>
    <row r="314" spans="2:118" ht="48.75" customHeight="1">
      <c r="B314" s="278"/>
      <c r="C314" s="278"/>
      <c r="D314" s="278"/>
      <c r="E314" s="278"/>
      <c r="F314" s="278"/>
      <c r="G314" s="278"/>
      <c r="H314" s="278"/>
      <c r="I314" s="278"/>
      <c r="J314" s="278"/>
      <c r="K314" s="278"/>
      <c r="L314" s="278"/>
      <c r="M314" s="1516"/>
      <c r="N314" s="1517"/>
      <c r="O314" s="1517"/>
      <c r="P314" s="1517"/>
      <c r="Q314" s="1517"/>
      <c r="R314" s="1517"/>
      <c r="S314" s="1517"/>
      <c r="T314" s="1517"/>
      <c r="U314" s="1517"/>
      <c r="V314" s="1517"/>
      <c r="W314" s="1518"/>
      <c r="AT314" s="309"/>
      <c r="AU314" s="309"/>
      <c r="AV314" s="309"/>
      <c r="AW314" s="309"/>
      <c r="AX314" s="309"/>
      <c r="AY314" s="309"/>
      <c r="AZ314" s="309"/>
      <c r="BA314" s="309"/>
      <c r="BB314" s="309"/>
      <c r="BC314" s="309"/>
      <c r="BD314" s="309"/>
      <c r="BE314" s="309"/>
      <c r="BF314" s="17"/>
      <c r="BG314" s="176"/>
      <c r="BH314" s="177"/>
      <c r="BI314" s="177"/>
      <c r="BJ314" s="177"/>
      <c r="BK314" s="177"/>
      <c r="BL314" s="177"/>
      <c r="BM314" s="177"/>
      <c r="BN314" s="177"/>
      <c r="BO314" s="177"/>
      <c r="BP314" s="178"/>
      <c r="BQ314" s="12"/>
      <c r="BR314" s="12"/>
      <c r="BS314" s="12"/>
      <c r="BT314" s="329" t="s">
        <v>1117</v>
      </c>
      <c r="BU314" s="1947" t="s">
        <v>101</v>
      </c>
      <c r="BV314" s="1948"/>
      <c r="BW314" s="252" t="e">
        <f>'Вывод расчетов'!#REF!</f>
        <v>#REF!</v>
      </c>
      <c r="BX314" s="253" t="s">
        <v>45</v>
      </c>
      <c r="BY314" s="1942" t="s">
        <v>1120</v>
      </c>
      <c r="BZ314" s="1943"/>
      <c r="CA314" s="12"/>
      <c r="CD314" s="12"/>
      <c r="CE314" s="305"/>
      <c r="CF314" s="12"/>
      <c r="CG314" s="12"/>
      <c r="CH314" s="12"/>
      <c r="CI314" s="192"/>
      <c r="CJ314" s="12"/>
      <c r="CK314" s="12"/>
      <c r="CL314" s="1964"/>
      <c r="CM314" s="1964"/>
      <c r="CN314" s="1964"/>
      <c r="CO314" s="1964"/>
      <c r="CP314" s="12"/>
      <c r="CQ314" s="12"/>
      <c r="CR314" s="12"/>
      <c r="CS314" s="12"/>
      <c r="CT314" s="12"/>
      <c r="CU314" s="12"/>
      <c r="CV314" s="251"/>
      <c r="CW314" s="275"/>
      <c r="CX314" s="1964"/>
      <c r="CY314" s="1964"/>
      <c r="CZ314" s="1964"/>
      <c r="DA314" s="1964"/>
      <c r="DB314" s="12"/>
      <c r="DC314" s="12"/>
      <c r="DD314" s="12"/>
      <c r="DE314" s="12"/>
      <c r="DF314" s="12"/>
      <c r="DG314" s="251"/>
      <c r="DH314" s="275"/>
      <c r="DI314" s="12"/>
      <c r="DJ314" s="1964"/>
      <c r="DK314" s="1964"/>
      <c r="DL314" s="1964"/>
      <c r="DM314" s="1964"/>
      <c r="DN314" s="191"/>
    </row>
    <row r="315" spans="2:118" ht="48.75" customHeight="1">
      <c r="B315" s="278"/>
      <c r="C315" s="278"/>
      <c r="D315" s="278"/>
      <c r="E315" s="278"/>
      <c r="F315" s="278"/>
      <c r="G315" s="278"/>
      <c r="H315" s="278"/>
      <c r="I315" s="278"/>
      <c r="J315" s="278"/>
      <c r="K315" s="278"/>
      <c r="L315" s="278"/>
      <c r="M315" s="1516"/>
      <c r="N315" s="1517"/>
      <c r="O315" s="1517"/>
      <c r="P315" s="1517"/>
      <c r="Q315" s="1517"/>
      <c r="R315" s="1517"/>
      <c r="S315" s="1517"/>
      <c r="T315" s="1517"/>
      <c r="U315" s="1517"/>
      <c r="V315" s="1517"/>
      <c r="W315" s="1518"/>
      <c r="AT315" s="309"/>
      <c r="AU315" s="309"/>
      <c r="AV315" s="309"/>
      <c r="AW315" s="309"/>
      <c r="AX315" s="309"/>
      <c r="AY315" s="309"/>
      <c r="AZ315" s="309"/>
      <c r="BA315" s="309"/>
      <c r="BB315" s="309"/>
      <c r="BC315" s="309"/>
      <c r="BD315" s="309"/>
      <c r="BE315" s="309"/>
      <c r="BF315" s="17"/>
      <c r="BG315" s="176"/>
      <c r="BH315" s="177"/>
      <c r="BI315" s="177"/>
      <c r="BJ315" s="177"/>
      <c r="BK315" s="177"/>
      <c r="BL315" s="177"/>
      <c r="BM315" s="177"/>
      <c r="BN315" s="177"/>
      <c r="BO315" s="177"/>
      <c r="BP315" s="178"/>
      <c r="BT315" s="329" t="s">
        <v>1117</v>
      </c>
      <c r="BU315" s="1947" t="s">
        <v>102</v>
      </c>
      <c r="BV315" s="1948"/>
      <c r="BW315" s="252">
        <f>'Вывод расчетов'!EK49</f>
        <v>25.438111676802539</v>
      </c>
      <c r="BX315" s="253" t="s">
        <v>45</v>
      </c>
      <c r="BY315" s="1942" t="s">
        <v>1128</v>
      </c>
      <c r="BZ315" s="1943"/>
      <c r="CE315" s="305"/>
      <c r="CF315" s="1963" t="s">
        <v>823</v>
      </c>
      <c r="CG315" s="1963"/>
      <c r="CH315" s="1963"/>
      <c r="CI315" s="261" t="s">
        <v>111</v>
      </c>
      <c r="CJ315" s="184" t="s">
        <v>704</v>
      </c>
      <c r="CK315" s="12"/>
      <c r="CL315" s="1964"/>
      <c r="CM315" s="1964"/>
      <c r="CN315" s="1964"/>
      <c r="CO315" s="1964"/>
      <c r="CP315" s="12"/>
      <c r="CQ315" s="12"/>
      <c r="CR315" s="1963" t="s">
        <v>819</v>
      </c>
      <c r="CS315" s="1963"/>
      <c r="CT315" s="1963"/>
      <c r="CU315" s="261" t="s">
        <v>111</v>
      </c>
      <c r="CV315" s="184" t="s">
        <v>704</v>
      </c>
      <c r="CW315" s="12"/>
      <c r="CX315" s="1964"/>
      <c r="CY315" s="1964"/>
      <c r="CZ315" s="1964"/>
      <c r="DA315" s="1964"/>
      <c r="DB315" s="12"/>
      <c r="DC315" s="12"/>
      <c r="DD315" s="1963" t="s">
        <v>822</v>
      </c>
      <c r="DE315" s="1963"/>
      <c r="DF315" s="1963"/>
      <c r="DG315" s="261" t="s">
        <v>111</v>
      </c>
      <c r="DH315" s="184" t="s">
        <v>704</v>
      </c>
      <c r="DI315" s="12"/>
      <c r="DJ315" s="1964"/>
      <c r="DK315" s="1964"/>
      <c r="DL315" s="1964"/>
      <c r="DM315" s="1964"/>
      <c r="DN315" s="191"/>
    </row>
    <row r="316" spans="2:118" ht="48.75" customHeight="1">
      <c r="B316" s="278"/>
      <c r="C316" s="278"/>
      <c r="D316" s="278"/>
      <c r="E316" s="278"/>
      <c r="F316" s="278"/>
      <c r="G316" s="278"/>
      <c r="H316" s="278"/>
      <c r="I316" s="278"/>
      <c r="J316" s="278"/>
      <c r="K316" s="278"/>
      <c r="L316" s="278"/>
      <c r="M316" s="1516"/>
      <c r="N316" s="1517"/>
      <c r="O316" s="1517"/>
      <c r="P316" s="1517"/>
      <c r="Q316" s="1517"/>
      <c r="R316" s="1517"/>
      <c r="S316" s="1517"/>
      <c r="T316" s="1517"/>
      <c r="U316" s="1517"/>
      <c r="V316" s="1517"/>
      <c r="W316" s="1518"/>
      <c r="AT316" s="309"/>
      <c r="AU316" s="309"/>
      <c r="AV316" s="309"/>
      <c r="AW316" s="309"/>
      <c r="AX316" s="309"/>
      <c r="AY316" s="309"/>
      <c r="AZ316" s="309"/>
      <c r="BA316" s="309"/>
      <c r="BB316" s="309"/>
      <c r="BC316" s="309"/>
      <c r="BD316" s="309"/>
      <c r="BE316" s="19"/>
      <c r="BF316" s="17"/>
      <c r="BG316" s="176"/>
      <c r="BH316" s="177"/>
      <c r="BI316" s="177"/>
      <c r="BJ316" s="177"/>
      <c r="BK316" s="177"/>
      <c r="BL316" s="177"/>
      <c r="BM316" s="177"/>
      <c r="BN316" s="177"/>
      <c r="BO316" s="177"/>
      <c r="BP316" s="178"/>
      <c r="BT316" s="329" t="s">
        <v>1117</v>
      </c>
      <c r="BU316" s="1949" t="s">
        <v>103</v>
      </c>
      <c r="BV316" s="1950"/>
      <c r="BW316" s="252">
        <f>'Вывод расчетов'!EQ41</f>
        <v>1</v>
      </c>
      <c r="BX316" s="253" t="s">
        <v>45</v>
      </c>
      <c r="BY316" s="1942" t="s">
        <v>1129</v>
      </c>
      <c r="BZ316" s="1943"/>
      <c r="CE316" s="305"/>
      <c r="CF316" s="329" t="s">
        <v>1117</v>
      </c>
      <c r="CG316" s="756" t="s">
        <v>104</v>
      </c>
      <c r="CH316" s="756"/>
      <c r="CI316" s="9"/>
      <c r="CJ316" s="10"/>
      <c r="CK316" s="12"/>
      <c r="CL316" s="1964"/>
      <c r="CM316" s="1964"/>
      <c r="CN316" s="1964"/>
      <c r="CO316" s="1964"/>
      <c r="CP316" s="12"/>
      <c r="CQ316" s="12"/>
      <c r="CR316" s="329" t="s">
        <v>1117</v>
      </c>
      <c r="CS316" s="1942" t="s">
        <v>829</v>
      </c>
      <c r="CT316" s="1983"/>
      <c r="CU316" s="270"/>
      <c r="CV316" s="10"/>
      <c r="CW316" s="12"/>
      <c r="CX316" s="1964"/>
      <c r="CY316" s="1964"/>
      <c r="CZ316" s="1964"/>
      <c r="DA316" s="1964"/>
      <c r="DB316" s="12"/>
      <c r="DC316" s="12"/>
      <c r="DD316" s="329" t="s">
        <v>1117</v>
      </c>
      <c r="DE316" s="1942" t="s">
        <v>1125</v>
      </c>
      <c r="DF316" s="1943"/>
      <c r="DG316" s="270"/>
      <c r="DH316" s="270"/>
      <c r="DI316" s="12"/>
      <c r="DJ316" s="1964"/>
      <c r="DK316" s="1964"/>
      <c r="DL316" s="1964"/>
      <c r="DM316" s="1964"/>
      <c r="DN316" s="191"/>
    </row>
    <row r="317" spans="2:118" ht="48.75" customHeight="1">
      <c r="B317" s="278"/>
      <c r="C317" s="278"/>
      <c r="D317" s="278"/>
      <c r="E317" s="278"/>
      <c r="F317" s="278"/>
      <c r="G317" s="278"/>
      <c r="H317" s="278"/>
      <c r="I317" s="278"/>
      <c r="J317" s="278"/>
      <c r="K317" s="278"/>
      <c r="L317" s="278"/>
      <c r="M317" s="1516"/>
      <c r="N317" s="1517"/>
      <c r="O317" s="1517"/>
      <c r="P317" s="1517"/>
      <c r="Q317" s="1517"/>
      <c r="R317" s="1517"/>
      <c r="S317" s="1517"/>
      <c r="T317" s="1517"/>
      <c r="U317" s="1517"/>
      <c r="V317" s="1517"/>
      <c r="W317" s="1518"/>
      <c r="AT317" s="309"/>
      <c r="AU317" s="309"/>
      <c r="AV317" s="309"/>
      <c r="AW317" s="309"/>
      <c r="AX317" s="309"/>
      <c r="AY317" s="309"/>
      <c r="AZ317" s="309"/>
      <c r="BA317" s="309"/>
      <c r="BB317" s="309"/>
      <c r="BC317" s="309"/>
      <c r="BD317" s="309"/>
      <c r="BE317" s="19"/>
      <c r="BF317" s="17"/>
      <c r="BG317" s="176"/>
      <c r="BH317" s="177"/>
      <c r="BI317" s="177"/>
      <c r="BJ317" s="177"/>
      <c r="BK317" s="177"/>
      <c r="BL317" s="177"/>
      <c r="BM317" s="177"/>
      <c r="BN317" s="177"/>
      <c r="BO317" s="177"/>
      <c r="BP317" s="178"/>
      <c r="CE317" s="305"/>
      <c r="CF317" s="329" t="s">
        <v>1117</v>
      </c>
      <c r="CG317" s="756" t="s">
        <v>87</v>
      </c>
      <c r="CH317" s="756"/>
      <c r="CI317" s="9"/>
      <c r="CJ317" s="10"/>
      <c r="CK317" s="12"/>
      <c r="CL317" s="1964"/>
      <c r="CM317" s="1964"/>
      <c r="CN317" s="1964"/>
      <c r="CO317" s="1964"/>
      <c r="CP317" s="12"/>
      <c r="CQ317" s="12"/>
      <c r="CR317" s="329" t="s">
        <v>1117</v>
      </c>
      <c r="CS317" s="1942" t="s">
        <v>1127</v>
      </c>
      <c r="CT317" s="1983"/>
      <c r="CU317" s="270"/>
      <c r="CV317" s="10"/>
      <c r="CW317" s="12"/>
      <c r="CX317" s="1964"/>
      <c r="CY317" s="1964"/>
      <c r="CZ317" s="1964"/>
      <c r="DA317" s="1964"/>
      <c r="DB317" s="12"/>
      <c r="DC317" s="12"/>
      <c r="DD317" s="329" t="s">
        <v>1117</v>
      </c>
      <c r="DE317" s="1942" t="s">
        <v>829</v>
      </c>
      <c r="DF317" s="1943"/>
      <c r="DG317" s="270"/>
      <c r="DH317" s="270"/>
      <c r="DI317" s="12"/>
      <c r="DJ317" s="1964"/>
      <c r="DK317" s="1964"/>
      <c r="DL317" s="1964"/>
      <c r="DM317" s="1964"/>
      <c r="DN317" s="191"/>
    </row>
    <row r="318" spans="2:118" ht="48.75" customHeight="1">
      <c r="B318" s="278"/>
      <c r="C318" s="278"/>
      <c r="D318" s="278"/>
      <c r="E318" s="278"/>
      <c r="F318" s="278"/>
      <c r="G318" s="278"/>
      <c r="H318" s="278"/>
      <c r="I318" s="278"/>
      <c r="J318" s="278"/>
      <c r="K318" s="278"/>
      <c r="L318" s="278"/>
      <c r="M318" s="1516"/>
      <c r="N318" s="1517"/>
      <c r="O318" s="1517"/>
      <c r="P318" s="1517"/>
      <c r="Q318" s="1517"/>
      <c r="R318" s="1517"/>
      <c r="S318" s="1517"/>
      <c r="T318" s="1517"/>
      <c r="U318" s="1517"/>
      <c r="V318" s="1517"/>
      <c r="W318" s="1518"/>
      <c r="AT318" s="309"/>
      <c r="AU318" s="309"/>
      <c r="AV318" s="309"/>
      <c r="AW318" s="309"/>
      <c r="AX318" s="309"/>
      <c r="AY318" s="309"/>
      <c r="AZ318" s="309"/>
      <c r="BA318" s="309"/>
      <c r="BB318" s="309"/>
      <c r="BC318" s="309"/>
      <c r="BD318" s="309"/>
      <c r="BE318" s="19"/>
      <c r="BF318" s="17"/>
      <c r="BG318" s="176"/>
      <c r="BH318" s="177"/>
      <c r="BI318" s="177"/>
      <c r="BJ318" s="177"/>
      <c r="BK318" s="177"/>
      <c r="BL318" s="177"/>
      <c r="BM318" s="177"/>
      <c r="BN318" s="177"/>
      <c r="BO318" s="177"/>
      <c r="BP318" s="178"/>
      <c r="CE318" s="305"/>
      <c r="CF318" s="329" t="s">
        <v>1117</v>
      </c>
      <c r="CG318" s="756" t="s">
        <v>88</v>
      </c>
      <c r="CH318" s="756"/>
      <c r="CI318" s="9"/>
      <c r="CJ318" s="10"/>
      <c r="CK318" s="12"/>
      <c r="CL318" s="1964"/>
      <c r="CM318" s="1964"/>
      <c r="CN318" s="1964"/>
      <c r="CO318" s="1964"/>
      <c r="CP318" s="12"/>
      <c r="CQ318" s="12"/>
      <c r="CR318" s="329" t="s">
        <v>1117</v>
      </c>
      <c r="CS318" s="1942" t="s">
        <v>1120</v>
      </c>
      <c r="CT318" s="1983"/>
      <c r="CU318" s="270"/>
      <c r="CV318" s="10"/>
      <c r="CW318" s="12"/>
      <c r="CX318" s="1964"/>
      <c r="CY318" s="1964"/>
      <c r="CZ318" s="1964"/>
      <c r="DA318" s="1964"/>
      <c r="DB318" s="12"/>
      <c r="DC318" s="12"/>
      <c r="DD318" s="329" t="s">
        <v>1117</v>
      </c>
      <c r="DE318" s="1942" t="s">
        <v>1127</v>
      </c>
      <c r="DF318" s="1983"/>
      <c r="DG318" s="270"/>
      <c r="DH318" s="270"/>
      <c r="DI318" s="12"/>
      <c r="DJ318" s="1964"/>
      <c r="DK318" s="1964"/>
      <c r="DL318" s="1964"/>
      <c r="DM318" s="1964"/>
      <c r="DN318" s="191"/>
    </row>
    <row r="319" spans="2:118" ht="48.75" customHeight="1">
      <c r="B319" s="278"/>
      <c r="C319" s="278"/>
      <c r="D319" s="278"/>
      <c r="E319" s="278"/>
      <c r="F319" s="278"/>
      <c r="G319" s="278"/>
      <c r="H319" s="278"/>
      <c r="I319" s="278"/>
      <c r="J319" s="278"/>
      <c r="K319" s="278"/>
      <c r="L319" s="278"/>
      <c r="M319" s="1516"/>
      <c r="N319" s="1517"/>
      <c r="O319" s="1517"/>
      <c r="P319" s="1517"/>
      <c r="Q319" s="1517"/>
      <c r="R319" s="1517"/>
      <c r="S319" s="1517"/>
      <c r="T319" s="1517"/>
      <c r="U319" s="1517"/>
      <c r="V319" s="1517"/>
      <c r="W319" s="1518"/>
      <c r="AT319" s="309"/>
      <c r="AU319" s="309"/>
      <c r="AV319" s="309"/>
      <c r="AW319" s="309"/>
      <c r="AX319" s="309"/>
      <c r="AY319" s="309"/>
      <c r="AZ319" s="309"/>
      <c r="BA319" s="309"/>
      <c r="BB319" s="309"/>
      <c r="BC319" s="309"/>
      <c r="BD319" s="309"/>
      <c r="BE319" s="19"/>
      <c r="BF319" s="17"/>
      <c r="BG319" s="176"/>
      <c r="BH319" s="177"/>
      <c r="BI319" s="177"/>
      <c r="BJ319" s="177"/>
      <c r="BK319" s="177"/>
      <c r="BL319" s="177"/>
      <c r="BM319" s="177"/>
      <c r="BN319" s="177"/>
      <c r="BO319" s="177"/>
      <c r="BP319" s="178"/>
      <c r="CE319" s="305"/>
      <c r="CF319" s="329" t="s">
        <v>1117</v>
      </c>
      <c r="CG319" s="756" t="s">
        <v>46</v>
      </c>
      <c r="CH319" s="756"/>
      <c r="CI319" s="9"/>
      <c r="CJ319" s="10"/>
      <c r="CK319" s="12"/>
      <c r="CL319" s="1964"/>
      <c r="CM319" s="1964"/>
      <c r="CN319" s="1964"/>
      <c r="CO319" s="1964"/>
      <c r="CP319" s="12"/>
      <c r="CQ319" s="12"/>
      <c r="CR319" s="329" t="s">
        <v>1117</v>
      </c>
      <c r="CS319" s="1942" t="s">
        <v>1122</v>
      </c>
      <c r="CT319" s="1983"/>
      <c r="CU319" s="270"/>
      <c r="CV319" s="10"/>
      <c r="CW319" s="12"/>
      <c r="CX319" s="1964"/>
      <c r="CY319" s="1964"/>
      <c r="CZ319" s="1964"/>
      <c r="DA319" s="1964"/>
      <c r="DB319" s="12"/>
      <c r="DC319" s="12"/>
      <c r="DD319" s="329" t="s">
        <v>1117</v>
      </c>
      <c r="DE319" s="1942" t="s">
        <v>1120</v>
      </c>
      <c r="DF319" s="1983"/>
      <c r="DG319" s="270"/>
      <c r="DH319" s="270"/>
      <c r="DI319" s="12"/>
      <c r="DJ319" s="1964"/>
      <c r="DK319" s="1964"/>
      <c r="DL319" s="1964"/>
      <c r="DM319" s="1964"/>
      <c r="DN319" s="191"/>
    </row>
    <row r="320" spans="2:118" ht="48.75" customHeight="1">
      <c r="B320" s="278"/>
      <c r="C320" s="278"/>
      <c r="D320" s="278"/>
      <c r="E320" s="278"/>
      <c r="F320" s="278"/>
      <c r="G320" s="278"/>
      <c r="H320" s="278"/>
      <c r="I320" s="278"/>
      <c r="J320" s="278"/>
      <c r="K320" s="278"/>
      <c r="L320" s="278"/>
      <c r="M320" s="1516"/>
      <c r="N320" s="1517"/>
      <c r="O320" s="1517"/>
      <c r="P320" s="1517"/>
      <c r="Q320" s="1517"/>
      <c r="R320" s="1517"/>
      <c r="S320" s="1517"/>
      <c r="T320" s="1517"/>
      <c r="U320" s="1517"/>
      <c r="V320" s="1517"/>
      <c r="W320" s="1518"/>
      <c r="AT320" s="309"/>
      <c r="AU320" s="309"/>
      <c r="AV320" s="309"/>
      <c r="AW320" s="309"/>
      <c r="AX320" s="309"/>
      <c r="AY320" s="309"/>
      <c r="AZ320" s="309"/>
      <c r="BA320" s="309"/>
      <c r="BB320" s="309"/>
      <c r="BC320" s="309"/>
      <c r="BD320" s="309"/>
      <c r="BE320" s="19"/>
      <c r="BF320" s="17"/>
      <c r="BG320" s="176"/>
      <c r="BH320" s="177"/>
      <c r="BI320" s="177"/>
      <c r="BJ320" s="177"/>
      <c r="BK320" s="177"/>
      <c r="BL320" s="177"/>
      <c r="BM320" s="177"/>
      <c r="BN320" s="177"/>
      <c r="BO320" s="177"/>
      <c r="BP320" s="178"/>
      <c r="CE320" s="305"/>
      <c r="CF320" s="329" t="s">
        <v>1117</v>
      </c>
      <c r="CG320" s="756" t="s">
        <v>83</v>
      </c>
      <c r="CH320" s="756"/>
      <c r="CI320" s="9"/>
      <c r="CJ320" s="10"/>
      <c r="CK320" s="12"/>
      <c r="CL320" s="1964"/>
      <c r="CM320" s="1964"/>
      <c r="CN320" s="1964"/>
      <c r="CO320" s="1964"/>
      <c r="CP320" s="12"/>
      <c r="CQ320" s="12"/>
      <c r="CR320" s="329" t="s">
        <v>1117</v>
      </c>
      <c r="CS320" s="1942" t="s">
        <v>1124</v>
      </c>
      <c r="CT320" s="1983"/>
      <c r="CU320" s="270"/>
      <c r="CV320" s="10"/>
      <c r="CW320" s="12"/>
      <c r="CX320" s="1964"/>
      <c r="CY320" s="1964"/>
      <c r="CZ320" s="1964"/>
      <c r="DA320" s="1964"/>
      <c r="DB320" s="12"/>
      <c r="DC320" s="12"/>
      <c r="DD320" s="329" t="s">
        <v>1117</v>
      </c>
      <c r="DE320" s="1942" t="s">
        <v>1122</v>
      </c>
      <c r="DF320" s="1983"/>
      <c r="DG320" s="270"/>
      <c r="DH320" s="270"/>
      <c r="DI320" s="12"/>
      <c r="DJ320" s="1964"/>
      <c r="DK320" s="1964"/>
      <c r="DL320" s="1964"/>
      <c r="DM320" s="1964"/>
      <c r="DN320" s="191"/>
    </row>
    <row r="321" spans="2:118" ht="48.75" customHeight="1">
      <c r="B321" s="278"/>
      <c r="C321" s="278"/>
      <c r="D321" s="278"/>
      <c r="E321" s="278"/>
      <c r="F321" s="278"/>
      <c r="G321" s="278"/>
      <c r="H321" s="278"/>
      <c r="I321" s="278"/>
      <c r="J321" s="278"/>
      <c r="K321" s="278"/>
      <c r="L321" s="278"/>
      <c r="M321" s="1516"/>
      <c r="N321" s="1517"/>
      <c r="O321" s="1517"/>
      <c r="P321" s="1517"/>
      <c r="Q321" s="1517"/>
      <c r="R321" s="1517"/>
      <c r="S321" s="1517"/>
      <c r="T321" s="1517"/>
      <c r="U321" s="1517"/>
      <c r="V321" s="1517"/>
      <c r="W321" s="1518"/>
      <c r="AT321" s="309"/>
      <c r="AU321" s="309"/>
      <c r="AV321" s="309"/>
      <c r="AW321" s="309"/>
      <c r="AX321" s="309"/>
      <c r="AY321" s="309"/>
      <c r="AZ321" s="309"/>
      <c r="BA321" s="309"/>
      <c r="BB321" s="309"/>
      <c r="BC321" s="309"/>
      <c r="BD321" s="309"/>
      <c r="BE321" s="19"/>
      <c r="BF321" s="17"/>
      <c r="BG321" s="176"/>
      <c r="BH321" s="177"/>
      <c r="BI321" s="177"/>
      <c r="BJ321" s="177"/>
      <c r="BK321" s="177"/>
      <c r="BL321" s="177"/>
      <c r="BM321" s="177"/>
      <c r="BN321" s="177"/>
      <c r="BO321" s="177"/>
      <c r="BP321" s="178"/>
      <c r="CE321" s="305"/>
      <c r="CF321" s="329" t="s">
        <v>1117</v>
      </c>
      <c r="CG321" s="756" t="s">
        <v>84</v>
      </c>
      <c r="CH321" s="756"/>
      <c r="CI321" s="9"/>
      <c r="CJ321" s="10"/>
      <c r="CK321" s="12"/>
      <c r="CL321" s="1964"/>
      <c r="CM321" s="1964"/>
      <c r="CN321" s="1964"/>
      <c r="CO321" s="1964"/>
      <c r="CP321" s="12"/>
      <c r="CQ321" s="12"/>
      <c r="CR321" s="329" t="s">
        <v>1117</v>
      </c>
      <c r="CS321" s="1942" t="s">
        <v>1129</v>
      </c>
      <c r="CT321" s="1983"/>
      <c r="CU321" s="270"/>
      <c r="CV321" s="10"/>
      <c r="CW321" s="12"/>
      <c r="CX321" s="1964"/>
      <c r="CY321" s="1964"/>
      <c r="CZ321" s="1964"/>
      <c r="DA321" s="1964"/>
      <c r="DB321" s="12"/>
      <c r="DC321" s="12"/>
      <c r="DD321" s="329" t="s">
        <v>1117</v>
      </c>
      <c r="DE321" s="1942" t="s">
        <v>1124</v>
      </c>
      <c r="DF321" s="1983"/>
      <c r="DG321" s="270"/>
      <c r="DH321" s="270"/>
      <c r="DI321" s="12"/>
      <c r="DJ321" s="1964"/>
      <c r="DK321" s="1964"/>
      <c r="DL321" s="1964"/>
      <c r="DM321" s="1964"/>
      <c r="DN321" s="191"/>
    </row>
    <row r="322" spans="2:118" ht="48.75" customHeight="1">
      <c r="B322" s="278"/>
      <c r="C322" s="278"/>
      <c r="D322" s="278"/>
      <c r="E322" s="278"/>
      <c r="F322" s="278"/>
      <c r="G322" s="278"/>
      <c r="H322" s="278"/>
      <c r="I322" s="278"/>
      <c r="J322" s="278"/>
      <c r="K322" s="278"/>
      <c r="L322" s="278"/>
      <c r="M322" s="1516"/>
      <c r="N322" s="1517"/>
      <c r="O322" s="1517"/>
      <c r="P322" s="1517"/>
      <c r="Q322" s="1517"/>
      <c r="R322" s="1517"/>
      <c r="S322" s="1517"/>
      <c r="T322" s="1517"/>
      <c r="U322" s="1517"/>
      <c r="V322" s="1517"/>
      <c r="W322" s="1518"/>
      <c r="BE322" s="19"/>
      <c r="BF322" s="17"/>
      <c r="BG322" s="176"/>
      <c r="BH322" s="177"/>
      <c r="BI322" s="177"/>
      <c r="BJ322" s="177"/>
      <c r="BK322" s="177"/>
      <c r="BL322" s="177"/>
      <c r="BM322" s="177"/>
      <c r="BN322" s="177"/>
      <c r="BO322" s="177"/>
      <c r="BP322" s="178"/>
      <c r="CE322" s="305"/>
      <c r="CF322" s="329" t="s">
        <v>1117</v>
      </c>
      <c r="CG322" s="756" t="s">
        <v>86</v>
      </c>
      <c r="CH322" s="756"/>
      <c r="CI322" s="9"/>
      <c r="CJ322" s="10"/>
      <c r="CK322" s="12"/>
      <c r="CL322" s="1964"/>
      <c r="CM322" s="1964"/>
      <c r="CN322" s="1964"/>
      <c r="CO322" s="1964"/>
      <c r="CP322" s="12"/>
      <c r="CQ322" s="12"/>
      <c r="CR322" s="12"/>
      <c r="CS322" s="12"/>
      <c r="CT322" s="12"/>
      <c r="CU322" s="12"/>
      <c r="CV322" s="251"/>
      <c r="CW322" s="275"/>
      <c r="CX322" s="1964"/>
      <c r="CY322" s="1964"/>
      <c r="CZ322" s="1964"/>
      <c r="DA322" s="1964"/>
      <c r="DB322" s="12"/>
      <c r="DC322" s="12"/>
      <c r="DD322" s="329" t="s">
        <v>1117</v>
      </c>
      <c r="DE322" s="1942" t="s">
        <v>1129</v>
      </c>
      <c r="DF322" s="1983"/>
      <c r="DG322" s="270"/>
      <c r="DH322" s="270"/>
      <c r="DI322" s="12"/>
      <c r="DJ322" s="1964"/>
      <c r="DK322" s="1964"/>
      <c r="DL322" s="1964"/>
      <c r="DM322" s="1964"/>
      <c r="DN322" s="191"/>
    </row>
    <row r="323" spans="2:118" ht="48.75" customHeight="1">
      <c r="B323" s="278"/>
      <c r="C323" s="278"/>
      <c r="D323" s="278"/>
      <c r="E323" s="278"/>
      <c r="F323" s="278"/>
      <c r="G323" s="278"/>
      <c r="H323" s="278"/>
      <c r="I323" s="278"/>
      <c r="J323" s="278"/>
      <c r="K323" s="278"/>
      <c r="L323" s="278"/>
      <c r="M323" s="1519"/>
      <c r="N323" s="1520"/>
      <c r="O323" s="1520"/>
      <c r="P323" s="1520"/>
      <c r="Q323" s="1520"/>
      <c r="R323" s="1520"/>
      <c r="S323" s="1520"/>
      <c r="T323" s="1520"/>
      <c r="U323" s="1520"/>
      <c r="V323" s="1520"/>
      <c r="W323" s="1521"/>
      <c r="BE323" s="19"/>
      <c r="BF323" s="17"/>
      <c r="BG323" s="176"/>
      <c r="BH323" s="177"/>
      <c r="BI323" s="177"/>
      <c r="BJ323" s="177"/>
      <c r="BK323" s="177"/>
      <c r="BL323" s="177"/>
      <c r="BM323" s="177"/>
      <c r="BN323" s="177"/>
      <c r="BO323" s="177"/>
      <c r="BP323" s="178"/>
      <c r="CE323" s="305"/>
      <c r="CF323" s="12"/>
      <c r="CG323" s="12"/>
      <c r="CH323" s="12"/>
      <c r="CI323" s="192"/>
      <c r="CJ323" s="12"/>
      <c r="CK323" s="12"/>
      <c r="CL323" s="1964"/>
      <c r="CM323" s="1964"/>
      <c r="CN323" s="1964"/>
      <c r="CO323" s="1964"/>
      <c r="CP323" s="12"/>
      <c r="CQ323" s="12"/>
      <c r="CR323" s="12"/>
      <c r="CS323" s="12"/>
      <c r="CT323" s="12"/>
      <c r="CU323" s="12"/>
      <c r="CV323" s="251"/>
      <c r="CW323" s="275"/>
      <c r="CX323" s="1964"/>
      <c r="CY323" s="1964"/>
      <c r="CZ323" s="1964"/>
      <c r="DA323" s="1964"/>
      <c r="DB323" s="12"/>
      <c r="DC323" s="12"/>
      <c r="DD323" s="12"/>
      <c r="DE323" s="12"/>
      <c r="DF323" s="12"/>
      <c r="DG323" s="251"/>
      <c r="DH323" s="275"/>
      <c r="DI323" s="12"/>
      <c r="DJ323" s="1964"/>
      <c r="DK323" s="1964"/>
      <c r="DL323" s="1964"/>
      <c r="DM323" s="1964"/>
      <c r="DN323" s="191"/>
    </row>
    <row r="324" spans="2:118" ht="48.75" customHeight="1">
      <c r="B324" s="278"/>
      <c r="C324" s="278"/>
      <c r="D324" s="278"/>
      <c r="E324" s="278"/>
      <c r="F324" s="278"/>
      <c r="G324" s="278"/>
      <c r="H324" s="278"/>
      <c r="I324" s="278"/>
      <c r="J324" s="278"/>
      <c r="K324" s="278"/>
      <c r="L324" s="278"/>
      <c r="BE324" s="19"/>
      <c r="BF324" s="17"/>
      <c r="BG324" s="176"/>
      <c r="BH324" s="177"/>
      <c r="BI324" s="177"/>
      <c r="BJ324" s="177"/>
      <c r="BK324" s="177"/>
      <c r="BL324" s="177"/>
      <c r="BM324" s="177"/>
      <c r="BN324" s="531" t="s">
        <v>1640</v>
      </c>
      <c r="BO324" s="534">
        <f>'Вывод расчетов'!$MQ$177</f>
        <v>0</v>
      </c>
      <c r="BP324" s="178"/>
      <c r="CE324" s="305"/>
      <c r="CF324" s="12"/>
      <c r="CG324" s="12"/>
      <c r="CH324" s="12"/>
      <c r="CI324" s="192"/>
      <c r="CJ324" s="12"/>
      <c r="CK324" s="12"/>
      <c r="CL324" s="1964"/>
      <c r="CM324" s="1964"/>
      <c r="CN324" s="1964"/>
      <c r="CO324" s="1964"/>
      <c r="CP324" s="12"/>
      <c r="CQ324" s="12"/>
      <c r="CR324" s="12"/>
      <c r="CS324" s="12"/>
      <c r="CT324" s="12"/>
      <c r="CU324" s="12"/>
      <c r="CV324" s="251"/>
      <c r="CW324" s="275"/>
      <c r="CX324" s="1964"/>
      <c r="CY324" s="1964"/>
      <c r="CZ324" s="1964"/>
      <c r="DA324" s="1964"/>
      <c r="DB324" s="12"/>
      <c r="DC324" s="12"/>
      <c r="DD324" s="12"/>
      <c r="DE324" s="12"/>
      <c r="DF324" s="12"/>
      <c r="DG324" s="12"/>
      <c r="DH324" s="275"/>
      <c r="DI324" s="12"/>
      <c r="DJ324" s="1964"/>
      <c r="DK324" s="1964"/>
      <c r="DL324" s="1964"/>
      <c r="DM324" s="1964"/>
      <c r="DN324" s="191"/>
    </row>
    <row r="325" spans="2:118" ht="48.75" customHeight="1">
      <c r="B325" s="278"/>
      <c r="C325" s="278"/>
      <c r="D325" s="278"/>
      <c r="E325" s="278"/>
      <c r="F325" s="278"/>
      <c r="G325" s="278"/>
      <c r="H325" s="278"/>
      <c r="I325" s="278"/>
      <c r="J325" s="278"/>
      <c r="K325" s="278"/>
      <c r="L325" s="278"/>
      <c r="M325" s="278"/>
      <c r="V325" s="295"/>
      <c r="W325" s="295"/>
      <c r="X325" s="295"/>
      <c r="Y325" s="295"/>
      <c r="AC325" s="12"/>
      <c r="AD325" s="312"/>
      <c r="BE325" s="19"/>
      <c r="BF325" s="17"/>
      <c r="BG325" s="176"/>
      <c r="BH325" s="177"/>
      <c r="BI325" s="177"/>
      <c r="BJ325" s="177"/>
      <c r="BK325" s="177"/>
      <c r="BL325" s="177"/>
      <c r="BM325" s="177"/>
      <c r="BN325" s="533" t="s">
        <v>1305</v>
      </c>
      <c r="BO325" s="530">
        <f>'Вывод расчетов'!$MH$181</f>
        <v>1.0356340341387285</v>
      </c>
      <c r="BP325" s="178"/>
      <c r="CE325" s="305"/>
      <c r="CF325" s="12"/>
      <c r="CG325" s="12"/>
      <c r="CH325" s="12"/>
      <c r="CI325" s="192"/>
      <c r="CJ325" s="12"/>
      <c r="CK325" s="12"/>
      <c r="CL325" s="1964"/>
      <c r="CM325" s="1964"/>
      <c r="CN325" s="1964"/>
      <c r="CO325" s="1964"/>
      <c r="CP325" s="12"/>
      <c r="CQ325" s="12"/>
      <c r="CR325" s="12"/>
      <c r="CS325" s="12"/>
      <c r="CT325" s="12"/>
      <c r="CU325" s="12"/>
      <c r="CV325" s="12"/>
      <c r="CW325" s="12"/>
      <c r="CX325" s="12"/>
      <c r="CY325" s="12"/>
      <c r="CZ325" s="12"/>
      <c r="DA325" s="12"/>
      <c r="DB325" s="12"/>
      <c r="DC325" s="12"/>
      <c r="DD325" s="12"/>
      <c r="DE325" s="12"/>
      <c r="DF325" s="12"/>
      <c r="DG325" s="251"/>
      <c r="DH325" s="275"/>
      <c r="DI325" s="12"/>
      <c r="DJ325" s="1964"/>
      <c r="DK325" s="1964"/>
      <c r="DL325" s="1964"/>
      <c r="DM325" s="1964"/>
      <c r="DN325" s="191"/>
    </row>
    <row r="326" spans="2:118" ht="48.75" customHeight="1">
      <c r="B326" s="278"/>
      <c r="C326" s="278"/>
      <c r="D326" s="278"/>
      <c r="E326" s="278"/>
      <c r="F326" s="278"/>
      <c r="G326" s="278"/>
      <c r="H326" s="278"/>
      <c r="I326" s="278"/>
      <c r="J326" s="278"/>
      <c r="K326" s="278"/>
      <c r="L326" s="278"/>
      <c r="M326" s="278"/>
      <c r="V326" s="295"/>
      <c r="W326" s="295"/>
      <c r="X326" s="295"/>
      <c r="Y326" s="295"/>
      <c r="AC326" s="12"/>
      <c r="AD326" s="312"/>
      <c r="AK326" s="1121" t="s">
        <v>723</v>
      </c>
      <c r="AL326" s="1122"/>
      <c r="AM326" s="1122"/>
      <c r="AN326" s="1122"/>
      <c r="AO326" s="1122"/>
      <c r="AP326" s="1123"/>
      <c r="AQ326" s="127"/>
      <c r="BE326" s="19"/>
      <c r="BF326" s="17"/>
      <c r="BG326" s="176"/>
      <c r="BH326" s="177"/>
      <c r="BI326" s="177"/>
      <c r="BJ326" s="177"/>
      <c r="BK326" s="177"/>
      <c r="BL326" s="177"/>
      <c r="BM326" s="177"/>
      <c r="BN326" s="177"/>
      <c r="BO326" s="177"/>
      <c r="BP326" s="178"/>
      <c r="CE326" s="305"/>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91"/>
    </row>
    <row r="327" spans="2:118" ht="48.75" customHeight="1">
      <c r="B327" s="987" t="s">
        <v>658</v>
      </c>
      <c r="C327" s="988"/>
      <c r="D327" s="988"/>
      <c r="E327" s="988"/>
      <c r="F327" s="988"/>
      <c r="G327" s="988"/>
      <c r="H327" s="988"/>
      <c r="I327" s="988"/>
      <c r="J327" s="970"/>
      <c r="M327" s="987" t="s">
        <v>659</v>
      </c>
      <c r="N327" s="988"/>
      <c r="O327" s="988"/>
      <c r="P327" s="988"/>
      <c r="Q327" s="988"/>
      <c r="R327" s="988"/>
      <c r="S327" s="970"/>
      <c r="U327" s="295"/>
      <c r="V327" s="295"/>
      <c r="X327" s="987" t="s">
        <v>657</v>
      </c>
      <c r="Y327" s="988"/>
      <c r="Z327" s="988"/>
      <c r="AA327" s="988"/>
      <c r="AB327" s="989"/>
      <c r="AC327" s="103"/>
      <c r="AD327" s="312"/>
      <c r="AK327" s="1513"/>
      <c r="AL327" s="1514"/>
      <c r="AM327" s="1514"/>
      <c r="AN327" s="1514"/>
      <c r="AO327" s="1514"/>
      <c r="AP327" s="1514"/>
      <c r="AQ327" s="1515"/>
      <c r="BE327" s="19"/>
      <c r="BF327" s="17"/>
      <c r="BG327" s="176"/>
      <c r="BH327" s="177"/>
      <c r="BI327" s="177"/>
      <c r="BJ327" s="177"/>
      <c r="BK327" s="177"/>
      <c r="BL327" s="177"/>
      <c r="BM327" s="177"/>
      <c r="BN327" s="177"/>
      <c r="BO327" s="177"/>
      <c r="BP327" s="178"/>
      <c r="CE327" s="305"/>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91"/>
    </row>
    <row r="328" spans="2:118" ht="48.75" customHeight="1">
      <c r="B328" s="993"/>
      <c r="C328" s="994"/>
      <c r="D328" s="994"/>
      <c r="E328" s="994"/>
      <c r="F328" s="994"/>
      <c r="G328" s="994"/>
      <c r="H328" s="994"/>
      <c r="I328" s="994"/>
      <c r="J328" s="972"/>
      <c r="M328" s="993"/>
      <c r="N328" s="994"/>
      <c r="O328" s="994"/>
      <c r="P328" s="994"/>
      <c r="Q328" s="994"/>
      <c r="R328" s="994"/>
      <c r="S328" s="971"/>
      <c r="U328" s="295"/>
      <c r="V328" s="295"/>
      <c r="X328" s="990"/>
      <c r="Y328" s="991"/>
      <c r="Z328" s="991"/>
      <c r="AA328" s="991"/>
      <c r="AB328" s="992"/>
      <c r="AC328" s="100"/>
      <c r="AD328" s="312"/>
      <c r="AK328" s="1516"/>
      <c r="AL328" s="1517"/>
      <c r="AM328" s="1517"/>
      <c r="AN328" s="1517"/>
      <c r="AO328" s="1517"/>
      <c r="AP328" s="1517"/>
      <c r="AQ328" s="1518"/>
      <c r="BE328" s="19"/>
      <c r="BF328" s="17"/>
      <c r="BG328" s="176"/>
      <c r="BH328" s="177"/>
      <c r="BI328" s="177"/>
      <c r="BJ328" s="177"/>
      <c r="BK328" s="177"/>
      <c r="BL328" s="177"/>
      <c r="BM328" s="177"/>
      <c r="BN328" s="177"/>
      <c r="BO328" s="177"/>
      <c r="BP328" s="178"/>
      <c r="CE328" s="305"/>
      <c r="CF328" s="12"/>
      <c r="CG328" s="12"/>
      <c r="CH328" s="12"/>
      <c r="CI328" s="12"/>
      <c r="CJ328" s="12"/>
      <c r="CK328" s="12"/>
      <c r="CL328" s="12"/>
      <c r="CM328" s="12"/>
      <c r="CN328" s="12"/>
      <c r="CO328" s="12"/>
      <c r="CP328" s="306"/>
      <c r="CQ328" s="306"/>
      <c r="CR328" s="12"/>
      <c r="CS328" s="12"/>
      <c r="CT328" s="12"/>
      <c r="CU328" s="12"/>
      <c r="CV328" s="12"/>
      <c r="CW328" s="12"/>
      <c r="CX328" s="12"/>
      <c r="CY328" s="12"/>
      <c r="CZ328" s="12"/>
      <c r="DA328" s="12"/>
      <c r="DB328" s="306"/>
      <c r="DC328" s="306"/>
      <c r="DD328" s="12"/>
      <c r="DE328" s="12"/>
      <c r="DF328" s="12"/>
      <c r="DG328" s="12"/>
      <c r="DH328" s="12"/>
      <c r="DI328" s="12"/>
      <c r="DJ328" s="12"/>
      <c r="DK328" s="12"/>
      <c r="DL328" s="12"/>
      <c r="DM328" s="12"/>
      <c r="DN328" s="191"/>
    </row>
    <row r="329" spans="2:118" ht="48.75" customHeight="1">
      <c r="B329" s="1527"/>
      <c r="C329" s="1527"/>
      <c r="D329" s="1527"/>
      <c r="E329" s="1527"/>
      <c r="F329" s="1527"/>
      <c r="G329" s="1527"/>
      <c r="H329" s="1527"/>
      <c r="I329" s="1527"/>
      <c r="J329" s="1527"/>
      <c r="M329" s="1513"/>
      <c r="N329" s="1514"/>
      <c r="O329" s="1514"/>
      <c r="P329" s="1514"/>
      <c r="Q329" s="1514"/>
      <c r="R329" s="1514"/>
      <c r="S329" s="1515"/>
      <c r="U329" s="295"/>
      <c r="V329" s="295"/>
      <c r="X329" s="993"/>
      <c r="Y329" s="994"/>
      <c r="Z329" s="994"/>
      <c r="AA329" s="994"/>
      <c r="AB329" s="995"/>
      <c r="AC329" s="104"/>
      <c r="AD329" s="312"/>
      <c r="AK329" s="1516"/>
      <c r="AL329" s="1517"/>
      <c r="AM329" s="1517"/>
      <c r="AN329" s="1517"/>
      <c r="AO329" s="1517"/>
      <c r="AP329" s="1517"/>
      <c r="AQ329" s="1518"/>
      <c r="AT329" s="657"/>
      <c r="AU329" s="657"/>
      <c r="AV329" s="657"/>
      <c r="AW329" s="657"/>
      <c r="AX329" s="657"/>
      <c r="AY329" s="657"/>
      <c r="AZ329" s="657"/>
      <c r="BA329" s="657"/>
      <c r="BB329" s="657"/>
      <c r="BC329" s="657"/>
      <c r="BD329" s="657"/>
      <c r="BE329" s="19"/>
      <c r="BF329" s="17"/>
      <c r="BG329" s="176"/>
      <c r="BH329" s="177"/>
      <c r="BI329" s="177"/>
      <c r="BJ329" s="177"/>
      <c r="BK329" s="177"/>
      <c r="BL329" s="177"/>
      <c r="BM329" s="177"/>
      <c r="BN329" s="177"/>
      <c r="BO329" s="177"/>
      <c r="BP329" s="178"/>
      <c r="CE329" s="305"/>
      <c r="CF329" s="306"/>
      <c r="CG329" s="306"/>
      <c r="CH329" s="306"/>
      <c r="CI329" s="12"/>
      <c r="CJ329" s="12"/>
      <c r="CK329" s="12"/>
      <c r="CL329" s="12"/>
      <c r="CM329" s="12"/>
      <c r="CN329" s="12"/>
      <c r="CO329" s="12"/>
      <c r="CP329" s="306"/>
      <c r="CQ329" s="306"/>
      <c r="CR329" s="12"/>
      <c r="CS329" s="12"/>
      <c r="CT329" s="12"/>
      <c r="CU329" s="12"/>
      <c r="CV329" s="12"/>
      <c r="CW329" s="12"/>
      <c r="CX329" s="12"/>
      <c r="CY329" s="12"/>
      <c r="CZ329" s="12"/>
      <c r="DA329" s="12"/>
      <c r="DB329" s="306"/>
      <c r="DC329" s="306"/>
      <c r="DD329" s="12"/>
      <c r="DE329" s="12"/>
      <c r="DF329" s="12"/>
      <c r="DG329" s="12"/>
      <c r="DH329" s="12"/>
      <c r="DI329" s="12"/>
      <c r="DJ329" s="12"/>
      <c r="DK329" s="12"/>
      <c r="DL329" s="12"/>
      <c r="DM329" s="12"/>
      <c r="DN329" s="191"/>
    </row>
    <row r="330" spans="2:118" ht="48.75" customHeight="1">
      <c r="B330" s="1527"/>
      <c r="C330" s="1527"/>
      <c r="D330" s="1527"/>
      <c r="E330" s="1527"/>
      <c r="F330" s="1527"/>
      <c r="G330" s="1527"/>
      <c r="H330" s="1527"/>
      <c r="I330" s="1527"/>
      <c r="J330" s="1527"/>
      <c r="M330" s="1516"/>
      <c r="N330" s="1517"/>
      <c r="O330" s="1517"/>
      <c r="P330" s="1517"/>
      <c r="Q330" s="1517"/>
      <c r="R330" s="1517"/>
      <c r="S330" s="1518"/>
      <c r="U330" s="295"/>
      <c r="V330" s="295"/>
      <c r="X330" s="1513"/>
      <c r="Y330" s="1514"/>
      <c r="Z330" s="1514"/>
      <c r="AA330" s="1514"/>
      <c r="AB330" s="1514"/>
      <c r="AC330" s="1515"/>
      <c r="AD330" s="312"/>
      <c r="AK330" s="1516"/>
      <c r="AL330" s="1517"/>
      <c r="AM330" s="1517"/>
      <c r="AN330" s="1517"/>
      <c r="AO330" s="1517"/>
      <c r="AP330" s="1517"/>
      <c r="AQ330" s="1518"/>
      <c r="AT330" s="657"/>
      <c r="AU330" s="657"/>
      <c r="AV330" s="657"/>
      <c r="AW330" s="657"/>
      <c r="AX330" s="657"/>
      <c r="AY330" s="657"/>
      <c r="AZ330" s="657"/>
      <c r="BA330" s="657"/>
      <c r="BB330" s="657"/>
      <c r="BC330" s="657"/>
      <c r="BD330" s="657"/>
      <c r="BE330" s="19"/>
      <c r="BF330" s="17"/>
      <c r="BG330" s="176"/>
      <c r="BH330" s="177"/>
      <c r="BI330" s="177"/>
      <c r="BJ330" s="177"/>
      <c r="BK330" s="177"/>
      <c r="BL330" s="177"/>
      <c r="BM330" s="177"/>
      <c r="BN330" s="177"/>
      <c r="BO330" s="177"/>
      <c r="BP330" s="178"/>
      <c r="CE330" s="305"/>
      <c r="CF330" s="306"/>
      <c r="CG330" s="12"/>
      <c r="CH330" s="12"/>
      <c r="CI330" s="251"/>
      <c r="CJ330" s="275"/>
      <c r="CK330" s="12"/>
      <c r="CL330" s="1974"/>
      <c r="CM330" s="1975"/>
      <c r="CN330" s="1975"/>
      <c r="CO330" s="1976"/>
      <c r="CP330" s="306"/>
      <c r="CQ330" s="12"/>
      <c r="CR330" s="12"/>
      <c r="CS330" s="12"/>
      <c r="CT330" s="12"/>
      <c r="CU330" s="12"/>
      <c r="CV330" s="12"/>
      <c r="CW330" s="12"/>
      <c r="CX330" s="1965"/>
      <c r="CY330" s="1966"/>
      <c r="CZ330" s="1966"/>
      <c r="DA330" s="1967"/>
      <c r="DB330" s="12"/>
      <c r="DC330" s="12"/>
      <c r="DD330" s="12"/>
      <c r="DE330" s="12"/>
      <c r="DF330" s="12"/>
      <c r="DG330" s="12"/>
      <c r="DH330" s="12"/>
      <c r="DI330" s="12"/>
      <c r="DJ330" s="1965"/>
      <c r="DK330" s="1966"/>
      <c r="DL330" s="1966"/>
      <c r="DM330" s="1967"/>
      <c r="DN330" s="191"/>
    </row>
    <row r="331" spans="2:118" ht="48.75" customHeight="1">
      <c r="B331" s="1527"/>
      <c r="C331" s="1527"/>
      <c r="D331" s="1527"/>
      <c r="E331" s="1527"/>
      <c r="F331" s="1527"/>
      <c r="G331" s="1527"/>
      <c r="H331" s="1527"/>
      <c r="I331" s="1527"/>
      <c r="J331" s="1527"/>
      <c r="M331" s="1516"/>
      <c r="N331" s="1517"/>
      <c r="O331" s="1517"/>
      <c r="P331" s="1517"/>
      <c r="Q331" s="1517"/>
      <c r="R331" s="1517"/>
      <c r="S331" s="1518"/>
      <c r="U331" s="295"/>
      <c r="V331" s="295"/>
      <c r="X331" s="1516"/>
      <c r="Y331" s="1517"/>
      <c r="Z331" s="1517"/>
      <c r="AA331" s="1517"/>
      <c r="AB331" s="1517"/>
      <c r="AC331" s="1518"/>
      <c r="AD331" s="312"/>
      <c r="AK331" s="1516"/>
      <c r="AL331" s="1517"/>
      <c r="AM331" s="1517"/>
      <c r="AN331" s="1517"/>
      <c r="AO331" s="1517"/>
      <c r="AP331" s="1517"/>
      <c r="AQ331" s="1518"/>
      <c r="AT331" s="657"/>
      <c r="AU331" s="657"/>
      <c r="AV331" s="657"/>
      <c r="AW331" s="657"/>
      <c r="AX331" s="657"/>
      <c r="AY331" s="657"/>
      <c r="AZ331" s="657"/>
      <c r="BA331" s="657"/>
      <c r="BB331" s="657"/>
      <c r="BC331" s="657"/>
      <c r="BD331" s="657"/>
      <c r="BE331" s="19"/>
      <c r="BF331" s="17"/>
      <c r="BG331" s="176"/>
      <c r="BH331" s="177"/>
      <c r="BI331" s="177"/>
      <c r="BJ331" s="177"/>
      <c r="BK331" s="177"/>
      <c r="BL331" s="177"/>
      <c r="BM331" s="177"/>
      <c r="BN331" s="177"/>
      <c r="BO331" s="177"/>
      <c r="BP331" s="178"/>
      <c r="CE331" s="305"/>
      <c r="CF331" s="1963" t="s">
        <v>824</v>
      </c>
      <c r="CG331" s="1963"/>
      <c r="CH331" s="1963"/>
      <c r="CI331" s="261" t="s">
        <v>111</v>
      </c>
      <c r="CJ331" s="184" t="s">
        <v>704</v>
      </c>
      <c r="CK331" s="12"/>
      <c r="CL331" s="1977"/>
      <c r="CM331" s="1978"/>
      <c r="CN331" s="1978"/>
      <c r="CO331" s="1979"/>
      <c r="CP331" s="306"/>
      <c r="CQ331" s="12"/>
      <c r="CR331" s="1963" t="s">
        <v>820</v>
      </c>
      <c r="CS331" s="1963"/>
      <c r="CT331" s="1963"/>
      <c r="CU331" s="261" t="s">
        <v>111</v>
      </c>
      <c r="CV331" s="184" t="s">
        <v>704</v>
      </c>
      <c r="CW331" s="12"/>
      <c r="CX331" s="1968"/>
      <c r="CY331" s="1969"/>
      <c r="CZ331" s="1969"/>
      <c r="DA331" s="1970"/>
      <c r="DB331" s="12"/>
      <c r="DC331" s="12"/>
      <c r="DD331" s="1963" t="s">
        <v>825</v>
      </c>
      <c r="DE331" s="1963"/>
      <c r="DF331" s="1963"/>
      <c r="DG331" s="261" t="s">
        <v>111</v>
      </c>
      <c r="DH331" s="184" t="s">
        <v>704</v>
      </c>
      <c r="DI331" s="12"/>
      <c r="DJ331" s="1968"/>
      <c r="DK331" s="1969"/>
      <c r="DL331" s="1969"/>
      <c r="DM331" s="1970"/>
      <c r="DN331" s="191"/>
    </row>
    <row r="332" spans="2:118" ht="48.75" customHeight="1">
      <c r="B332" s="1527"/>
      <c r="C332" s="1527"/>
      <c r="D332" s="1527"/>
      <c r="E332" s="1527"/>
      <c r="F332" s="1527"/>
      <c r="G332" s="1527"/>
      <c r="H332" s="1527"/>
      <c r="I332" s="1527"/>
      <c r="J332" s="1527"/>
      <c r="M332" s="1516"/>
      <c r="N332" s="1517"/>
      <c r="O332" s="1517"/>
      <c r="P332" s="1517"/>
      <c r="Q332" s="1517"/>
      <c r="R332" s="1517"/>
      <c r="S332" s="1518"/>
      <c r="U332" s="295"/>
      <c r="V332" s="295"/>
      <c r="X332" s="1516"/>
      <c r="Y332" s="1517"/>
      <c r="Z332" s="1517"/>
      <c r="AA332" s="1517"/>
      <c r="AB332" s="1517"/>
      <c r="AC332" s="1518"/>
      <c r="AD332" s="312"/>
      <c r="AF332" s="278"/>
      <c r="AG332" s="278"/>
      <c r="AH332" s="278"/>
      <c r="AK332" s="1516"/>
      <c r="AL332" s="1517"/>
      <c r="AM332" s="1517"/>
      <c r="AN332" s="1517"/>
      <c r="AO332" s="1517"/>
      <c r="AP332" s="1517"/>
      <c r="AQ332" s="1518"/>
      <c r="AT332" s="657"/>
      <c r="AU332" s="657"/>
      <c r="AV332" s="657"/>
      <c r="AW332" s="657"/>
      <c r="AX332" s="657"/>
      <c r="AY332" s="657"/>
      <c r="AZ332" s="657"/>
      <c r="BA332" s="657"/>
      <c r="BB332" s="657"/>
      <c r="BC332" s="657"/>
      <c r="BD332" s="657"/>
      <c r="BE332" s="19"/>
      <c r="BF332" s="17"/>
      <c r="BG332" s="176"/>
      <c r="BH332" s="177"/>
      <c r="BI332" s="177"/>
      <c r="BJ332" s="177"/>
      <c r="BK332" s="177"/>
      <c r="BL332" s="177"/>
      <c r="BM332" s="177"/>
      <c r="BN332" s="177"/>
      <c r="BO332" s="177"/>
      <c r="BP332" s="178"/>
      <c r="CE332" s="305"/>
      <c r="CF332" s="329" t="s">
        <v>1117</v>
      </c>
      <c r="CG332" s="756" t="s">
        <v>87</v>
      </c>
      <c r="CH332" s="756"/>
      <c r="CI332" s="254" t="e">
        <f>BW312</f>
        <v>#REF!</v>
      </c>
      <c r="CJ332" s="253" t="s">
        <v>45</v>
      </c>
      <c r="CK332" s="12"/>
      <c r="CL332" s="1977"/>
      <c r="CM332" s="1978"/>
      <c r="CN332" s="1978"/>
      <c r="CO332" s="1979"/>
      <c r="CP332" s="306"/>
      <c r="CQ332" s="12"/>
      <c r="CR332" s="329" t="s">
        <v>1117</v>
      </c>
      <c r="CS332" s="756" t="s">
        <v>87</v>
      </c>
      <c r="CT332" s="756"/>
      <c r="CU332" s="10"/>
      <c r="CV332" s="10"/>
      <c r="CW332" s="12"/>
      <c r="CX332" s="1968"/>
      <c r="CY332" s="1969"/>
      <c r="CZ332" s="1969"/>
      <c r="DA332" s="1970"/>
      <c r="DB332" s="12"/>
      <c r="DC332" s="12"/>
      <c r="DD332" s="329" t="s">
        <v>1117</v>
      </c>
      <c r="DE332" s="756" t="s">
        <v>87</v>
      </c>
      <c r="DF332" s="756"/>
      <c r="DG332" s="10"/>
      <c r="DH332" s="10"/>
      <c r="DI332" s="12"/>
      <c r="DJ332" s="1968"/>
      <c r="DK332" s="1969"/>
      <c r="DL332" s="1969"/>
      <c r="DM332" s="1970"/>
      <c r="DN332" s="191"/>
    </row>
    <row r="333" spans="2:118" ht="48.75" customHeight="1">
      <c r="B333" s="1527"/>
      <c r="C333" s="1527"/>
      <c r="D333" s="1527"/>
      <c r="E333" s="1527"/>
      <c r="F333" s="1527"/>
      <c r="G333" s="1527"/>
      <c r="H333" s="1527"/>
      <c r="I333" s="1527"/>
      <c r="J333" s="1527"/>
      <c r="M333" s="1516"/>
      <c r="N333" s="1517"/>
      <c r="O333" s="1517"/>
      <c r="P333" s="1517"/>
      <c r="Q333" s="1517"/>
      <c r="R333" s="1517"/>
      <c r="S333" s="1518"/>
      <c r="U333" s="295"/>
      <c r="V333" s="295"/>
      <c r="X333" s="1516"/>
      <c r="Y333" s="1517"/>
      <c r="Z333" s="1517"/>
      <c r="AA333" s="1517"/>
      <c r="AB333" s="1517"/>
      <c r="AC333" s="1518"/>
      <c r="AD333" s="312"/>
      <c r="AF333" s="278"/>
      <c r="AG333" s="278"/>
      <c r="AH333" s="278"/>
      <c r="AK333" s="1516"/>
      <c r="AL333" s="1517"/>
      <c r="AM333" s="1517"/>
      <c r="AN333" s="1517"/>
      <c r="AO333" s="1517"/>
      <c r="AP333" s="1517"/>
      <c r="AQ333" s="1518"/>
      <c r="AT333" s="657"/>
      <c r="AU333" s="657"/>
      <c r="AV333" s="657"/>
      <c r="AW333" s="657"/>
      <c r="AX333" s="657"/>
      <c r="AY333" s="657"/>
      <c r="AZ333" s="657"/>
      <c r="BA333" s="657"/>
      <c r="BB333" s="657"/>
      <c r="BC333" s="657"/>
      <c r="BD333" s="657"/>
      <c r="BE333" s="19"/>
      <c r="BF333" s="17"/>
      <c r="BG333" s="176"/>
      <c r="BH333" s="177"/>
      <c r="BI333" s="177"/>
      <c r="BJ333" s="177"/>
      <c r="BK333" s="177"/>
      <c r="BL333" s="177"/>
      <c r="BM333" s="177"/>
      <c r="BN333" s="177"/>
      <c r="BO333" s="177"/>
      <c r="BP333" s="178"/>
      <c r="CE333" s="305"/>
      <c r="CF333" s="329" t="s">
        <v>1117</v>
      </c>
      <c r="CG333" s="756" t="s">
        <v>88</v>
      </c>
      <c r="CH333" s="756"/>
      <c r="CI333" s="254">
        <f>BW313</f>
        <v>4</v>
      </c>
      <c r="CJ333" s="253" t="s">
        <v>45</v>
      </c>
      <c r="CK333" s="12"/>
      <c r="CL333" s="1977"/>
      <c r="CM333" s="1978"/>
      <c r="CN333" s="1978"/>
      <c r="CO333" s="1979"/>
      <c r="CP333" s="306"/>
      <c r="CQ333" s="12"/>
      <c r="CR333" s="329" t="s">
        <v>1117</v>
      </c>
      <c r="CS333" s="756" t="s">
        <v>88</v>
      </c>
      <c r="CT333" s="756"/>
      <c r="CU333" s="10"/>
      <c r="CV333" s="10"/>
      <c r="CW333" s="12"/>
      <c r="CX333" s="1968"/>
      <c r="CY333" s="1969"/>
      <c r="CZ333" s="1969"/>
      <c r="DA333" s="1970"/>
      <c r="DB333" s="12"/>
      <c r="DC333" s="12"/>
      <c r="DD333" s="329" t="s">
        <v>1117</v>
      </c>
      <c r="DE333" s="756" t="s">
        <v>88</v>
      </c>
      <c r="DF333" s="756"/>
      <c r="DG333" s="10"/>
      <c r="DH333" s="10"/>
      <c r="DI333" s="12"/>
      <c r="DJ333" s="1968"/>
      <c r="DK333" s="1969"/>
      <c r="DL333" s="1969"/>
      <c r="DM333" s="1970"/>
      <c r="DN333" s="191"/>
    </row>
    <row r="334" spans="2:118" ht="48.75" customHeight="1">
      <c r="B334" s="1527"/>
      <c r="C334" s="1527"/>
      <c r="D334" s="1527"/>
      <c r="E334" s="1527"/>
      <c r="F334" s="1527"/>
      <c r="G334" s="1527"/>
      <c r="H334" s="1527"/>
      <c r="I334" s="1527"/>
      <c r="J334" s="1527"/>
      <c r="M334" s="1516"/>
      <c r="N334" s="1517"/>
      <c r="O334" s="1517"/>
      <c r="P334" s="1517"/>
      <c r="Q334" s="1517"/>
      <c r="R334" s="1517"/>
      <c r="S334" s="1518"/>
      <c r="U334" s="295"/>
      <c r="V334" s="295"/>
      <c r="X334" s="1516"/>
      <c r="Y334" s="1517"/>
      <c r="Z334" s="1517"/>
      <c r="AA334" s="1517"/>
      <c r="AB334" s="1517"/>
      <c r="AC334" s="1518"/>
      <c r="AD334" s="312"/>
      <c r="AF334" s="278"/>
      <c r="AG334" s="278"/>
      <c r="AH334" s="278"/>
      <c r="AK334" s="1516"/>
      <c r="AL334" s="1517"/>
      <c r="AM334" s="1517"/>
      <c r="AN334" s="1517"/>
      <c r="AO334" s="1517"/>
      <c r="AP334" s="1517"/>
      <c r="AQ334" s="1518"/>
      <c r="AT334" s="657"/>
      <c r="AU334" s="657"/>
      <c r="AV334" s="657"/>
      <c r="AW334" s="657"/>
      <c r="AX334" s="657"/>
      <c r="AY334" s="657"/>
      <c r="AZ334" s="657"/>
      <c r="BA334" s="657"/>
      <c r="BB334" s="657"/>
      <c r="BC334" s="657"/>
      <c r="BD334" s="657"/>
      <c r="BE334" s="19"/>
      <c r="BF334" s="17"/>
      <c r="BG334" s="176"/>
      <c r="BH334" s="177"/>
      <c r="BI334" s="177"/>
      <c r="BJ334" s="177"/>
      <c r="BK334" s="177"/>
      <c r="BL334" s="177"/>
      <c r="BM334" s="177"/>
      <c r="BN334" s="177"/>
      <c r="BO334" s="177"/>
      <c r="BP334" s="178"/>
      <c r="CE334" s="305"/>
      <c r="CF334" s="329" t="s">
        <v>1117</v>
      </c>
      <c r="CG334" s="756" t="s">
        <v>46</v>
      </c>
      <c r="CH334" s="756"/>
      <c r="CI334" s="254" t="e">
        <f>0.4*BW312</f>
        <v>#REF!</v>
      </c>
      <c r="CJ334" s="253" t="s">
        <v>45</v>
      </c>
      <c r="CK334" s="12"/>
      <c r="CL334" s="1977"/>
      <c r="CM334" s="1978"/>
      <c r="CN334" s="1978"/>
      <c r="CO334" s="1979"/>
      <c r="CP334" s="306"/>
      <c r="CQ334" s="12"/>
      <c r="CR334" s="329" t="s">
        <v>1117</v>
      </c>
      <c r="CS334" s="756" t="s">
        <v>46</v>
      </c>
      <c r="CT334" s="756"/>
      <c r="CU334" s="10"/>
      <c r="CV334" s="10"/>
      <c r="CW334" s="12"/>
      <c r="CX334" s="1968"/>
      <c r="CY334" s="1969"/>
      <c r="CZ334" s="1969"/>
      <c r="DA334" s="1970"/>
      <c r="DB334" s="12"/>
      <c r="DC334" s="12"/>
      <c r="DD334" s="329" t="s">
        <v>1117</v>
      </c>
      <c r="DE334" s="756" t="s">
        <v>46</v>
      </c>
      <c r="DF334" s="756"/>
      <c r="DG334" s="10"/>
      <c r="DH334" s="10"/>
      <c r="DI334" s="12"/>
      <c r="DJ334" s="1968"/>
      <c r="DK334" s="1969"/>
      <c r="DL334" s="1969"/>
      <c r="DM334" s="1970"/>
      <c r="DN334" s="191"/>
    </row>
    <row r="335" spans="2:118" ht="48.75" customHeight="1">
      <c r="B335" s="1527"/>
      <c r="C335" s="1527"/>
      <c r="D335" s="1527"/>
      <c r="E335" s="1527"/>
      <c r="F335" s="1527"/>
      <c r="G335" s="1527"/>
      <c r="H335" s="1527"/>
      <c r="I335" s="1527"/>
      <c r="J335" s="1527"/>
      <c r="M335" s="1516"/>
      <c r="N335" s="1517"/>
      <c r="O335" s="1517"/>
      <c r="P335" s="1517"/>
      <c r="Q335" s="1517"/>
      <c r="R335" s="1517"/>
      <c r="S335" s="1518"/>
      <c r="U335" s="295"/>
      <c r="V335" s="295"/>
      <c r="X335" s="1516"/>
      <c r="Y335" s="1517"/>
      <c r="Z335" s="1517"/>
      <c r="AA335" s="1517"/>
      <c r="AB335" s="1517"/>
      <c r="AC335" s="1518"/>
      <c r="AD335" s="312"/>
      <c r="AF335" s="278"/>
      <c r="AG335" s="278"/>
      <c r="AH335" s="278"/>
      <c r="AK335" s="1516"/>
      <c r="AL335" s="1517"/>
      <c r="AM335" s="1517"/>
      <c r="AN335" s="1517"/>
      <c r="AO335" s="1517"/>
      <c r="AP335" s="1517"/>
      <c r="AQ335" s="1518"/>
      <c r="AT335" s="657"/>
      <c r="AU335" s="657"/>
      <c r="AV335" s="657"/>
      <c r="AW335" s="657"/>
      <c r="AX335" s="657"/>
      <c r="AY335" s="657"/>
      <c r="AZ335" s="657"/>
      <c r="BA335" s="657"/>
      <c r="BB335" s="657"/>
      <c r="BC335" s="657"/>
      <c r="BD335" s="657"/>
      <c r="BE335" s="19"/>
      <c r="BF335" s="17"/>
      <c r="BG335" s="176"/>
      <c r="BH335" s="177"/>
      <c r="BI335" s="177"/>
      <c r="BJ335" s="177"/>
      <c r="BK335" s="177"/>
      <c r="BL335" s="177"/>
      <c r="BM335" s="177"/>
      <c r="BN335" s="177"/>
      <c r="BO335" s="177"/>
      <c r="BP335" s="178"/>
      <c r="CE335" s="305"/>
      <c r="CF335" s="329" t="s">
        <v>1117</v>
      </c>
      <c r="CG335" s="756" t="s">
        <v>83</v>
      </c>
      <c r="CH335" s="756"/>
      <c r="CI335" s="254" t="e">
        <f>0.16*BW312</f>
        <v>#REF!</v>
      </c>
      <c r="CJ335" s="253" t="s">
        <v>45</v>
      </c>
      <c r="CK335" s="12"/>
      <c r="CL335" s="1977"/>
      <c r="CM335" s="1978"/>
      <c r="CN335" s="1978"/>
      <c r="CO335" s="1979"/>
      <c r="CP335" s="306"/>
      <c r="CQ335" s="12"/>
      <c r="CR335" s="329" t="s">
        <v>1117</v>
      </c>
      <c r="CS335" s="756" t="s">
        <v>83</v>
      </c>
      <c r="CT335" s="756"/>
      <c r="CU335" s="10"/>
      <c r="CV335" s="10"/>
      <c r="CW335" s="12"/>
      <c r="CX335" s="1968"/>
      <c r="CY335" s="1969"/>
      <c r="CZ335" s="1969"/>
      <c r="DA335" s="1970"/>
      <c r="DB335" s="12"/>
      <c r="DC335" s="12"/>
      <c r="DD335" s="329" t="s">
        <v>1117</v>
      </c>
      <c r="DE335" s="756" t="s">
        <v>83</v>
      </c>
      <c r="DF335" s="756"/>
      <c r="DG335" s="10"/>
      <c r="DH335" s="10"/>
      <c r="DI335" s="12"/>
      <c r="DJ335" s="1968"/>
      <c r="DK335" s="1969"/>
      <c r="DL335" s="1969"/>
      <c r="DM335" s="1970"/>
      <c r="DN335" s="191"/>
    </row>
    <row r="336" spans="2:118" ht="48.75" customHeight="1">
      <c r="B336" s="1527"/>
      <c r="C336" s="1527"/>
      <c r="D336" s="1527"/>
      <c r="E336" s="1527"/>
      <c r="F336" s="1527"/>
      <c r="G336" s="1527"/>
      <c r="H336" s="1527"/>
      <c r="I336" s="1527"/>
      <c r="J336" s="1527"/>
      <c r="M336" s="1516"/>
      <c r="N336" s="1517"/>
      <c r="O336" s="1517"/>
      <c r="P336" s="1517"/>
      <c r="Q336" s="1517"/>
      <c r="R336" s="1517"/>
      <c r="S336" s="1518"/>
      <c r="U336" s="295"/>
      <c r="V336" s="295"/>
      <c r="X336" s="1516"/>
      <c r="Y336" s="1517"/>
      <c r="Z336" s="1517"/>
      <c r="AA336" s="1517"/>
      <c r="AB336" s="1517"/>
      <c r="AC336" s="1518"/>
      <c r="AD336" s="312"/>
      <c r="AF336" s="278"/>
      <c r="AG336" s="278"/>
      <c r="AH336" s="278"/>
      <c r="AK336" s="1516"/>
      <c r="AL336" s="1517"/>
      <c r="AM336" s="1517"/>
      <c r="AN336" s="1517"/>
      <c r="AO336" s="1517"/>
      <c r="AP336" s="1517"/>
      <c r="AQ336" s="1518"/>
      <c r="AT336" s="657"/>
      <c r="AU336" s="657"/>
      <c r="AV336" s="657"/>
      <c r="AW336" s="657"/>
      <c r="AX336" s="657"/>
      <c r="AY336" s="657"/>
      <c r="AZ336" s="657"/>
      <c r="BA336" s="657"/>
      <c r="BB336" s="657"/>
      <c r="BC336" s="657"/>
      <c r="BD336" s="657"/>
      <c r="BE336" s="19"/>
      <c r="BF336" s="17"/>
      <c r="BG336" s="176"/>
      <c r="BH336" s="177"/>
      <c r="BI336" s="177"/>
      <c r="BJ336" s="177"/>
      <c r="BK336" s="177"/>
      <c r="BL336" s="177"/>
      <c r="BM336" s="177"/>
      <c r="BN336" s="177"/>
      <c r="BO336" s="177"/>
      <c r="BP336" s="178"/>
      <c r="CE336" s="305"/>
      <c r="CF336" s="329" t="s">
        <v>1117</v>
      </c>
      <c r="CG336" s="756" t="s">
        <v>84</v>
      </c>
      <c r="CH336" s="756"/>
      <c r="CI336" s="254" t="e">
        <f>2.2*BW312</f>
        <v>#REF!</v>
      </c>
      <c r="CJ336" s="253" t="s">
        <v>45</v>
      </c>
      <c r="CK336" s="12"/>
      <c r="CL336" s="1977"/>
      <c r="CM336" s="1978"/>
      <c r="CN336" s="1978"/>
      <c r="CO336" s="1979"/>
      <c r="CP336" s="306"/>
      <c r="CQ336" s="12"/>
      <c r="CR336" s="329" t="s">
        <v>1117</v>
      </c>
      <c r="CS336" s="756" t="s">
        <v>84</v>
      </c>
      <c r="CT336" s="756"/>
      <c r="CU336" s="10"/>
      <c r="CV336" s="10"/>
      <c r="CW336" s="12"/>
      <c r="CX336" s="1968"/>
      <c r="CY336" s="1969"/>
      <c r="CZ336" s="1969"/>
      <c r="DA336" s="1970"/>
      <c r="DB336" s="12"/>
      <c r="DC336" s="12"/>
      <c r="DD336" s="329" t="s">
        <v>1117</v>
      </c>
      <c r="DE336" s="756" t="s">
        <v>84</v>
      </c>
      <c r="DF336" s="756"/>
      <c r="DG336" s="10"/>
      <c r="DH336" s="10"/>
      <c r="DI336" s="12"/>
      <c r="DJ336" s="1968"/>
      <c r="DK336" s="1969"/>
      <c r="DL336" s="1969"/>
      <c r="DM336" s="1970"/>
      <c r="DN336" s="191"/>
    </row>
    <row r="337" spans="2:120" ht="48.75" customHeight="1">
      <c r="B337" s="1527"/>
      <c r="C337" s="1527"/>
      <c r="D337" s="1527"/>
      <c r="E337" s="1527"/>
      <c r="F337" s="1527"/>
      <c r="G337" s="1527"/>
      <c r="H337" s="1527"/>
      <c r="I337" s="1527"/>
      <c r="J337" s="1527"/>
      <c r="M337" s="1516"/>
      <c r="N337" s="1517"/>
      <c r="O337" s="1517"/>
      <c r="P337" s="1517"/>
      <c r="Q337" s="1517"/>
      <c r="R337" s="1517"/>
      <c r="S337" s="1518"/>
      <c r="U337" s="295"/>
      <c r="V337" s="295"/>
      <c r="X337" s="1516"/>
      <c r="Y337" s="1517"/>
      <c r="Z337" s="1517"/>
      <c r="AA337" s="1517"/>
      <c r="AB337" s="1517"/>
      <c r="AC337" s="1518"/>
      <c r="AD337" s="312"/>
      <c r="AF337" s="278"/>
      <c r="AG337" s="278"/>
      <c r="AH337" s="278"/>
      <c r="AK337" s="1516"/>
      <c r="AL337" s="1517"/>
      <c r="AM337" s="1517"/>
      <c r="AN337" s="1517"/>
      <c r="AO337" s="1517"/>
      <c r="AP337" s="1517"/>
      <c r="AQ337" s="1518"/>
      <c r="AT337" s="657"/>
      <c r="AU337" s="657"/>
      <c r="AV337" s="657"/>
      <c r="AW337" s="657"/>
      <c r="AX337" s="657"/>
      <c r="AY337" s="657"/>
      <c r="AZ337" s="657"/>
      <c r="BA337" s="657"/>
      <c r="BB337" s="657"/>
      <c r="BC337" s="657"/>
      <c r="BD337" s="657"/>
      <c r="BE337" s="19"/>
      <c r="BF337" s="17"/>
      <c r="BG337" s="85"/>
      <c r="BH337" s="86"/>
      <c r="BI337" s="86"/>
      <c r="BJ337" s="86"/>
      <c r="BK337" s="86"/>
      <c r="BL337" s="86"/>
      <c r="BM337" s="86"/>
      <c r="BN337" s="86"/>
      <c r="BO337" s="86"/>
      <c r="BP337" s="87"/>
      <c r="CE337" s="305"/>
      <c r="CF337" s="329" t="s">
        <v>1117</v>
      </c>
      <c r="CG337" s="756" t="s">
        <v>86</v>
      </c>
      <c r="CH337" s="756"/>
      <c r="CI337" s="254" t="e">
        <f>0.12*BW312</f>
        <v>#REF!</v>
      </c>
      <c r="CJ337" s="253" t="s">
        <v>45</v>
      </c>
      <c r="CK337" s="12"/>
      <c r="CL337" s="1977"/>
      <c r="CM337" s="1978"/>
      <c r="CN337" s="1978"/>
      <c r="CO337" s="1979"/>
      <c r="CP337" s="306"/>
      <c r="CQ337" s="12"/>
      <c r="CR337" s="329" t="s">
        <v>1117</v>
      </c>
      <c r="CS337" s="756" t="s">
        <v>86</v>
      </c>
      <c r="CT337" s="756"/>
      <c r="CU337" s="10"/>
      <c r="CV337" s="10"/>
      <c r="CW337" s="12"/>
      <c r="CX337" s="1968"/>
      <c r="CY337" s="1969"/>
      <c r="CZ337" s="1969"/>
      <c r="DA337" s="1970"/>
      <c r="DB337" s="12"/>
      <c r="DC337" s="12"/>
      <c r="DD337" s="329" t="s">
        <v>1117</v>
      </c>
      <c r="DE337" s="756" t="s">
        <v>86</v>
      </c>
      <c r="DF337" s="756"/>
      <c r="DG337" s="10"/>
      <c r="DH337" s="10"/>
      <c r="DI337" s="12"/>
      <c r="DJ337" s="1968"/>
      <c r="DK337" s="1969"/>
      <c r="DL337" s="1969"/>
      <c r="DM337" s="1970"/>
      <c r="DN337" s="191"/>
    </row>
    <row r="338" spans="2:120" ht="48.75" customHeight="1">
      <c r="B338" s="1527"/>
      <c r="C338" s="1527"/>
      <c r="D338" s="1527"/>
      <c r="E338" s="1527"/>
      <c r="F338" s="1527"/>
      <c r="G338" s="1527"/>
      <c r="H338" s="1527"/>
      <c r="I338" s="1527"/>
      <c r="J338" s="1527"/>
      <c r="M338" s="1519"/>
      <c r="N338" s="1520"/>
      <c r="O338" s="1520"/>
      <c r="P338" s="1520"/>
      <c r="Q338" s="1520"/>
      <c r="R338" s="1520"/>
      <c r="S338" s="1521"/>
      <c r="U338" s="295"/>
      <c r="V338" s="295"/>
      <c r="X338" s="1516"/>
      <c r="Y338" s="1517"/>
      <c r="Z338" s="1517"/>
      <c r="AA338" s="1517"/>
      <c r="AB338" s="1517"/>
      <c r="AC338" s="1518"/>
      <c r="AD338" s="312"/>
      <c r="AF338" s="278"/>
      <c r="AG338" s="278"/>
      <c r="AH338" s="278"/>
      <c r="AK338" s="1519"/>
      <c r="AL338" s="1520"/>
      <c r="AM338" s="1520"/>
      <c r="AN338" s="1520"/>
      <c r="AO338" s="1520"/>
      <c r="AP338" s="1520"/>
      <c r="AQ338" s="1521"/>
      <c r="AT338" s="657"/>
      <c r="AU338" s="657"/>
      <c r="AV338" s="657"/>
      <c r="AW338" s="657"/>
      <c r="AX338" s="657"/>
      <c r="AY338" s="657"/>
      <c r="AZ338" s="657"/>
      <c r="BA338" s="657"/>
      <c r="BB338" s="657"/>
      <c r="BC338" s="657"/>
      <c r="BD338" s="657"/>
      <c r="BE338" s="19"/>
      <c r="BF338" s="17"/>
      <c r="BI338" s="11"/>
      <c r="CE338" s="305"/>
      <c r="CF338" s="306"/>
      <c r="CG338" s="12"/>
      <c r="CH338" s="12"/>
      <c r="CI338" s="251"/>
      <c r="CJ338" s="275"/>
      <c r="CK338" s="12"/>
      <c r="CL338" s="1977"/>
      <c r="CM338" s="1978"/>
      <c r="CN338" s="1978"/>
      <c r="CO338" s="1979"/>
      <c r="CP338" s="306"/>
      <c r="CQ338" s="12"/>
      <c r="CR338" s="12"/>
      <c r="CS338" s="12"/>
      <c r="CT338" s="12"/>
      <c r="CU338" s="12"/>
      <c r="CV338" s="12"/>
      <c r="CW338" s="12"/>
      <c r="CX338" s="1968"/>
      <c r="CY338" s="1969"/>
      <c r="CZ338" s="1969"/>
      <c r="DA338" s="1970"/>
      <c r="DB338" s="12"/>
      <c r="DC338" s="12"/>
      <c r="DD338" s="12"/>
      <c r="DE338" s="12"/>
      <c r="DF338" s="12"/>
      <c r="DG338" s="12"/>
      <c r="DH338" s="12"/>
      <c r="DI338" s="12"/>
      <c r="DJ338" s="1968"/>
      <c r="DK338" s="1969"/>
      <c r="DL338" s="1969"/>
      <c r="DM338" s="1970"/>
      <c r="DN338" s="191"/>
    </row>
    <row r="339" spans="2:120" ht="48.75" customHeight="1">
      <c r="B339" s="1527"/>
      <c r="C339" s="1527"/>
      <c r="D339" s="1527"/>
      <c r="E339" s="1527"/>
      <c r="F339" s="1527"/>
      <c r="G339" s="1527"/>
      <c r="H339" s="1527"/>
      <c r="I339" s="1527"/>
      <c r="J339" s="1527"/>
      <c r="M339" s="295"/>
      <c r="U339" s="295"/>
      <c r="V339" s="295"/>
      <c r="X339" s="1516"/>
      <c r="Y339" s="1517"/>
      <c r="Z339" s="1517"/>
      <c r="AA339" s="1517"/>
      <c r="AB339" s="1517"/>
      <c r="AC339" s="1518"/>
      <c r="AD339" s="312"/>
      <c r="AT339" s="657"/>
      <c r="AU339" s="657"/>
      <c r="AV339" s="657"/>
      <c r="AW339" s="657"/>
      <c r="AX339" s="657"/>
      <c r="AY339" s="657"/>
      <c r="AZ339" s="657"/>
      <c r="BA339" s="657"/>
      <c r="BB339" s="657"/>
      <c r="BC339" s="657"/>
      <c r="BD339" s="657"/>
      <c r="BE339" s="19"/>
      <c r="BF339" s="17"/>
      <c r="BI339" s="11"/>
      <c r="CE339" s="305"/>
      <c r="CF339" s="306"/>
      <c r="CG339" s="12"/>
      <c r="CH339" s="12"/>
      <c r="CI339" s="251"/>
      <c r="CJ339" s="275"/>
      <c r="CK339" s="12"/>
      <c r="CL339" s="1977"/>
      <c r="CM339" s="1978"/>
      <c r="CN339" s="1978"/>
      <c r="CO339" s="1979"/>
      <c r="CP339" s="306"/>
      <c r="CQ339" s="12"/>
      <c r="CR339" s="12"/>
      <c r="CS339" s="12"/>
      <c r="CT339" s="12"/>
      <c r="CU339" s="12"/>
      <c r="CV339" s="12"/>
      <c r="CW339" s="12"/>
      <c r="CX339" s="1968"/>
      <c r="CY339" s="1969"/>
      <c r="CZ339" s="1969"/>
      <c r="DA339" s="1970"/>
      <c r="DB339" s="12"/>
      <c r="DC339" s="12"/>
      <c r="DD339" s="12"/>
      <c r="DE339" s="12"/>
      <c r="DF339" s="12"/>
      <c r="DG339" s="12"/>
      <c r="DH339" s="12"/>
      <c r="DI339" s="12"/>
      <c r="DJ339" s="1968"/>
      <c r="DK339" s="1969"/>
      <c r="DL339" s="1969"/>
      <c r="DM339" s="1970"/>
      <c r="DN339" s="191"/>
    </row>
    <row r="340" spans="2:120" ht="48.75" customHeight="1">
      <c r="U340" s="295"/>
      <c r="V340" s="295"/>
      <c r="X340" s="1516"/>
      <c r="Y340" s="1517"/>
      <c r="Z340" s="1517"/>
      <c r="AA340" s="1517"/>
      <c r="AB340" s="1517"/>
      <c r="AC340" s="1518"/>
      <c r="AD340" s="312"/>
      <c r="AT340" s="657"/>
      <c r="AU340" s="657"/>
      <c r="AV340" s="657"/>
      <c r="AW340" s="657"/>
      <c r="AX340" s="657"/>
      <c r="AY340" s="657"/>
      <c r="AZ340" s="657"/>
      <c r="BA340" s="657"/>
      <c r="BB340" s="657"/>
      <c r="BC340" s="657"/>
      <c r="BD340" s="657"/>
      <c r="BE340" s="19"/>
      <c r="BF340" s="17"/>
      <c r="BI340" s="11"/>
      <c r="CE340" s="305"/>
      <c r="CF340" s="306"/>
      <c r="CG340" s="12"/>
      <c r="CH340" s="12"/>
      <c r="CI340" s="251"/>
      <c r="CJ340" s="275"/>
      <c r="CK340" s="12"/>
      <c r="CL340" s="1977"/>
      <c r="CM340" s="1978"/>
      <c r="CN340" s="1978"/>
      <c r="CO340" s="1979"/>
      <c r="CP340" s="306"/>
      <c r="CQ340" s="12"/>
      <c r="CR340" s="12"/>
      <c r="CS340" s="12"/>
      <c r="CT340" s="12"/>
      <c r="CU340" s="12"/>
      <c r="CV340" s="12"/>
      <c r="CW340" s="12"/>
      <c r="CX340" s="1968"/>
      <c r="CY340" s="1969"/>
      <c r="CZ340" s="1969"/>
      <c r="DA340" s="1970"/>
      <c r="DB340" s="12"/>
      <c r="DC340" s="12"/>
      <c r="DD340" s="12"/>
      <c r="DE340" s="12"/>
      <c r="DF340" s="12"/>
      <c r="DG340" s="12"/>
      <c r="DH340" s="12"/>
      <c r="DI340" s="12"/>
      <c r="DJ340" s="1968"/>
      <c r="DK340" s="1969"/>
      <c r="DL340" s="1969"/>
      <c r="DM340" s="1970"/>
      <c r="DN340" s="191"/>
    </row>
    <row r="341" spans="2:120" ht="48.75" customHeight="1">
      <c r="X341" s="1516"/>
      <c r="Y341" s="1517"/>
      <c r="Z341" s="1517"/>
      <c r="AA341" s="1517"/>
      <c r="AB341" s="1517"/>
      <c r="AC341" s="1518"/>
      <c r="AD341" s="312"/>
      <c r="AT341" s="657"/>
      <c r="AU341" s="657"/>
      <c r="AV341" s="657"/>
      <c r="AW341" s="657"/>
      <c r="AX341" s="657"/>
      <c r="AY341" s="657"/>
      <c r="AZ341" s="657"/>
      <c r="BA341" s="657"/>
      <c r="BB341" s="657"/>
      <c r="BC341" s="657"/>
      <c r="BD341" s="657"/>
      <c r="BE341" s="19"/>
      <c r="BF341" s="17"/>
      <c r="BI341" s="11"/>
      <c r="CE341" s="305"/>
      <c r="CF341" s="306"/>
      <c r="CG341" s="12"/>
      <c r="CH341" s="12"/>
      <c r="CI341" s="251"/>
      <c r="CJ341" s="275"/>
      <c r="CK341" s="12"/>
      <c r="CL341" s="1980"/>
      <c r="CM341" s="1981"/>
      <c r="CN341" s="1981"/>
      <c r="CO341" s="1982"/>
      <c r="CP341" s="306"/>
      <c r="CQ341" s="12"/>
      <c r="CR341" s="12"/>
      <c r="CS341" s="12"/>
      <c r="CT341" s="12"/>
      <c r="CU341" s="12"/>
      <c r="CV341" s="12"/>
      <c r="CW341" s="12"/>
      <c r="CX341" s="1971"/>
      <c r="CY341" s="1972"/>
      <c r="CZ341" s="1972"/>
      <c r="DA341" s="1973"/>
      <c r="DB341" s="12"/>
      <c r="DC341" s="12"/>
      <c r="DD341" s="12"/>
      <c r="DE341" s="12"/>
      <c r="DF341" s="12"/>
      <c r="DG341" s="12"/>
      <c r="DH341" s="12"/>
      <c r="DI341" s="12"/>
      <c r="DJ341" s="1971"/>
      <c r="DK341" s="1972"/>
      <c r="DL341" s="1972"/>
      <c r="DM341" s="1973"/>
      <c r="DN341" s="191"/>
    </row>
    <row r="342" spans="2:120" ht="48.75" customHeight="1">
      <c r="X342" s="1519"/>
      <c r="Y342" s="1520"/>
      <c r="Z342" s="1520"/>
      <c r="AA342" s="1520"/>
      <c r="AB342" s="1520"/>
      <c r="AC342" s="1521"/>
      <c r="AD342" s="312"/>
      <c r="AT342" s="657"/>
      <c r="AU342" s="657"/>
      <c r="AV342" s="657"/>
      <c r="AW342" s="657"/>
      <c r="AX342" s="657"/>
      <c r="AY342" s="657"/>
      <c r="AZ342" s="657"/>
      <c r="BA342" s="657"/>
      <c r="BB342" s="657"/>
      <c r="BC342" s="657"/>
      <c r="BD342" s="657"/>
      <c r="BE342" s="19"/>
      <c r="BF342" s="17"/>
      <c r="BI342" s="11"/>
      <c r="CE342" s="305"/>
      <c r="CF342" s="12"/>
      <c r="CG342" s="12"/>
      <c r="CH342" s="12"/>
      <c r="CI342" s="12"/>
      <c r="CJ342" s="12"/>
      <c r="CK342" s="12"/>
      <c r="CL342" s="12"/>
      <c r="CM342" s="12"/>
      <c r="CN342" s="12"/>
      <c r="CO342" s="12"/>
      <c r="CP342" s="306"/>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91"/>
    </row>
    <row r="343" spans="2:120" ht="48.75" customHeight="1" thickBot="1">
      <c r="B343" s="278"/>
      <c r="C343" s="278"/>
      <c r="D343" s="278"/>
      <c r="E343" s="278"/>
      <c r="F343" s="278"/>
      <c r="G343" s="278"/>
      <c r="H343" s="278"/>
      <c r="I343" s="278"/>
      <c r="J343" s="278"/>
      <c r="K343" s="278"/>
      <c r="L343" s="278"/>
      <c r="M343" s="278"/>
      <c r="V343" s="295"/>
      <c r="W343" s="295"/>
      <c r="X343" s="295"/>
      <c r="Y343" s="295"/>
      <c r="AC343" s="12"/>
      <c r="AD343" s="312"/>
      <c r="AI343" s="278"/>
      <c r="AJ343" s="278"/>
      <c r="AK343" s="278"/>
      <c r="AL343" s="278"/>
      <c r="AM343" s="278"/>
      <c r="AN343" s="278"/>
      <c r="AO343" s="278"/>
      <c r="AP343" s="278"/>
      <c r="AQ343" s="278"/>
      <c r="AR343" s="278"/>
      <c r="AS343" s="278"/>
      <c r="AT343" s="657"/>
      <c r="AU343" s="657"/>
      <c r="AV343" s="657"/>
      <c r="AW343" s="657"/>
      <c r="AX343" s="657"/>
      <c r="AY343" s="657"/>
      <c r="AZ343" s="657"/>
      <c r="BA343" s="657"/>
      <c r="BB343" s="657"/>
      <c r="BC343" s="657"/>
      <c r="BD343" s="657"/>
      <c r="BE343" s="19"/>
      <c r="BF343" s="17"/>
      <c r="BI343" s="11"/>
      <c r="CE343" s="313"/>
      <c r="CF343" s="193"/>
      <c r="CG343" s="193"/>
      <c r="CH343" s="193"/>
      <c r="CI343" s="255"/>
      <c r="CJ343" s="194"/>
      <c r="CK343" s="193"/>
      <c r="CL343" s="193"/>
      <c r="CM343" s="193"/>
      <c r="CN343" s="314"/>
      <c r="CO343" s="314"/>
      <c r="CP343" s="314"/>
      <c r="CQ343" s="314"/>
      <c r="CR343" s="193"/>
      <c r="CS343" s="193"/>
      <c r="CT343" s="193"/>
      <c r="CU343" s="193"/>
      <c r="CV343" s="193"/>
      <c r="CW343" s="193"/>
      <c r="CX343" s="193"/>
      <c r="CY343" s="193"/>
      <c r="CZ343" s="193"/>
      <c r="DA343" s="193"/>
      <c r="DB343" s="193"/>
      <c r="DC343" s="193"/>
      <c r="DD343" s="193"/>
      <c r="DE343" s="193"/>
      <c r="DF343" s="314"/>
      <c r="DG343" s="314"/>
      <c r="DH343" s="314"/>
      <c r="DI343" s="314"/>
      <c r="DJ343" s="314"/>
      <c r="DK343" s="193"/>
      <c r="DL343" s="193"/>
      <c r="DM343" s="193"/>
      <c r="DN343" s="195"/>
    </row>
    <row r="344" spans="2:120" ht="48.75" customHeight="1">
      <c r="B344" s="278"/>
      <c r="C344" s="278"/>
      <c r="D344" s="278"/>
      <c r="E344" s="278"/>
      <c r="F344" s="278"/>
      <c r="G344" s="278"/>
      <c r="H344" s="278"/>
      <c r="I344" s="278"/>
      <c r="J344" s="278"/>
      <c r="K344" s="278"/>
      <c r="L344" s="278"/>
      <c r="M344" s="278"/>
      <c r="P344" s="12"/>
      <c r="Q344" s="12"/>
      <c r="R344" s="12"/>
      <c r="S344" s="12"/>
      <c r="T344" s="12"/>
      <c r="U344" s="12"/>
      <c r="AB344" s="278"/>
      <c r="AC344" s="278"/>
      <c r="AD344" s="278"/>
      <c r="AE344" s="278"/>
      <c r="AF344" s="278"/>
      <c r="AG344" s="278"/>
      <c r="AI344" s="278"/>
      <c r="AJ344" s="278"/>
      <c r="AK344" s="278"/>
      <c r="AL344" s="278"/>
      <c r="AM344" s="278"/>
      <c r="AN344" s="278"/>
      <c r="AO344" s="278"/>
      <c r="AP344" s="278"/>
      <c r="AQ344" s="278"/>
      <c r="AR344" s="278"/>
      <c r="AS344" s="278"/>
      <c r="AT344" s="657"/>
      <c r="AU344" s="657"/>
      <c r="AV344" s="657"/>
      <c r="AW344" s="657"/>
      <c r="AX344" s="657"/>
      <c r="AY344" s="657"/>
      <c r="AZ344" s="657"/>
      <c r="BA344" s="657"/>
      <c r="BB344" s="657"/>
      <c r="BC344" s="657"/>
      <c r="BD344" s="657"/>
      <c r="BE344" s="19"/>
      <c r="BF344" s="17"/>
      <c r="BI344" s="11"/>
      <c r="CI344" s="19"/>
      <c r="CJ344" s="17"/>
      <c r="CN344" s="278"/>
      <c r="CO344" s="278"/>
      <c r="CP344" s="278"/>
      <c r="CQ344" s="278"/>
      <c r="CR344" s="278"/>
      <c r="CS344" s="278"/>
      <c r="DF344" s="278"/>
      <c r="DG344" s="278"/>
      <c r="DH344" s="278"/>
      <c r="DI344" s="278"/>
      <c r="DJ344" s="278"/>
    </row>
    <row r="345" spans="2:120" ht="48.75" customHeight="1" thickBot="1">
      <c r="B345" s="1951" t="s">
        <v>650</v>
      </c>
      <c r="C345" s="1952"/>
      <c r="D345" s="1952"/>
      <c r="E345" s="1952"/>
      <c r="F345" s="1952"/>
      <c r="G345" s="1952"/>
      <c r="H345" s="1952"/>
      <c r="I345" s="1952"/>
      <c r="J345" s="1953"/>
      <c r="K345" s="970"/>
      <c r="N345" s="1998" t="s">
        <v>1348</v>
      </c>
      <c r="O345" s="1998"/>
      <c r="P345" s="865" t="s">
        <v>911</v>
      </c>
      <c r="Q345" s="987" t="s">
        <v>1609</v>
      </c>
      <c r="R345" s="988"/>
      <c r="S345" s="988"/>
      <c r="T345" s="988"/>
      <c r="U345" s="989"/>
      <c r="V345" s="988" t="s">
        <v>660</v>
      </c>
      <c r="W345" s="988"/>
      <c r="X345" s="988"/>
      <c r="Y345" s="988"/>
      <c r="Z345" s="988"/>
      <c r="AA345" s="988"/>
      <c r="AB345" s="988"/>
      <c r="AC345" s="988"/>
      <c r="AD345" s="988"/>
      <c r="AE345" s="988"/>
      <c r="AF345" s="989"/>
      <c r="AG345" s="981"/>
      <c r="AI345" s="278"/>
      <c r="AJ345" s="278"/>
      <c r="AK345" s="278"/>
      <c r="AL345" s="278"/>
      <c r="AM345" s="278"/>
      <c r="AN345" s="278"/>
      <c r="AO345" s="278"/>
      <c r="AP345" s="278"/>
      <c r="AQ345" s="278"/>
      <c r="AR345" s="278"/>
      <c r="AS345" s="278"/>
      <c r="AT345" s="657"/>
      <c r="AU345" s="657"/>
      <c r="AV345" s="657"/>
      <c r="AW345" s="657"/>
      <c r="AX345" s="657"/>
      <c r="AY345" s="657"/>
      <c r="AZ345" s="657"/>
      <c r="BA345" s="657"/>
      <c r="BB345" s="657"/>
      <c r="BC345" s="657"/>
      <c r="BD345" s="657"/>
      <c r="BE345" s="19"/>
      <c r="BF345" s="17"/>
      <c r="BI345" s="11"/>
      <c r="CI345" s="19"/>
      <c r="CJ345" s="17"/>
      <c r="DF345" s="278"/>
      <c r="DG345" s="278"/>
      <c r="DH345" s="278"/>
      <c r="DI345" s="278"/>
      <c r="DJ345" s="278"/>
    </row>
    <row r="346" spans="2:120" ht="48.75" customHeight="1">
      <c r="B346" s="1954"/>
      <c r="C346" s="1955"/>
      <c r="D346" s="1955"/>
      <c r="E346" s="1955"/>
      <c r="F346" s="1955"/>
      <c r="G346" s="1955"/>
      <c r="H346" s="1955"/>
      <c r="I346" s="1955"/>
      <c r="J346" s="1956"/>
      <c r="K346" s="972"/>
      <c r="N346" s="1998"/>
      <c r="O346" s="1998"/>
      <c r="P346" s="866"/>
      <c r="Q346" s="993"/>
      <c r="R346" s="994"/>
      <c r="S346" s="994"/>
      <c r="T346" s="994"/>
      <c r="U346" s="995"/>
      <c r="V346" s="994"/>
      <c r="W346" s="994"/>
      <c r="X346" s="994"/>
      <c r="Y346" s="994"/>
      <c r="Z346" s="994"/>
      <c r="AA346" s="994"/>
      <c r="AB346" s="994"/>
      <c r="AC346" s="994"/>
      <c r="AD346" s="994"/>
      <c r="AE346" s="994"/>
      <c r="AF346" s="995"/>
      <c r="AG346" s="970"/>
      <c r="AI346" s="278"/>
      <c r="AJ346" s="278"/>
      <c r="AK346" s="278"/>
      <c r="AL346" s="278"/>
      <c r="AM346" s="278"/>
      <c r="AN346" s="278"/>
      <c r="AO346" s="278"/>
      <c r="AP346" s="278"/>
      <c r="AQ346" s="278"/>
      <c r="AR346" s="278"/>
      <c r="AS346" s="278"/>
      <c r="AT346" s="278"/>
      <c r="AU346" s="278"/>
      <c r="AV346" s="278"/>
      <c r="AW346" s="278"/>
      <c r="AX346" s="278"/>
      <c r="AY346" s="278"/>
      <c r="BE346" s="19"/>
      <c r="BF346" s="17"/>
      <c r="BI346" s="11"/>
      <c r="CE346" s="315"/>
      <c r="CF346" s="303"/>
      <c r="CG346" s="303"/>
      <c r="CH346" s="303"/>
      <c r="CI346" s="303"/>
      <c r="CJ346" s="303"/>
      <c r="CK346" s="303"/>
      <c r="CL346" s="303"/>
      <c r="CM346" s="303"/>
      <c r="CN346" s="303"/>
      <c r="CO346" s="303"/>
      <c r="CP346" s="303"/>
      <c r="CQ346" s="303"/>
      <c r="CR346" s="303"/>
      <c r="CS346" s="303"/>
      <c r="CT346" s="303"/>
      <c r="CU346" s="303"/>
      <c r="CV346" s="303"/>
      <c r="CW346" s="303"/>
      <c r="CX346" s="303"/>
      <c r="CY346" s="303"/>
      <c r="CZ346" s="303"/>
      <c r="DA346" s="303"/>
      <c r="DB346" s="303"/>
      <c r="DC346" s="303"/>
      <c r="DD346" s="303"/>
      <c r="DE346" s="303"/>
      <c r="DF346" s="303"/>
      <c r="DG346" s="303"/>
      <c r="DH346" s="303"/>
      <c r="DI346" s="303"/>
      <c r="DJ346" s="303"/>
      <c r="DK346" s="303"/>
      <c r="DL346" s="303"/>
      <c r="DM346" s="303"/>
      <c r="DN346" s="303"/>
      <c r="DO346" s="303"/>
      <c r="DP346" s="316"/>
    </row>
    <row r="347" spans="2:120" ht="48.75" customHeight="1">
      <c r="B347" s="1287" t="s">
        <v>529</v>
      </c>
      <c r="C347" s="1287" t="s">
        <v>530</v>
      </c>
      <c r="D347" s="1287"/>
      <c r="E347" s="987" t="s">
        <v>636</v>
      </c>
      <c r="F347" s="988"/>
      <c r="G347" s="988"/>
      <c r="H347" s="988"/>
      <c r="I347" s="988"/>
      <c r="J347" s="988"/>
      <c r="K347" s="989"/>
      <c r="N347" s="400" t="s">
        <v>410</v>
      </c>
      <c r="O347" s="1287" t="s">
        <v>1349</v>
      </c>
      <c r="P347" s="1287"/>
      <c r="Q347" s="1287"/>
      <c r="R347" s="1287"/>
      <c r="S347" s="1287"/>
      <c r="T347" s="1924" t="s">
        <v>636</v>
      </c>
      <c r="U347" s="1925"/>
      <c r="V347" s="1925"/>
      <c r="W347" s="1925"/>
      <c r="X347" s="1925"/>
      <c r="Y347" s="1925"/>
      <c r="Z347" s="1925"/>
      <c r="AA347" s="1925"/>
      <c r="AB347" s="401" t="s">
        <v>529</v>
      </c>
      <c r="AC347" s="1902"/>
      <c r="AD347" s="1902"/>
      <c r="AE347" s="1902"/>
      <c r="AF347" s="399" t="s">
        <v>111</v>
      </c>
      <c r="AG347" s="184" t="s">
        <v>704</v>
      </c>
      <c r="AI347" s="278"/>
      <c r="AJ347" s="278"/>
      <c r="AK347" s="278"/>
      <c r="AL347" s="278"/>
      <c r="AM347" s="278"/>
      <c r="AN347" s="278"/>
      <c r="AO347" s="278"/>
      <c r="AP347" s="278"/>
      <c r="AQ347" s="278"/>
      <c r="AR347" s="278"/>
      <c r="AS347" s="278"/>
      <c r="AT347" s="278"/>
      <c r="AU347" s="278"/>
      <c r="AV347" s="278"/>
      <c r="AW347" s="278"/>
      <c r="AX347" s="278"/>
      <c r="AY347" s="278"/>
      <c r="BE347" s="19"/>
      <c r="BF347" s="17"/>
      <c r="BI347" s="11"/>
      <c r="CE347" s="317"/>
      <c r="CF347" s="306"/>
      <c r="CG347" s="306"/>
      <c r="CH347" s="306"/>
      <c r="CI347" s="306"/>
      <c r="CJ347" s="306"/>
      <c r="CK347" s="306"/>
      <c r="CL347" s="306"/>
      <c r="CM347" s="306"/>
      <c r="CN347" s="306"/>
      <c r="CO347" s="306"/>
      <c r="CP347" s="306"/>
      <c r="CQ347" s="306"/>
      <c r="CR347" s="306"/>
      <c r="CS347" s="306"/>
      <c r="CT347" s="306"/>
      <c r="CU347" s="306"/>
      <c r="CV347" s="306"/>
      <c r="CW347" s="306"/>
      <c r="CX347" s="306"/>
      <c r="CY347" s="306"/>
      <c r="CZ347" s="306"/>
      <c r="DA347" s="306"/>
      <c r="DB347" s="306"/>
      <c r="DC347" s="306"/>
      <c r="DD347" s="306"/>
      <c r="DE347" s="306"/>
      <c r="DF347" s="306"/>
      <c r="DG347" s="306"/>
      <c r="DH347" s="306"/>
      <c r="DI347" s="306"/>
      <c r="DJ347" s="306"/>
      <c r="DK347" s="306"/>
      <c r="DL347" s="306"/>
      <c r="DM347" s="306"/>
      <c r="DN347" s="306"/>
      <c r="DO347" s="306"/>
      <c r="DP347" s="318"/>
    </row>
    <row r="348" spans="2:120" ht="48.75" customHeight="1">
      <c r="B348" s="1287"/>
      <c r="C348" s="1287"/>
      <c r="D348" s="1287"/>
      <c r="E348" s="993"/>
      <c r="F348" s="994"/>
      <c r="G348" s="994"/>
      <c r="H348" s="994"/>
      <c r="I348" s="994"/>
      <c r="J348" s="994"/>
      <c r="K348" s="995"/>
      <c r="N348" s="1903">
        <v>1</v>
      </c>
      <c r="O348" s="801" t="s">
        <v>1344</v>
      </c>
      <c r="P348" s="861"/>
      <c r="Q348" s="397">
        <f>'Вывод расчетов'!$GT$98</f>
        <v>180.34671544768563</v>
      </c>
      <c r="R348" s="394" t="s">
        <v>1608</v>
      </c>
      <c r="S348" s="395">
        <f>'Вывод расчетов'!$MM$221</f>
        <v>24.767145947405268</v>
      </c>
      <c r="T348" s="1926"/>
      <c r="U348" s="1927"/>
      <c r="V348" s="1927"/>
      <c r="W348" s="1927"/>
      <c r="X348" s="1927"/>
      <c r="Y348" s="1927"/>
      <c r="Z348" s="1927"/>
      <c r="AA348" s="1927"/>
      <c r="AB348" s="1902" t="s">
        <v>652</v>
      </c>
      <c r="AC348" s="1902"/>
      <c r="AD348" s="1902"/>
      <c r="AE348" s="1902"/>
      <c r="AF348" s="1887">
        <f>(S348/(3*Q353))*(1-((3.14*Q353^2)/(8*Q349)))^2+0.66-(Q351/(2*Q353))*S349+Q352/Q351+1.12*Q350*1000/S350</f>
        <v>2.5479278737632125</v>
      </c>
      <c r="AG348" s="1135" t="s">
        <v>729</v>
      </c>
      <c r="AI348" s="278">
        <f>AF348*(1-0.81)</f>
        <v>0.48410629601501026</v>
      </c>
      <c r="AJ348" s="278"/>
      <c r="AK348" s="278"/>
      <c r="AL348" s="278"/>
      <c r="AM348" s="278"/>
      <c r="AN348" s="278"/>
      <c r="AO348" s="278"/>
      <c r="AP348" s="278"/>
      <c r="AQ348" s="278"/>
      <c r="AR348" s="278"/>
      <c r="AS348" s="278"/>
      <c r="AT348" s="278"/>
      <c r="AU348" s="278"/>
      <c r="AV348" s="278"/>
      <c r="AW348" s="278"/>
      <c r="AX348" s="278"/>
      <c r="AY348" s="278"/>
      <c r="BE348" s="19"/>
      <c r="BF348" s="17"/>
      <c r="BI348" s="11"/>
      <c r="CE348" s="305"/>
      <c r="CF348" s="12"/>
      <c r="CG348" s="12"/>
      <c r="CH348" s="12"/>
      <c r="CI348" s="258"/>
      <c r="CJ348" s="16"/>
      <c r="CK348" s="12"/>
      <c r="CL348" s="1974"/>
      <c r="CM348" s="1975"/>
      <c r="CN348" s="1975"/>
      <c r="CO348" s="1976"/>
      <c r="CP348" s="12"/>
      <c r="CQ348" s="12"/>
      <c r="CR348" s="12"/>
      <c r="CS348" s="12"/>
      <c r="CT348" s="12"/>
      <c r="CU348" s="12"/>
      <c r="CV348" s="12"/>
      <c r="CW348" s="12"/>
      <c r="CX348" s="181"/>
      <c r="CY348" s="182"/>
      <c r="CZ348" s="186"/>
      <c r="DA348" s="12"/>
      <c r="DB348" s="12"/>
      <c r="DC348" s="12"/>
      <c r="DD348" s="12"/>
      <c r="DE348" s="12"/>
      <c r="DF348" s="12"/>
      <c r="DG348" s="12"/>
      <c r="DH348" s="251"/>
      <c r="DI348" s="275"/>
      <c r="DJ348" s="12"/>
      <c r="DK348" s="1964"/>
      <c r="DL348" s="1964"/>
      <c r="DM348" s="1964"/>
      <c r="DN348" s="1964"/>
      <c r="DO348" s="12"/>
      <c r="DP348" s="191"/>
    </row>
    <row r="349" spans="2:120" ht="48.75" customHeight="1">
      <c r="B349" s="1287" t="s">
        <v>637</v>
      </c>
      <c r="C349" s="1287" t="s">
        <v>548</v>
      </c>
      <c r="D349" s="1287"/>
      <c r="E349" s="1957"/>
      <c r="F349" s="1958"/>
      <c r="G349" s="1958"/>
      <c r="H349" s="1958"/>
      <c r="I349" s="1958"/>
      <c r="J349" s="1958"/>
      <c r="K349" s="1985"/>
      <c r="N349" s="1907"/>
      <c r="O349" s="801" t="s">
        <v>1343</v>
      </c>
      <c r="P349" s="861"/>
      <c r="Q349" s="397">
        <f>'Вывод расчетов'!$GM$48</f>
        <v>180.34671544768563</v>
      </c>
      <c r="R349" s="398" t="s">
        <v>1347</v>
      </c>
      <c r="S349" s="395">
        <v>1</v>
      </c>
      <c r="T349" s="1928"/>
      <c r="U349" s="1929"/>
      <c r="V349" s="1929"/>
      <c r="W349" s="1929"/>
      <c r="X349" s="1929"/>
      <c r="Y349" s="1929"/>
      <c r="Z349" s="1929"/>
      <c r="AA349" s="1929"/>
      <c r="AB349" s="1902"/>
      <c r="AC349" s="1902"/>
      <c r="AD349" s="1902"/>
      <c r="AE349" s="1902"/>
      <c r="AF349" s="1887"/>
      <c r="AG349" s="1135"/>
      <c r="AI349" s="278"/>
      <c r="AJ349" s="278"/>
      <c r="AK349" s="278"/>
      <c r="AL349" s="278"/>
      <c r="AM349" s="278"/>
      <c r="AN349" s="278"/>
      <c r="AO349" s="278"/>
      <c r="AP349" s="278"/>
      <c r="AQ349" s="278"/>
      <c r="AR349" s="278"/>
      <c r="AS349" s="278"/>
      <c r="AT349" s="278"/>
      <c r="AU349" s="278"/>
      <c r="AV349" s="278"/>
      <c r="AW349" s="278"/>
      <c r="AX349" s="278"/>
      <c r="AY349" s="278"/>
      <c r="BE349" s="19"/>
      <c r="BF349" s="17"/>
      <c r="BI349" s="11"/>
      <c r="CE349" s="305"/>
      <c r="CF349" s="1963" t="s">
        <v>32</v>
      </c>
      <c r="CG349" s="1963"/>
      <c r="CH349" s="1963"/>
      <c r="CI349" s="261" t="s">
        <v>111</v>
      </c>
      <c r="CJ349" s="184" t="s">
        <v>704</v>
      </c>
      <c r="CK349" s="12"/>
      <c r="CL349" s="1977"/>
      <c r="CM349" s="1978"/>
      <c r="CN349" s="1978"/>
      <c r="CO349" s="1979"/>
      <c r="CP349" s="12"/>
      <c r="CQ349" s="12"/>
      <c r="CR349" s="1963" t="s">
        <v>823</v>
      </c>
      <c r="CS349" s="1963"/>
      <c r="CT349" s="1963"/>
      <c r="CU349" s="261" t="s">
        <v>111</v>
      </c>
      <c r="CV349" s="184" t="s">
        <v>704</v>
      </c>
      <c r="CW349" s="12"/>
      <c r="CX349" s="183"/>
      <c r="CY349" s="180"/>
      <c r="CZ349" s="187"/>
      <c r="DA349" s="12"/>
      <c r="DB349" s="12"/>
      <c r="DC349" s="12"/>
      <c r="DD349" s="1963" t="s">
        <v>824</v>
      </c>
      <c r="DE349" s="1963"/>
      <c r="DF349" s="1963"/>
      <c r="DG349" s="261" t="s">
        <v>111</v>
      </c>
      <c r="DH349" s="184" t="s">
        <v>704</v>
      </c>
      <c r="DI349" s="275"/>
      <c r="DJ349" s="12"/>
      <c r="DK349" s="1964"/>
      <c r="DL349" s="1964"/>
      <c r="DM349" s="1964"/>
      <c r="DN349" s="1964"/>
      <c r="DO349" s="12"/>
      <c r="DP349" s="191"/>
    </row>
    <row r="350" spans="2:120" ht="48.75" customHeight="1">
      <c r="B350" s="1287"/>
      <c r="C350" s="1287"/>
      <c r="D350" s="1287"/>
      <c r="E350" s="1959"/>
      <c r="F350" s="1960"/>
      <c r="G350" s="1960"/>
      <c r="H350" s="1960"/>
      <c r="I350" s="1960"/>
      <c r="J350" s="1960"/>
      <c r="K350" s="1986"/>
      <c r="N350" s="1907"/>
      <c r="O350" s="1922" t="s">
        <v>1081</v>
      </c>
      <c r="P350" s="1923"/>
      <c r="Q350" s="396">
        <f>'Вывод расчетов'!$GW$65</f>
        <v>0.3</v>
      </c>
      <c r="R350" s="393" t="s">
        <v>1239</v>
      </c>
      <c r="S350" s="395">
        <f>'Вывод расчетов'!$GQ$36</f>
        <v>450.86678861921405</v>
      </c>
      <c r="T350" s="1928"/>
      <c r="U350" s="1929"/>
      <c r="V350" s="1929"/>
      <c r="W350" s="1929"/>
      <c r="X350" s="1929"/>
      <c r="Y350" s="1929"/>
      <c r="Z350" s="1929"/>
      <c r="AA350" s="1929"/>
      <c r="AB350" s="1902"/>
      <c r="AC350" s="1902"/>
      <c r="AD350" s="1902"/>
      <c r="AE350" s="1902"/>
      <c r="AF350" s="1527"/>
      <c r="AG350" s="1527"/>
      <c r="AI350" s="278"/>
      <c r="AJ350" s="278"/>
      <c r="AK350" s="278"/>
      <c r="AL350" s="278"/>
      <c r="AM350" s="278"/>
      <c r="AN350" s="278"/>
      <c r="AO350" s="278"/>
      <c r="AP350" s="278"/>
      <c r="AQ350" s="278"/>
      <c r="AR350" s="278"/>
      <c r="AS350" s="278"/>
      <c r="AT350" s="278"/>
      <c r="AU350" s="278"/>
      <c r="AV350" s="278"/>
      <c r="AW350" s="278"/>
      <c r="AX350" s="278"/>
      <c r="AY350" s="278"/>
      <c r="BE350" s="19"/>
      <c r="BF350" s="17"/>
      <c r="BI350" s="11"/>
      <c r="CE350" s="305"/>
      <c r="CF350" s="329" t="s">
        <v>1117</v>
      </c>
      <c r="CG350" s="756" t="s">
        <v>104</v>
      </c>
      <c r="CH350" s="756"/>
      <c r="CI350" s="256" t="e">
        <f>BX367</f>
        <v>#REF!</v>
      </c>
      <c r="CJ350" s="253" t="s">
        <v>45</v>
      </c>
      <c r="CK350" s="12"/>
      <c r="CL350" s="1977"/>
      <c r="CM350" s="1978"/>
      <c r="CN350" s="1978"/>
      <c r="CO350" s="1979"/>
      <c r="CP350" s="12"/>
      <c r="CQ350" s="12"/>
      <c r="CR350" s="329" t="s">
        <v>1117</v>
      </c>
      <c r="CS350" s="756" t="s">
        <v>111</v>
      </c>
      <c r="CT350" s="756"/>
      <c r="CU350" s="9"/>
      <c r="CV350" s="10"/>
      <c r="CW350" s="12"/>
      <c r="CX350" s="183"/>
      <c r="CY350" s="180"/>
      <c r="CZ350" s="187"/>
      <c r="DA350" s="12"/>
      <c r="DB350" s="12"/>
      <c r="DC350" s="12"/>
      <c r="DD350" s="329" t="s">
        <v>1117</v>
      </c>
      <c r="DE350" s="756" t="s">
        <v>111</v>
      </c>
      <c r="DF350" s="756"/>
      <c r="DG350" s="254"/>
      <c r="DH350" s="270"/>
      <c r="DI350" s="12"/>
      <c r="DJ350" s="12"/>
      <c r="DK350" s="1964"/>
      <c r="DL350" s="1964"/>
      <c r="DM350" s="1964"/>
      <c r="DN350" s="1964"/>
      <c r="DO350" s="12"/>
      <c r="DP350" s="191"/>
    </row>
    <row r="351" spans="2:120" ht="48.75" customHeight="1">
      <c r="B351" s="1287"/>
      <c r="C351" s="1287"/>
      <c r="D351" s="1287"/>
      <c r="E351" s="1961"/>
      <c r="F351" s="1962"/>
      <c r="G351" s="1962"/>
      <c r="H351" s="1962"/>
      <c r="I351" s="1962"/>
      <c r="J351" s="1962"/>
      <c r="K351" s="1987"/>
      <c r="N351" s="1907"/>
      <c r="O351" s="1922" t="s">
        <v>1345</v>
      </c>
      <c r="P351" s="1923"/>
      <c r="Q351" s="396">
        <f>'Вывод расчетов'!$GP$57</f>
        <v>1.5</v>
      </c>
      <c r="R351" s="800" t="s">
        <v>1610</v>
      </c>
      <c r="S351" s="801"/>
      <c r="T351" s="1928"/>
      <c r="U351" s="1929"/>
      <c r="V351" s="1929"/>
      <c r="W351" s="1929"/>
      <c r="X351" s="1929"/>
      <c r="Y351" s="1929"/>
      <c r="Z351" s="1929"/>
      <c r="AA351" s="1929"/>
      <c r="AB351" s="1902"/>
      <c r="AC351" s="1902"/>
      <c r="AD351" s="1902"/>
      <c r="AE351" s="1902"/>
      <c r="AF351" s="1527"/>
      <c r="AG351" s="1527"/>
      <c r="AI351" s="278"/>
      <c r="AJ351" s="278"/>
      <c r="AK351" s="278"/>
      <c r="AL351" s="278"/>
      <c r="AM351" s="278"/>
      <c r="AN351" s="278"/>
      <c r="AO351" s="278"/>
      <c r="AP351" s="278"/>
      <c r="AQ351" s="278"/>
      <c r="AR351" s="278"/>
      <c r="AS351" s="278"/>
      <c r="AT351" s="278"/>
      <c r="AU351" s="278"/>
      <c r="AV351" s="278"/>
      <c r="AW351" s="278"/>
      <c r="AX351" s="278"/>
      <c r="AY351" s="278"/>
      <c r="BE351" s="19"/>
      <c r="BF351" s="17"/>
      <c r="BI351" s="11"/>
      <c r="CE351" s="305"/>
      <c r="CF351" s="329" t="s">
        <v>1117</v>
      </c>
      <c r="CG351" s="756" t="s">
        <v>87</v>
      </c>
      <c r="CH351" s="756"/>
      <c r="CI351" s="256" t="e">
        <f>BX366</f>
        <v>#REF!</v>
      </c>
      <c r="CJ351" s="253" t="s">
        <v>45</v>
      </c>
      <c r="CK351" s="12"/>
      <c r="CL351" s="1977"/>
      <c r="CM351" s="1978"/>
      <c r="CN351" s="1978"/>
      <c r="CO351" s="1979"/>
      <c r="CP351" s="12"/>
      <c r="CQ351" s="12"/>
      <c r="CR351" s="329" t="s">
        <v>1117</v>
      </c>
      <c r="CS351" s="756" t="s">
        <v>111</v>
      </c>
      <c r="CT351" s="756"/>
      <c r="CU351" s="9"/>
      <c r="CV351" s="10"/>
      <c r="CW351" s="12"/>
      <c r="CX351" s="183"/>
      <c r="CY351" s="180"/>
      <c r="CZ351" s="187"/>
      <c r="DA351" s="12"/>
      <c r="DB351" s="12"/>
      <c r="DC351" s="12"/>
      <c r="DD351" s="329" t="s">
        <v>1117</v>
      </c>
      <c r="DE351" s="756" t="s">
        <v>111</v>
      </c>
      <c r="DF351" s="756"/>
      <c r="DG351" s="254"/>
      <c r="DH351" s="270"/>
      <c r="DI351" s="12"/>
      <c r="DJ351" s="12"/>
      <c r="DK351" s="1964"/>
      <c r="DL351" s="1964"/>
      <c r="DM351" s="1964"/>
      <c r="DN351" s="1964"/>
      <c r="DO351" s="12"/>
      <c r="DP351" s="191"/>
    </row>
    <row r="352" spans="2:120" ht="48.75" customHeight="1">
      <c r="B352" s="1287"/>
      <c r="C352" s="1287" t="s">
        <v>541</v>
      </c>
      <c r="D352" s="1287"/>
      <c r="E352" s="1957"/>
      <c r="F352" s="1958"/>
      <c r="G352" s="1958"/>
      <c r="H352" s="1958"/>
      <c r="I352" s="1958"/>
      <c r="J352" s="1958"/>
      <c r="K352" s="1985"/>
      <c r="N352" s="1907"/>
      <c r="O352" s="1922" t="s">
        <v>1080</v>
      </c>
      <c r="P352" s="1923"/>
      <c r="Q352" s="396">
        <f>'Вывод расчетов'!$GW$61</f>
        <v>0.7</v>
      </c>
      <c r="R352" s="176"/>
      <c r="S352" s="178"/>
      <c r="T352" s="1928"/>
      <c r="U352" s="1929"/>
      <c r="V352" s="1929"/>
      <c r="W352" s="1929"/>
      <c r="X352" s="1929"/>
      <c r="Y352" s="1929"/>
      <c r="Z352" s="1929"/>
      <c r="AA352" s="1929"/>
      <c r="AB352" s="1902"/>
      <c r="AC352" s="1902"/>
      <c r="AD352" s="1902"/>
      <c r="AE352" s="1902"/>
      <c r="AF352" s="1527"/>
      <c r="AG352" s="1527"/>
      <c r="AI352" s="278"/>
      <c r="AJ352" s="278"/>
      <c r="AK352" s="278"/>
      <c r="AL352" s="278"/>
      <c r="AM352" s="278"/>
      <c r="AN352" s="278"/>
      <c r="AO352" s="278"/>
      <c r="AP352" s="278"/>
      <c r="AQ352" s="278"/>
      <c r="AR352" s="278"/>
      <c r="AS352" s="278"/>
      <c r="AT352" s="278"/>
      <c r="AU352" s="278"/>
      <c r="AV352" s="278"/>
      <c r="AW352" s="278"/>
      <c r="AX352" s="278"/>
      <c r="AY352" s="278"/>
      <c r="BE352" s="19"/>
      <c r="BF352" s="17"/>
      <c r="BI352" s="11"/>
      <c r="CE352" s="305"/>
      <c r="CF352" s="329" t="s">
        <v>1117</v>
      </c>
      <c r="CG352" s="756" t="s">
        <v>88</v>
      </c>
      <c r="CH352" s="756"/>
      <c r="CI352" s="256">
        <f>BX368</f>
        <v>1.5</v>
      </c>
      <c r="CJ352" s="253" t="s">
        <v>45</v>
      </c>
      <c r="CK352" s="12"/>
      <c r="CL352" s="1977"/>
      <c r="CM352" s="1978"/>
      <c r="CN352" s="1978"/>
      <c r="CO352" s="1979"/>
      <c r="CP352" s="12"/>
      <c r="CQ352" s="12"/>
      <c r="CR352" s="329" t="s">
        <v>1117</v>
      </c>
      <c r="CS352" s="756" t="s">
        <v>111</v>
      </c>
      <c r="CT352" s="756"/>
      <c r="CU352" s="9"/>
      <c r="CV352" s="10"/>
      <c r="CW352" s="12"/>
      <c r="CX352" s="183"/>
      <c r="CY352" s="180"/>
      <c r="CZ352" s="187"/>
      <c r="DA352" s="12"/>
      <c r="DB352" s="12"/>
      <c r="DC352" s="12"/>
      <c r="DD352" s="329" t="s">
        <v>1117</v>
      </c>
      <c r="DE352" s="756" t="s">
        <v>111</v>
      </c>
      <c r="DF352" s="756"/>
      <c r="DG352" s="254"/>
      <c r="DH352" s="270"/>
      <c r="DI352" s="12"/>
      <c r="DJ352" s="12"/>
      <c r="DK352" s="1964"/>
      <c r="DL352" s="1964"/>
      <c r="DM352" s="1964"/>
      <c r="DN352" s="1964"/>
      <c r="DO352" s="12"/>
      <c r="DP352" s="191"/>
    </row>
    <row r="353" spans="1:120" ht="48.75" customHeight="1">
      <c r="B353" s="1287"/>
      <c r="C353" s="1287"/>
      <c r="D353" s="1287"/>
      <c r="E353" s="1959"/>
      <c r="F353" s="1960"/>
      <c r="G353" s="1960"/>
      <c r="H353" s="1960"/>
      <c r="I353" s="1960"/>
      <c r="J353" s="1960"/>
      <c r="K353" s="1986"/>
      <c r="N353" s="1908"/>
      <c r="O353" s="861" t="s">
        <v>1074</v>
      </c>
      <c r="P353" s="861"/>
      <c r="Q353" s="397">
        <f>'Вывод расчетов'!$GT$73</f>
        <v>7.9639464327648497</v>
      </c>
      <c r="R353" s="85"/>
      <c r="S353" s="87"/>
      <c r="T353" s="1930"/>
      <c r="U353" s="1931"/>
      <c r="V353" s="1931"/>
      <c r="W353" s="1931"/>
      <c r="X353" s="1931"/>
      <c r="Y353" s="1931"/>
      <c r="Z353" s="1931"/>
      <c r="AA353" s="1931"/>
      <c r="AB353" s="1902"/>
      <c r="AC353" s="1902"/>
      <c r="AD353" s="1902"/>
      <c r="AE353" s="1902"/>
      <c r="AF353" s="1527"/>
      <c r="AG353" s="1527"/>
      <c r="AI353" s="278"/>
      <c r="AJ353" s="278"/>
      <c r="AK353" s="278"/>
      <c r="AL353" s="278"/>
      <c r="AM353" s="278"/>
      <c r="AN353" s="278"/>
      <c r="AO353" s="278"/>
      <c r="AP353" s="278"/>
      <c r="AQ353" s="278"/>
      <c r="AR353" s="278"/>
      <c r="AS353" s="278"/>
      <c r="AT353" s="278"/>
      <c r="AU353" s="278"/>
      <c r="AV353" s="278"/>
      <c r="AW353" s="278"/>
      <c r="AX353" s="278"/>
      <c r="AY353" s="278"/>
      <c r="BE353" s="19"/>
      <c r="BF353" s="17"/>
      <c r="BI353" s="11"/>
      <c r="CE353" s="305"/>
      <c r="CF353" s="329" t="s">
        <v>1117</v>
      </c>
      <c r="CG353" s="756" t="s">
        <v>46</v>
      </c>
      <c r="CH353" s="756"/>
      <c r="CI353" s="256" t="e">
        <f>BX369</f>
        <v>#REF!</v>
      </c>
      <c r="CJ353" s="253" t="s">
        <v>45</v>
      </c>
      <c r="CK353" s="12"/>
      <c r="CL353" s="1977"/>
      <c r="CM353" s="1978"/>
      <c r="CN353" s="1978"/>
      <c r="CO353" s="1979"/>
      <c r="CP353" s="12"/>
      <c r="CQ353" s="12"/>
      <c r="CR353" s="329" t="s">
        <v>1117</v>
      </c>
      <c r="CS353" s="756" t="s">
        <v>111</v>
      </c>
      <c r="CT353" s="756"/>
      <c r="CU353" s="9"/>
      <c r="CV353" s="10"/>
      <c r="CW353" s="12"/>
      <c r="CX353" s="183"/>
      <c r="CY353" s="180"/>
      <c r="CZ353" s="187"/>
      <c r="DA353" s="12"/>
      <c r="DB353" s="12"/>
      <c r="DC353" s="12"/>
      <c r="DD353" s="12"/>
      <c r="DE353" s="12"/>
      <c r="DF353" s="12"/>
      <c r="DG353" s="12"/>
      <c r="DH353" s="12"/>
      <c r="DI353" s="12"/>
      <c r="DJ353" s="12"/>
      <c r="DK353" s="1964"/>
      <c r="DL353" s="1964"/>
      <c r="DM353" s="1964"/>
      <c r="DN353" s="1964"/>
      <c r="DO353" s="12"/>
      <c r="DP353" s="191"/>
    </row>
    <row r="354" spans="1:120" ht="48.75" customHeight="1">
      <c r="A354" s="12"/>
      <c r="B354" s="1287"/>
      <c r="C354" s="1287"/>
      <c r="D354" s="1287"/>
      <c r="E354" s="1961"/>
      <c r="F354" s="1962"/>
      <c r="G354" s="1962"/>
      <c r="H354" s="1962"/>
      <c r="I354" s="1962"/>
      <c r="J354" s="1962"/>
      <c r="K354" s="1987"/>
      <c r="N354" s="1888">
        <v>2</v>
      </c>
      <c r="O354" s="82"/>
      <c r="P354" s="83"/>
      <c r="Q354" s="83"/>
      <c r="R354" s="83"/>
      <c r="S354" s="84"/>
      <c r="T354" s="1901"/>
      <c r="U354" s="1901"/>
      <c r="V354" s="1901"/>
      <c r="W354" s="1901"/>
      <c r="X354" s="1901"/>
      <c r="Y354" s="1901"/>
      <c r="Z354" s="1901"/>
      <c r="AA354" s="1901"/>
      <c r="AB354" s="756" t="s">
        <v>652</v>
      </c>
      <c r="AC354" s="1902"/>
      <c r="AD354" s="1902"/>
      <c r="AE354" s="1902"/>
      <c r="AF354" s="399" t="s">
        <v>111</v>
      </c>
      <c r="AG354" s="184" t="s">
        <v>704</v>
      </c>
      <c r="AI354" s="278"/>
      <c r="AJ354" s="278"/>
      <c r="AK354" s="278"/>
      <c r="AL354" s="278"/>
      <c r="AM354" s="278"/>
      <c r="AN354" s="278"/>
      <c r="AO354" s="278"/>
      <c r="AP354" s="278"/>
      <c r="AQ354" s="278"/>
      <c r="AR354" s="278"/>
      <c r="AS354" s="278"/>
      <c r="AT354" s="278"/>
      <c r="AU354" s="278"/>
      <c r="AV354" s="278"/>
      <c r="AW354" s="278"/>
      <c r="AX354" s="278"/>
      <c r="AY354" s="278"/>
      <c r="BE354" s="19"/>
      <c r="BF354" s="17"/>
      <c r="BI354" s="11"/>
      <c r="CE354" s="305"/>
      <c r="CF354" s="329" t="s">
        <v>1117</v>
      </c>
      <c r="CG354" s="756" t="s">
        <v>86</v>
      </c>
      <c r="CH354" s="756"/>
      <c r="CI354" s="256">
        <f>BX371</f>
        <v>0.7</v>
      </c>
      <c r="CJ354" s="253" t="s">
        <v>45</v>
      </c>
      <c r="CK354" s="12"/>
      <c r="CL354" s="1977"/>
      <c r="CM354" s="1978"/>
      <c r="CN354" s="1978"/>
      <c r="CO354" s="1979"/>
      <c r="CP354" s="12"/>
      <c r="CQ354" s="12"/>
      <c r="CR354" s="329" t="s">
        <v>1117</v>
      </c>
      <c r="CS354" s="756" t="s">
        <v>111</v>
      </c>
      <c r="CT354" s="756"/>
      <c r="CU354" s="9"/>
      <c r="CV354" s="10"/>
      <c r="CW354" s="12"/>
      <c r="CX354" s="183"/>
      <c r="CY354" s="180"/>
      <c r="CZ354" s="187"/>
      <c r="DA354" s="12"/>
      <c r="DB354" s="12"/>
      <c r="DC354" s="12"/>
      <c r="DD354" s="12"/>
      <c r="DE354" s="12"/>
      <c r="DF354" s="12"/>
      <c r="DG354" s="12"/>
      <c r="DH354" s="251"/>
      <c r="DI354" s="275"/>
      <c r="DJ354" s="12"/>
      <c r="DK354" s="1964"/>
      <c r="DL354" s="1964"/>
      <c r="DM354" s="1964"/>
      <c r="DN354" s="1964"/>
      <c r="DO354" s="12"/>
      <c r="DP354" s="191"/>
    </row>
    <row r="355" spans="1:120" ht="48.75" customHeight="1">
      <c r="A355" s="12"/>
      <c r="B355" s="1287" t="s">
        <v>638</v>
      </c>
      <c r="C355" s="1287" t="s">
        <v>548</v>
      </c>
      <c r="D355" s="1287"/>
      <c r="E355" s="1957"/>
      <c r="F355" s="1958"/>
      <c r="G355" s="1958"/>
      <c r="H355" s="1958"/>
      <c r="I355" s="1958"/>
      <c r="J355" s="1958"/>
      <c r="K355" s="1985"/>
      <c r="N355" s="1888"/>
      <c r="O355" s="176"/>
      <c r="P355" s="177"/>
      <c r="Q355" s="177"/>
      <c r="R355" s="177"/>
      <c r="S355" s="178"/>
      <c r="T355" s="1901"/>
      <c r="U355" s="1901"/>
      <c r="V355" s="1901"/>
      <c r="W355" s="1901"/>
      <c r="X355" s="1901"/>
      <c r="Y355" s="1901"/>
      <c r="Z355" s="1901"/>
      <c r="AA355" s="1901"/>
      <c r="AB355" s="756"/>
      <c r="AC355" s="1902"/>
      <c r="AD355" s="1902"/>
      <c r="AE355" s="1902"/>
      <c r="AF355" s="1887"/>
      <c r="AG355" s="1135" t="s">
        <v>729</v>
      </c>
      <c r="AI355" s="278"/>
      <c r="AJ355" s="278"/>
      <c r="AK355" s="278"/>
      <c r="AL355" s="278"/>
      <c r="AM355" s="278"/>
      <c r="AN355" s="278"/>
      <c r="AO355" s="278"/>
      <c r="AP355" s="278"/>
      <c r="AQ355" s="278"/>
      <c r="AR355" s="278"/>
      <c r="AS355" s="278"/>
      <c r="AT355" s="278"/>
      <c r="AU355" s="278"/>
      <c r="AV355" s="278"/>
      <c r="AW355" s="278"/>
      <c r="AX355" s="278"/>
      <c r="AY355" s="278"/>
      <c r="BE355" s="19"/>
      <c r="BF355" s="17"/>
      <c r="BI355" s="11"/>
      <c r="CE355" s="305"/>
      <c r="CF355" s="12"/>
      <c r="CG355" s="12"/>
      <c r="CH355" s="12"/>
      <c r="CI355" s="258"/>
      <c r="CJ355" s="16"/>
      <c r="CK355" s="12"/>
      <c r="CL355" s="1977"/>
      <c r="CM355" s="1978"/>
      <c r="CN355" s="1978"/>
      <c r="CO355" s="1979"/>
      <c r="CP355" s="12"/>
      <c r="CQ355" s="12"/>
      <c r="CR355" s="329" t="s">
        <v>1117</v>
      </c>
      <c r="CS355" s="756" t="s">
        <v>111</v>
      </c>
      <c r="CT355" s="756"/>
      <c r="CU355" s="9"/>
      <c r="CV355" s="10"/>
      <c r="CW355" s="12"/>
      <c r="CX355" s="183"/>
      <c r="CY355" s="180"/>
      <c r="CZ355" s="187"/>
      <c r="DA355" s="12"/>
      <c r="DB355" s="12"/>
      <c r="DC355" s="12"/>
      <c r="DD355" s="12"/>
      <c r="DE355" s="12"/>
      <c r="DF355" s="12"/>
      <c r="DG355" s="12"/>
      <c r="DH355" s="12"/>
      <c r="DI355" s="12"/>
      <c r="DJ355" s="12"/>
      <c r="DK355" s="12"/>
      <c r="DL355" s="12"/>
      <c r="DM355" s="12"/>
      <c r="DN355" s="12"/>
      <c r="DO355" s="12"/>
      <c r="DP355" s="191"/>
    </row>
    <row r="356" spans="1:120" ht="48.75" customHeight="1">
      <c r="A356" s="12"/>
      <c r="B356" s="1287"/>
      <c r="C356" s="1287"/>
      <c r="D356" s="1287"/>
      <c r="E356" s="1959"/>
      <c r="F356" s="1960"/>
      <c r="G356" s="1960"/>
      <c r="H356" s="1960"/>
      <c r="I356" s="1960"/>
      <c r="J356" s="1960"/>
      <c r="K356" s="1986"/>
      <c r="N356" s="1888"/>
      <c r="O356" s="176"/>
      <c r="P356" s="177"/>
      <c r="Q356" s="177"/>
      <c r="R356" s="177"/>
      <c r="S356" s="178"/>
      <c r="T356" s="1901"/>
      <c r="U356" s="1901"/>
      <c r="V356" s="1901"/>
      <c r="W356" s="1901"/>
      <c r="X356" s="1901"/>
      <c r="Y356" s="1901"/>
      <c r="Z356" s="1901"/>
      <c r="AA356" s="1901"/>
      <c r="AB356" s="756"/>
      <c r="AC356" s="1902"/>
      <c r="AD356" s="1902"/>
      <c r="AE356" s="1902"/>
      <c r="AF356" s="1887"/>
      <c r="AG356" s="1135"/>
      <c r="AI356" s="278"/>
      <c r="AJ356" s="278"/>
      <c r="AK356" s="278"/>
      <c r="AL356" s="278"/>
      <c r="AM356" s="278"/>
      <c r="AN356" s="278"/>
      <c r="AO356" s="278"/>
      <c r="AP356" s="278"/>
      <c r="AQ356" s="278"/>
      <c r="AR356" s="278"/>
      <c r="AS356" s="278"/>
      <c r="AT356" s="278"/>
      <c r="AU356" s="278"/>
      <c r="AV356" s="278"/>
      <c r="AW356" s="278"/>
      <c r="AX356" s="278"/>
      <c r="AY356" s="278"/>
      <c r="BE356" s="19"/>
      <c r="BF356" s="17"/>
      <c r="BI356" s="11"/>
      <c r="CE356" s="305"/>
      <c r="CF356" s="12"/>
      <c r="CG356" s="12"/>
      <c r="CH356" s="12"/>
      <c r="CI356" s="258"/>
      <c r="CJ356" s="16"/>
      <c r="CK356" s="12"/>
      <c r="CL356" s="1977"/>
      <c r="CM356" s="1978"/>
      <c r="CN356" s="1978"/>
      <c r="CO356" s="1979"/>
      <c r="CP356" s="12"/>
      <c r="CQ356" s="12"/>
      <c r="CR356" s="12"/>
      <c r="CS356" s="12"/>
      <c r="CT356" s="12"/>
      <c r="CU356" s="12"/>
      <c r="CV356" s="12"/>
      <c r="CW356" s="12"/>
      <c r="CX356" s="183"/>
      <c r="CY356" s="180"/>
      <c r="CZ356" s="187"/>
      <c r="DA356" s="12"/>
      <c r="DB356" s="12"/>
      <c r="DC356" s="12"/>
      <c r="DD356" s="12"/>
      <c r="DE356" s="12"/>
      <c r="DF356" s="12"/>
      <c r="DG356" s="12"/>
      <c r="DH356" s="12"/>
      <c r="DI356" s="12"/>
      <c r="DJ356" s="12"/>
      <c r="DK356" s="12"/>
      <c r="DL356" s="12"/>
      <c r="DM356" s="12"/>
      <c r="DN356" s="12"/>
      <c r="DO356" s="12"/>
      <c r="DP356" s="191"/>
    </row>
    <row r="357" spans="1:120" ht="48.75" customHeight="1">
      <c r="A357" s="12"/>
      <c r="B357" s="1287"/>
      <c r="C357" s="1287"/>
      <c r="D357" s="1287"/>
      <c r="E357" s="1961"/>
      <c r="F357" s="1962"/>
      <c r="G357" s="1962"/>
      <c r="H357" s="1962"/>
      <c r="I357" s="1962"/>
      <c r="J357" s="1962"/>
      <c r="K357" s="1987"/>
      <c r="N357" s="1888"/>
      <c r="O357" s="176"/>
      <c r="P357" s="177"/>
      <c r="Q357" s="177"/>
      <c r="R357" s="177"/>
      <c r="S357" s="178"/>
      <c r="T357" s="1901"/>
      <c r="U357" s="1901"/>
      <c r="V357" s="1901"/>
      <c r="W357" s="1901"/>
      <c r="X357" s="1901"/>
      <c r="Y357" s="1901"/>
      <c r="Z357" s="1901"/>
      <c r="AA357" s="1901"/>
      <c r="AB357" s="756"/>
      <c r="AC357" s="1902"/>
      <c r="AD357" s="1902"/>
      <c r="AE357" s="1902"/>
      <c r="AF357" s="1527"/>
      <c r="AG357" s="1527"/>
      <c r="AI357" s="278"/>
      <c r="AJ357" s="278"/>
      <c r="AK357" s="278"/>
      <c r="AL357" s="278"/>
      <c r="AM357" s="278"/>
      <c r="AN357" s="278"/>
      <c r="AO357" s="278"/>
      <c r="AP357" s="278"/>
      <c r="AQ357" s="278"/>
      <c r="AR357" s="278"/>
      <c r="AS357" s="278"/>
      <c r="AT357" s="278"/>
      <c r="AU357" s="278"/>
      <c r="AV357" s="278"/>
      <c r="AW357" s="278"/>
      <c r="AX357" s="278"/>
      <c r="AY357" s="278"/>
      <c r="BE357" s="19"/>
      <c r="BF357" s="17"/>
      <c r="BI357" s="11"/>
      <c r="CE357" s="305"/>
      <c r="CF357" s="12"/>
      <c r="CG357" s="12"/>
      <c r="CH357" s="12"/>
      <c r="CI357" s="258"/>
      <c r="CJ357" s="16"/>
      <c r="CK357" s="12"/>
      <c r="CL357" s="1977"/>
      <c r="CM357" s="1978"/>
      <c r="CN357" s="1978"/>
      <c r="CO357" s="1979"/>
      <c r="CP357" s="12"/>
      <c r="CQ357" s="12"/>
      <c r="CR357" s="12"/>
      <c r="CS357" s="12"/>
      <c r="CT357" s="12"/>
      <c r="CU357" s="12"/>
      <c r="CV357" s="12"/>
      <c r="CW357" s="12"/>
      <c r="CX357" s="183"/>
      <c r="CY357" s="180"/>
      <c r="CZ357" s="187"/>
      <c r="DA357" s="12"/>
      <c r="DB357" s="12"/>
      <c r="DC357" s="12"/>
      <c r="DD357" s="12"/>
      <c r="DE357" s="12"/>
      <c r="DF357" s="12"/>
      <c r="DG357" s="12"/>
      <c r="DH357" s="12"/>
      <c r="DI357" s="12"/>
      <c r="DJ357" s="12"/>
      <c r="DK357" s="12"/>
      <c r="DL357" s="12"/>
      <c r="DM357" s="12"/>
      <c r="DN357" s="12"/>
      <c r="DO357" s="12"/>
      <c r="DP357" s="191"/>
    </row>
    <row r="358" spans="1:120" ht="48.75" customHeight="1">
      <c r="B358" s="1919" t="s">
        <v>639</v>
      </c>
      <c r="C358" s="1287" t="s">
        <v>649</v>
      </c>
      <c r="D358" s="1287"/>
      <c r="E358" s="1957"/>
      <c r="F358" s="1958"/>
      <c r="G358" s="1958"/>
      <c r="H358" s="1958"/>
      <c r="I358" s="1958"/>
      <c r="J358" s="1958"/>
      <c r="K358" s="1985"/>
      <c r="N358" s="1888"/>
      <c r="O358" s="176"/>
      <c r="P358" s="177"/>
      <c r="Q358" s="177"/>
      <c r="R358" s="177"/>
      <c r="S358" s="178"/>
      <c r="T358" s="1901"/>
      <c r="U358" s="1901"/>
      <c r="V358" s="1901"/>
      <c r="W358" s="1901"/>
      <c r="X358" s="1901"/>
      <c r="Y358" s="1901"/>
      <c r="Z358" s="1901"/>
      <c r="AA358" s="1901"/>
      <c r="AB358" s="756"/>
      <c r="AC358" s="1902"/>
      <c r="AD358" s="1902"/>
      <c r="AE358" s="1902"/>
      <c r="AF358" s="1527"/>
      <c r="AG358" s="1527"/>
      <c r="AI358" s="278"/>
      <c r="AJ358" s="278"/>
      <c r="AK358" s="278"/>
      <c r="AL358" s="278"/>
      <c r="AM358" s="278"/>
      <c r="AN358" s="278"/>
      <c r="AO358" s="278"/>
      <c r="AP358" s="278"/>
      <c r="AQ358" s="278"/>
      <c r="AR358" s="278"/>
      <c r="AS358" s="278"/>
      <c r="AT358" s="278"/>
      <c r="AU358" s="278"/>
      <c r="AV358" s="278"/>
      <c r="AW358" s="278"/>
      <c r="AX358" s="278"/>
      <c r="AY358" s="278"/>
      <c r="BE358" s="19"/>
      <c r="BF358" s="17"/>
      <c r="BI358" s="11"/>
      <c r="CE358" s="305"/>
      <c r="CF358" s="12"/>
      <c r="CG358" s="12"/>
      <c r="CH358" s="12"/>
      <c r="CI358" s="258"/>
      <c r="CJ358" s="16"/>
      <c r="CK358" s="12"/>
      <c r="CL358" s="1980"/>
      <c r="CM358" s="1981"/>
      <c r="CN358" s="1981"/>
      <c r="CO358" s="1982"/>
      <c r="CP358" s="12"/>
      <c r="CQ358" s="12"/>
      <c r="CR358" s="12"/>
      <c r="CS358" s="12"/>
      <c r="CT358" s="12"/>
      <c r="CU358" s="12"/>
      <c r="CV358" s="12"/>
      <c r="CW358" s="12"/>
      <c r="CX358" s="188"/>
      <c r="CY358" s="189"/>
      <c r="CZ358" s="190"/>
      <c r="DA358" s="12"/>
      <c r="DB358" s="12"/>
      <c r="DC358" s="12"/>
      <c r="DD358" s="12"/>
      <c r="DE358" s="12"/>
      <c r="DF358" s="12"/>
      <c r="DG358" s="12"/>
      <c r="DH358" s="12"/>
      <c r="DI358" s="12"/>
      <c r="DJ358" s="12"/>
      <c r="DK358" s="12"/>
      <c r="DL358" s="12"/>
      <c r="DM358" s="12"/>
      <c r="DN358" s="12"/>
      <c r="DO358" s="12"/>
      <c r="DP358" s="191"/>
    </row>
    <row r="359" spans="1:120" ht="48.75" customHeight="1">
      <c r="B359" s="1920"/>
      <c r="C359" s="1287"/>
      <c r="D359" s="1287"/>
      <c r="E359" s="1959"/>
      <c r="F359" s="1960"/>
      <c r="G359" s="1960"/>
      <c r="H359" s="1960"/>
      <c r="I359" s="1960"/>
      <c r="J359" s="1960"/>
      <c r="K359" s="1986"/>
      <c r="N359" s="1888"/>
      <c r="O359" s="176"/>
      <c r="P359" s="177"/>
      <c r="Q359" s="177"/>
      <c r="R359" s="177"/>
      <c r="S359" s="178"/>
      <c r="T359" s="1901"/>
      <c r="U359" s="1901"/>
      <c r="V359" s="1901"/>
      <c r="W359" s="1901"/>
      <c r="X359" s="1901"/>
      <c r="Y359" s="1901"/>
      <c r="Z359" s="1901"/>
      <c r="AA359" s="1901"/>
      <c r="AB359" s="756"/>
      <c r="AC359" s="1902"/>
      <c r="AD359" s="1902"/>
      <c r="AE359" s="1902"/>
      <c r="AF359" s="1527"/>
      <c r="AG359" s="1527"/>
      <c r="AI359" s="278"/>
      <c r="AJ359" s="278"/>
      <c r="AK359" s="278"/>
      <c r="AL359" s="278"/>
      <c r="AM359" s="278"/>
      <c r="AN359" s="278"/>
      <c r="AO359" s="278"/>
      <c r="AP359" s="278"/>
      <c r="AQ359" s="278"/>
      <c r="AR359" s="278"/>
      <c r="AS359" s="278"/>
      <c r="AT359" s="278"/>
      <c r="AU359" s="278"/>
      <c r="AV359" s="278"/>
      <c r="AW359" s="278"/>
      <c r="AX359" s="278"/>
      <c r="AY359" s="278"/>
      <c r="BE359" s="19"/>
      <c r="BF359" s="17"/>
      <c r="BI359" s="11"/>
      <c r="CE359" s="305"/>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91"/>
    </row>
    <row r="360" spans="1:120" ht="48.75" customHeight="1">
      <c r="B360" s="1920"/>
      <c r="C360" s="1287"/>
      <c r="D360" s="1287"/>
      <c r="E360" s="1961"/>
      <c r="F360" s="1962"/>
      <c r="G360" s="1962"/>
      <c r="H360" s="1962"/>
      <c r="I360" s="1962"/>
      <c r="J360" s="1962"/>
      <c r="K360" s="1987"/>
      <c r="N360" s="1888"/>
      <c r="O360" s="85"/>
      <c r="P360" s="86"/>
      <c r="Q360" s="86"/>
      <c r="R360" s="86"/>
      <c r="S360" s="87"/>
      <c r="T360" s="1901"/>
      <c r="U360" s="1901"/>
      <c r="V360" s="1901"/>
      <c r="W360" s="1901"/>
      <c r="X360" s="1901"/>
      <c r="Y360" s="1901"/>
      <c r="Z360" s="1901"/>
      <c r="AA360" s="1901"/>
      <c r="AB360" s="756"/>
      <c r="AC360" s="1902"/>
      <c r="AD360" s="1902"/>
      <c r="AE360" s="1902"/>
      <c r="AF360" s="1527"/>
      <c r="AG360" s="1527"/>
      <c r="AI360" s="278"/>
      <c r="AJ360" s="278"/>
      <c r="AK360" s="278"/>
      <c r="AL360" s="278"/>
      <c r="AM360" s="278"/>
      <c r="AN360" s="278"/>
      <c r="AO360" s="278"/>
      <c r="AP360" s="278"/>
      <c r="AQ360" s="278"/>
      <c r="AR360" s="278"/>
      <c r="AS360" s="278"/>
      <c r="AT360" s="278"/>
      <c r="AU360" s="278"/>
      <c r="AV360" s="278"/>
      <c r="AW360" s="278"/>
      <c r="AX360" s="278"/>
      <c r="AY360" s="278"/>
      <c r="BE360" s="19"/>
      <c r="BF360" s="17"/>
      <c r="BI360" s="11"/>
      <c r="CE360" s="305"/>
      <c r="CF360" s="306"/>
      <c r="CG360" s="306"/>
      <c r="CH360" s="306"/>
      <c r="CI360" s="306"/>
      <c r="CJ360" s="306"/>
      <c r="CK360" s="12"/>
      <c r="CL360" s="12"/>
      <c r="CM360" s="12"/>
      <c r="CN360" s="12"/>
      <c r="CO360" s="12"/>
      <c r="CP360" s="12"/>
      <c r="CQ360" s="12"/>
      <c r="CR360" s="12"/>
      <c r="CS360" s="12"/>
      <c r="CT360" s="12"/>
      <c r="CU360" s="12"/>
      <c r="CV360" s="12"/>
      <c r="CW360" s="12"/>
      <c r="CX360" s="12"/>
      <c r="CY360" s="12"/>
      <c r="CZ360" s="12"/>
      <c r="DA360" s="306"/>
      <c r="DB360" s="12"/>
      <c r="DC360" s="12"/>
      <c r="DD360" s="12"/>
      <c r="DE360" s="12"/>
      <c r="DF360" s="12"/>
      <c r="DG360" s="12"/>
      <c r="DH360" s="12"/>
      <c r="DI360" s="12"/>
      <c r="DJ360" s="12"/>
      <c r="DK360" s="12"/>
      <c r="DL360" s="12"/>
      <c r="DM360" s="12"/>
      <c r="DN360" s="12"/>
      <c r="DO360" s="12"/>
      <c r="DP360" s="191"/>
    </row>
    <row r="361" spans="1:120" ht="48.75" customHeight="1">
      <c r="B361" s="1287" t="s">
        <v>640</v>
      </c>
      <c r="C361" s="1287" t="s">
        <v>641</v>
      </c>
      <c r="D361" s="1287"/>
      <c r="E361" s="1889"/>
      <c r="F361" s="1890"/>
      <c r="G361" s="1890"/>
      <c r="H361" s="1890"/>
      <c r="I361" s="1890"/>
      <c r="J361" s="1890"/>
      <c r="K361" s="1891"/>
      <c r="N361" s="1888">
        <v>3</v>
      </c>
      <c r="O361" s="82"/>
      <c r="P361" s="83"/>
      <c r="Q361" s="83"/>
      <c r="R361" s="83"/>
      <c r="S361" s="84"/>
      <c r="T361" s="1910"/>
      <c r="U361" s="1911"/>
      <c r="V361" s="1911"/>
      <c r="W361" s="1911"/>
      <c r="X361" s="1911"/>
      <c r="Y361" s="1911"/>
      <c r="Z361" s="1911"/>
      <c r="AA361" s="1912"/>
      <c r="AB361" s="1898" t="s">
        <v>653</v>
      </c>
      <c r="AC361" s="1902"/>
      <c r="AD361" s="1902"/>
      <c r="AE361" s="1902"/>
      <c r="AF361" s="399" t="s">
        <v>111</v>
      </c>
      <c r="AG361" s="184" t="s">
        <v>704</v>
      </c>
      <c r="AI361" s="278"/>
      <c r="AJ361" s="278"/>
      <c r="AK361" s="278"/>
      <c r="AL361" s="278"/>
      <c r="AM361" s="278"/>
      <c r="AN361" s="278"/>
      <c r="AO361" s="278"/>
      <c r="AP361" s="278"/>
      <c r="AQ361" s="278"/>
      <c r="AR361" s="278"/>
      <c r="AS361" s="278"/>
      <c r="AT361" s="278"/>
      <c r="AU361" s="278"/>
      <c r="AV361" s="278"/>
      <c r="AW361" s="278"/>
      <c r="AX361" s="278"/>
      <c r="AY361" s="278"/>
      <c r="BE361" s="19"/>
      <c r="BF361" s="17"/>
      <c r="BI361" s="11"/>
      <c r="CE361" s="305"/>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91"/>
    </row>
    <row r="362" spans="1:120" ht="48.75" customHeight="1">
      <c r="B362" s="1287"/>
      <c r="C362" s="1287"/>
      <c r="D362" s="1287"/>
      <c r="E362" s="1892"/>
      <c r="F362" s="1893"/>
      <c r="G362" s="1893"/>
      <c r="H362" s="1893"/>
      <c r="I362" s="1893"/>
      <c r="J362" s="1893"/>
      <c r="K362" s="1894"/>
      <c r="N362" s="1888"/>
      <c r="O362" s="176"/>
      <c r="P362" s="177"/>
      <c r="Q362" s="177"/>
      <c r="R362" s="177"/>
      <c r="S362" s="178"/>
      <c r="T362" s="1913"/>
      <c r="U362" s="1914"/>
      <c r="V362" s="1914"/>
      <c r="W362" s="1914"/>
      <c r="X362" s="1914"/>
      <c r="Y362" s="1914"/>
      <c r="Z362" s="1914"/>
      <c r="AA362" s="1915"/>
      <c r="AB362" s="1899"/>
      <c r="AC362" s="1902"/>
      <c r="AD362" s="1902"/>
      <c r="AE362" s="1902"/>
      <c r="AF362" s="1887"/>
      <c r="AG362" s="1135" t="s">
        <v>729</v>
      </c>
      <c r="AI362" s="278"/>
      <c r="AJ362" s="278"/>
      <c r="AK362" s="278"/>
      <c r="AL362" s="278"/>
      <c r="AM362" s="278"/>
      <c r="AN362" s="278"/>
      <c r="AO362" s="278"/>
      <c r="AP362" s="278"/>
      <c r="AQ362" s="278"/>
      <c r="AR362" s="278"/>
      <c r="AS362" s="278"/>
      <c r="AT362" s="278"/>
      <c r="AU362" s="278"/>
      <c r="AV362" s="278"/>
      <c r="AW362" s="278"/>
      <c r="AX362" s="278"/>
      <c r="AY362" s="278"/>
      <c r="BE362" s="19"/>
      <c r="BF362" s="17"/>
      <c r="BI362" s="11"/>
      <c r="CE362" s="305"/>
      <c r="CF362" s="12"/>
      <c r="CG362" s="12"/>
      <c r="CH362" s="12"/>
      <c r="CI362" s="12"/>
      <c r="CJ362" s="258"/>
      <c r="CK362" s="16"/>
      <c r="CL362" s="12"/>
      <c r="CM362" s="1964"/>
      <c r="CN362" s="1964"/>
      <c r="CO362" s="1964"/>
      <c r="CP362" s="12"/>
      <c r="CQ362" s="12"/>
      <c r="CR362" s="12"/>
      <c r="CS362" s="12"/>
      <c r="CT362" s="12"/>
      <c r="CU362" s="192"/>
      <c r="CV362" s="12"/>
      <c r="CW362" s="12"/>
      <c r="CX362" s="1965"/>
      <c r="CY362" s="1966"/>
      <c r="CZ362" s="1967"/>
      <c r="DA362" s="306"/>
      <c r="DB362" s="12"/>
      <c r="DC362" s="12"/>
      <c r="DD362" s="12"/>
      <c r="DE362" s="12"/>
      <c r="DF362" s="251"/>
      <c r="DG362" s="275"/>
      <c r="DH362" s="12"/>
      <c r="DI362" s="1965"/>
      <c r="DJ362" s="1966"/>
      <c r="DK362" s="1966"/>
      <c r="DL362" s="1967"/>
      <c r="DM362" s="12"/>
      <c r="DN362" s="12"/>
      <c r="DO362" s="12"/>
      <c r="DP362" s="191"/>
    </row>
    <row r="363" spans="1:120" ht="48.75" customHeight="1">
      <c r="B363" s="1287"/>
      <c r="C363" s="1287"/>
      <c r="D363" s="1287"/>
      <c r="E363" s="1895"/>
      <c r="F363" s="1896"/>
      <c r="G363" s="1896"/>
      <c r="H363" s="1896"/>
      <c r="I363" s="1896"/>
      <c r="J363" s="1896"/>
      <c r="K363" s="1897"/>
      <c r="N363" s="1888"/>
      <c r="O363" s="176"/>
      <c r="P363" s="177"/>
      <c r="Q363" s="177"/>
      <c r="R363" s="177"/>
      <c r="S363" s="178"/>
      <c r="T363" s="1913"/>
      <c r="U363" s="1914"/>
      <c r="V363" s="1914"/>
      <c r="W363" s="1914"/>
      <c r="X363" s="1914"/>
      <c r="Y363" s="1914"/>
      <c r="Z363" s="1914"/>
      <c r="AA363" s="1915"/>
      <c r="AB363" s="1899"/>
      <c r="AC363" s="1902"/>
      <c r="AD363" s="1902"/>
      <c r="AE363" s="1902"/>
      <c r="AF363" s="1887"/>
      <c r="AG363" s="1135"/>
      <c r="AI363" s="278"/>
      <c r="AJ363" s="278"/>
      <c r="AK363" s="278"/>
      <c r="AL363" s="278"/>
      <c r="AM363" s="278"/>
      <c r="AN363" s="278"/>
      <c r="AO363" s="278"/>
      <c r="AP363" s="278"/>
      <c r="AQ363" s="278"/>
      <c r="AR363" s="278"/>
      <c r="AS363" s="278"/>
      <c r="AT363" s="278"/>
      <c r="AU363" s="278"/>
      <c r="AV363" s="278"/>
      <c r="AW363" s="278"/>
      <c r="AX363" s="278"/>
      <c r="AY363" s="278"/>
      <c r="BE363" s="19"/>
      <c r="BF363" s="10"/>
      <c r="BG363" s="1121" t="s">
        <v>110</v>
      </c>
      <c r="BH363" s="1122"/>
      <c r="BI363" s="1122"/>
      <c r="BJ363" s="256">
        <f>'Вывод расчетов'!ND129</f>
        <v>1</v>
      </c>
      <c r="BL363" s="253"/>
      <c r="CE363" s="305"/>
      <c r="CF363" s="1963" t="s">
        <v>821</v>
      </c>
      <c r="CG363" s="1963"/>
      <c r="CH363" s="1963"/>
      <c r="CI363" s="261" t="s">
        <v>111</v>
      </c>
      <c r="CJ363" s="184" t="s">
        <v>704</v>
      </c>
      <c r="CK363" s="16"/>
      <c r="CL363" s="12"/>
      <c r="CM363" s="1964"/>
      <c r="CN363" s="1964"/>
      <c r="CO363" s="1964"/>
      <c r="CP363" s="12"/>
      <c r="CQ363" s="12"/>
      <c r="CR363" s="1963" t="s">
        <v>819</v>
      </c>
      <c r="CS363" s="1963"/>
      <c r="CT363" s="1963"/>
      <c r="CU363" s="261" t="s">
        <v>111</v>
      </c>
      <c r="CV363" s="184" t="s">
        <v>704</v>
      </c>
      <c r="CW363" s="12"/>
      <c r="CX363" s="1968"/>
      <c r="CY363" s="1969"/>
      <c r="CZ363" s="1970"/>
      <c r="DA363" s="12"/>
      <c r="DB363" s="12"/>
      <c r="DC363" s="1963" t="s">
        <v>819</v>
      </c>
      <c r="DD363" s="1963"/>
      <c r="DE363" s="1963"/>
      <c r="DF363" s="261" t="s">
        <v>111</v>
      </c>
      <c r="DG363" s="184" t="s">
        <v>704</v>
      </c>
      <c r="DH363" s="12"/>
      <c r="DI363" s="1968"/>
      <c r="DJ363" s="1969"/>
      <c r="DK363" s="1969"/>
      <c r="DL363" s="1970"/>
      <c r="DM363" s="12"/>
      <c r="DN363" s="12"/>
      <c r="DO363" s="12"/>
      <c r="DP363" s="191"/>
    </row>
    <row r="364" spans="1:120" ht="48.75" customHeight="1">
      <c r="B364" s="1287" t="s">
        <v>642</v>
      </c>
      <c r="C364" s="1287" t="s">
        <v>548</v>
      </c>
      <c r="D364" s="1287"/>
      <c r="E364" s="1957"/>
      <c r="F364" s="1958"/>
      <c r="G364" s="1958"/>
      <c r="H364" s="1958"/>
      <c r="I364" s="1958"/>
      <c r="J364" s="1958"/>
      <c r="K364" s="1985"/>
      <c r="N364" s="1888"/>
      <c r="O364" s="176"/>
      <c r="P364" s="177"/>
      <c r="Q364" s="177"/>
      <c r="R364" s="177"/>
      <c r="S364" s="178"/>
      <c r="T364" s="1913"/>
      <c r="U364" s="1914"/>
      <c r="V364" s="1914"/>
      <c r="W364" s="1914"/>
      <c r="X364" s="1914"/>
      <c r="Y364" s="1914"/>
      <c r="Z364" s="1914"/>
      <c r="AA364" s="1915"/>
      <c r="AB364" s="1899"/>
      <c r="AC364" s="1902"/>
      <c r="AD364" s="1902"/>
      <c r="AE364" s="1902"/>
      <c r="AF364" s="1527"/>
      <c r="AG364" s="1527"/>
      <c r="AI364" s="278"/>
      <c r="AJ364" s="278"/>
      <c r="AK364" s="278"/>
      <c r="AL364" s="278"/>
      <c r="AM364" s="278"/>
      <c r="AN364" s="278"/>
      <c r="AO364" s="278"/>
      <c r="AP364" s="278"/>
      <c r="AQ364" s="278"/>
      <c r="AR364" s="278"/>
      <c r="AS364" s="278"/>
      <c r="AT364" s="278"/>
      <c r="AU364" s="278"/>
      <c r="AV364" s="278"/>
      <c r="AW364" s="278"/>
      <c r="AX364" s="278"/>
      <c r="AY364" s="278"/>
      <c r="BE364" s="19"/>
      <c r="BF364" s="10"/>
      <c r="BG364" s="1121" t="s">
        <v>105</v>
      </c>
      <c r="BH364" s="1122"/>
      <c r="BI364" s="1122"/>
      <c r="BJ364" s="256"/>
      <c r="BL364" s="253"/>
      <c r="CE364" s="305"/>
      <c r="CF364" s="329" t="s">
        <v>1117</v>
      </c>
      <c r="CG364" s="756" t="s">
        <v>111</v>
      </c>
      <c r="CH364" s="756"/>
      <c r="CI364" s="256"/>
      <c r="CJ364" s="253"/>
      <c r="CK364" s="12"/>
      <c r="CL364" s="12"/>
      <c r="CM364" s="1964"/>
      <c r="CN364" s="1964"/>
      <c r="CO364" s="1964"/>
      <c r="CP364" s="12"/>
      <c r="CQ364" s="12"/>
      <c r="CR364" s="329" t="s">
        <v>1117</v>
      </c>
      <c r="CS364" s="756" t="s">
        <v>111</v>
      </c>
      <c r="CT364" s="756"/>
      <c r="CU364" s="9"/>
      <c r="CV364" s="10"/>
      <c r="CW364" s="12"/>
      <c r="CX364" s="1968"/>
      <c r="CY364" s="1969"/>
      <c r="CZ364" s="1970"/>
      <c r="DA364" s="12"/>
      <c r="DB364" s="12"/>
      <c r="DC364" s="329" t="s">
        <v>1117</v>
      </c>
      <c r="DD364" s="756" t="s">
        <v>111</v>
      </c>
      <c r="DE364" s="756"/>
      <c r="DF364" s="254"/>
      <c r="DG364" s="270"/>
      <c r="DH364" s="12"/>
      <c r="DI364" s="1968"/>
      <c r="DJ364" s="1969"/>
      <c r="DK364" s="1969"/>
      <c r="DL364" s="1970"/>
      <c r="DM364" s="12"/>
      <c r="DN364" s="12"/>
      <c r="DO364" s="12"/>
      <c r="DP364" s="191"/>
    </row>
    <row r="365" spans="1:120" ht="48.75" customHeight="1">
      <c r="B365" s="1287"/>
      <c r="C365" s="1287"/>
      <c r="D365" s="1287"/>
      <c r="E365" s="1959"/>
      <c r="F365" s="1960"/>
      <c r="G365" s="1960"/>
      <c r="H365" s="1960"/>
      <c r="I365" s="1960"/>
      <c r="J365" s="1960"/>
      <c r="K365" s="1986"/>
      <c r="N365" s="1888"/>
      <c r="O365" s="176"/>
      <c r="P365" s="177"/>
      <c r="Q365" s="177"/>
      <c r="R365" s="177"/>
      <c r="S365" s="178"/>
      <c r="T365" s="1913"/>
      <c r="U365" s="1914"/>
      <c r="V365" s="1914"/>
      <c r="W365" s="1914"/>
      <c r="X365" s="1914"/>
      <c r="Y365" s="1914"/>
      <c r="Z365" s="1914"/>
      <c r="AA365" s="1915"/>
      <c r="AB365" s="1899"/>
      <c r="AC365" s="1902"/>
      <c r="AD365" s="1902"/>
      <c r="AE365" s="1902"/>
      <c r="AF365" s="1527"/>
      <c r="AG365" s="1527"/>
      <c r="AI365" s="278"/>
      <c r="AJ365" s="278"/>
      <c r="AK365" s="278"/>
      <c r="AL365" s="278"/>
      <c r="AM365" s="278"/>
      <c r="AN365" s="278"/>
      <c r="AO365" s="278"/>
      <c r="AP365" s="278"/>
      <c r="AQ365" s="278"/>
      <c r="AR365" s="278"/>
      <c r="AS365" s="278"/>
      <c r="AT365" s="278"/>
      <c r="AU365" s="278"/>
      <c r="AV365" s="278"/>
      <c r="AW365" s="278"/>
      <c r="AX365" s="278"/>
      <c r="AY365" s="278"/>
      <c r="BE365" s="19"/>
      <c r="BF365" s="10"/>
      <c r="BG365" s="1121" t="s">
        <v>105</v>
      </c>
      <c r="BH365" s="1122"/>
      <c r="BI365" s="1122"/>
      <c r="BJ365" s="256"/>
      <c r="BL365" s="253"/>
      <c r="BU365" s="756" t="s">
        <v>91</v>
      </c>
      <c r="BV365" s="756"/>
      <c r="BW365" s="756"/>
      <c r="BX365" s="756"/>
      <c r="BY365" s="756"/>
      <c r="BZ365" s="127"/>
      <c r="CE365" s="305"/>
      <c r="CF365" s="329" t="s">
        <v>1117</v>
      </c>
      <c r="CG365" s="756" t="s">
        <v>111</v>
      </c>
      <c r="CH365" s="756"/>
      <c r="CI365" s="256"/>
      <c r="CJ365" s="253"/>
      <c r="CK365" s="12"/>
      <c r="CL365" s="12"/>
      <c r="CM365" s="1964"/>
      <c r="CN365" s="1964"/>
      <c r="CO365" s="1964"/>
      <c r="CP365" s="12"/>
      <c r="CQ365" s="12"/>
      <c r="CR365" s="329" t="s">
        <v>1117</v>
      </c>
      <c r="CS365" s="756" t="s">
        <v>111</v>
      </c>
      <c r="CT365" s="756"/>
      <c r="CU365" s="9"/>
      <c r="CV365" s="10"/>
      <c r="CW365" s="12"/>
      <c r="CX365" s="1968"/>
      <c r="CY365" s="1969"/>
      <c r="CZ365" s="1970"/>
      <c r="DA365" s="12"/>
      <c r="DB365" s="12"/>
      <c r="DC365" s="329" t="s">
        <v>1117</v>
      </c>
      <c r="DD365" s="756" t="s">
        <v>111</v>
      </c>
      <c r="DE365" s="756"/>
      <c r="DF365" s="254"/>
      <c r="DG365" s="270"/>
      <c r="DH365" s="12"/>
      <c r="DI365" s="1968"/>
      <c r="DJ365" s="1969"/>
      <c r="DK365" s="1969"/>
      <c r="DL365" s="1970"/>
      <c r="DM365" s="12"/>
      <c r="DN365" s="12"/>
      <c r="DO365" s="12"/>
      <c r="DP365" s="191"/>
    </row>
    <row r="366" spans="1:120" ht="48.75" customHeight="1">
      <c r="B366" s="1287"/>
      <c r="C366" s="1287"/>
      <c r="D366" s="1287"/>
      <c r="E366" s="1961"/>
      <c r="F366" s="1962"/>
      <c r="G366" s="1962"/>
      <c r="H366" s="1962"/>
      <c r="I366" s="1962"/>
      <c r="J366" s="1962"/>
      <c r="K366" s="1987"/>
      <c r="N366" s="1888"/>
      <c r="O366" s="176"/>
      <c r="P366" s="177"/>
      <c r="Q366" s="177"/>
      <c r="R366" s="177"/>
      <c r="S366" s="178"/>
      <c r="T366" s="1913"/>
      <c r="U366" s="1914"/>
      <c r="V366" s="1914"/>
      <c r="W366" s="1914"/>
      <c r="X366" s="1914"/>
      <c r="Y366" s="1914"/>
      <c r="Z366" s="1914"/>
      <c r="AA366" s="1915"/>
      <c r="AB366" s="1899"/>
      <c r="AC366" s="1902"/>
      <c r="AD366" s="1902"/>
      <c r="AE366" s="1902"/>
      <c r="AF366" s="1527"/>
      <c r="AG366" s="1527"/>
      <c r="AI366" s="278"/>
      <c r="AJ366" s="278"/>
      <c r="AK366" s="278"/>
      <c r="AL366" s="278"/>
      <c r="AM366" s="278"/>
      <c r="AN366" s="278"/>
      <c r="AO366" s="278"/>
      <c r="AP366" s="278"/>
      <c r="AQ366" s="278"/>
      <c r="AR366" s="278"/>
      <c r="AS366" s="278"/>
      <c r="AT366" s="278"/>
      <c r="AU366" s="278"/>
      <c r="AV366" s="278"/>
      <c r="AW366" s="278"/>
      <c r="AX366" s="278"/>
      <c r="AY366" s="278"/>
      <c r="BE366" s="19"/>
      <c r="BF366" s="10"/>
      <c r="BG366" s="1121" t="s">
        <v>106</v>
      </c>
      <c r="BH366" s="1122"/>
      <c r="BI366" s="1122"/>
      <c r="BJ366" s="256"/>
      <c r="BL366" s="253"/>
      <c r="BU366" s="329" t="s">
        <v>1250</v>
      </c>
      <c r="BV366" s="1945" t="s">
        <v>92</v>
      </c>
      <c r="BW366" s="1945"/>
      <c r="BX366" s="252" t="e">
        <f>'Вывод расчетов'!#REF!</f>
        <v>#REF!</v>
      </c>
      <c r="BY366" s="1942" t="s">
        <v>1123</v>
      </c>
      <c r="BZ366" s="1943"/>
      <c r="CE366" s="305"/>
      <c r="CF366" s="329" t="s">
        <v>1117</v>
      </c>
      <c r="CG366" s="756" t="s">
        <v>111</v>
      </c>
      <c r="CH366" s="756"/>
      <c r="CI366" s="256"/>
      <c r="CJ366" s="253"/>
      <c r="CK366" s="12"/>
      <c r="CL366" s="12"/>
      <c r="CM366" s="1964"/>
      <c r="CN366" s="1964"/>
      <c r="CO366" s="1964"/>
      <c r="CP366" s="12"/>
      <c r="CQ366" s="12"/>
      <c r="CR366" s="329" t="s">
        <v>1117</v>
      </c>
      <c r="CS366" s="756" t="s">
        <v>111</v>
      </c>
      <c r="CT366" s="756"/>
      <c r="CU366" s="9"/>
      <c r="CV366" s="10"/>
      <c r="CW366" s="12"/>
      <c r="CX366" s="1968"/>
      <c r="CY366" s="1969"/>
      <c r="CZ366" s="1970"/>
      <c r="DA366" s="12"/>
      <c r="DB366" s="12"/>
      <c r="DC366" s="329" t="s">
        <v>1117</v>
      </c>
      <c r="DD366" s="756" t="s">
        <v>111</v>
      </c>
      <c r="DE366" s="756"/>
      <c r="DF366" s="254"/>
      <c r="DG366" s="270"/>
      <c r="DH366" s="12"/>
      <c r="DI366" s="1968"/>
      <c r="DJ366" s="1969"/>
      <c r="DK366" s="1969"/>
      <c r="DL366" s="1970"/>
      <c r="DM366" s="12"/>
      <c r="DN366" s="12"/>
      <c r="DO366" s="12"/>
      <c r="DP366" s="191"/>
    </row>
    <row r="367" spans="1:120" ht="48.75" customHeight="1">
      <c r="K367" s="12"/>
      <c r="N367" s="1888"/>
      <c r="O367" s="85"/>
      <c r="P367" s="86"/>
      <c r="Q367" s="86"/>
      <c r="R367" s="86"/>
      <c r="S367" s="87"/>
      <c r="T367" s="1916"/>
      <c r="U367" s="1917"/>
      <c r="V367" s="1917"/>
      <c r="W367" s="1917"/>
      <c r="X367" s="1917"/>
      <c r="Y367" s="1917"/>
      <c r="Z367" s="1917"/>
      <c r="AA367" s="1918"/>
      <c r="AB367" s="1900"/>
      <c r="AC367" s="1902"/>
      <c r="AD367" s="1902"/>
      <c r="AE367" s="1902"/>
      <c r="AF367" s="1527"/>
      <c r="AG367" s="1527"/>
      <c r="AI367" s="278"/>
      <c r="AJ367" s="278"/>
      <c r="AK367" s="278"/>
      <c r="AL367" s="278"/>
      <c r="AM367" s="278"/>
      <c r="AN367" s="278"/>
      <c r="AO367" s="278"/>
      <c r="AP367" s="278"/>
      <c r="AQ367" s="278"/>
      <c r="AR367" s="278"/>
      <c r="AS367" s="278"/>
      <c r="AT367" s="278"/>
      <c r="AU367" s="278"/>
      <c r="AV367" s="278"/>
      <c r="AW367" s="278"/>
      <c r="AX367" s="278"/>
      <c r="AY367" s="278"/>
      <c r="AZ367" s="278"/>
      <c r="BE367" s="19"/>
      <c r="BF367" s="10"/>
      <c r="BG367" s="1121" t="s">
        <v>107</v>
      </c>
      <c r="BH367" s="1122"/>
      <c r="BI367" s="1122"/>
      <c r="BJ367" s="256"/>
      <c r="BL367" s="253"/>
      <c r="BU367" s="329" t="s">
        <v>1250</v>
      </c>
      <c r="BV367" s="1945" t="s">
        <v>93</v>
      </c>
      <c r="BW367" s="1945"/>
      <c r="BX367" s="252" t="e">
        <f>'Вывод расчетов'!#REF!</f>
        <v>#REF!</v>
      </c>
      <c r="BY367" s="1942" t="s">
        <v>1126</v>
      </c>
      <c r="BZ367" s="1943"/>
      <c r="CE367" s="305"/>
      <c r="CF367" s="329" t="s">
        <v>1117</v>
      </c>
      <c r="CG367" s="756" t="s">
        <v>111</v>
      </c>
      <c r="CH367" s="756"/>
      <c r="CI367" s="256"/>
      <c r="CJ367" s="253"/>
      <c r="CK367" s="12"/>
      <c r="CL367" s="12"/>
      <c r="CM367" s="1964"/>
      <c r="CN367" s="1964"/>
      <c r="CO367" s="1964"/>
      <c r="CP367" s="12"/>
      <c r="CQ367" s="12"/>
      <c r="CR367" s="329" t="s">
        <v>1117</v>
      </c>
      <c r="CS367" s="756" t="s">
        <v>111</v>
      </c>
      <c r="CT367" s="756"/>
      <c r="CU367" s="9"/>
      <c r="CV367" s="10"/>
      <c r="CW367" s="12"/>
      <c r="CX367" s="1968"/>
      <c r="CY367" s="1969"/>
      <c r="CZ367" s="1970"/>
      <c r="DA367" s="12"/>
      <c r="DB367" s="12"/>
      <c r="DC367" s="329" t="s">
        <v>1117</v>
      </c>
      <c r="DD367" s="756" t="s">
        <v>111</v>
      </c>
      <c r="DE367" s="756"/>
      <c r="DF367" s="254"/>
      <c r="DG367" s="270"/>
      <c r="DH367" s="12"/>
      <c r="DI367" s="1968"/>
      <c r="DJ367" s="1969"/>
      <c r="DK367" s="1969"/>
      <c r="DL367" s="1970"/>
      <c r="DM367" s="12"/>
      <c r="DN367" s="12"/>
      <c r="DO367" s="12"/>
      <c r="DP367" s="191"/>
    </row>
    <row r="368" spans="1:120" ht="48.75" customHeight="1">
      <c r="K368" s="12"/>
      <c r="N368" s="1888">
        <v>4</v>
      </c>
      <c r="O368" s="82"/>
      <c r="P368" s="83"/>
      <c r="Q368" s="83"/>
      <c r="R368" s="83"/>
      <c r="S368" s="84"/>
      <c r="T368" s="1910"/>
      <c r="U368" s="1911"/>
      <c r="V368" s="1911"/>
      <c r="W368" s="1911"/>
      <c r="X368" s="1911"/>
      <c r="Y368" s="1911"/>
      <c r="Z368" s="1911"/>
      <c r="AA368" s="1912"/>
      <c r="AB368" s="1898" t="s">
        <v>653</v>
      </c>
      <c r="AC368" s="1902"/>
      <c r="AD368" s="1902"/>
      <c r="AE368" s="1902"/>
      <c r="AF368" s="399" t="s">
        <v>111</v>
      </c>
      <c r="AG368" s="184" t="s">
        <v>704</v>
      </c>
      <c r="AI368" s="278"/>
      <c r="AJ368" s="278"/>
      <c r="AK368" s="278"/>
      <c r="AL368" s="278"/>
      <c r="AM368" s="278"/>
      <c r="AN368" s="278"/>
      <c r="AO368" s="278"/>
      <c r="AP368" s="278"/>
      <c r="AQ368" s="278"/>
      <c r="AR368" s="278"/>
      <c r="AS368" s="278"/>
      <c r="AT368" s="278"/>
      <c r="AU368" s="278"/>
      <c r="AV368" s="278"/>
      <c r="AW368" s="278"/>
      <c r="AX368" s="278"/>
      <c r="AY368" s="278"/>
      <c r="AZ368" s="278"/>
      <c r="BE368" s="19"/>
      <c r="BF368" s="10"/>
      <c r="BG368" s="1121" t="s">
        <v>108</v>
      </c>
      <c r="BH368" s="1122"/>
      <c r="BI368" s="1122"/>
      <c r="BJ368" s="256"/>
      <c r="BL368" s="253"/>
      <c r="BU368" s="329" t="s">
        <v>1250</v>
      </c>
      <c r="BV368" s="1944" t="s">
        <v>94</v>
      </c>
      <c r="BW368" s="1944"/>
      <c r="BX368" s="252">
        <f>'Вывод расчетов'!GP57</f>
        <v>1.5</v>
      </c>
      <c r="BY368" s="1942" t="s">
        <v>1127</v>
      </c>
      <c r="BZ368" s="1943"/>
      <c r="CE368" s="305"/>
      <c r="CF368" s="12"/>
      <c r="CG368" s="12"/>
      <c r="CH368" s="12"/>
      <c r="CI368" s="12"/>
      <c r="CJ368" s="258"/>
      <c r="CK368" s="16"/>
      <c r="CL368" s="12"/>
      <c r="CM368" s="1964"/>
      <c r="CN368" s="1964"/>
      <c r="CO368" s="1964"/>
      <c r="CP368" s="12"/>
      <c r="CQ368" s="12"/>
      <c r="CR368" s="12"/>
      <c r="CS368" s="12"/>
      <c r="CT368" s="12"/>
      <c r="CU368" s="192"/>
      <c r="CV368" s="12"/>
      <c r="CW368" s="12"/>
      <c r="CX368" s="1968"/>
      <c r="CY368" s="1969"/>
      <c r="CZ368" s="1970"/>
      <c r="DA368" s="12"/>
      <c r="DB368" s="12"/>
      <c r="DC368" s="12"/>
      <c r="DD368" s="12"/>
      <c r="DE368" s="12"/>
      <c r="DF368" s="251"/>
      <c r="DG368" s="275"/>
      <c r="DH368" s="12"/>
      <c r="DI368" s="1968"/>
      <c r="DJ368" s="1969"/>
      <c r="DK368" s="1969"/>
      <c r="DL368" s="1970"/>
      <c r="DM368" s="12"/>
      <c r="DN368" s="12"/>
      <c r="DO368" s="12"/>
      <c r="DP368" s="191"/>
    </row>
    <row r="369" spans="3:121" ht="48.75" customHeight="1">
      <c r="K369" s="12"/>
      <c r="N369" s="1888"/>
      <c r="O369" s="176"/>
      <c r="P369" s="177"/>
      <c r="Q369" s="177"/>
      <c r="R369" s="177"/>
      <c r="S369" s="178"/>
      <c r="T369" s="1913"/>
      <c r="U369" s="1914"/>
      <c r="V369" s="1914"/>
      <c r="W369" s="1914"/>
      <c r="X369" s="1914"/>
      <c r="Y369" s="1914"/>
      <c r="Z369" s="1914"/>
      <c r="AA369" s="1915"/>
      <c r="AB369" s="1899"/>
      <c r="AC369" s="1902"/>
      <c r="AD369" s="1902"/>
      <c r="AE369" s="1902"/>
      <c r="AF369" s="1887"/>
      <c r="AG369" s="1135" t="s">
        <v>729</v>
      </c>
      <c r="AI369" s="278"/>
      <c r="AJ369" s="278"/>
      <c r="AK369" s="278"/>
      <c r="AL369" s="278"/>
      <c r="AM369" s="278"/>
      <c r="AN369" s="278"/>
      <c r="AO369" s="278"/>
      <c r="AP369" s="278"/>
      <c r="AQ369" s="278"/>
      <c r="AR369" s="278"/>
      <c r="AS369" s="278"/>
      <c r="AT369" s="278"/>
      <c r="AU369" s="278"/>
      <c r="AV369" s="278"/>
      <c r="AW369" s="278"/>
      <c r="AX369" s="278"/>
      <c r="AY369" s="278"/>
      <c r="AZ369" s="278"/>
      <c r="BA369" s="295"/>
      <c r="BE369" s="19"/>
      <c r="BF369" s="10"/>
      <c r="BG369" s="1121" t="s">
        <v>109</v>
      </c>
      <c r="BH369" s="1122"/>
      <c r="BI369" s="1122"/>
      <c r="BJ369" s="256" t="e">
        <f>(CI336/(3*CI332))*(BJ363)+(CI335/CI332+3*CI334/(CI332+2*CI333)+CI337/CI333)*BJ363</f>
        <v>#REF!</v>
      </c>
      <c r="BL369" s="253"/>
      <c r="BU369" s="329" t="s">
        <v>1250</v>
      </c>
      <c r="BV369" s="1944" t="s">
        <v>95</v>
      </c>
      <c r="BW369" s="1944"/>
      <c r="BX369" s="252" t="e">
        <f>'Вывод расчетов'!#REF!</f>
        <v>#REF!</v>
      </c>
      <c r="BY369" s="1942" t="s">
        <v>1120</v>
      </c>
      <c r="BZ369" s="1943"/>
      <c r="CE369" s="305"/>
      <c r="CF369" s="12"/>
      <c r="CG369" s="12"/>
      <c r="CH369" s="12"/>
      <c r="CI369" s="12"/>
      <c r="CJ369" s="258"/>
      <c r="CK369" s="16"/>
      <c r="CL369" s="12"/>
      <c r="CM369" s="1964"/>
      <c r="CN369" s="1964"/>
      <c r="CO369" s="1964"/>
      <c r="CP369" s="12"/>
      <c r="CQ369" s="12"/>
      <c r="CR369" s="12"/>
      <c r="CS369" s="12"/>
      <c r="CT369" s="12"/>
      <c r="CU369" s="192"/>
      <c r="CV369" s="12"/>
      <c r="CW369" s="12"/>
      <c r="CX369" s="1968"/>
      <c r="CY369" s="1969"/>
      <c r="CZ369" s="1970"/>
      <c r="DA369" s="12"/>
      <c r="DB369" s="12"/>
      <c r="DC369" s="12"/>
      <c r="DD369" s="12"/>
      <c r="DE369" s="12"/>
      <c r="DF369" s="12"/>
      <c r="DG369" s="12"/>
      <c r="DH369" s="12"/>
      <c r="DI369" s="12"/>
      <c r="DJ369" s="12"/>
      <c r="DK369" s="275"/>
      <c r="DL369" s="12"/>
      <c r="DM369" s="12"/>
      <c r="DN369" s="12"/>
      <c r="DO369" s="12"/>
      <c r="DP369" s="191"/>
    </row>
    <row r="370" spans="3:121" ht="48.75" customHeight="1">
      <c r="C370" s="12"/>
      <c r="D370" s="12"/>
      <c r="F370" s="12"/>
      <c r="G370" s="12"/>
      <c r="H370" s="12"/>
      <c r="I370" s="12"/>
      <c r="J370" s="12"/>
      <c r="K370" s="12"/>
      <c r="N370" s="1888"/>
      <c r="O370" s="176"/>
      <c r="P370" s="177"/>
      <c r="Q370" s="177"/>
      <c r="R370" s="177"/>
      <c r="S370" s="178"/>
      <c r="T370" s="1913"/>
      <c r="U370" s="1914"/>
      <c r="V370" s="1914"/>
      <c r="W370" s="1914"/>
      <c r="X370" s="1914"/>
      <c r="Y370" s="1914"/>
      <c r="Z370" s="1914"/>
      <c r="AA370" s="1915"/>
      <c r="AB370" s="1899"/>
      <c r="AC370" s="1902"/>
      <c r="AD370" s="1902"/>
      <c r="AE370" s="1902"/>
      <c r="AF370" s="1887"/>
      <c r="AG370" s="1135"/>
      <c r="AJ370" s="278"/>
      <c r="AK370" s="278"/>
      <c r="AL370" s="278"/>
      <c r="AM370" s="278"/>
      <c r="AO370" s="278"/>
      <c r="AP370" s="278"/>
      <c r="AQ370" s="278"/>
      <c r="AR370" s="278"/>
      <c r="AS370" s="278"/>
      <c r="AT370" s="278"/>
      <c r="AU370" s="278"/>
      <c r="AV370" s="278"/>
      <c r="AW370" s="278"/>
      <c r="AX370" s="278"/>
      <c r="AY370" s="278"/>
      <c r="AZ370" s="278"/>
      <c r="BA370" s="295"/>
      <c r="BE370" s="19"/>
      <c r="BF370" s="17"/>
      <c r="BI370" s="11"/>
      <c r="BU370" s="329" t="s">
        <v>1250</v>
      </c>
      <c r="BV370" s="1944" t="s">
        <v>96</v>
      </c>
      <c r="BW370" s="1944"/>
      <c r="BX370" s="252">
        <f>'Вывод расчетов'!GV89</f>
        <v>30.233859458483881</v>
      </c>
      <c r="BY370" s="1942" t="s">
        <v>1128</v>
      </c>
      <c r="BZ370" s="1943"/>
      <c r="CE370" s="305"/>
      <c r="CF370" s="12"/>
      <c r="CG370" s="12"/>
      <c r="CH370" s="12"/>
      <c r="CI370" s="12"/>
      <c r="CJ370" s="258"/>
      <c r="CK370" s="16"/>
      <c r="CL370" s="12"/>
      <c r="CM370" s="1964"/>
      <c r="CN370" s="1964"/>
      <c r="CO370" s="1964"/>
      <c r="CP370" s="12"/>
      <c r="CQ370" s="12"/>
      <c r="CR370" s="12"/>
      <c r="CS370" s="12"/>
      <c r="CT370" s="12"/>
      <c r="CU370" s="192"/>
      <c r="CV370" s="12"/>
      <c r="CW370" s="12"/>
      <c r="CX370" s="1968"/>
      <c r="CY370" s="1969"/>
      <c r="CZ370" s="1970"/>
      <c r="DA370" s="12"/>
      <c r="DB370" s="12"/>
      <c r="DC370" s="12"/>
      <c r="DD370" s="12"/>
      <c r="DE370" s="12"/>
      <c r="DF370" s="12"/>
      <c r="DG370" s="12"/>
      <c r="DH370" s="12"/>
      <c r="DI370" s="12"/>
      <c r="DJ370" s="12"/>
      <c r="DK370" s="275"/>
      <c r="DL370" s="12"/>
      <c r="DM370" s="12"/>
      <c r="DN370" s="12"/>
      <c r="DO370" s="12"/>
      <c r="DP370" s="191"/>
    </row>
    <row r="371" spans="3:121" ht="48.75" customHeight="1">
      <c r="N371" s="1888"/>
      <c r="O371" s="176"/>
      <c r="P371" s="177"/>
      <c r="Q371" s="177"/>
      <c r="R371" s="177"/>
      <c r="S371" s="178"/>
      <c r="T371" s="1913"/>
      <c r="U371" s="1914"/>
      <c r="V371" s="1914"/>
      <c r="W371" s="1914"/>
      <c r="X371" s="1914"/>
      <c r="Y371" s="1914"/>
      <c r="Z371" s="1914"/>
      <c r="AA371" s="1915"/>
      <c r="AB371" s="1899"/>
      <c r="AC371" s="1902"/>
      <c r="AD371" s="1902"/>
      <c r="AE371" s="1902"/>
      <c r="AF371" s="1527"/>
      <c r="AG371" s="1527"/>
      <c r="AH371" s="278"/>
      <c r="AJ371" s="278"/>
      <c r="AK371" s="278"/>
      <c r="AL371" s="278"/>
      <c r="AM371" s="278"/>
      <c r="AO371" s="278"/>
      <c r="AP371" s="278"/>
      <c r="AQ371" s="278"/>
      <c r="AR371" s="278"/>
      <c r="AS371" s="278"/>
      <c r="AT371" s="278"/>
      <c r="AU371" s="278"/>
      <c r="AV371" s="278"/>
      <c r="AW371" s="278"/>
      <c r="AX371" s="278"/>
      <c r="AY371" s="278"/>
      <c r="AZ371" s="278"/>
      <c r="BA371" s="295"/>
      <c r="BE371" s="19"/>
      <c r="BF371" s="17"/>
      <c r="BI371" s="11"/>
      <c r="BU371" s="329" t="s">
        <v>1250</v>
      </c>
      <c r="BV371" s="1944" t="s">
        <v>97</v>
      </c>
      <c r="BW371" s="1944"/>
      <c r="BX371" s="252">
        <f>'Вывод расчетов'!GW61</f>
        <v>0.7</v>
      </c>
      <c r="BY371" s="1942" t="s">
        <v>1129</v>
      </c>
      <c r="BZ371" s="1943"/>
      <c r="CE371" s="305"/>
      <c r="CF371" s="12"/>
      <c r="CG371" s="12"/>
      <c r="CH371" s="12"/>
      <c r="CI371" s="12"/>
      <c r="CJ371" s="258"/>
      <c r="CK371" s="16"/>
      <c r="CL371" s="12"/>
      <c r="CM371" s="1964"/>
      <c r="CN371" s="1964"/>
      <c r="CO371" s="1964"/>
      <c r="CP371" s="12"/>
      <c r="CQ371" s="12"/>
      <c r="CR371" s="12"/>
      <c r="CS371" s="12"/>
      <c r="CT371" s="12"/>
      <c r="CU371" s="192"/>
      <c r="CV371" s="12"/>
      <c r="CW371" s="12"/>
      <c r="CX371" s="1968"/>
      <c r="CY371" s="1969"/>
      <c r="CZ371" s="1970"/>
      <c r="DA371" s="12"/>
      <c r="DB371" s="12"/>
      <c r="DC371" s="12"/>
      <c r="DD371" s="12"/>
      <c r="DE371" s="12"/>
      <c r="DF371" s="192"/>
      <c r="DG371" s="12"/>
      <c r="DH371" s="12"/>
      <c r="DI371" s="12"/>
      <c r="DJ371" s="12"/>
      <c r="DK371" s="275"/>
      <c r="DL371" s="12"/>
      <c r="DM371" s="12"/>
      <c r="DN371" s="12"/>
      <c r="DO371" s="12"/>
      <c r="DP371" s="191"/>
    </row>
    <row r="372" spans="3:121" ht="48.75" customHeight="1">
      <c r="N372" s="1888"/>
      <c r="O372" s="176"/>
      <c r="P372" s="177"/>
      <c r="Q372" s="177"/>
      <c r="R372" s="177"/>
      <c r="S372" s="178"/>
      <c r="T372" s="1913"/>
      <c r="U372" s="1914"/>
      <c r="V372" s="1914"/>
      <c r="W372" s="1914"/>
      <c r="X372" s="1914"/>
      <c r="Y372" s="1914"/>
      <c r="Z372" s="1914"/>
      <c r="AA372" s="1915"/>
      <c r="AB372" s="1899"/>
      <c r="AC372" s="1902"/>
      <c r="AD372" s="1902"/>
      <c r="AE372" s="1902"/>
      <c r="AF372" s="1527"/>
      <c r="AG372" s="1527"/>
      <c r="AH372" s="278"/>
      <c r="AJ372" s="278"/>
      <c r="AK372" s="278"/>
      <c r="AL372" s="278"/>
      <c r="AM372" s="278"/>
      <c r="AO372" s="278"/>
      <c r="AP372" s="278"/>
      <c r="AQ372" s="278"/>
      <c r="AR372" s="278"/>
      <c r="AS372" s="278"/>
      <c r="AT372" s="278"/>
      <c r="AU372" s="278"/>
      <c r="AV372" s="278"/>
      <c r="AW372" s="278"/>
      <c r="AX372" s="278"/>
      <c r="AY372" s="278"/>
      <c r="AZ372" s="278"/>
      <c r="BE372" s="19"/>
      <c r="BF372" s="17"/>
      <c r="BI372" s="11"/>
      <c r="CE372" s="305"/>
      <c r="CF372" s="12"/>
      <c r="CG372" s="12"/>
      <c r="CH372" s="12"/>
      <c r="CI372" s="12"/>
      <c r="CJ372" s="258"/>
      <c r="CK372" s="16"/>
      <c r="CL372" s="12"/>
      <c r="CM372" s="12"/>
      <c r="CN372" s="12"/>
      <c r="CO372" s="12"/>
      <c r="CP372" s="12"/>
      <c r="CQ372" s="12"/>
      <c r="CR372" s="12"/>
      <c r="CS372" s="12"/>
      <c r="CT372" s="12"/>
      <c r="CU372" s="192"/>
      <c r="CV372" s="12"/>
      <c r="CW372" s="12"/>
      <c r="CX372" s="1971"/>
      <c r="CY372" s="1972"/>
      <c r="CZ372" s="1973"/>
      <c r="DA372" s="12"/>
      <c r="DB372" s="12"/>
      <c r="DC372" s="12"/>
      <c r="DD372" s="12"/>
      <c r="DE372" s="12"/>
      <c r="DF372" s="12"/>
      <c r="DG372" s="12"/>
      <c r="DH372" s="12"/>
      <c r="DI372" s="12"/>
      <c r="DJ372" s="251"/>
      <c r="DK372" s="275"/>
      <c r="DL372" s="12"/>
      <c r="DM372" s="12"/>
      <c r="DN372" s="12"/>
      <c r="DO372" s="12"/>
      <c r="DP372" s="191"/>
      <c r="DQ372" s="278"/>
    </row>
    <row r="373" spans="3:121" ht="48.75" customHeight="1">
      <c r="N373" s="1888"/>
      <c r="O373" s="176"/>
      <c r="P373" s="177"/>
      <c r="Q373" s="177"/>
      <c r="R373" s="177"/>
      <c r="S373" s="178"/>
      <c r="T373" s="1913"/>
      <c r="U373" s="1914"/>
      <c r="V373" s="1914"/>
      <c r="W373" s="1914"/>
      <c r="X373" s="1914"/>
      <c r="Y373" s="1914"/>
      <c r="Z373" s="1914"/>
      <c r="AA373" s="1915"/>
      <c r="AB373" s="1899"/>
      <c r="AC373" s="1902"/>
      <c r="AD373" s="1902"/>
      <c r="AE373" s="1902"/>
      <c r="AF373" s="1527"/>
      <c r="AG373" s="1527"/>
      <c r="AH373" s="278"/>
      <c r="AJ373" s="278"/>
      <c r="AK373" s="278"/>
      <c r="AL373" s="278"/>
      <c r="AM373" s="278"/>
      <c r="AN373" s="278"/>
      <c r="AO373" s="278"/>
      <c r="AP373" s="278"/>
      <c r="AQ373" s="278"/>
      <c r="AR373" s="278"/>
      <c r="AS373" s="278"/>
      <c r="AT373" s="278"/>
      <c r="AU373" s="278"/>
      <c r="AV373" s="278"/>
      <c r="AW373" s="278"/>
      <c r="AX373" s="278"/>
      <c r="AY373" s="278"/>
      <c r="AZ373" s="278"/>
      <c r="BE373" s="19"/>
      <c r="BF373" s="17"/>
      <c r="BI373" s="11"/>
      <c r="BL373" s="278"/>
      <c r="BM373" s="278"/>
      <c r="BN373" s="278"/>
      <c r="CE373" s="305"/>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91"/>
      <c r="DQ373" s="278"/>
    </row>
    <row r="374" spans="3:121" ht="48.75" customHeight="1">
      <c r="N374" s="1888"/>
      <c r="O374" s="85"/>
      <c r="P374" s="86"/>
      <c r="Q374" s="86"/>
      <c r="R374" s="86"/>
      <c r="S374" s="87"/>
      <c r="T374" s="1916"/>
      <c r="U374" s="1917"/>
      <c r="V374" s="1917"/>
      <c r="W374" s="1917"/>
      <c r="X374" s="1917"/>
      <c r="Y374" s="1917"/>
      <c r="Z374" s="1917"/>
      <c r="AA374" s="1918"/>
      <c r="AB374" s="1900"/>
      <c r="AC374" s="1902"/>
      <c r="AD374" s="1902"/>
      <c r="AE374" s="1902"/>
      <c r="AF374" s="1527"/>
      <c r="AG374" s="1527"/>
      <c r="AJ374" s="278"/>
      <c r="AK374" s="278"/>
      <c r="AL374" s="278"/>
      <c r="AM374" s="278"/>
      <c r="AN374" s="278"/>
      <c r="AO374" s="278"/>
      <c r="AP374" s="278"/>
      <c r="AQ374" s="278"/>
      <c r="AR374" s="278"/>
      <c r="AS374" s="278"/>
      <c r="AT374" s="278"/>
      <c r="AU374" s="278"/>
      <c r="AV374" s="278"/>
      <c r="BE374" s="19"/>
      <c r="BF374" s="200"/>
      <c r="BG374" s="1121"/>
      <c r="BH374" s="1122"/>
      <c r="BI374" s="1122"/>
      <c r="BJ374" s="200"/>
      <c r="BL374" s="278"/>
      <c r="BM374" s="278"/>
      <c r="BN374" s="278"/>
      <c r="CE374" s="305"/>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91"/>
      <c r="DQ374" s="278"/>
    </row>
    <row r="375" spans="3:121" ht="48.75" customHeight="1">
      <c r="N375" s="1888">
        <v>5</v>
      </c>
      <c r="O375" s="82"/>
      <c r="P375" s="83"/>
      <c r="Q375" s="83"/>
      <c r="R375" s="83"/>
      <c r="S375" s="84"/>
      <c r="T375" s="1909"/>
      <c r="U375" s="1909"/>
      <c r="V375" s="1909"/>
      <c r="W375" s="1909"/>
      <c r="X375" s="1909"/>
      <c r="Y375" s="1909"/>
      <c r="Z375" s="1909"/>
      <c r="AA375" s="1909"/>
      <c r="AB375" s="1902" t="s">
        <v>654</v>
      </c>
      <c r="AC375" s="1902"/>
      <c r="AD375" s="1902"/>
      <c r="AE375" s="1902"/>
      <c r="AF375" s="399" t="s">
        <v>111</v>
      </c>
      <c r="AG375" s="184" t="s">
        <v>704</v>
      </c>
      <c r="AJ375" s="278"/>
      <c r="AK375" s="278"/>
      <c r="AL375" s="278"/>
      <c r="AM375" s="278"/>
      <c r="AN375" s="278"/>
      <c r="AO375" s="278"/>
      <c r="AP375" s="278"/>
      <c r="AQ375" s="278"/>
      <c r="AR375" s="278"/>
      <c r="AS375" s="278"/>
      <c r="AT375" s="278"/>
      <c r="BF375" s="200"/>
      <c r="BG375" s="1121" t="s">
        <v>105</v>
      </c>
      <c r="BH375" s="1122"/>
      <c r="BI375" s="1122"/>
      <c r="BJ375" s="201" t="e">
        <f>(CI353/(3*CI351)*(1-(3.14*CI351^2)/(8*'Вывод расчетов'!GT98))^2+0.66-CI352/(2*CI351))*1+CI354/CI352</f>
        <v>#REF!</v>
      </c>
      <c r="BL375" s="278"/>
      <c r="BM375" s="278"/>
      <c r="BN375" s="278"/>
      <c r="CE375" s="305"/>
      <c r="CF375" s="12"/>
      <c r="CG375" s="12"/>
      <c r="CH375" s="12"/>
      <c r="CI375" s="12"/>
      <c r="CJ375" s="258"/>
      <c r="CK375" s="16"/>
      <c r="CL375" s="12"/>
      <c r="CM375" s="1964"/>
      <c r="CN375" s="1964"/>
      <c r="CO375" s="1964"/>
      <c r="CP375" s="12"/>
      <c r="CQ375" s="12"/>
      <c r="CR375" s="12"/>
      <c r="CS375" s="12"/>
      <c r="CT375" s="12"/>
      <c r="CU375" s="192"/>
      <c r="CV375" s="12"/>
      <c r="CW375" s="12"/>
      <c r="CX375" s="1965"/>
      <c r="CY375" s="1966"/>
      <c r="CZ375" s="1966"/>
      <c r="DA375" s="1967"/>
      <c r="DB375" s="12"/>
      <c r="DC375" s="12"/>
      <c r="DD375" s="12"/>
      <c r="DE375" s="12"/>
      <c r="DF375" s="12"/>
      <c r="DG375" s="251"/>
      <c r="DH375" s="275"/>
      <c r="DI375" s="12"/>
      <c r="DJ375" s="1965"/>
      <c r="DK375" s="1966"/>
      <c r="DL375" s="1966"/>
      <c r="DM375" s="1967"/>
      <c r="DN375" s="12"/>
      <c r="DO375" s="12"/>
      <c r="DP375" s="191"/>
      <c r="DQ375" s="278"/>
    </row>
    <row r="376" spans="3:121" ht="48.75" customHeight="1">
      <c r="N376" s="1888"/>
      <c r="O376" s="176"/>
      <c r="P376" s="177"/>
      <c r="Q376" s="177"/>
      <c r="R376" s="177"/>
      <c r="S376" s="178"/>
      <c r="T376" s="1909"/>
      <c r="U376" s="1909"/>
      <c r="V376" s="1909"/>
      <c r="W376" s="1909"/>
      <c r="X376" s="1909"/>
      <c r="Y376" s="1909"/>
      <c r="Z376" s="1909"/>
      <c r="AA376" s="1909"/>
      <c r="AB376" s="1902"/>
      <c r="AC376" s="1902"/>
      <c r="AD376" s="1902"/>
      <c r="AE376" s="1902"/>
      <c r="AF376" s="1887"/>
      <c r="AG376" s="1135" t="s">
        <v>729</v>
      </c>
      <c r="AH376" s="278"/>
      <c r="AJ376" s="278"/>
      <c r="AK376" s="278"/>
      <c r="AL376" s="278"/>
      <c r="AM376" s="278"/>
      <c r="AN376" s="278"/>
      <c r="AO376" s="278"/>
      <c r="BF376" s="200"/>
      <c r="BG376" s="1121" t="s">
        <v>106</v>
      </c>
      <c r="BH376" s="1122"/>
      <c r="BI376" s="1122"/>
      <c r="BJ376" s="256"/>
      <c r="BL376" s="278"/>
      <c r="BM376" s="278"/>
      <c r="BN376" s="278"/>
      <c r="CE376" s="305"/>
      <c r="CF376" s="1963" t="s">
        <v>5</v>
      </c>
      <c r="CG376" s="1963"/>
      <c r="CH376" s="1963"/>
      <c r="CI376" s="261" t="s">
        <v>111</v>
      </c>
      <c r="CJ376" s="184" t="s">
        <v>704</v>
      </c>
      <c r="CK376" s="16"/>
      <c r="CL376" s="12"/>
      <c r="CM376" s="1964"/>
      <c r="CN376" s="1964"/>
      <c r="CO376" s="1964"/>
      <c r="CP376" s="12"/>
      <c r="CQ376" s="12"/>
      <c r="CR376" s="1963" t="s">
        <v>826</v>
      </c>
      <c r="CS376" s="1963"/>
      <c r="CT376" s="1963"/>
      <c r="CU376" s="261" t="s">
        <v>111</v>
      </c>
      <c r="CV376" s="184" t="s">
        <v>704</v>
      </c>
      <c r="CW376" s="12"/>
      <c r="CX376" s="1968"/>
      <c r="CY376" s="1969"/>
      <c r="CZ376" s="1969"/>
      <c r="DA376" s="1970"/>
      <c r="DB376" s="12"/>
      <c r="DC376" s="12"/>
      <c r="DD376" s="1963" t="s">
        <v>825</v>
      </c>
      <c r="DE376" s="1963"/>
      <c r="DF376" s="1963"/>
      <c r="DG376" s="261" t="s">
        <v>111</v>
      </c>
      <c r="DH376" s="184" t="s">
        <v>704</v>
      </c>
      <c r="DI376" s="12"/>
      <c r="DJ376" s="1968"/>
      <c r="DK376" s="1969"/>
      <c r="DL376" s="1969"/>
      <c r="DM376" s="1970"/>
      <c r="DN376" s="12"/>
      <c r="DO376" s="12"/>
      <c r="DP376" s="191"/>
      <c r="DQ376" s="278"/>
    </row>
    <row r="377" spans="3:121" ht="48.75" customHeight="1">
      <c r="N377" s="1888"/>
      <c r="O377" s="176"/>
      <c r="P377" s="177"/>
      <c r="Q377" s="177"/>
      <c r="R377" s="177"/>
      <c r="S377" s="178"/>
      <c r="T377" s="1909"/>
      <c r="U377" s="1909"/>
      <c r="V377" s="1909"/>
      <c r="W377" s="1909"/>
      <c r="X377" s="1909"/>
      <c r="Y377" s="1909"/>
      <c r="Z377" s="1909"/>
      <c r="AA377" s="1909"/>
      <c r="AB377" s="1902"/>
      <c r="AC377" s="1902"/>
      <c r="AD377" s="1902"/>
      <c r="AE377" s="1902"/>
      <c r="AF377" s="1887"/>
      <c r="AG377" s="1135"/>
      <c r="AH377" s="278"/>
      <c r="AJ377" s="278"/>
      <c r="AK377" s="278"/>
      <c r="AL377" s="278"/>
      <c r="AM377" s="278"/>
      <c r="AN377" s="278"/>
      <c r="AO377" s="278"/>
      <c r="BF377" s="200"/>
      <c r="BG377" s="1121" t="s">
        <v>107</v>
      </c>
      <c r="BH377" s="1122"/>
      <c r="BI377" s="1122"/>
      <c r="BJ377" s="256"/>
      <c r="BL377" s="278"/>
      <c r="BM377" s="278"/>
      <c r="BN377" s="278"/>
      <c r="CE377" s="305"/>
      <c r="CF377" s="329" t="s">
        <v>1117</v>
      </c>
      <c r="CG377" s="756" t="s">
        <v>111</v>
      </c>
      <c r="CH377" s="756"/>
      <c r="CI377" s="256"/>
      <c r="CJ377" s="253"/>
      <c r="CK377" s="12"/>
      <c r="CL377" s="12"/>
      <c r="CM377" s="1964"/>
      <c r="CN377" s="1964"/>
      <c r="CO377" s="1964"/>
      <c r="CP377" s="12"/>
      <c r="CQ377" s="12"/>
      <c r="CR377" s="329" t="s">
        <v>1117</v>
      </c>
      <c r="CS377" s="756" t="s">
        <v>104</v>
      </c>
      <c r="CT377" s="756"/>
      <c r="CU377" s="9"/>
      <c r="CV377" s="10"/>
      <c r="CW377" s="12"/>
      <c r="CX377" s="1968"/>
      <c r="CY377" s="1969"/>
      <c r="CZ377" s="1969"/>
      <c r="DA377" s="1970"/>
      <c r="DB377" s="12"/>
      <c r="DC377" s="12"/>
      <c r="DD377" s="329" t="s">
        <v>1117</v>
      </c>
      <c r="DE377" s="756" t="s">
        <v>111</v>
      </c>
      <c r="DF377" s="756"/>
      <c r="DG377" s="254"/>
      <c r="DH377" s="270"/>
      <c r="DI377" s="12"/>
      <c r="DJ377" s="1968"/>
      <c r="DK377" s="1969"/>
      <c r="DL377" s="1969"/>
      <c r="DM377" s="1970"/>
      <c r="DN377" s="12"/>
      <c r="DO377" s="12"/>
      <c r="DP377" s="191"/>
      <c r="DQ377" s="278"/>
    </row>
    <row r="378" spans="3:121" ht="48.75" customHeight="1">
      <c r="N378" s="1888"/>
      <c r="O378" s="176"/>
      <c r="P378" s="177"/>
      <c r="Q378" s="177"/>
      <c r="R378" s="177"/>
      <c r="S378" s="178"/>
      <c r="T378" s="1909"/>
      <c r="U378" s="1909"/>
      <c r="V378" s="1909"/>
      <c r="W378" s="1909"/>
      <c r="X378" s="1909"/>
      <c r="Y378" s="1909"/>
      <c r="Z378" s="1909"/>
      <c r="AA378" s="1909"/>
      <c r="AB378" s="1902"/>
      <c r="AC378" s="1902"/>
      <c r="AD378" s="1902"/>
      <c r="AE378" s="1902"/>
      <c r="AF378" s="1527"/>
      <c r="AG378" s="1527"/>
      <c r="AH378" s="278"/>
      <c r="AJ378" s="278"/>
      <c r="AK378" s="278"/>
      <c r="AL378" s="278"/>
      <c r="AM378" s="278"/>
      <c r="BF378" s="200"/>
      <c r="BG378" s="1121" t="s">
        <v>115</v>
      </c>
      <c r="BH378" s="1122"/>
      <c r="BI378" s="1122"/>
      <c r="BJ378" s="256"/>
      <c r="BL378" s="278"/>
      <c r="BM378" s="278"/>
      <c r="BN378" s="278"/>
      <c r="CE378" s="305"/>
      <c r="CF378" s="329" t="s">
        <v>1117</v>
      </c>
      <c r="CG378" s="756" t="s">
        <v>111</v>
      </c>
      <c r="CH378" s="756"/>
      <c r="CI378" s="256"/>
      <c r="CJ378" s="253"/>
      <c r="CK378" s="12"/>
      <c r="CL378" s="12"/>
      <c r="CM378" s="1964"/>
      <c r="CN378" s="1964"/>
      <c r="CO378" s="1964"/>
      <c r="CP378" s="12"/>
      <c r="CQ378" s="12"/>
      <c r="CR378" s="329" t="s">
        <v>1117</v>
      </c>
      <c r="CS378" s="756" t="s">
        <v>104</v>
      </c>
      <c r="CT378" s="756"/>
      <c r="CU378" s="9"/>
      <c r="CV378" s="10"/>
      <c r="CW378" s="12"/>
      <c r="CX378" s="1968"/>
      <c r="CY378" s="1969"/>
      <c r="CZ378" s="1969"/>
      <c r="DA378" s="1970"/>
      <c r="DB378" s="12"/>
      <c r="DC378" s="12"/>
      <c r="DD378" s="329" t="s">
        <v>1117</v>
      </c>
      <c r="DE378" s="756" t="s">
        <v>111</v>
      </c>
      <c r="DF378" s="756"/>
      <c r="DG378" s="254"/>
      <c r="DH378" s="270"/>
      <c r="DI378" s="12"/>
      <c r="DJ378" s="1968"/>
      <c r="DK378" s="1969"/>
      <c r="DL378" s="1969"/>
      <c r="DM378" s="1970"/>
      <c r="DN378" s="12"/>
      <c r="DO378" s="12"/>
      <c r="DP378" s="191"/>
    </row>
    <row r="379" spans="3:121" ht="48.75" customHeight="1">
      <c r="N379" s="1888"/>
      <c r="O379" s="176"/>
      <c r="P379" s="177"/>
      <c r="Q379" s="177"/>
      <c r="R379" s="177"/>
      <c r="S379" s="178"/>
      <c r="T379" s="1909"/>
      <c r="U379" s="1909"/>
      <c r="V379" s="1909"/>
      <c r="W379" s="1909"/>
      <c r="X379" s="1909"/>
      <c r="Y379" s="1909"/>
      <c r="Z379" s="1909"/>
      <c r="AA379" s="1909"/>
      <c r="AB379" s="1902"/>
      <c r="AC379" s="1902"/>
      <c r="AD379" s="1902"/>
      <c r="AE379" s="1902"/>
      <c r="AF379" s="1527"/>
      <c r="AG379" s="1527"/>
      <c r="AH379" s="278"/>
      <c r="AJ379" s="278"/>
      <c r="AK379" s="278"/>
      <c r="AL379" s="278"/>
      <c r="AM379" s="278"/>
      <c r="BF379" s="200"/>
      <c r="BG379" s="1121" t="s">
        <v>116</v>
      </c>
      <c r="BH379" s="1122"/>
      <c r="BI379" s="1122"/>
      <c r="BJ379" s="256"/>
      <c r="BL379" s="278"/>
      <c r="BM379" s="278"/>
      <c r="BN379" s="278"/>
      <c r="CE379" s="305"/>
      <c r="CF379" s="329" t="s">
        <v>1117</v>
      </c>
      <c r="CG379" s="756" t="s">
        <v>111</v>
      </c>
      <c r="CH379" s="756"/>
      <c r="CI379" s="256"/>
      <c r="CJ379" s="253"/>
      <c r="CK379" s="12"/>
      <c r="CL379" s="12"/>
      <c r="CM379" s="1964"/>
      <c r="CN379" s="1964"/>
      <c r="CO379" s="1964"/>
      <c r="CP379" s="12"/>
      <c r="CQ379" s="12"/>
      <c r="CR379" s="329" t="s">
        <v>1117</v>
      </c>
      <c r="CS379" s="756" t="s">
        <v>88</v>
      </c>
      <c r="CT379" s="756"/>
      <c r="CU379" s="9"/>
      <c r="CV379" s="10"/>
      <c r="CW379" s="12"/>
      <c r="CX379" s="1968"/>
      <c r="CY379" s="1969"/>
      <c r="CZ379" s="1969"/>
      <c r="DA379" s="1970"/>
      <c r="DB379" s="12"/>
      <c r="DC379" s="12"/>
      <c r="DD379" s="329" t="s">
        <v>1117</v>
      </c>
      <c r="DE379" s="756" t="s">
        <v>111</v>
      </c>
      <c r="DF379" s="756"/>
      <c r="DG379" s="254"/>
      <c r="DH379" s="270"/>
      <c r="DI379" s="12"/>
      <c r="DJ379" s="1968"/>
      <c r="DK379" s="1969"/>
      <c r="DL379" s="1969"/>
      <c r="DM379" s="1970"/>
      <c r="DN379" s="12"/>
      <c r="DO379" s="12"/>
      <c r="DP379" s="191"/>
    </row>
    <row r="380" spans="3:121" ht="48.75" customHeight="1">
      <c r="N380" s="1888"/>
      <c r="O380" s="176"/>
      <c r="P380" s="177"/>
      <c r="Q380" s="177"/>
      <c r="R380" s="177"/>
      <c r="S380" s="178"/>
      <c r="T380" s="1909"/>
      <c r="U380" s="1909"/>
      <c r="V380" s="1909"/>
      <c r="W380" s="1909"/>
      <c r="X380" s="1909"/>
      <c r="Y380" s="1909"/>
      <c r="Z380" s="1909"/>
      <c r="AA380" s="1909"/>
      <c r="AB380" s="1902"/>
      <c r="AC380" s="1902"/>
      <c r="AD380" s="1902"/>
      <c r="AE380" s="1902"/>
      <c r="AF380" s="1527"/>
      <c r="AG380" s="1527"/>
      <c r="AH380" s="278"/>
      <c r="AJ380" s="278"/>
      <c r="AK380" s="278"/>
      <c r="AL380" s="278"/>
      <c r="AM380" s="278"/>
      <c r="BF380" s="200"/>
      <c r="BG380" s="1121" t="s">
        <v>117</v>
      </c>
      <c r="BH380" s="1122"/>
      <c r="BI380" s="1122"/>
      <c r="BJ380" s="256"/>
      <c r="BL380" s="278"/>
      <c r="BM380" s="278"/>
      <c r="BN380" s="278"/>
      <c r="CE380" s="305"/>
      <c r="CF380" s="329" t="s">
        <v>1117</v>
      </c>
      <c r="CG380" s="756" t="s">
        <v>111</v>
      </c>
      <c r="CH380" s="756"/>
      <c r="CI380" s="256"/>
      <c r="CJ380" s="253"/>
      <c r="CK380" s="12"/>
      <c r="CL380" s="12"/>
      <c r="CM380" s="1964"/>
      <c r="CN380" s="1964"/>
      <c r="CO380" s="1964"/>
      <c r="CP380" s="12"/>
      <c r="CQ380" s="12"/>
      <c r="CR380" s="329" t="s">
        <v>1117</v>
      </c>
      <c r="CS380" s="756" t="s">
        <v>46</v>
      </c>
      <c r="CT380" s="756"/>
      <c r="CU380" s="9"/>
      <c r="CV380" s="10"/>
      <c r="CW380" s="12"/>
      <c r="CX380" s="1968"/>
      <c r="CY380" s="1969"/>
      <c r="CZ380" s="1969"/>
      <c r="DA380" s="1970"/>
      <c r="DB380" s="12"/>
      <c r="DC380" s="12"/>
      <c r="DD380" s="12"/>
      <c r="DE380" s="12"/>
      <c r="DF380" s="12"/>
      <c r="DG380" s="12"/>
      <c r="DH380" s="12"/>
      <c r="DI380" s="12"/>
      <c r="DJ380" s="1968"/>
      <c r="DK380" s="1969"/>
      <c r="DL380" s="1969"/>
      <c r="DM380" s="1970"/>
      <c r="DN380" s="12"/>
      <c r="DO380" s="12"/>
      <c r="DP380" s="191"/>
    </row>
    <row r="381" spans="3:121" ht="48.75" customHeight="1">
      <c r="N381" s="1888"/>
      <c r="O381" s="85"/>
      <c r="P381" s="86"/>
      <c r="Q381" s="86"/>
      <c r="R381" s="86"/>
      <c r="S381" s="87"/>
      <c r="T381" s="1909"/>
      <c r="U381" s="1909"/>
      <c r="V381" s="1909"/>
      <c r="W381" s="1909"/>
      <c r="X381" s="1909"/>
      <c r="Y381" s="1909"/>
      <c r="Z381" s="1909"/>
      <c r="AA381" s="1909"/>
      <c r="AB381" s="1902"/>
      <c r="AC381" s="1902"/>
      <c r="AD381" s="1902"/>
      <c r="AE381" s="1902"/>
      <c r="AF381" s="1527"/>
      <c r="AG381" s="1527"/>
      <c r="AH381" s="278"/>
      <c r="AJ381" s="278"/>
      <c r="AK381" s="278"/>
      <c r="AL381" s="278"/>
      <c r="AM381" s="278"/>
      <c r="BF381" s="200"/>
      <c r="BG381" s="1121" t="s">
        <v>118</v>
      </c>
      <c r="BH381" s="1122"/>
      <c r="BI381" s="1122"/>
      <c r="BJ381" s="200"/>
      <c r="BL381" s="278"/>
      <c r="BM381" s="278"/>
      <c r="BN381" s="278"/>
      <c r="CE381" s="305"/>
      <c r="CF381" s="12"/>
      <c r="CG381" s="12"/>
      <c r="CH381" s="12"/>
      <c r="CI381" s="12"/>
      <c r="CJ381" s="258"/>
      <c r="CK381" s="16"/>
      <c r="CL381" s="12"/>
      <c r="CM381" s="1964"/>
      <c r="CN381" s="1964"/>
      <c r="CO381" s="1964"/>
      <c r="CP381" s="12"/>
      <c r="CQ381" s="12"/>
      <c r="CR381" s="329" t="s">
        <v>1117</v>
      </c>
      <c r="CS381" s="756" t="s">
        <v>86</v>
      </c>
      <c r="CT381" s="756"/>
      <c r="CU381" s="10"/>
      <c r="CV381" s="10"/>
      <c r="CW381" s="12"/>
      <c r="CX381" s="1968"/>
      <c r="CY381" s="1969"/>
      <c r="CZ381" s="1969"/>
      <c r="DA381" s="1970"/>
      <c r="DB381" s="12"/>
      <c r="DC381" s="12"/>
      <c r="DD381" s="12"/>
      <c r="DE381" s="12"/>
      <c r="DF381" s="12"/>
      <c r="DG381" s="251"/>
      <c r="DH381" s="275"/>
      <c r="DI381" s="12"/>
      <c r="DJ381" s="1971"/>
      <c r="DK381" s="1972"/>
      <c r="DL381" s="1972"/>
      <c r="DM381" s="1973"/>
      <c r="DN381" s="12"/>
      <c r="DO381" s="12"/>
      <c r="DP381" s="191"/>
    </row>
    <row r="382" spans="3:121" ht="48.75" customHeight="1">
      <c r="N382" s="1888">
        <v>6</v>
      </c>
      <c r="O382" s="82"/>
      <c r="P382" s="83"/>
      <c r="Q382" s="83"/>
      <c r="R382" s="83"/>
      <c r="S382" s="84"/>
      <c r="T382" s="1909"/>
      <c r="U382" s="1909"/>
      <c r="V382" s="1909"/>
      <c r="W382" s="1909"/>
      <c r="X382" s="1909"/>
      <c r="Y382" s="1909"/>
      <c r="Z382" s="1909"/>
      <c r="AA382" s="1909"/>
      <c r="AB382" s="1902" t="s">
        <v>654</v>
      </c>
      <c r="AC382" s="1902"/>
      <c r="AD382" s="1902"/>
      <c r="AE382" s="1902"/>
      <c r="AF382" s="399" t="s">
        <v>111</v>
      </c>
      <c r="AG382" s="184" t="s">
        <v>704</v>
      </c>
      <c r="AH382" s="278"/>
      <c r="AJ382" s="278"/>
      <c r="AK382" s="278"/>
      <c r="AL382" s="278"/>
      <c r="AM382" s="278"/>
      <c r="BE382" s="277"/>
      <c r="BF382" s="17"/>
      <c r="BI382" s="11"/>
      <c r="BL382" s="278"/>
      <c r="BM382" s="278"/>
      <c r="BN382" s="278"/>
      <c r="CE382" s="305"/>
      <c r="CF382" s="12"/>
      <c r="CG382" s="12"/>
      <c r="CH382" s="12"/>
      <c r="CI382" s="12"/>
      <c r="CJ382" s="258"/>
      <c r="CK382" s="16"/>
      <c r="CL382" s="12"/>
      <c r="CM382" s="1964"/>
      <c r="CN382" s="1964"/>
      <c r="CO382" s="1964"/>
      <c r="CP382" s="12"/>
      <c r="CQ382" s="12"/>
      <c r="CR382" s="12"/>
      <c r="CS382" s="192"/>
      <c r="CT382" s="192"/>
      <c r="CU382" s="192"/>
      <c r="CV382" s="192"/>
      <c r="CW382" s="12"/>
      <c r="CX382" s="1968"/>
      <c r="CY382" s="1969"/>
      <c r="CZ382" s="1969"/>
      <c r="DA382" s="1970"/>
      <c r="DB382" s="12"/>
      <c r="DC382" s="12"/>
      <c r="DD382" s="12"/>
      <c r="DE382" s="12"/>
      <c r="DF382" s="12"/>
      <c r="DG382" s="12"/>
      <c r="DH382" s="12"/>
      <c r="DI382" s="12"/>
      <c r="DJ382" s="12"/>
      <c r="DK382" s="12"/>
      <c r="DL382" s="12"/>
      <c r="DM382" s="12"/>
      <c r="DN382" s="12"/>
      <c r="DO382" s="12"/>
      <c r="DP382" s="191"/>
    </row>
    <row r="383" spans="3:121" ht="48.75" customHeight="1">
      <c r="N383" s="1888"/>
      <c r="O383" s="176"/>
      <c r="P383" s="177"/>
      <c r="Q383" s="177"/>
      <c r="R383" s="177"/>
      <c r="S383" s="178"/>
      <c r="T383" s="1909"/>
      <c r="U383" s="1909"/>
      <c r="V383" s="1909"/>
      <c r="W383" s="1909"/>
      <c r="X383" s="1909"/>
      <c r="Y383" s="1909"/>
      <c r="Z383" s="1909"/>
      <c r="AA383" s="1909"/>
      <c r="AB383" s="1902"/>
      <c r="AC383" s="1902"/>
      <c r="AD383" s="1902"/>
      <c r="AE383" s="1902"/>
      <c r="AF383" s="1887"/>
      <c r="AG383" s="1135" t="s">
        <v>729</v>
      </c>
      <c r="AJ383" s="278"/>
      <c r="AK383" s="278"/>
      <c r="AL383" s="278"/>
      <c r="AM383" s="278"/>
      <c r="BE383" s="19"/>
      <c r="BF383" s="17"/>
      <c r="BI383" s="11"/>
      <c r="BL383" s="278"/>
      <c r="BM383" s="278"/>
      <c r="BN383" s="278"/>
      <c r="CE383" s="305"/>
      <c r="CF383" s="12"/>
      <c r="CG383" s="12"/>
      <c r="CH383" s="12"/>
      <c r="CI383" s="12"/>
      <c r="CJ383" s="258"/>
      <c r="CK383" s="16"/>
      <c r="CL383" s="12"/>
      <c r="CM383" s="1964"/>
      <c r="CN383" s="1964"/>
      <c r="CO383" s="1964"/>
      <c r="CP383" s="12"/>
      <c r="CQ383" s="12"/>
      <c r="CR383" s="12"/>
      <c r="CS383" s="192"/>
      <c r="CT383" s="192"/>
      <c r="CU383" s="192"/>
      <c r="CV383" s="192"/>
      <c r="CW383" s="12"/>
      <c r="CX383" s="1968"/>
      <c r="CY383" s="1969"/>
      <c r="CZ383" s="1969"/>
      <c r="DA383" s="1970"/>
      <c r="DB383" s="12"/>
      <c r="DC383" s="12"/>
      <c r="DD383" s="12"/>
      <c r="DE383" s="12"/>
      <c r="DF383" s="12"/>
      <c r="DG383" s="12"/>
      <c r="DH383" s="12"/>
      <c r="DI383" s="12"/>
      <c r="DJ383" s="12"/>
      <c r="DK383" s="12"/>
      <c r="DL383" s="12"/>
      <c r="DM383" s="12"/>
      <c r="DN383" s="12"/>
      <c r="DO383" s="12"/>
      <c r="DP383" s="191"/>
    </row>
    <row r="384" spans="3:121" ht="48.75" customHeight="1">
      <c r="N384" s="1888"/>
      <c r="O384" s="176"/>
      <c r="P384" s="177"/>
      <c r="Q384" s="177"/>
      <c r="R384" s="177"/>
      <c r="S384" s="178"/>
      <c r="T384" s="1909"/>
      <c r="U384" s="1909"/>
      <c r="V384" s="1909"/>
      <c r="W384" s="1909"/>
      <c r="X384" s="1909"/>
      <c r="Y384" s="1909"/>
      <c r="Z384" s="1909"/>
      <c r="AA384" s="1909"/>
      <c r="AB384" s="1902"/>
      <c r="AC384" s="1902"/>
      <c r="AD384" s="1902"/>
      <c r="AE384" s="1902"/>
      <c r="AF384" s="1887"/>
      <c r="AG384" s="1135"/>
      <c r="AJ384" s="278"/>
      <c r="AK384" s="278"/>
      <c r="AL384" s="278"/>
      <c r="AM384" s="278"/>
      <c r="BE384" s="19"/>
      <c r="BF384" s="17"/>
      <c r="BI384" s="11"/>
      <c r="BL384" s="278"/>
      <c r="BM384" s="278"/>
      <c r="BN384" s="278"/>
      <c r="CE384" s="305"/>
      <c r="CF384" s="12"/>
      <c r="CG384" s="12"/>
      <c r="CH384" s="12"/>
      <c r="CI384" s="12"/>
      <c r="CJ384" s="258"/>
      <c r="CK384" s="16"/>
      <c r="CL384" s="12"/>
      <c r="CM384" s="1964"/>
      <c r="CN384" s="1964"/>
      <c r="CO384" s="1964"/>
      <c r="CP384" s="12"/>
      <c r="CQ384" s="12"/>
      <c r="CR384" s="12"/>
      <c r="CS384" s="12"/>
      <c r="CT384" s="12"/>
      <c r="CU384" s="192"/>
      <c r="CV384" s="12"/>
      <c r="CW384" s="12"/>
      <c r="CX384" s="1968"/>
      <c r="CY384" s="1969"/>
      <c r="CZ384" s="1969"/>
      <c r="DA384" s="1970"/>
      <c r="DB384" s="12"/>
      <c r="DC384" s="12"/>
      <c r="DD384" s="12"/>
      <c r="DE384" s="12"/>
      <c r="DF384" s="12"/>
      <c r="DG384" s="12"/>
      <c r="DH384" s="12"/>
      <c r="DI384" s="12"/>
      <c r="DJ384" s="251"/>
      <c r="DK384" s="275"/>
      <c r="DL384" s="12"/>
      <c r="DM384" s="12"/>
      <c r="DN384" s="12"/>
      <c r="DO384" s="12"/>
      <c r="DP384" s="191"/>
    </row>
    <row r="385" spans="14:120" ht="48.75" customHeight="1">
      <c r="N385" s="1888"/>
      <c r="O385" s="176"/>
      <c r="P385" s="177"/>
      <c r="Q385" s="177"/>
      <c r="R385" s="177"/>
      <c r="S385" s="178"/>
      <c r="T385" s="1909"/>
      <c r="U385" s="1909"/>
      <c r="V385" s="1909"/>
      <c r="W385" s="1909"/>
      <c r="X385" s="1909"/>
      <c r="Y385" s="1909"/>
      <c r="Z385" s="1909"/>
      <c r="AA385" s="1909"/>
      <c r="AB385" s="1902"/>
      <c r="AC385" s="1902"/>
      <c r="AD385" s="1902"/>
      <c r="AE385" s="1902"/>
      <c r="AF385" s="1527"/>
      <c r="AG385" s="1527"/>
      <c r="AJ385" s="278"/>
      <c r="AK385" s="278"/>
      <c r="AL385" s="278"/>
      <c r="AM385" s="278"/>
      <c r="BE385" s="19"/>
      <c r="BF385" s="17"/>
      <c r="BI385" s="11"/>
      <c r="CE385" s="305"/>
      <c r="CF385" s="12"/>
      <c r="CG385" s="12"/>
      <c r="CH385" s="12"/>
      <c r="CI385" s="12"/>
      <c r="CJ385" s="12"/>
      <c r="CK385" s="12"/>
      <c r="CL385" s="12"/>
      <c r="CM385" s="12"/>
      <c r="CN385" s="12"/>
      <c r="CO385" s="12"/>
      <c r="CP385" s="12"/>
      <c r="CQ385" s="12"/>
      <c r="CR385" s="12"/>
      <c r="CS385" s="12"/>
      <c r="CT385" s="12"/>
      <c r="CU385" s="192"/>
      <c r="CV385" s="12"/>
      <c r="CW385" s="12"/>
      <c r="CX385" s="1971"/>
      <c r="CY385" s="1972"/>
      <c r="CZ385" s="1972"/>
      <c r="DA385" s="1973"/>
      <c r="DB385" s="12"/>
      <c r="DC385" s="12"/>
      <c r="DD385" s="12"/>
      <c r="DE385" s="12"/>
      <c r="DF385" s="12"/>
      <c r="DG385" s="12"/>
      <c r="DH385" s="12"/>
      <c r="DI385" s="12"/>
      <c r="DJ385" s="12"/>
      <c r="DK385" s="12"/>
      <c r="DL385" s="12"/>
      <c r="DM385" s="12"/>
      <c r="DN385" s="12"/>
      <c r="DO385" s="12"/>
      <c r="DP385" s="191"/>
    </row>
    <row r="386" spans="14:120" ht="48.75" customHeight="1">
      <c r="N386" s="1888"/>
      <c r="O386" s="176"/>
      <c r="P386" s="177"/>
      <c r="Q386" s="177"/>
      <c r="R386" s="177"/>
      <c r="S386" s="178"/>
      <c r="T386" s="1909"/>
      <c r="U386" s="1909"/>
      <c r="V386" s="1909"/>
      <c r="W386" s="1909"/>
      <c r="X386" s="1909"/>
      <c r="Y386" s="1909"/>
      <c r="Z386" s="1909"/>
      <c r="AA386" s="1909"/>
      <c r="AB386" s="1902"/>
      <c r="AC386" s="1902"/>
      <c r="AD386" s="1902"/>
      <c r="AE386" s="1902"/>
      <c r="AF386" s="1527"/>
      <c r="AG386" s="1527"/>
      <c r="AJ386" s="278"/>
      <c r="AK386" s="278"/>
      <c r="AL386" s="278"/>
      <c r="AM386" s="278"/>
      <c r="BE386" s="19"/>
      <c r="BF386" s="17"/>
      <c r="BI386" s="11"/>
      <c r="CE386" s="305"/>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91"/>
    </row>
    <row r="387" spans="14:120" ht="48.75" customHeight="1" thickBot="1">
      <c r="N387" s="1888"/>
      <c r="O387" s="176"/>
      <c r="P387" s="177"/>
      <c r="Q387" s="177"/>
      <c r="R387" s="177"/>
      <c r="S387" s="178"/>
      <c r="T387" s="1909"/>
      <c r="U387" s="1909"/>
      <c r="V387" s="1909"/>
      <c r="W387" s="1909"/>
      <c r="X387" s="1909"/>
      <c r="Y387" s="1909"/>
      <c r="Z387" s="1909"/>
      <c r="AA387" s="1909"/>
      <c r="AB387" s="1902"/>
      <c r="AC387" s="1902"/>
      <c r="AD387" s="1902"/>
      <c r="AE387" s="1902"/>
      <c r="AF387" s="1527"/>
      <c r="AG387" s="1527"/>
      <c r="AJ387" s="278"/>
      <c r="AK387" s="278"/>
      <c r="AL387" s="278"/>
      <c r="AM387" s="278"/>
      <c r="BE387" s="19"/>
      <c r="BF387" s="17"/>
      <c r="BI387" s="11"/>
      <c r="CE387" s="313"/>
      <c r="CF387" s="193"/>
      <c r="CG387" s="193"/>
      <c r="CH387" s="193"/>
      <c r="CI387" s="193"/>
      <c r="CJ387" s="193"/>
      <c r="CK387" s="193"/>
      <c r="CL387" s="193"/>
      <c r="CM387" s="193"/>
      <c r="CN387" s="193"/>
      <c r="CO387" s="193"/>
      <c r="CP387" s="193"/>
      <c r="CQ387" s="193"/>
      <c r="CR387" s="193"/>
      <c r="CS387" s="193"/>
      <c r="CT387" s="193"/>
      <c r="CU387" s="193"/>
      <c r="CV387" s="193"/>
      <c r="CW387" s="193"/>
      <c r="CX387" s="193"/>
      <c r="CY387" s="193"/>
      <c r="CZ387" s="193"/>
      <c r="DA387" s="193"/>
      <c r="DB387" s="193"/>
      <c r="DC387" s="193"/>
      <c r="DD387" s="193"/>
      <c r="DE387" s="193"/>
      <c r="DF387" s="193"/>
      <c r="DG387" s="193"/>
      <c r="DH387" s="193"/>
      <c r="DI387" s="193"/>
      <c r="DJ387" s="193"/>
      <c r="DK387" s="193"/>
      <c r="DL387" s="193"/>
      <c r="DM387" s="193"/>
      <c r="DN387" s="193"/>
      <c r="DO387" s="193"/>
      <c r="DP387" s="195"/>
    </row>
    <row r="388" spans="14:120" ht="48.75" customHeight="1">
      <c r="N388" s="1903"/>
      <c r="O388" s="85"/>
      <c r="P388" s="86"/>
      <c r="Q388" s="86"/>
      <c r="R388" s="86"/>
      <c r="S388" s="87"/>
      <c r="T388" s="1909"/>
      <c r="U388" s="1909"/>
      <c r="V388" s="1909"/>
      <c r="W388" s="1909"/>
      <c r="X388" s="1909"/>
      <c r="Y388" s="1909"/>
      <c r="Z388" s="1909"/>
      <c r="AA388" s="1909"/>
      <c r="AB388" s="1902"/>
      <c r="AC388" s="1902"/>
      <c r="AD388" s="1902"/>
      <c r="AE388" s="1902"/>
      <c r="AF388" s="1527"/>
      <c r="AG388" s="1527"/>
      <c r="AJ388" s="278"/>
      <c r="AK388" s="278"/>
      <c r="AL388" s="278"/>
      <c r="AM388" s="278"/>
      <c r="BE388" s="19"/>
      <c r="BF388" s="17"/>
      <c r="BI388" s="11"/>
    </row>
    <row r="389" spans="14:120" ht="48.75" customHeight="1">
      <c r="N389" s="1888" t="s">
        <v>115</v>
      </c>
      <c r="O389" s="82"/>
      <c r="P389" s="83"/>
      <c r="Q389" s="83"/>
      <c r="R389" s="83"/>
      <c r="S389" s="84"/>
      <c r="T389" s="1901"/>
      <c r="U389" s="1901"/>
      <c r="V389" s="1901"/>
      <c r="W389" s="1901"/>
      <c r="X389" s="1901"/>
      <c r="Y389" s="1901"/>
      <c r="Z389" s="1901"/>
      <c r="AA389" s="1901"/>
      <c r="AB389" s="1898" t="s">
        <v>655</v>
      </c>
      <c r="AC389" s="1902"/>
      <c r="AD389" s="1902"/>
      <c r="AE389" s="1902"/>
      <c r="AF389" s="399" t="s">
        <v>111</v>
      </c>
      <c r="AG389" s="184" t="s">
        <v>704</v>
      </c>
      <c r="AI389" s="299"/>
      <c r="AJ389" s="298"/>
      <c r="AK389" s="298"/>
      <c r="AL389" s="298"/>
      <c r="AM389" s="298"/>
      <c r="AN389" s="299"/>
      <c r="BE389" s="19"/>
      <c r="BF389" s="17"/>
      <c r="BI389" s="11"/>
    </row>
    <row r="390" spans="14:120" ht="48.75" customHeight="1">
      <c r="N390" s="1888"/>
      <c r="O390" s="176"/>
      <c r="P390" s="177"/>
      <c r="Q390" s="177"/>
      <c r="R390" s="177"/>
      <c r="S390" s="178"/>
      <c r="T390" s="1901"/>
      <c r="U390" s="1901"/>
      <c r="V390" s="1901"/>
      <c r="W390" s="1901"/>
      <c r="X390" s="1901"/>
      <c r="Y390" s="1901"/>
      <c r="Z390" s="1901"/>
      <c r="AA390" s="1901"/>
      <c r="AB390" s="1899"/>
      <c r="AC390" s="1902"/>
      <c r="AD390" s="1902"/>
      <c r="AE390" s="1902"/>
      <c r="AF390" s="1887"/>
      <c r="AG390" s="1135" t="s">
        <v>729</v>
      </c>
      <c r="AI390" s="298"/>
      <c r="AJ390" s="298"/>
      <c r="AK390" s="298"/>
      <c r="AL390" s="298"/>
      <c r="AM390" s="298"/>
      <c r="AN390" s="298"/>
      <c r="AO390" s="278"/>
      <c r="BE390" s="19"/>
      <c r="BF390" s="17"/>
      <c r="BI390" s="11"/>
    </row>
    <row r="391" spans="14:120" ht="48.75" customHeight="1">
      <c r="N391" s="1888"/>
      <c r="O391" s="176"/>
      <c r="P391" s="177"/>
      <c r="Q391" s="177"/>
      <c r="R391" s="177"/>
      <c r="S391" s="178"/>
      <c r="T391" s="1901"/>
      <c r="U391" s="1901"/>
      <c r="V391" s="1901"/>
      <c r="W391" s="1901"/>
      <c r="X391" s="1901"/>
      <c r="Y391" s="1901"/>
      <c r="Z391" s="1901"/>
      <c r="AA391" s="1901"/>
      <c r="AB391" s="1899"/>
      <c r="AC391" s="1902"/>
      <c r="AD391" s="1902"/>
      <c r="AE391" s="1902"/>
      <c r="AF391" s="1887"/>
      <c r="AG391" s="1135"/>
      <c r="AI391" s="298"/>
      <c r="AJ391" s="298"/>
      <c r="AK391" s="298"/>
      <c r="AL391" s="298"/>
      <c r="AM391" s="298"/>
      <c r="AN391" s="298"/>
      <c r="AO391" s="278"/>
      <c r="BE391" s="19"/>
      <c r="BF391" s="17"/>
      <c r="BI391" s="11"/>
      <c r="CI391" s="19"/>
      <c r="CJ391" s="17"/>
      <c r="DI391" s="3"/>
      <c r="DJ391" s="18"/>
    </row>
    <row r="392" spans="14:120" ht="48.75" customHeight="1">
      <c r="N392" s="1888"/>
      <c r="O392" s="176"/>
      <c r="P392" s="177"/>
      <c r="Q392" s="177"/>
      <c r="R392" s="177"/>
      <c r="S392" s="178"/>
      <c r="T392" s="1901"/>
      <c r="U392" s="1901"/>
      <c r="V392" s="1901"/>
      <c r="W392" s="1901"/>
      <c r="X392" s="1901"/>
      <c r="Y392" s="1901"/>
      <c r="Z392" s="1901"/>
      <c r="AA392" s="1901"/>
      <c r="AB392" s="1899"/>
      <c r="AC392" s="1902"/>
      <c r="AD392" s="1902"/>
      <c r="AE392" s="1902"/>
      <c r="AF392" s="1904"/>
      <c r="AG392" s="1527"/>
      <c r="AI392" s="298"/>
      <c r="AJ392" s="298"/>
      <c r="AK392" s="298"/>
      <c r="AL392" s="298"/>
      <c r="AM392" s="298"/>
      <c r="AN392" s="298"/>
      <c r="AO392" s="278"/>
      <c r="BE392" s="19"/>
      <c r="BF392" s="17"/>
      <c r="BI392" s="11"/>
      <c r="CI392" s="19"/>
      <c r="CJ392" s="17"/>
      <c r="DI392" s="3"/>
      <c r="DJ392" s="18"/>
    </row>
    <row r="393" spans="14:120" ht="48.75" customHeight="1">
      <c r="N393" s="1888"/>
      <c r="O393" s="176"/>
      <c r="P393" s="177"/>
      <c r="Q393" s="177"/>
      <c r="R393" s="177"/>
      <c r="S393" s="178"/>
      <c r="T393" s="1901"/>
      <c r="U393" s="1901"/>
      <c r="V393" s="1901"/>
      <c r="W393" s="1901"/>
      <c r="X393" s="1901"/>
      <c r="Y393" s="1901"/>
      <c r="Z393" s="1901"/>
      <c r="AA393" s="1901"/>
      <c r="AB393" s="1899"/>
      <c r="AC393" s="1902"/>
      <c r="AD393" s="1902"/>
      <c r="AE393" s="1902"/>
      <c r="AF393" s="1904"/>
      <c r="AG393" s="1527"/>
      <c r="AH393" s="299"/>
      <c r="AI393" s="298"/>
      <c r="AJ393" s="298"/>
      <c r="AK393" s="298"/>
      <c r="AL393" s="298"/>
      <c r="AM393" s="298"/>
      <c r="AN393" s="298"/>
      <c r="AO393" s="278"/>
      <c r="BE393" s="19"/>
      <c r="BF393" s="17"/>
      <c r="BI393" s="11"/>
      <c r="CI393" s="19"/>
      <c r="CJ393" s="17"/>
      <c r="DI393" s="3"/>
      <c r="DJ393" s="18"/>
    </row>
    <row r="394" spans="14:120" ht="48.75" customHeight="1">
      <c r="N394" s="1888"/>
      <c r="O394" s="176"/>
      <c r="P394" s="177"/>
      <c r="Q394" s="177"/>
      <c r="R394" s="177"/>
      <c r="S394" s="178"/>
      <c r="T394" s="1901"/>
      <c r="U394" s="1901"/>
      <c r="V394" s="1901"/>
      <c r="W394" s="1901"/>
      <c r="X394" s="1901"/>
      <c r="Y394" s="1901"/>
      <c r="Z394" s="1901"/>
      <c r="AA394" s="1901"/>
      <c r="AB394" s="1899"/>
      <c r="AC394" s="1902"/>
      <c r="AD394" s="1902"/>
      <c r="AE394" s="1902"/>
      <c r="AF394" s="1904"/>
      <c r="AG394" s="1527"/>
      <c r="AI394" s="298"/>
      <c r="AJ394" s="298"/>
      <c r="AK394" s="298"/>
      <c r="AL394" s="298"/>
      <c r="AM394" s="298"/>
      <c r="AN394" s="298"/>
      <c r="AO394" s="278"/>
      <c r="BE394" s="19"/>
      <c r="BF394" s="17"/>
      <c r="BI394" s="11"/>
      <c r="CI394" s="19"/>
      <c r="CJ394" s="17"/>
      <c r="CV394" s="8"/>
      <c r="DI394" s="3"/>
      <c r="DJ394" s="18"/>
    </row>
    <row r="395" spans="14:120" ht="48.75" customHeight="1">
      <c r="N395" s="1903"/>
      <c r="O395" s="85"/>
      <c r="P395" s="86"/>
      <c r="Q395" s="86"/>
      <c r="R395" s="86"/>
      <c r="S395" s="87"/>
      <c r="T395" s="1901"/>
      <c r="U395" s="1901"/>
      <c r="V395" s="1901"/>
      <c r="W395" s="1901"/>
      <c r="X395" s="1901"/>
      <c r="Y395" s="1901"/>
      <c r="Z395" s="1901"/>
      <c r="AA395" s="1901"/>
      <c r="AB395" s="1900"/>
      <c r="AC395" s="1902"/>
      <c r="AD395" s="1902"/>
      <c r="AE395" s="1902"/>
      <c r="AF395" s="1904"/>
      <c r="AG395" s="1527"/>
      <c r="AI395" s="298"/>
      <c r="AJ395" s="298"/>
      <c r="AK395" s="298"/>
      <c r="AL395" s="298"/>
      <c r="AM395" s="298"/>
      <c r="AN395" s="298"/>
      <c r="AO395" s="278"/>
      <c r="AQ395" s="1285" t="s">
        <v>680</v>
      </c>
      <c r="AR395" s="1286"/>
      <c r="AS395" s="1286"/>
      <c r="AT395" s="1286"/>
      <c r="AU395" s="1286"/>
      <c r="AV395" s="1286"/>
      <c r="AW395" s="1761"/>
      <c r="AX395" s="259"/>
      <c r="AZ395" s="253" t="s">
        <v>423</v>
      </c>
      <c r="BA395" s="253" t="s">
        <v>424</v>
      </c>
      <c r="BB395" s="253" t="s">
        <v>425</v>
      </c>
      <c r="BC395" s="253" t="s">
        <v>426</v>
      </c>
      <c r="BD395" s="253" t="s">
        <v>427</v>
      </c>
      <c r="BE395" s="253" t="s">
        <v>428</v>
      </c>
      <c r="BF395" s="17"/>
      <c r="BI395" s="11"/>
      <c r="CI395" s="19"/>
      <c r="CJ395" s="17"/>
      <c r="CV395" s="8"/>
      <c r="DI395" s="3"/>
      <c r="DJ395" s="18"/>
    </row>
    <row r="396" spans="14:120" ht="48.75" customHeight="1">
      <c r="N396" s="1888" t="s">
        <v>115</v>
      </c>
      <c r="O396" s="82"/>
      <c r="P396" s="83"/>
      <c r="Q396" s="83"/>
      <c r="R396" s="83"/>
      <c r="S396" s="84"/>
      <c r="T396" s="1901"/>
      <c r="U396" s="1901"/>
      <c r="V396" s="1901"/>
      <c r="W396" s="1901"/>
      <c r="X396" s="1901"/>
      <c r="Y396" s="1901"/>
      <c r="Z396" s="1901"/>
      <c r="AA396" s="1901"/>
      <c r="AB396" s="1898" t="s">
        <v>655</v>
      </c>
      <c r="AC396" s="1902"/>
      <c r="AD396" s="1902"/>
      <c r="AE396" s="1902"/>
      <c r="AF396" s="499" t="s">
        <v>111</v>
      </c>
      <c r="AG396" s="184" t="s">
        <v>704</v>
      </c>
      <c r="AI396" s="298"/>
      <c r="AJ396" s="298"/>
      <c r="AK396" s="298"/>
      <c r="AL396" s="298"/>
      <c r="AM396" s="298"/>
      <c r="AN396" s="298"/>
      <c r="AO396" s="278"/>
      <c r="AQ396" s="1988" t="s">
        <v>676</v>
      </c>
      <c r="AR396" s="1988"/>
      <c r="AS396" s="1988"/>
      <c r="AT396" s="1988"/>
      <c r="AU396" s="1988"/>
      <c r="AV396" s="756" t="s">
        <v>678</v>
      </c>
      <c r="AW396" s="756"/>
      <c r="AX396" s="756"/>
      <c r="AZ396" s="253" t="s">
        <v>429</v>
      </c>
      <c r="BA396" s="253" t="s">
        <v>430</v>
      </c>
      <c r="BB396" s="253" t="s">
        <v>53</v>
      </c>
      <c r="BC396" s="253" t="s">
        <v>431</v>
      </c>
      <c r="BD396" s="253" t="s">
        <v>432</v>
      </c>
      <c r="BE396" s="253" t="s">
        <v>433</v>
      </c>
      <c r="BF396" s="17"/>
      <c r="BI396" s="11"/>
    </row>
    <row r="397" spans="14:120" ht="48.75" customHeight="1">
      <c r="N397" s="1888"/>
      <c r="O397" s="176"/>
      <c r="P397" s="177"/>
      <c r="Q397" s="177"/>
      <c r="R397" s="177"/>
      <c r="S397" s="178"/>
      <c r="T397" s="1901"/>
      <c r="U397" s="1901"/>
      <c r="V397" s="1901"/>
      <c r="W397" s="1901"/>
      <c r="X397" s="1901"/>
      <c r="Y397" s="1901"/>
      <c r="Z397" s="1901"/>
      <c r="AA397" s="1901"/>
      <c r="AB397" s="1899"/>
      <c r="AC397" s="1902"/>
      <c r="AD397" s="1902"/>
      <c r="AE397" s="1902"/>
      <c r="AF397" s="1887"/>
      <c r="AG397" s="1135" t="s">
        <v>729</v>
      </c>
      <c r="AI397" s="298"/>
      <c r="AJ397" s="298"/>
      <c r="AK397" s="298"/>
      <c r="AL397" s="298"/>
      <c r="AM397" s="298"/>
      <c r="AN397" s="298"/>
      <c r="AO397" s="278"/>
      <c r="AQ397" s="1988"/>
      <c r="AR397" s="1988"/>
      <c r="AS397" s="1988"/>
      <c r="AT397" s="1988"/>
      <c r="AU397" s="1988"/>
      <c r="AV397" s="987" t="s">
        <v>679</v>
      </c>
      <c r="AW397" s="988"/>
      <c r="AX397" s="989"/>
      <c r="AZ397" s="253" t="s">
        <v>725</v>
      </c>
      <c r="BA397" s="253" t="s">
        <v>899</v>
      </c>
      <c r="BB397" s="253" t="s">
        <v>709</v>
      </c>
      <c r="BC397" s="253" t="s">
        <v>708</v>
      </c>
      <c r="BD397" s="253" t="s">
        <v>710</v>
      </c>
      <c r="BE397" s="253" t="s">
        <v>712</v>
      </c>
      <c r="BF397" s="17"/>
      <c r="BI397" s="11"/>
    </row>
    <row r="398" spans="14:120" ht="48.75" customHeight="1">
      <c r="N398" s="1888"/>
      <c r="O398" s="176"/>
      <c r="P398" s="177"/>
      <c r="Q398" s="177"/>
      <c r="R398" s="177"/>
      <c r="S398" s="178"/>
      <c r="T398" s="1901"/>
      <c r="U398" s="1901"/>
      <c r="V398" s="1901"/>
      <c r="W398" s="1901"/>
      <c r="X398" s="1901"/>
      <c r="Y398" s="1901"/>
      <c r="Z398" s="1901"/>
      <c r="AA398" s="1901"/>
      <c r="AB398" s="1899"/>
      <c r="AC398" s="1902"/>
      <c r="AD398" s="1902"/>
      <c r="AE398" s="1902"/>
      <c r="AF398" s="1887"/>
      <c r="AG398" s="1135"/>
      <c r="AI398" s="298"/>
      <c r="AJ398" s="298"/>
      <c r="AK398" s="298"/>
      <c r="AL398" s="298"/>
      <c r="AM398" s="298"/>
      <c r="AN398" s="298"/>
      <c r="AO398" s="278"/>
      <c r="AQ398" s="253" t="s">
        <v>410</v>
      </c>
      <c r="AR398" s="756" t="s">
        <v>677</v>
      </c>
      <c r="AS398" s="756"/>
      <c r="AT398" s="756" t="s">
        <v>1254</v>
      </c>
      <c r="AU398" s="756"/>
      <c r="AV398" s="990"/>
      <c r="AW398" s="991"/>
      <c r="AX398" s="992"/>
      <c r="AZ398" s="253" t="s">
        <v>721</v>
      </c>
      <c r="BA398" s="253" t="s">
        <v>711</v>
      </c>
      <c r="BB398" s="253" t="s">
        <v>713</v>
      </c>
      <c r="BC398" s="254" t="s">
        <v>909</v>
      </c>
      <c r="BD398" s="254" t="s">
        <v>910</v>
      </c>
      <c r="BE398" s="9"/>
      <c r="BF398" s="17"/>
      <c r="BI398" s="11"/>
    </row>
    <row r="399" spans="14:120" ht="48.75" customHeight="1">
      <c r="N399" s="1888"/>
      <c r="O399" s="176"/>
      <c r="P399" s="177"/>
      <c r="Q399" s="177"/>
      <c r="R399" s="177"/>
      <c r="S399" s="178"/>
      <c r="T399" s="1901"/>
      <c r="U399" s="1901"/>
      <c r="V399" s="1901"/>
      <c r="W399" s="1901"/>
      <c r="X399" s="1901"/>
      <c r="Y399" s="1901"/>
      <c r="Z399" s="1901"/>
      <c r="AA399" s="1901"/>
      <c r="AB399" s="1899"/>
      <c r="AC399" s="1902"/>
      <c r="AD399" s="1902"/>
      <c r="AE399" s="1902"/>
      <c r="AF399" s="176"/>
      <c r="AG399" s="178"/>
      <c r="AI399" s="298"/>
      <c r="AJ399" s="298"/>
      <c r="AK399" s="298"/>
      <c r="AL399" s="298"/>
      <c r="AM399" s="298"/>
      <c r="AN399" s="298"/>
      <c r="AO399" s="278"/>
      <c r="AQ399" s="253">
        <v>1</v>
      </c>
      <c r="AR399" s="756" t="s">
        <v>105</v>
      </c>
      <c r="AS399" s="756"/>
      <c r="AT399" s="756" t="s">
        <v>105</v>
      </c>
      <c r="AU399" s="756"/>
      <c r="AV399" s="990"/>
      <c r="AW399" s="991"/>
      <c r="AX399" s="992"/>
      <c r="BE399" s="19"/>
      <c r="BF399" s="17"/>
      <c r="BI399" s="11"/>
    </row>
    <row r="400" spans="14:120" ht="48.75" customHeight="1">
      <c r="N400" s="1888"/>
      <c r="O400" s="176"/>
      <c r="P400" s="177"/>
      <c r="Q400" s="177"/>
      <c r="R400" s="177"/>
      <c r="S400" s="178"/>
      <c r="T400" s="1901"/>
      <c r="U400" s="1901"/>
      <c r="V400" s="1901"/>
      <c r="W400" s="1901"/>
      <c r="X400" s="1901"/>
      <c r="Y400" s="1901"/>
      <c r="Z400" s="1901"/>
      <c r="AA400" s="1901"/>
      <c r="AB400" s="1899"/>
      <c r="AC400" s="1902"/>
      <c r="AD400" s="1902"/>
      <c r="AE400" s="1902"/>
      <c r="AF400" s="176"/>
      <c r="AG400" s="178"/>
      <c r="AI400" s="299"/>
      <c r="AJ400" s="299"/>
      <c r="AK400" s="299"/>
      <c r="AL400" s="299"/>
      <c r="AM400" s="299"/>
      <c r="AN400" s="299"/>
      <c r="AQ400" s="253">
        <v>2</v>
      </c>
      <c r="AR400" s="756" t="s">
        <v>106</v>
      </c>
      <c r="AS400" s="756"/>
      <c r="AT400" s="756" t="s">
        <v>106</v>
      </c>
      <c r="AU400" s="756"/>
      <c r="AV400" s="990"/>
      <c r="AW400" s="991"/>
      <c r="AX400" s="992"/>
      <c r="BE400" s="19"/>
      <c r="BF400" s="17"/>
      <c r="BI400" s="11"/>
    </row>
    <row r="401" spans="2:61" ht="48.75" customHeight="1">
      <c r="N401" s="1888"/>
      <c r="O401" s="176"/>
      <c r="P401" s="177"/>
      <c r="Q401" s="177"/>
      <c r="R401" s="177"/>
      <c r="S401" s="178"/>
      <c r="T401" s="1901"/>
      <c r="U401" s="1901"/>
      <c r="V401" s="1901"/>
      <c r="W401" s="1901"/>
      <c r="X401" s="1901"/>
      <c r="Y401" s="1901"/>
      <c r="Z401" s="1901"/>
      <c r="AA401" s="1901"/>
      <c r="AB401" s="1899"/>
      <c r="AC401" s="1902"/>
      <c r="AD401" s="1902"/>
      <c r="AE401" s="1902"/>
      <c r="AF401" s="176"/>
      <c r="AG401" s="178"/>
      <c r="AI401" s="299"/>
      <c r="AJ401" s="299"/>
      <c r="AK401" s="299"/>
      <c r="AL401" s="299"/>
      <c r="AM401" s="299"/>
      <c r="AN401" s="299"/>
      <c r="AQ401" s="253">
        <v>3</v>
      </c>
      <c r="AR401" s="756" t="s">
        <v>107</v>
      </c>
      <c r="AS401" s="756"/>
      <c r="AT401" s="756" t="s">
        <v>107</v>
      </c>
      <c r="AU401" s="756"/>
      <c r="AV401" s="990"/>
      <c r="AW401" s="991"/>
      <c r="AX401" s="992"/>
      <c r="BE401" s="19"/>
      <c r="BF401" s="17"/>
      <c r="BI401" s="11"/>
    </row>
    <row r="402" spans="2:61" ht="48.75" customHeight="1">
      <c r="N402" s="1888"/>
      <c r="O402" s="85"/>
      <c r="P402" s="86"/>
      <c r="Q402" s="86"/>
      <c r="R402" s="86"/>
      <c r="S402" s="87"/>
      <c r="T402" s="1901"/>
      <c r="U402" s="1901"/>
      <c r="V402" s="1901"/>
      <c r="W402" s="1901"/>
      <c r="X402" s="1901"/>
      <c r="Y402" s="1901"/>
      <c r="Z402" s="1901"/>
      <c r="AA402" s="1901"/>
      <c r="AB402" s="1900"/>
      <c r="AC402" s="1902"/>
      <c r="AD402" s="1902"/>
      <c r="AE402" s="1902"/>
      <c r="AF402" s="85"/>
      <c r="AG402" s="87"/>
      <c r="AQ402" s="253">
        <v>4</v>
      </c>
      <c r="AR402" s="756" t="s">
        <v>117</v>
      </c>
      <c r="AS402" s="756"/>
      <c r="AT402" s="756" t="s">
        <v>115</v>
      </c>
      <c r="AU402" s="756"/>
      <c r="AV402" s="993"/>
      <c r="AW402" s="994"/>
      <c r="AX402" s="995"/>
      <c r="BE402" s="19"/>
      <c r="BF402" s="17"/>
      <c r="BI402" s="11"/>
    </row>
    <row r="403" spans="2:61" ht="48.75" customHeight="1">
      <c r="N403" s="1888">
        <v>8</v>
      </c>
      <c r="O403" s="82"/>
      <c r="P403" s="83"/>
      <c r="Q403" s="83"/>
      <c r="R403" s="83"/>
      <c r="S403" s="84"/>
      <c r="T403" s="1889"/>
      <c r="U403" s="1890"/>
      <c r="V403" s="1890"/>
      <c r="W403" s="1890"/>
      <c r="X403" s="1890"/>
      <c r="Y403" s="1890"/>
      <c r="Z403" s="1890"/>
      <c r="AA403" s="1891"/>
      <c r="AB403" s="1898" t="s">
        <v>656</v>
      </c>
      <c r="AC403" s="1901"/>
      <c r="AD403" s="1901"/>
      <c r="AE403" s="1901"/>
      <c r="AF403" s="399" t="s">
        <v>111</v>
      </c>
      <c r="AG403" s="184" t="s">
        <v>704</v>
      </c>
      <c r="AQ403" s="253">
        <v>5</v>
      </c>
      <c r="AR403" s="756" t="s">
        <v>118</v>
      </c>
      <c r="AS403" s="756"/>
      <c r="AT403" s="756" t="s">
        <v>116</v>
      </c>
      <c r="AU403" s="756"/>
      <c r="AV403" s="1989"/>
      <c r="AW403" s="1990"/>
      <c r="AX403" s="1904"/>
      <c r="BE403" s="19"/>
      <c r="BF403" s="17"/>
      <c r="BI403" s="11"/>
    </row>
    <row r="404" spans="2:61" ht="48.75" customHeight="1">
      <c r="N404" s="1888"/>
      <c r="O404" s="176"/>
      <c r="P404" s="177"/>
      <c r="Q404" s="177"/>
      <c r="R404" s="177"/>
      <c r="S404" s="178"/>
      <c r="T404" s="1892"/>
      <c r="U404" s="1893"/>
      <c r="V404" s="1893"/>
      <c r="W404" s="1893"/>
      <c r="X404" s="1893"/>
      <c r="Y404" s="1893"/>
      <c r="Z404" s="1893"/>
      <c r="AA404" s="1894"/>
      <c r="AB404" s="1899"/>
      <c r="AC404" s="1901"/>
      <c r="AD404" s="1901"/>
      <c r="AE404" s="1901"/>
      <c r="AF404" s="1887"/>
      <c r="AG404" s="1135" t="s">
        <v>729</v>
      </c>
      <c r="BE404" s="19"/>
      <c r="BF404" s="17"/>
      <c r="BI404" s="11"/>
    </row>
    <row r="405" spans="2:61" ht="48.75" customHeight="1">
      <c r="N405" s="1888"/>
      <c r="O405" s="176"/>
      <c r="P405" s="177"/>
      <c r="Q405" s="177"/>
      <c r="R405" s="177"/>
      <c r="S405" s="178"/>
      <c r="T405" s="1892"/>
      <c r="U405" s="1893"/>
      <c r="V405" s="1893"/>
      <c r="W405" s="1893"/>
      <c r="X405" s="1893"/>
      <c r="Y405" s="1893"/>
      <c r="Z405" s="1893"/>
      <c r="AA405" s="1894"/>
      <c r="AB405" s="1899"/>
      <c r="AC405" s="1901"/>
      <c r="AD405" s="1901"/>
      <c r="AE405" s="1901"/>
      <c r="AF405" s="1887"/>
      <c r="AG405" s="1135"/>
      <c r="BE405" s="19"/>
      <c r="BF405" s="17"/>
      <c r="BI405" s="11"/>
    </row>
    <row r="406" spans="2:61" ht="48.75" customHeight="1">
      <c r="N406" s="1888"/>
      <c r="O406" s="85"/>
      <c r="P406" s="86"/>
      <c r="Q406" s="86"/>
      <c r="R406" s="86"/>
      <c r="S406" s="87"/>
      <c r="T406" s="1895"/>
      <c r="U406" s="1896"/>
      <c r="V406" s="1896"/>
      <c r="W406" s="1896"/>
      <c r="X406" s="1896"/>
      <c r="Y406" s="1896"/>
      <c r="Z406" s="1896"/>
      <c r="AA406" s="1897"/>
      <c r="AB406" s="1900"/>
      <c r="AC406" s="1901"/>
      <c r="AD406" s="1901"/>
      <c r="AE406" s="1901"/>
      <c r="AF406" s="85"/>
      <c r="AG406" s="87"/>
      <c r="BE406" s="19"/>
      <c r="BF406" s="17"/>
      <c r="BI406" s="11"/>
    </row>
    <row r="407" spans="2:61" ht="48.75" customHeight="1">
      <c r="N407" s="1888">
        <v>9</v>
      </c>
      <c r="O407" s="82"/>
      <c r="P407" s="83"/>
      <c r="Q407" s="83"/>
      <c r="R407" s="83"/>
      <c r="S407" s="84"/>
      <c r="T407" s="1889"/>
      <c r="U407" s="1890"/>
      <c r="V407" s="1890"/>
      <c r="W407" s="1890"/>
      <c r="X407" s="1890"/>
      <c r="Y407" s="1890"/>
      <c r="Z407" s="1890"/>
      <c r="AA407" s="1891"/>
      <c r="AB407" s="1898" t="s">
        <v>656</v>
      </c>
      <c r="AC407" s="1901"/>
      <c r="AD407" s="1901"/>
      <c r="AE407" s="1901"/>
      <c r="AF407" s="499" t="s">
        <v>111</v>
      </c>
      <c r="AG407" s="184" t="s">
        <v>704</v>
      </c>
      <c r="BE407" s="19"/>
      <c r="BF407" s="17"/>
      <c r="BI407" s="11"/>
    </row>
    <row r="408" spans="2:61" ht="48.75" customHeight="1">
      <c r="N408" s="1888"/>
      <c r="O408" s="176"/>
      <c r="P408" s="177"/>
      <c r="Q408" s="177"/>
      <c r="R408" s="177"/>
      <c r="S408" s="178"/>
      <c r="T408" s="1892"/>
      <c r="U408" s="1893"/>
      <c r="V408" s="1893"/>
      <c r="W408" s="1893"/>
      <c r="X408" s="1893"/>
      <c r="Y408" s="1893"/>
      <c r="Z408" s="1893"/>
      <c r="AA408" s="1894"/>
      <c r="AB408" s="1899"/>
      <c r="AC408" s="1901"/>
      <c r="AD408" s="1901"/>
      <c r="AE408" s="1901"/>
      <c r="AF408" s="1887"/>
      <c r="AG408" s="1135" t="s">
        <v>729</v>
      </c>
      <c r="BE408" s="19"/>
      <c r="BF408" s="17"/>
      <c r="BI408" s="11"/>
    </row>
    <row r="409" spans="2:61" ht="48.75" customHeight="1">
      <c r="N409" s="1888"/>
      <c r="O409" s="176"/>
      <c r="P409" s="177"/>
      <c r="Q409" s="177"/>
      <c r="R409" s="177"/>
      <c r="S409" s="178"/>
      <c r="T409" s="1892"/>
      <c r="U409" s="1893"/>
      <c r="V409" s="1893"/>
      <c r="W409" s="1893"/>
      <c r="X409" s="1893"/>
      <c r="Y409" s="1893"/>
      <c r="Z409" s="1893"/>
      <c r="AA409" s="1894"/>
      <c r="AB409" s="1899"/>
      <c r="AC409" s="1901"/>
      <c r="AD409" s="1901"/>
      <c r="AE409" s="1901"/>
      <c r="AF409" s="1887"/>
      <c r="AG409" s="1135"/>
      <c r="BI409" s="11"/>
    </row>
    <row r="410" spans="2:61" ht="48.75" customHeight="1">
      <c r="N410" s="1888"/>
      <c r="O410" s="85"/>
      <c r="P410" s="86"/>
      <c r="Q410" s="86"/>
      <c r="R410" s="86"/>
      <c r="S410" s="87"/>
      <c r="T410" s="1895"/>
      <c r="U410" s="1896"/>
      <c r="V410" s="1896"/>
      <c r="W410" s="1896"/>
      <c r="X410" s="1896"/>
      <c r="Y410" s="1896"/>
      <c r="Z410" s="1896"/>
      <c r="AA410" s="1897"/>
      <c r="AB410" s="1900"/>
      <c r="AC410" s="1901"/>
      <c r="AD410" s="1901"/>
      <c r="AE410" s="1901"/>
      <c r="AF410" s="85"/>
      <c r="AG410" s="87"/>
      <c r="BI410" s="11"/>
    </row>
    <row r="411" spans="2:61" ht="48.75" customHeight="1">
      <c r="U411" s="2003"/>
      <c r="V411" s="865" t="s">
        <v>911</v>
      </c>
      <c r="W411" s="987" t="s">
        <v>1609</v>
      </c>
      <c r="X411" s="988"/>
      <c r="Y411" s="988"/>
      <c r="Z411" s="988"/>
      <c r="AA411" s="989"/>
      <c r="AB411" s="2003"/>
      <c r="BI411" s="11"/>
    </row>
    <row r="412" spans="2:61" ht="48.75" customHeight="1">
      <c r="U412" s="2004"/>
      <c r="V412" s="866"/>
      <c r="W412" s="993"/>
      <c r="X412" s="994"/>
      <c r="Y412" s="994"/>
      <c r="Z412" s="994"/>
      <c r="AA412" s="995"/>
      <c r="AB412" s="2004"/>
      <c r="AH412" s="278"/>
      <c r="AI412" s="278"/>
      <c r="AJ412" s="278"/>
      <c r="AK412" s="278"/>
      <c r="AL412" s="278"/>
      <c r="AM412" s="278"/>
      <c r="AN412" s="278"/>
      <c r="AO412" s="278"/>
      <c r="AP412" s="278"/>
      <c r="AQ412" s="278"/>
      <c r="AR412" s="278"/>
      <c r="AS412" s="278"/>
      <c r="AT412" s="278"/>
      <c r="BI412" s="11"/>
    </row>
    <row r="413" spans="2:61" ht="48.75" customHeight="1">
      <c r="O413" s="12"/>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c r="AR413" s="278"/>
      <c r="AS413" s="278"/>
      <c r="AT413" s="278"/>
      <c r="BI413" s="11"/>
    </row>
    <row r="414" spans="2:61" ht="48.75" customHeight="1">
      <c r="O414" s="12"/>
      <c r="W414" s="278"/>
      <c r="X414" s="278"/>
      <c r="Y414" s="278"/>
      <c r="Z414" s="278"/>
      <c r="AA414" s="278"/>
      <c r="AB414" s="278"/>
      <c r="AC414" s="278"/>
      <c r="AD414" s="278"/>
      <c r="AE414" s="278"/>
      <c r="AF414" s="278"/>
      <c r="AG414" s="278"/>
      <c r="AH414" s="278"/>
      <c r="AI414" s="278"/>
      <c r="AJ414" s="278"/>
      <c r="AK414" s="278"/>
      <c r="AL414" s="278"/>
      <c r="AM414" s="278"/>
      <c r="AN414" s="278"/>
      <c r="AO414" s="278"/>
      <c r="AP414" s="278"/>
      <c r="AQ414" s="278"/>
      <c r="AR414" s="278"/>
      <c r="AS414" s="278"/>
      <c r="AT414" s="278"/>
      <c r="BI414" s="11"/>
    </row>
    <row r="415" spans="2:61" ht="48.75" customHeight="1">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78"/>
      <c r="AS415" s="278"/>
      <c r="AT415" s="278"/>
      <c r="BI415" s="11"/>
    </row>
    <row r="416" spans="2:61" ht="48.75" customHeight="1">
      <c r="B416" s="1287" t="s">
        <v>674</v>
      </c>
      <c r="C416" s="1287"/>
      <c r="D416" s="1287"/>
      <c r="E416" s="1287"/>
      <c r="F416" s="1287"/>
      <c r="G416" s="1287"/>
      <c r="H416" s="1287"/>
      <c r="I416" s="1287"/>
      <c r="J416" s="259"/>
      <c r="L416" s="1285" t="s">
        <v>669</v>
      </c>
      <c r="M416" s="1122"/>
      <c r="N416" s="1122"/>
      <c r="O416" s="1122"/>
      <c r="P416" s="1123"/>
      <c r="Q416" s="259"/>
      <c r="U416" s="657"/>
      <c r="V416" s="657"/>
      <c r="W416" s="657"/>
      <c r="X416" s="657"/>
      <c r="Y416" s="657"/>
      <c r="Z416" s="657"/>
      <c r="AA416" s="657"/>
      <c r="AB416" s="657"/>
      <c r="AC416" s="657"/>
      <c r="AD416" s="657"/>
      <c r="AE416" s="657"/>
      <c r="AF416" s="657"/>
      <c r="AG416" s="657"/>
      <c r="AH416" s="657"/>
      <c r="AI416" s="657"/>
      <c r="AJ416" s="657"/>
      <c r="AK416" s="657"/>
      <c r="AL416" s="657"/>
      <c r="AM416" s="278"/>
      <c r="AN416" s="278"/>
      <c r="AO416" s="278"/>
      <c r="AP416" s="278"/>
      <c r="AQ416" s="278"/>
      <c r="AR416" s="278"/>
      <c r="AS416" s="278"/>
      <c r="AT416" s="278"/>
      <c r="BE416" s="19"/>
      <c r="BF416" s="17"/>
      <c r="BI416" s="11"/>
    </row>
    <row r="417" spans="2:87" ht="48.75" customHeight="1">
      <c r="B417" s="1287" t="s">
        <v>530</v>
      </c>
      <c r="C417" s="1287"/>
      <c r="D417" s="1287" t="s">
        <v>533</v>
      </c>
      <c r="E417" s="1287" t="s">
        <v>681</v>
      </c>
      <c r="F417" s="1287"/>
      <c r="G417" s="1287"/>
      <c r="H417" s="1287"/>
      <c r="I417" s="1287"/>
      <c r="J417" s="1287"/>
      <c r="K417" s="299"/>
      <c r="L417" s="1287" t="s">
        <v>513</v>
      </c>
      <c r="M417" s="1287"/>
      <c r="N417" s="1287" t="s">
        <v>665</v>
      </c>
      <c r="O417" s="1287"/>
      <c r="P417" s="1287" t="s">
        <v>425</v>
      </c>
      <c r="Q417" s="1287"/>
      <c r="U417" s="657"/>
      <c r="V417" s="657"/>
      <c r="W417" s="657"/>
      <c r="X417" s="657"/>
      <c r="Y417" s="657"/>
      <c r="Z417" s="657"/>
      <c r="AA417" s="657"/>
      <c r="AB417" s="657"/>
      <c r="AC417" s="657"/>
      <c r="AD417" s="657"/>
      <c r="AE417" s="657"/>
      <c r="AF417" s="657"/>
      <c r="AG417" s="657"/>
      <c r="AH417" s="657"/>
      <c r="AI417" s="657"/>
      <c r="AJ417" s="657"/>
      <c r="AK417" s="657"/>
      <c r="AL417" s="657"/>
      <c r="AM417" s="278"/>
      <c r="AN417" s="278"/>
      <c r="AO417" s="278"/>
      <c r="AP417" s="278"/>
      <c r="AQ417" s="278"/>
      <c r="AR417" s="278"/>
      <c r="AS417" s="278"/>
      <c r="AT417" s="278"/>
      <c r="AV417" s="278"/>
      <c r="AW417" s="278"/>
      <c r="AX417" s="278"/>
      <c r="BE417" s="19"/>
      <c r="BF417" s="17"/>
      <c r="BI417" s="11"/>
    </row>
    <row r="418" spans="2:87" ht="48.75" customHeight="1" thickBot="1">
      <c r="B418" s="1287"/>
      <c r="C418" s="1287"/>
      <c r="D418" s="1287"/>
      <c r="E418" s="1919" t="s">
        <v>684</v>
      </c>
      <c r="F418" s="1919"/>
      <c r="G418" s="1919" t="s">
        <v>682</v>
      </c>
      <c r="H418" s="1919"/>
      <c r="I418" s="1919" t="s">
        <v>683</v>
      </c>
      <c r="J418" s="1919"/>
      <c r="K418" s="319"/>
      <c r="L418" s="2005" t="s">
        <v>661</v>
      </c>
      <c r="M418" s="2005"/>
      <c r="N418" s="1287" t="s">
        <v>662</v>
      </c>
      <c r="O418" s="1287"/>
      <c r="P418" s="1287">
        <v>1.5</v>
      </c>
      <c r="Q418" s="1287"/>
      <c r="U418" s="657"/>
      <c r="V418" s="657"/>
      <c r="W418" s="657"/>
      <c r="X418" s="657"/>
      <c r="Y418" s="657"/>
      <c r="Z418" s="657"/>
      <c r="AA418" s="657"/>
      <c r="AB418" s="657"/>
      <c r="AC418" s="657"/>
      <c r="AD418" s="657"/>
      <c r="AE418" s="657"/>
      <c r="AF418" s="657"/>
      <c r="AG418" s="657"/>
      <c r="AH418" s="657"/>
      <c r="AI418" s="657"/>
      <c r="AJ418" s="657"/>
      <c r="AK418" s="657"/>
      <c r="AL418" s="657"/>
      <c r="AM418" s="278"/>
      <c r="AN418" s="278"/>
      <c r="AO418" s="278"/>
      <c r="AP418" s="278"/>
      <c r="AQ418" s="278"/>
      <c r="AR418" s="278"/>
      <c r="AS418" s="278"/>
      <c r="AT418" s="278"/>
      <c r="AV418" s="278"/>
      <c r="AW418" s="278"/>
      <c r="AX418" s="278"/>
      <c r="BE418" s="19"/>
      <c r="BF418" s="17"/>
      <c r="BI418" s="11"/>
    </row>
    <row r="419" spans="2:87" ht="48.75" customHeight="1">
      <c r="B419" s="1287" t="s">
        <v>673</v>
      </c>
      <c r="C419" s="1287"/>
      <c r="D419" s="1285" t="s">
        <v>670</v>
      </c>
      <c r="E419" s="2001" t="str">
        <f>"1/57"</f>
        <v>1/57</v>
      </c>
      <c r="F419" s="1993">
        <f>1/57</f>
        <v>1.7543859649122806E-2</v>
      </c>
      <c r="G419" s="2001" t="str">
        <f>"1/47"</f>
        <v>1/47</v>
      </c>
      <c r="H419" s="1993">
        <f>1/47</f>
        <v>2.1276595744680851E-2</v>
      </c>
      <c r="I419" s="1672" t="str">
        <f>"1/41"</f>
        <v>1/41</v>
      </c>
      <c r="J419" s="1993">
        <f>1/41</f>
        <v>2.4390243902439025E-2</v>
      </c>
      <c r="K419" s="319"/>
      <c r="L419" s="2005">
        <v>2312</v>
      </c>
      <c r="M419" s="2005"/>
      <c r="N419" s="1287">
        <v>1.75</v>
      </c>
      <c r="O419" s="1287"/>
      <c r="P419" s="1287">
        <v>1.4</v>
      </c>
      <c r="Q419" s="1287"/>
      <c r="U419" s="657"/>
      <c r="V419" s="657"/>
      <c r="W419" s="657"/>
      <c r="X419" s="657"/>
      <c r="Y419" s="657"/>
      <c r="Z419" s="657"/>
      <c r="AA419" s="657"/>
      <c r="AB419" s="657"/>
      <c r="AC419" s="657"/>
      <c r="AD419" s="657"/>
      <c r="AE419" s="657"/>
      <c r="AF419" s="657"/>
      <c r="AG419" s="657"/>
      <c r="AH419" s="657"/>
      <c r="AI419" s="657"/>
      <c r="AJ419" s="657"/>
      <c r="AK419" s="657"/>
      <c r="AL419" s="657"/>
      <c r="AM419" s="278"/>
      <c r="AN419" s="278"/>
      <c r="AO419" s="278"/>
      <c r="AP419" s="278"/>
      <c r="AQ419" s="278"/>
      <c r="AR419" s="278"/>
      <c r="AS419" s="278"/>
      <c r="AT419" s="278"/>
      <c r="AV419" s="278"/>
      <c r="AW419" s="278"/>
      <c r="AX419" s="278"/>
      <c r="BB419" s="987" t="s">
        <v>722</v>
      </c>
      <c r="BC419" s="988"/>
      <c r="BD419" s="988"/>
      <c r="BE419" s="988"/>
      <c r="BF419" s="988"/>
      <c r="BG419" s="988"/>
      <c r="BH419" s="989"/>
      <c r="BI419" s="970"/>
      <c r="BK419" s="1121" t="s">
        <v>1381</v>
      </c>
      <c r="BL419" s="1122"/>
      <c r="BM419" s="1122"/>
      <c r="BN419" s="1123"/>
      <c r="BO419" s="423"/>
      <c r="BQ419" s="1285" t="s">
        <v>1009</v>
      </c>
      <c r="BR419" s="1286"/>
      <c r="BS419" s="1286"/>
      <c r="BT419" s="1286"/>
      <c r="BU419" s="1761"/>
      <c r="BV419" s="259"/>
      <c r="BX419" s="987" t="s">
        <v>1130</v>
      </c>
      <c r="BY419" s="988"/>
      <c r="BZ419" s="988"/>
      <c r="CA419" s="988"/>
      <c r="CB419" s="970"/>
      <c r="CD419" s="987" t="s">
        <v>1418</v>
      </c>
      <c r="CE419" s="988"/>
      <c r="CF419" s="988"/>
      <c r="CG419" s="988"/>
      <c r="CH419" s="989"/>
      <c r="CI419" s="970"/>
    </row>
    <row r="420" spans="2:87" ht="48.75" customHeight="1">
      <c r="B420" s="1287"/>
      <c r="C420" s="1287"/>
      <c r="D420" s="1285"/>
      <c r="E420" s="2002"/>
      <c r="F420" s="1994"/>
      <c r="G420" s="2002"/>
      <c r="H420" s="1994"/>
      <c r="I420" s="2006"/>
      <c r="J420" s="1994"/>
      <c r="K420" s="319"/>
      <c r="L420" s="2005">
        <v>2411</v>
      </c>
      <c r="M420" s="2005"/>
      <c r="N420" s="1287">
        <v>1.6</v>
      </c>
      <c r="O420" s="1287"/>
      <c r="P420" s="1287">
        <v>1.3</v>
      </c>
      <c r="Q420" s="1287"/>
      <c r="X420" s="278"/>
      <c r="Y420" s="278"/>
      <c r="Z420" s="278"/>
      <c r="AA420" s="278"/>
      <c r="AB420" s="278"/>
      <c r="AC420" s="278"/>
      <c r="AD420" s="278"/>
      <c r="AE420" s="278"/>
      <c r="AF420" s="278"/>
      <c r="AG420" s="278"/>
      <c r="AH420" s="278"/>
      <c r="AI420" s="278"/>
      <c r="AJ420" s="278"/>
      <c r="AK420" s="278"/>
      <c r="AL420" s="278"/>
      <c r="AM420" s="278"/>
      <c r="AN420" s="278"/>
      <c r="AO420" s="278"/>
      <c r="AP420" s="278"/>
      <c r="AQ420" s="278"/>
      <c r="AR420" s="278"/>
      <c r="AS420" s="278"/>
      <c r="AT420" s="278"/>
      <c r="AV420" s="278"/>
      <c r="AW420" s="278"/>
      <c r="AX420" s="278"/>
      <c r="BB420" s="993"/>
      <c r="BC420" s="994"/>
      <c r="BD420" s="994"/>
      <c r="BE420" s="994"/>
      <c r="BF420" s="994"/>
      <c r="BG420" s="994"/>
      <c r="BH420" s="995"/>
      <c r="BI420" s="972"/>
      <c r="BK420" s="1527"/>
      <c r="BL420" s="1527"/>
      <c r="BM420" s="1527"/>
      <c r="BN420" s="1527"/>
      <c r="BO420" s="1527"/>
      <c r="BQ420" s="1513"/>
      <c r="BR420" s="1514"/>
      <c r="BS420" s="1514"/>
      <c r="BT420" s="1514"/>
      <c r="BU420" s="1514"/>
      <c r="BV420" s="1515"/>
      <c r="BX420" s="993"/>
      <c r="BY420" s="994"/>
      <c r="BZ420" s="994"/>
      <c r="CA420" s="994"/>
      <c r="CB420" s="972"/>
      <c r="CD420" s="993"/>
      <c r="CE420" s="994"/>
      <c r="CF420" s="994"/>
      <c r="CG420" s="994"/>
      <c r="CH420" s="995"/>
      <c r="CI420" s="972"/>
    </row>
    <row r="421" spans="2:87" ht="48.75" customHeight="1">
      <c r="B421" s="1287"/>
      <c r="C421" s="1287"/>
      <c r="D421" s="1285"/>
      <c r="E421" s="2002"/>
      <c r="F421" s="1994"/>
      <c r="G421" s="2002"/>
      <c r="H421" s="1994"/>
      <c r="I421" s="2007"/>
      <c r="J421" s="1994"/>
      <c r="K421" s="319"/>
      <c r="L421" s="354"/>
      <c r="M421" s="354"/>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8"/>
      <c r="AR421" s="278"/>
      <c r="AS421" s="278"/>
      <c r="AT421" s="278"/>
      <c r="AV421" s="278"/>
      <c r="AW421" s="278"/>
      <c r="AX421" s="278"/>
      <c r="BB421" s="1527"/>
      <c r="BC421" s="1527"/>
      <c r="BD421" s="1527"/>
      <c r="BE421" s="1527"/>
      <c r="BF421" s="1527"/>
      <c r="BG421" s="1527"/>
      <c r="BH421" s="1527"/>
      <c r="BI421" s="1527"/>
      <c r="BK421" s="1527"/>
      <c r="BL421" s="1527"/>
      <c r="BM421" s="1527"/>
      <c r="BN421" s="1527"/>
      <c r="BO421" s="1527"/>
      <c r="BQ421" s="1516"/>
      <c r="BR421" s="1517"/>
      <c r="BS421" s="1517"/>
      <c r="BT421" s="1517"/>
      <c r="BU421" s="1517"/>
      <c r="BV421" s="1518"/>
      <c r="BX421" s="1527"/>
      <c r="BY421" s="1527"/>
      <c r="BZ421" s="1527"/>
      <c r="CA421" s="1527"/>
      <c r="CB421" s="1527"/>
      <c r="CD421" s="1527"/>
      <c r="CE421" s="1527"/>
      <c r="CF421" s="1527"/>
      <c r="CG421" s="1527"/>
      <c r="CH421" s="1527"/>
      <c r="CI421" s="1527"/>
    </row>
    <row r="422" spans="2:87" ht="48.75" customHeight="1" thickBot="1">
      <c r="B422" s="1287"/>
      <c r="C422" s="1287"/>
      <c r="D422" s="1285"/>
      <c r="E422" s="355" t="s">
        <v>111</v>
      </c>
      <c r="F422" s="356">
        <f>F419*10^(-6)</f>
        <v>1.7543859649122805E-8</v>
      </c>
      <c r="G422" s="355" t="s">
        <v>111</v>
      </c>
      <c r="H422" s="356">
        <f>H419*10^(-6)</f>
        <v>2.127659574468085E-8</v>
      </c>
      <c r="I422" s="355" t="s">
        <v>111</v>
      </c>
      <c r="J422" s="356">
        <f>J419*10^(-6)</f>
        <v>2.4390243902439023E-8</v>
      </c>
      <c r="K422" s="319"/>
      <c r="L422" s="756" t="s">
        <v>667</v>
      </c>
      <c r="M422" s="756"/>
      <c r="N422" s="756"/>
      <c r="O422" s="756"/>
      <c r="P422" s="756"/>
      <c r="Q422" s="756"/>
      <c r="R422" s="756"/>
      <c r="S422" s="259"/>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8"/>
      <c r="AR422" s="278"/>
      <c r="AS422" s="278"/>
      <c r="AT422" s="278"/>
      <c r="AV422" s="278"/>
      <c r="AW422" s="278"/>
      <c r="AX422" s="278"/>
      <c r="BB422" s="1527"/>
      <c r="BC422" s="1527"/>
      <c r="BD422" s="1527"/>
      <c r="BE422" s="1527"/>
      <c r="BF422" s="1527"/>
      <c r="BG422" s="1527"/>
      <c r="BH422" s="1527"/>
      <c r="BI422" s="1527"/>
      <c r="BK422" s="1527"/>
      <c r="BL422" s="1527"/>
      <c r="BM422" s="1527"/>
      <c r="BN422" s="1527"/>
      <c r="BO422" s="1527"/>
      <c r="BQ422" s="1516"/>
      <c r="BR422" s="1517"/>
      <c r="BS422" s="1517"/>
      <c r="BT422" s="1517"/>
      <c r="BU422" s="1517"/>
      <c r="BV422" s="1518"/>
      <c r="BX422" s="1527"/>
      <c r="BY422" s="1527"/>
      <c r="BZ422" s="1527"/>
      <c r="CA422" s="1527"/>
      <c r="CB422" s="1527"/>
      <c r="CD422" s="1527"/>
      <c r="CE422" s="1527"/>
      <c r="CF422" s="1527"/>
      <c r="CG422" s="1527"/>
      <c r="CH422" s="1527"/>
      <c r="CI422" s="1527"/>
    </row>
    <row r="423" spans="2:87" ht="48.75" customHeight="1">
      <c r="B423" s="1287" t="s">
        <v>675</v>
      </c>
      <c r="C423" s="1287"/>
      <c r="D423" s="1286" t="s">
        <v>671</v>
      </c>
      <c r="E423" s="361" t="str">
        <f>"1/35"</f>
        <v>1/35</v>
      </c>
      <c r="F423" s="362">
        <f>1/35</f>
        <v>2.8571428571428571E-2</v>
      </c>
      <c r="G423" s="361" t="str">
        <f>"1/28"</f>
        <v>1/28</v>
      </c>
      <c r="H423" s="362">
        <f>1/28</f>
        <v>3.5714285714285712E-2</v>
      </c>
      <c r="I423" s="361" t="str">
        <f>"1/26"</f>
        <v>1/26</v>
      </c>
      <c r="J423" s="362">
        <f>1/26</f>
        <v>3.8461538461538464E-2</v>
      </c>
      <c r="L423" s="1287" t="s">
        <v>668</v>
      </c>
      <c r="M423" s="1287"/>
      <c r="N423" s="1287" t="s">
        <v>666</v>
      </c>
      <c r="O423" s="1287"/>
      <c r="P423" s="1287"/>
      <c r="Q423" s="1287"/>
      <c r="R423" s="1287"/>
      <c r="S423" s="1287"/>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8"/>
      <c r="AR423" s="278"/>
      <c r="AS423" s="278"/>
      <c r="AT423" s="278"/>
      <c r="AV423" s="278"/>
      <c r="AW423" s="278"/>
      <c r="AX423" s="278"/>
      <c r="BB423" s="1527"/>
      <c r="BC423" s="1527"/>
      <c r="BD423" s="1527"/>
      <c r="BE423" s="1527"/>
      <c r="BF423" s="1527"/>
      <c r="BG423" s="1527"/>
      <c r="BH423" s="1527"/>
      <c r="BI423" s="1527"/>
      <c r="BK423" s="1527"/>
      <c r="BL423" s="1527"/>
      <c r="BM423" s="1527"/>
      <c r="BN423" s="1527"/>
      <c r="BO423" s="1527"/>
      <c r="BQ423" s="1516"/>
      <c r="BR423" s="1517"/>
      <c r="BS423" s="1517"/>
      <c r="BT423" s="1517"/>
      <c r="BU423" s="1517"/>
      <c r="BV423" s="1518"/>
      <c r="BX423" s="1527"/>
      <c r="BY423" s="1527"/>
      <c r="BZ423" s="1527"/>
      <c r="CA423" s="1527"/>
      <c r="CB423" s="1527"/>
      <c r="CD423" s="1527"/>
      <c r="CE423" s="1527"/>
      <c r="CF423" s="1527"/>
      <c r="CG423" s="1527"/>
      <c r="CH423" s="1527"/>
      <c r="CI423" s="1527"/>
    </row>
    <row r="424" spans="2:87" ht="48.75" customHeight="1" thickBot="1">
      <c r="B424" s="1287"/>
      <c r="C424" s="1287"/>
      <c r="D424" s="1286"/>
      <c r="E424" s="355" t="s">
        <v>111</v>
      </c>
      <c r="F424" s="356">
        <f>F423*10^(-6)</f>
        <v>2.8571428571428569E-8</v>
      </c>
      <c r="G424" s="365" t="s">
        <v>111</v>
      </c>
      <c r="H424" s="366">
        <f>H423*10^(-6)</f>
        <v>3.5714285714285712E-8</v>
      </c>
      <c r="I424" s="365" t="s">
        <v>111</v>
      </c>
      <c r="J424" s="366">
        <f>J423*10^(-6)</f>
        <v>3.8461538461538461E-8</v>
      </c>
      <c r="L424" s="1287"/>
      <c r="M424" s="1287"/>
      <c r="N424" s="257">
        <v>2</v>
      </c>
      <c r="O424" s="257">
        <v>4</v>
      </c>
      <c r="P424" s="257">
        <v>6</v>
      </c>
      <c r="Q424" s="257">
        <v>8</v>
      </c>
      <c r="R424" s="257">
        <v>10</v>
      </c>
      <c r="S424" s="257">
        <v>12</v>
      </c>
      <c r="AA424" s="278"/>
      <c r="AB424" s="278"/>
      <c r="AC424" s="278"/>
      <c r="AD424" s="278"/>
      <c r="AE424" s="278"/>
      <c r="AF424" s="278"/>
      <c r="AG424" s="278"/>
      <c r="AH424" s="278"/>
      <c r="AI424" s="278"/>
      <c r="AJ424" s="278"/>
      <c r="AK424" s="278"/>
      <c r="AL424" s="278"/>
      <c r="AM424" s="278"/>
      <c r="AN424" s="278"/>
      <c r="AO424" s="278"/>
      <c r="AP424" s="278"/>
      <c r="AQ424" s="278"/>
      <c r="AR424" s="278"/>
      <c r="AS424" s="278"/>
      <c r="AT424" s="278"/>
      <c r="AV424" s="278"/>
      <c r="AW424" s="278"/>
      <c r="AX424" s="278"/>
      <c r="BB424" s="1527"/>
      <c r="BC424" s="1527"/>
      <c r="BD424" s="1527"/>
      <c r="BE424" s="1527"/>
      <c r="BF424" s="1527"/>
      <c r="BG424" s="1527"/>
      <c r="BH424" s="1527"/>
      <c r="BI424" s="1527"/>
      <c r="BK424" s="1527"/>
      <c r="BL424" s="1527"/>
      <c r="BM424" s="1527"/>
      <c r="BN424" s="1527"/>
      <c r="BO424" s="1527"/>
      <c r="BQ424" s="1516"/>
      <c r="BR424" s="1517"/>
      <c r="BS424" s="1517"/>
      <c r="BT424" s="1517"/>
      <c r="BU424" s="1517"/>
      <c r="BV424" s="1518"/>
      <c r="BX424" s="1527"/>
      <c r="BY424" s="1527"/>
      <c r="BZ424" s="1527"/>
      <c r="CA424" s="1527"/>
      <c r="CB424" s="1527"/>
      <c r="CD424" s="1527"/>
      <c r="CE424" s="1527"/>
      <c r="CF424" s="1527"/>
      <c r="CG424" s="1527"/>
      <c r="CH424" s="1527"/>
      <c r="CI424" s="1527"/>
    </row>
    <row r="425" spans="2:87" ht="48.75" customHeight="1">
      <c r="B425" s="1287"/>
      <c r="C425" s="1287"/>
      <c r="D425" s="1286" t="s">
        <v>672</v>
      </c>
      <c r="E425" s="361" t="str">
        <f>"1/30"</f>
        <v>1/30</v>
      </c>
      <c r="F425" s="368">
        <f>1/30</f>
        <v>3.3333333333333333E-2</v>
      </c>
      <c r="G425" s="361" t="str">
        <f>"1/14"</f>
        <v>1/14</v>
      </c>
      <c r="H425" s="362">
        <f>1/14</f>
        <v>7.1428571428571425E-2</v>
      </c>
      <c r="I425" s="361" t="str">
        <f>"1/22"</f>
        <v>1/22</v>
      </c>
      <c r="J425" s="362">
        <f>1/22</f>
        <v>4.5454545454545456E-2</v>
      </c>
      <c r="L425" s="1287" t="s">
        <v>456</v>
      </c>
      <c r="M425" s="1287"/>
      <c r="N425" s="257">
        <v>0.22</v>
      </c>
      <c r="O425" s="257">
        <v>0.2</v>
      </c>
      <c r="P425" s="257">
        <v>0.19</v>
      </c>
      <c r="Q425" s="257">
        <v>0.18</v>
      </c>
      <c r="R425" s="257">
        <v>0.17</v>
      </c>
      <c r="S425" s="257">
        <v>0.16</v>
      </c>
      <c r="AH425" s="278"/>
      <c r="AI425" s="278"/>
      <c r="AJ425" s="278"/>
      <c r="AK425" s="278"/>
      <c r="AL425" s="278"/>
      <c r="AM425" s="278"/>
      <c r="AN425" s="278"/>
      <c r="AO425" s="278"/>
      <c r="AV425" s="278"/>
      <c r="AW425" s="278"/>
      <c r="AX425" s="278"/>
      <c r="BB425" s="1527"/>
      <c r="BC425" s="1527"/>
      <c r="BD425" s="1527"/>
      <c r="BE425" s="1527"/>
      <c r="BF425" s="1527"/>
      <c r="BG425" s="1527"/>
      <c r="BH425" s="1527"/>
      <c r="BI425" s="1527"/>
      <c r="BK425" s="1527"/>
      <c r="BL425" s="1527"/>
      <c r="BM425" s="1527"/>
      <c r="BN425" s="1527"/>
      <c r="BO425" s="1527"/>
      <c r="BQ425" s="1516"/>
      <c r="BR425" s="1517"/>
      <c r="BS425" s="1517"/>
      <c r="BT425" s="1517"/>
      <c r="BU425" s="1517"/>
      <c r="BV425" s="1518"/>
      <c r="BX425" s="1527"/>
      <c r="BY425" s="1527"/>
      <c r="BZ425" s="1527"/>
      <c r="CA425" s="1527"/>
      <c r="CB425" s="1527"/>
      <c r="CD425" s="1527"/>
      <c r="CE425" s="1527"/>
      <c r="CF425" s="1527"/>
      <c r="CG425" s="1527"/>
      <c r="CH425" s="1527"/>
      <c r="CI425" s="1527"/>
    </row>
    <row r="426" spans="2:87" ht="48.75" customHeight="1" thickBot="1">
      <c r="B426" s="1287"/>
      <c r="C426" s="1287"/>
      <c r="D426" s="1286"/>
      <c r="E426" s="355" t="s">
        <v>111</v>
      </c>
      <c r="F426" s="367">
        <f>F425*10^(-6)</f>
        <v>3.3333333333333334E-8</v>
      </c>
      <c r="G426" s="355" t="s">
        <v>111</v>
      </c>
      <c r="H426" s="356">
        <f>H425*10^(-6)</f>
        <v>7.1428571428571423E-8</v>
      </c>
      <c r="I426" s="355" t="s">
        <v>111</v>
      </c>
      <c r="J426" s="356">
        <f>J425*10^(-6)</f>
        <v>4.5454545454545451E-8</v>
      </c>
      <c r="L426" s="1287" t="s">
        <v>457</v>
      </c>
      <c r="M426" s="1287"/>
      <c r="N426" s="257">
        <v>0.84</v>
      </c>
      <c r="O426" s="257">
        <v>0.8</v>
      </c>
      <c r="P426" s="257">
        <v>0.78</v>
      </c>
      <c r="Q426" s="257">
        <v>0.76</v>
      </c>
      <c r="R426" s="257">
        <v>0.74</v>
      </c>
      <c r="S426" s="257">
        <v>0.72</v>
      </c>
      <c r="AV426" s="278"/>
      <c r="AW426" s="278"/>
      <c r="AX426" s="278"/>
      <c r="BB426" s="1527"/>
      <c r="BC426" s="1527"/>
      <c r="BD426" s="1527"/>
      <c r="BE426" s="1527"/>
      <c r="BF426" s="1527"/>
      <c r="BG426" s="1527"/>
      <c r="BH426" s="1527"/>
      <c r="BI426" s="1527"/>
      <c r="BK426" s="1527"/>
      <c r="BL426" s="1527"/>
      <c r="BM426" s="1527"/>
      <c r="BN426" s="1527"/>
      <c r="BO426" s="1527"/>
      <c r="BQ426" s="1516"/>
      <c r="BR426" s="1517"/>
      <c r="BS426" s="1517"/>
      <c r="BT426" s="1517"/>
      <c r="BU426" s="1517"/>
      <c r="BV426" s="1518"/>
      <c r="BX426" s="1527"/>
      <c r="BY426" s="1527"/>
      <c r="BZ426" s="1527"/>
      <c r="CA426" s="1527"/>
      <c r="CB426" s="1527"/>
      <c r="CD426" s="1527"/>
      <c r="CE426" s="1527"/>
      <c r="CF426" s="1527"/>
      <c r="CG426" s="1527"/>
      <c r="CH426" s="1527"/>
      <c r="CI426" s="1527"/>
    </row>
    <row r="427" spans="2:87" ht="48.75" customHeight="1">
      <c r="B427" s="1287"/>
      <c r="C427" s="1287"/>
      <c r="D427" s="1059"/>
      <c r="E427" s="1059"/>
      <c r="F427" s="1059"/>
      <c r="G427" s="1059"/>
      <c r="H427" s="1059"/>
      <c r="I427" s="1059"/>
      <c r="J427" s="963"/>
      <c r="K427" s="319"/>
      <c r="L427" s="319"/>
      <c r="AJ427" s="131" t="s">
        <v>423</v>
      </c>
      <c r="AK427" s="131" t="s">
        <v>424</v>
      </c>
      <c r="AL427" s="131" t="s">
        <v>425</v>
      </c>
      <c r="AM427" s="131" t="s">
        <v>426</v>
      </c>
      <c r="AN427" s="131" t="s">
        <v>427</v>
      </c>
      <c r="AO427" s="131" t="s">
        <v>428</v>
      </c>
      <c r="AP427" s="424"/>
      <c r="AQ427" s="278"/>
      <c r="AR427" s="278"/>
      <c r="AS427" s="278"/>
      <c r="AT427" s="278"/>
      <c r="AU427" s="278"/>
      <c r="AV427" s="278"/>
      <c r="AW427" s="278"/>
      <c r="AX427" s="278"/>
      <c r="BB427" s="1527"/>
      <c r="BC427" s="1527"/>
      <c r="BD427" s="1527"/>
      <c r="BE427" s="1527"/>
      <c r="BF427" s="1527"/>
      <c r="BG427" s="1527"/>
      <c r="BH427" s="1527"/>
      <c r="BI427" s="1527"/>
      <c r="BQ427" s="1516"/>
      <c r="BR427" s="1517"/>
      <c r="BS427" s="1517"/>
      <c r="BT427" s="1517"/>
      <c r="BU427" s="1517"/>
      <c r="BV427" s="1518"/>
      <c r="BX427" s="1527"/>
      <c r="BY427" s="1527"/>
      <c r="BZ427" s="1527"/>
      <c r="CA427" s="1527"/>
      <c r="CB427" s="1527"/>
      <c r="CD427" s="1527"/>
      <c r="CE427" s="1527"/>
      <c r="CF427" s="1527"/>
      <c r="CG427" s="1527"/>
      <c r="CH427" s="1527"/>
      <c r="CI427" s="1527"/>
    </row>
    <row r="428" spans="2:87" ht="48.75" customHeight="1" thickBot="1">
      <c r="B428" s="1287"/>
      <c r="C428" s="1287"/>
      <c r="E428" s="1919" t="s">
        <v>684</v>
      </c>
      <c r="F428" s="1919"/>
      <c r="G428" s="1919" t="s">
        <v>682</v>
      </c>
      <c r="H428" s="1919"/>
      <c r="I428" s="1919" t="s">
        <v>683</v>
      </c>
      <c r="J428" s="1919"/>
      <c r="K428" s="299"/>
      <c r="L428" s="299"/>
      <c r="M428" s="631" t="s">
        <v>402</v>
      </c>
      <c r="N428" s="627">
        <f>'Вывод расчетов'!$AP$20</f>
        <v>4</v>
      </c>
      <c r="P428" s="861" t="s">
        <v>885</v>
      </c>
      <c r="Q428" s="861"/>
      <c r="R428" s="861"/>
      <c r="S428" s="630" t="str">
        <f>'Вывод расчетов'!$M$67</f>
        <v>IP44</v>
      </c>
      <c r="AJ428" s="131" t="s">
        <v>429</v>
      </c>
      <c r="AK428" s="131" t="s">
        <v>430</v>
      </c>
      <c r="AL428" s="131" t="s">
        <v>53</v>
      </c>
      <c r="AM428" s="131" t="s">
        <v>431</v>
      </c>
      <c r="AN428" s="131" t="s">
        <v>432</v>
      </c>
      <c r="AO428" s="131" t="s">
        <v>433</v>
      </c>
      <c r="AP428" s="424"/>
      <c r="AQ428" s="278"/>
      <c r="AR428" s="278"/>
      <c r="AS428" s="278"/>
      <c r="AT428" s="278"/>
      <c r="AU428" s="278"/>
      <c r="AV428" s="278"/>
      <c r="AW428" s="278"/>
      <c r="AX428" s="278"/>
      <c r="BB428" s="1527"/>
      <c r="BC428" s="1527"/>
      <c r="BD428" s="1527"/>
      <c r="BE428" s="1527"/>
      <c r="BF428" s="1527"/>
      <c r="BG428" s="1527"/>
      <c r="BH428" s="1527"/>
      <c r="BI428" s="1527"/>
      <c r="BQ428" s="1516"/>
      <c r="BR428" s="1517"/>
      <c r="BS428" s="1517"/>
      <c r="BT428" s="1517"/>
      <c r="BU428" s="1517"/>
      <c r="BV428" s="1518"/>
      <c r="BX428" s="1527"/>
      <c r="BY428" s="1527"/>
      <c r="BZ428" s="1527"/>
      <c r="CA428" s="1527"/>
      <c r="CB428" s="1527"/>
      <c r="CD428" s="1527"/>
      <c r="CE428" s="1527"/>
      <c r="CF428" s="1527"/>
      <c r="CG428" s="1527"/>
      <c r="CH428" s="1527"/>
      <c r="CI428" s="1527"/>
    </row>
    <row r="429" spans="2:87" ht="48.75" customHeight="1">
      <c r="B429" s="1287"/>
      <c r="C429" s="1287"/>
      <c r="D429" s="1286" t="s">
        <v>671</v>
      </c>
      <c r="E429" s="361" t="str">
        <f>"1/35"</f>
        <v>1/35</v>
      </c>
      <c r="F429" s="364">
        <f>1/35</f>
        <v>2.8571428571428571E-2</v>
      </c>
      <c r="G429" s="363" t="str">
        <f>"1/21,5"</f>
        <v>1/21,5</v>
      </c>
      <c r="H429" s="362">
        <f>1/21.5</f>
        <v>4.6511627906976744E-2</v>
      </c>
      <c r="I429" s="363" t="str">
        <f>"1/20,5"</f>
        <v>1/20,5</v>
      </c>
      <c r="J429" s="362">
        <f>1/20.5</f>
        <v>4.878048780487805E-2</v>
      </c>
      <c r="K429" s="299"/>
      <c r="L429" s="299"/>
      <c r="M429" s="299"/>
      <c r="N429" s="299"/>
      <c r="AJ429" s="131" t="s">
        <v>725</v>
      </c>
      <c r="AK429" s="131" t="s">
        <v>899</v>
      </c>
      <c r="AL429" s="131" t="s">
        <v>987</v>
      </c>
      <c r="AM429" s="131" t="s">
        <v>1065</v>
      </c>
      <c r="AN429" s="131" t="s">
        <v>927</v>
      </c>
      <c r="AO429" s="131" t="s">
        <v>928</v>
      </c>
      <c r="AV429" s="278"/>
      <c r="AW429" s="278"/>
      <c r="AX429" s="278"/>
      <c r="BB429" s="1527"/>
      <c r="BC429" s="1527"/>
      <c r="BD429" s="1527"/>
      <c r="BE429" s="1527"/>
      <c r="BF429" s="1527"/>
      <c r="BG429" s="1527"/>
      <c r="BH429" s="1527"/>
      <c r="BI429" s="1527"/>
      <c r="BQ429" s="1519"/>
      <c r="BR429" s="1520"/>
      <c r="BS429" s="1520"/>
      <c r="BT429" s="1520"/>
      <c r="BU429" s="1520"/>
      <c r="BV429" s="1521"/>
      <c r="BX429" s="1527"/>
      <c r="BY429" s="1527"/>
      <c r="BZ429" s="1527"/>
      <c r="CA429" s="1527"/>
      <c r="CB429" s="1527"/>
      <c r="CD429" s="1527"/>
      <c r="CE429" s="1527"/>
      <c r="CF429" s="1527"/>
      <c r="CG429" s="1527"/>
      <c r="CH429" s="1527"/>
      <c r="CI429" s="1527"/>
    </row>
    <row r="430" spans="2:87" ht="48.75" customHeight="1" thickBot="1">
      <c r="B430" s="1287"/>
      <c r="C430" s="1287"/>
      <c r="D430" s="1286"/>
      <c r="E430" s="355" t="s">
        <v>111</v>
      </c>
      <c r="F430" s="356">
        <f>F429*10^(-6)</f>
        <v>2.8571428571428569E-8</v>
      </c>
      <c r="G430" s="365" t="s">
        <v>111</v>
      </c>
      <c r="H430" s="366">
        <f>H429*10^(-6)</f>
        <v>4.6511627906976744E-8</v>
      </c>
      <c r="I430" s="355" t="s">
        <v>111</v>
      </c>
      <c r="J430" s="356">
        <f>J429*10^(-6)</f>
        <v>4.8780487804878047E-8</v>
      </c>
      <c r="K430" s="299"/>
      <c r="L430" s="299"/>
      <c r="Q430" s="299"/>
      <c r="AJ430" s="131" t="s">
        <v>711</v>
      </c>
      <c r="AK430" s="131" t="s">
        <v>710</v>
      </c>
      <c r="AL430" s="131" t="s">
        <v>709</v>
      </c>
      <c r="AM430" s="131" t="s">
        <v>708</v>
      </c>
      <c r="AN430" s="131" t="s">
        <v>910</v>
      </c>
      <c r="AO430" s="131" t="s">
        <v>713</v>
      </c>
      <c r="BB430" s="1527"/>
      <c r="BC430" s="1527"/>
      <c r="BD430" s="1527"/>
      <c r="BE430" s="1527"/>
      <c r="BF430" s="1527"/>
      <c r="BG430" s="1527"/>
      <c r="BH430" s="1527"/>
      <c r="BI430" s="1527"/>
      <c r="BX430" s="1527"/>
      <c r="BY430" s="1527"/>
      <c r="BZ430" s="1527"/>
      <c r="CA430" s="1527"/>
      <c r="CB430" s="1527"/>
      <c r="CD430" s="1527"/>
      <c r="CE430" s="1527"/>
      <c r="CF430" s="1527"/>
      <c r="CG430" s="1527"/>
      <c r="CH430" s="1527"/>
      <c r="CI430" s="1527"/>
    </row>
    <row r="431" spans="2:87" ht="48.75" customHeight="1">
      <c r="B431" s="1287"/>
      <c r="C431" s="1287"/>
      <c r="D431" s="1286" t="s">
        <v>672</v>
      </c>
      <c r="E431" s="361" t="str">
        <f>"1/30"</f>
        <v>1/30</v>
      </c>
      <c r="F431" s="368">
        <f>1/35</f>
        <v>2.8571428571428571E-2</v>
      </c>
      <c r="G431" s="363" t="str">
        <f>"1/21,5"</f>
        <v>1/21,5</v>
      </c>
      <c r="H431" s="362">
        <f>1/21.5</f>
        <v>4.6511627906976744E-2</v>
      </c>
      <c r="I431" s="368" t="str">
        <f>"1/20,5"</f>
        <v>1/20,5</v>
      </c>
      <c r="J431" s="362">
        <f>1/20.5</f>
        <v>4.878048780487805E-2</v>
      </c>
      <c r="AJ431" s="131" t="s">
        <v>721</v>
      </c>
      <c r="AK431" s="131" t="s">
        <v>712</v>
      </c>
      <c r="AL431" s="131" t="s">
        <v>909</v>
      </c>
      <c r="AM431" s="131" t="s">
        <v>934</v>
      </c>
      <c r="AN431" s="221"/>
      <c r="AO431" s="131"/>
      <c r="BB431" s="1527"/>
      <c r="BC431" s="1527"/>
      <c r="BD431" s="1527"/>
      <c r="BE431" s="1527"/>
      <c r="BF431" s="1527"/>
      <c r="BG431" s="1527"/>
      <c r="BH431" s="1527"/>
      <c r="BI431" s="1527"/>
      <c r="BX431" s="1527"/>
      <c r="BY431" s="1527"/>
      <c r="BZ431" s="1527"/>
      <c r="CA431" s="1527"/>
      <c r="CB431" s="1527"/>
      <c r="CD431" s="1527"/>
      <c r="CE431" s="1527"/>
      <c r="CF431" s="1527"/>
      <c r="CG431" s="1527"/>
      <c r="CH431" s="1527"/>
      <c r="CI431" s="1527"/>
    </row>
    <row r="432" spans="2:87" ht="48.75" customHeight="1" thickBot="1">
      <c r="B432" s="1287"/>
      <c r="C432" s="1287"/>
      <c r="D432" s="1286"/>
      <c r="E432" s="355" t="s">
        <v>111</v>
      </c>
      <c r="F432" s="367">
        <f>F431*10^(-6)</f>
        <v>2.8571428571428569E-8</v>
      </c>
      <c r="G432" s="355" t="s">
        <v>111</v>
      </c>
      <c r="H432" s="356">
        <f>H431*10^(-6)</f>
        <v>4.6511627906976744E-8</v>
      </c>
      <c r="I432" s="369" t="s">
        <v>111</v>
      </c>
      <c r="J432" s="356">
        <f>J431*10^(-6)</f>
        <v>4.8780487804878047E-8</v>
      </c>
      <c r="O432" s="179"/>
      <c r="P432" s="647">
        <f>IF(AND(N428=N424,S428="IP44"),N425,
IF(AND(N428=O424,S428="IP44"),O425,
IF(AND(N428=P424,S428="IP44"),P425,
IF(AND(N428=Q424,S428="IP44"),Q425,
IF(AND(N428=R424,S428="IP44"),R425,
IF(AND(N428=S424,S428="IP44"),S425,
IF(AND(N428=N424,S428="IP23"),N426,
IF(AND(N428=O424,S428="IP23"),O426,
IF(AND(N428=P424,S428="IP23"),P426,
IF(AND(N428=Q424,S428="IP23"),Q426,
IF(AND(N428=R424,S428="IP23"),R426,
IF(AND(N428=S424,S428="IP23"),S426,"Неверно"
))))))))))))</f>
        <v>0.2</v>
      </c>
      <c r="V432" s="987" t="s">
        <v>651</v>
      </c>
      <c r="W432" s="988"/>
      <c r="X432" s="988"/>
      <c r="Y432" s="988"/>
      <c r="Z432" s="988"/>
      <c r="AA432" s="988"/>
      <c r="AB432" s="988"/>
      <c r="AC432" s="988"/>
      <c r="AD432" s="988"/>
      <c r="AE432" s="988"/>
      <c r="AF432" s="988"/>
      <c r="AG432" s="988"/>
      <c r="AH432" s="2003"/>
      <c r="BB432" s="1527"/>
      <c r="BC432" s="1527"/>
      <c r="BD432" s="1527"/>
      <c r="BE432" s="1527"/>
      <c r="BF432" s="1527"/>
      <c r="BG432" s="1527"/>
      <c r="BH432" s="1527"/>
      <c r="BI432" s="1527"/>
      <c r="BX432" s="1527"/>
      <c r="BY432" s="1527"/>
      <c r="BZ432" s="1527"/>
      <c r="CA432" s="1527"/>
      <c r="CB432" s="1527"/>
      <c r="CD432" s="1527"/>
      <c r="CE432" s="1527"/>
      <c r="CF432" s="1527"/>
      <c r="CG432" s="1527"/>
      <c r="CH432" s="1527"/>
      <c r="CI432" s="1527"/>
    </row>
    <row r="433" spans="2:82" ht="48.75" customHeight="1">
      <c r="B433" s="981"/>
      <c r="C433" s="981"/>
      <c r="D433" s="981"/>
      <c r="E433" s="972"/>
      <c r="F433" s="972"/>
      <c r="G433" s="972"/>
      <c r="H433" s="972"/>
      <c r="I433" s="972"/>
      <c r="J433" s="972"/>
      <c r="V433" s="993"/>
      <c r="W433" s="994"/>
      <c r="X433" s="994"/>
      <c r="Y433" s="994"/>
      <c r="Z433" s="994"/>
      <c r="AA433" s="994"/>
      <c r="AB433" s="994"/>
      <c r="AC433" s="994"/>
      <c r="AD433" s="994"/>
      <c r="AE433" s="994"/>
      <c r="AF433" s="994"/>
      <c r="AG433" s="994"/>
      <c r="AH433" s="2004"/>
      <c r="BB433" s="1527"/>
      <c r="BC433" s="1527"/>
      <c r="BD433" s="1527"/>
      <c r="BE433" s="1527"/>
      <c r="BF433" s="1527"/>
      <c r="BG433" s="1527"/>
      <c r="BH433" s="1527"/>
      <c r="BI433" s="1527"/>
      <c r="BX433" s="1527"/>
      <c r="BY433" s="1527"/>
      <c r="BZ433" s="1527"/>
      <c r="CA433" s="1527"/>
      <c r="CB433" s="1527"/>
    </row>
    <row r="434" spans="2:82" ht="48.75" customHeight="1">
      <c r="B434" s="2000" t="s">
        <v>1237</v>
      </c>
      <c r="C434" s="2000"/>
      <c r="D434" s="2000"/>
      <c r="E434" s="2000"/>
      <c r="F434" s="2000"/>
      <c r="G434" s="2000"/>
      <c r="H434" s="2000"/>
      <c r="I434" s="2000"/>
      <c r="J434" s="2000"/>
      <c r="V434" s="1919" t="s">
        <v>529</v>
      </c>
      <c r="W434" s="1285" t="s">
        <v>636</v>
      </c>
      <c r="X434" s="1286"/>
      <c r="Y434" s="1286"/>
      <c r="Z434" s="1286"/>
      <c r="AA434" s="1286"/>
      <c r="AB434" s="1286"/>
      <c r="AC434" s="1286"/>
      <c r="AD434" s="1286"/>
      <c r="AE434" s="1286"/>
      <c r="AF434" s="1286"/>
      <c r="AG434" s="1286"/>
      <c r="AH434" s="1761"/>
      <c r="BB434" s="1527"/>
      <c r="BC434" s="1527"/>
      <c r="BD434" s="1527"/>
      <c r="BE434" s="1527"/>
      <c r="BF434" s="1527"/>
      <c r="BG434" s="1527"/>
      <c r="BH434" s="1527"/>
      <c r="BI434" s="1527"/>
      <c r="BM434" s="1901"/>
      <c r="BN434" s="1901"/>
      <c r="BO434" s="1901"/>
      <c r="BP434" s="1901"/>
      <c r="BQ434" s="1901"/>
      <c r="BR434" s="1901"/>
      <c r="BS434" s="1901"/>
      <c r="BT434" s="1901"/>
      <c r="BU434" s="1901"/>
      <c r="BV434" s="259"/>
      <c r="BZ434" s="278"/>
      <c r="CA434" s="278"/>
      <c r="CB434" s="278"/>
      <c r="CC434" s="278"/>
      <c r="CD434" s="278"/>
    </row>
    <row r="435" spans="2:82" ht="48.75" customHeight="1">
      <c r="B435" s="2000"/>
      <c r="C435" s="2000"/>
      <c r="D435" s="2000"/>
      <c r="E435" s="2000"/>
      <c r="F435" s="2000"/>
      <c r="G435" s="2000"/>
      <c r="H435" s="2000"/>
      <c r="I435" s="2000"/>
      <c r="J435" s="2000"/>
      <c r="V435" s="1921"/>
      <c r="W435" s="1999" t="s">
        <v>1251</v>
      </c>
      <c r="X435" s="1999"/>
      <c r="Y435" s="1999"/>
      <c r="Z435" s="1999"/>
      <c r="AA435" s="1999"/>
      <c r="AB435" s="1999"/>
      <c r="AC435" s="1999" t="s">
        <v>1252</v>
      </c>
      <c r="AD435" s="1999"/>
      <c r="AE435" s="1999"/>
      <c r="AF435" s="1999"/>
      <c r="AG435" s="1999"/>
      <c r="AH435" s="1999"/>
      <c r="BB435" s="1527"/>
      <c r="BC435" s="1527"/>
      <c r="BD435" s="1527"/>
      <c r="BE435" s="1527"/>
      <c r="BF435" s="1527"/>
      <c r="BG435" s="1527"/>
      <c r="BH435" s="1527"/>
      <c r="BI435" s="1527"/>
      <c r="BM435" s="1513"/>
      <c r="BN435" s="1514"/>
      <c r="BO435" s="1514"/>
      <c r="BP435" s="1514"/>
      <c r="BQ435" s="1514"/>
      <c r="BR435" s="1514"/>
      <c r="BS435" s="1514"/>
      <c r="BT435" s="1514"/>
      <c r="BU435" s="1514"/>
      <c r="BV435" s="1515"/>
      <c r="BZ435" s="278"/>
      <c r="CA435" s="278"/>
      <c r="CB435" s="278"/>
      <c r="CC435" s="278"/>
      <c r="CD435" s="278"/>
    </row>
    <row r="436" spans="2:82" ht="48.75" customHeight="1">
      <c r="V436" s="1287" t="s">
        <v>643</v>
      </c>
      <c r="W436" s="1957"/>
      <c r="X436" s="1958"/>
      <c r="Y436" s="1958"/>
      <c r="Z436" s="1958"/>
      <c r="AA436" s="1958"/>
      <c r="AB436" s="1958"/>
      <c r="AC436" s="2000"/>
      <c r="AD436" s="2000"/>
      <c r="AE436" s="2000"/>
      <c r="AF436" s="2000"/>
      <c r="AG436" s="2000"/>
      <c r="AH436" s="2000"/>
      <c r="BB436" s="1527"/>
      <c r="BC436" s="1527"/>
      <c r="BD436" s="1527"/>
      <c r="BE436" s="1527"/>
      <c r="BF436" s="1527"/>
      <c r="BG436" s="1527"/>
      <c r="BH436" s="1527"/>
      <c r="BI436" s="1527"/>
      <c r="BM436" s="1516"/>
      <c r="BN436" s="1517"/>
      <c r="BO436" s="1517"/>
      <c r="BP436" s="1517"/>
      <c r="BQ436" s="1517"/>
      <c r="BR436" s="1517"/>
      <c r="BS436" s="1517"/>
      <c r="BT436" s="1517"/>
      <c r="BU436" s="1517"/>
      <c r="BV436" s="1518"/>
      <c r="BZ436" s="278"/>
      <c r="CA436" s="278"/>
      <c r="CB436" s="278"/>
      <c r="CC436" s="278"/>
      <c r="CD436" s="278"/>
    </row>
    <row r="437" spans="2:82" ht="48.75" customHeight="1">
      <c r="V437" s="1287"/>
      <c r="W437" s="1959"/>
      <c r="X437" s="1960"/>
      <c r="Y437" s="1960"/>
      <c r="Z437" s="1960"/>
      <c r="AA437" s="1960"/>
      <c r="AB437" s="1960"/>
      <c r="AC437" s="2000"/>
      <c r="AD437" s="2000"/>
      <c r="AE437" s="2000"/>
      <c r="AF437" s="2000"/>
      <c r="AG437" s="2000"/>
      <c r="AH437" s="2000"/>
      <c r="AN437" s="88"/>
      <c r="AO437" s="88"/>
      <c r="AP437" s="88"/>
      <c r="BB437" s="1527"/>
      <c r="BC437" s="1527"/>
      <c r="BD437" s="1527"/>
      <c r="BE437" s="1527"/>
      <c r="BF437" s="1527"/>
      <c r="BG437" s="1527"/>
      <c r="BH437" s="1527"/>
      <c r="BI437" s="1527"/>
      <c r="BM437" s="1516"/>
      <c r="BN437" s="1517"/>
      <c r="BO437" s="1517"/>
      <c r="BP437" s="1517"/>
      <c r="BQ437" s="1517"/>
      <c r="BR437" s="1517"/>
      <c r="BS437" s="1517"/>
      <c r="BT437" s="1517"/>
      <c r="BU437" s="1517"/>
      <c r="BV437" s="1518"/>
      <c r="BZ437" s="278"/>
      <c r="CA437" s="278"/>
      <c r="CB437" s="278"/>
      <c r="CC437" s="278"/>
      <c r="CD437" s="278"/>
    </row>
    <row r="438" spans="2:82" ht="48.75" customHeight="1">
      <c r="V438" s="1287"/>
      <c r="W438" s="1961"/>
      <c r="X438" s="1962"/>
      <c r="Y438" s="1962"/>
      <c r="Z438" s="1962"/>
      <c r="AA438" s="1962"/>
      <c r="AB438" s="1962"/>
      <c r="AC438" s="2000"/>
      <c r="AD438" s="2000"/>
      <c r="AE438" s="2000"/>
      <c r="AF438" s="2000"/>
      <c r="AG438" s="2000"/>
      <c r="AH438" s="2000"/>
      <c r="BB438" s="1527"/>
      <c r="BC438" s="1527"/>
      <c r="BD438" s="1527"/>
      <c r="BE438" s="1527"/>
      <c r="BF438" s="1527"/>
      <c r="BG438" s="1527"/>
      <c r="BH438" s="1527"/>
      <c r="BI438" s="1527"/>
      <c r="BM438" s="1516"/>
      <c r="BN438" s="1517"/>
      <c r="BO438" s="1517"/>
      <c r="BP438" s="1517"/>
      <c r="BQ438" s="1517"/>
      <c r="BR438" s="1517"/>
      <c r="BS438" s="1517"/>
      <c r="BT438" s="1517"/>
      <c r="BU438" s="1517"/>
      <c r="BV438" s="1518"/>
    </row>
    <row r="439" spans="2:82" ht="48.75" customHeight="1">
      <c r="V439" s="1287" t="s">
        <v>644</v>
      </c>
      <c r="W439" s="1957"/>
      <c r="X439" s="1958"/>
      <c r="Y439" s="1958"/>
      <c r="Z439" s="1958"/>
      <c r="AA439" s="1958"/>
      <c r="AB439" s="1958"/>
      <c r="AC439" s="2000"/>
      <c r="AD439" s="2000"/>
      <c r="AE439" s="2000"/>
      <c r="AF439" s="2000"/>
      <c r="AG439" s="2000"/>
      <c r="AH439" s="2000"/>
      <c r="AR439" s="1287" t="s">
        <v>1010</v>
      </c>
      <c r="AS439" s="1287"/>
      <c r="AT439" s="1287"/>
      <c r="AU439" s="1287"/>
      <c r="AV439" s="1287"/>
      <c r="AW439" s="981"/>
      <c r="BB439" s="1527"/>
      <c r="BC439" s="1527"/>
      <c r="BD439" s="1527"/>
      <c r="BE439" s="1527"/>
      <c r="BF439" s="1527"/>
      <c r="BG439" s="1527"/>
      <c r="BH439" s="1527"/>
      <c r="BI439" s="1527"/>
      <c r="BM439" s="1516"/>
      <c r="BN439" s="1517"/>
      <c r="BO439" s="1517"/>
      <c r="BP439" s="1517"/>
      <c r="BQ439" s="1517"/>
      <c r="BR439" s="1517"/>
      <c r="BS439" s="1517"/>
      <c r="BT439" s="1517"/>
      <c r="BU439" s="1517"/>
      <c r="BV439" s="1518"/>
    </row>
    <row r="440" spans="2:82" ht="48.75" customHeight="1">
      <c r="V440" s="1287"/>
      <c r="W440" s="1959"/>
      <c r="X440" s="1960"/>
      <c r="Y440" s="1960"/>
      <c r="Z440" s="1960"/>
      <c r="AA440" s="1960"/>
      <c r="AB440" s="1960"/>
      <c r="AC440" s="2000"/>
      <c r="AD440" s="2000"/>
      <c r="AE440" s="2000"/>
      <c r="AF440" s="2000"/>
      <c r="AG440" s="2000"/>
      <c r="AH440" s="2000"/>
      <c r="AR440" s="1287"/>
      <c r="AS440" s="1287"/>
      <c r="AT440" s="1287"/>
      <c r="AU440" s="1287"/>
      <c r="AV440" s="1287"/>
      <c r="AW440" s="981"/>
      <c r="BB440" s="1527"/>
      <c r="BC440" s="1527"/>
      <c r="BD440" s="1527"/>
      <c r="BE440" s="1527"/>
      <c r="BF440" s="1527"/>
      <c r="BG440" s="1527"/>
      <c r="BH440" s="1527"/>
      <c r="BI440" s="1527"/>
      <c r="BM440" s="1516"/>
      <c r="BN440" s="1517"/>
      <c r="BO440" s="1517"/>
      <c r="BP440" s="1517"/>
      <c r="BQ440" s="1517"/>
      <c r="BR440" s="1517"/>
      <c r="BS440" s="1517"/>
      <c r="BT440" s="1517"/>
      <c r="BU440" s="1517"/>
      <c r="BV440" s="1518"/>
    </row>
    <row r="441" spans="2:82" ht="48.75" customHeight="1">
      <c r="V441" s="1287"/>
      <c r="W441" s="1961"/>
      <c r="X441" s="1962"/>
      <c r="Y441" s="1962"/>
      <c r="Z441" s="1962"/>
      <c r="AA441" s="1962"/>
      <c r="AB441" s="1962"/>
      <c r="AC441" s="2000"/>
      <c r="AD441" s="2000"/>
      <c r="AE441" s="2000"/>
      <c r="AF441" s="2000"/>
      <c r="AG441" s="2000"/>
      <c r="AH441" s="2000"/>
      <c r="AR441" s="1527"/>
      <c r="AS441" s="1527"/>
      <c r="AT441" s="1527"/>
      <c r="AU441" s="1527"/>
      <c r="AV441" s="1527"/>
      <c r="AW441" s="1527"/>
      <c r="BE441" s="19"/>
      <c r="BF441" s="17"/>
      <c r="BI441" s="11"/>
      <c r="BM441" s="1516"/>
      <c r="BN441" s="1517"/>
      <c r="BO441" s="1517"/>
      <c r="BP441" s="1517"/>
      <c r="BQ441" s="1517"/>
      <c r="BR441" s="1517"/>
      <c r="BS441" s="1517"/>
      <c r="BT441" s="1517"/>
      <c r="BU441" s="1517"/>
      <c r="BV441" s="1518"/>
    </row>
    <row r="442" spans="2:82" ht="48.75" customHeight="1">
      <c r="S442" s="278"/>
      <c r="T442" s="278"/>
      <c r="V442" s="1287" t="s">
        <v>645</v>
      </c>
      <c r="W442" s="1957"/>
      <c r="X442" s="1958"/>
      <c r="Y442" s="1958"/>
      <c r="Z442" s="1958"/>
      <c r="AA442" s="1958"/>
      <c r="AB442" s="1958"/>
      <c r="AC442" s="2000"/>
      <c r="AD442" s="2000"/>
      <c r="AE442" s="2000"/>
      <c r="AF442" s="2000"/>
      <c r="AG442" s="2000"/>
      <c r="AH442" s="2000"/>
      <c r="AR442" s="1527"/>
      <c r="AS442" s="1527"/>
      <c r="AT442" s="1527"/>
      <c r="AU442" s="1527"/>
      <c r="AV442" s="1527"/>
      <c r="AW442" s="1527"/>
      <c r="BE442" s="19"/>
      <c r="BF442" s="17"/>
      <c r="BH442" s="657"/>
      <c r="BI442" s="657"/>
      <c r="BJ442" s="657"/>
      <c r="BK442" s="657"/>
      <c r="BM442" s="1516"/>
      <c r="BN442" s="1517"/>
      <c r="BO442" s="1517"/>
      <c r="BP442" s="1517"/>
      <c r="BQ442" s="1517"/>
      <c r="BR442" s="1517"/>
      <c r="BS442" s="1517"/>
      <c r="BT442" s="1517"/>
      <c r="BU442" s="1517"/>
      <c r="BV442" s="1518"/>
    </row>
    <row r="443" spans="2:82" ht="48.75" customHeight="1">
      <c r="S443" s="278"/>
      <c r="T443" s="278"/>
      <c r="V443" s="1287"/>
      <c r="W443" s="1959"/>
      <c r="X443" s="1960"/>
      <c r="Y443" s="1960"/>
      <c r="Z443" s="1960"/>
      <c r="AA443" s="1960"/>
      <c r="AB443" s="1960"/>
      <c r="AC443" s="2000"/>
      <c r="AD443" s="2000"/>
      <c r="AE443" s="2000"/>
      <c r="AF443" s="2000"/>
      <c r="AG443" s="2000"/>
      <c r="AH443" s="2000"/>
      <c r="AR443" s="1527"/>
      <c r="AS443" s="1527"/>
      <c r="AT443" s="1527"/>
      <c r="AU443" s="1527"/>
      <c r="AV443" s="1527"/>
      <c r="AW443" s="1527"/>
      <c r="BE443" s="19"/>
      <c r="BF443" s="17"/>
      <c r="BH443" s="657"/>
      <c r="BI443" s="657"/>
      <c r="BJ443" s="657"/>
      <c r="BK443" s="657"/>
      <c r="BM443" s="1516"/>
      <c r="BN443" s="1517"/>
      <c r="BO443" s="1517"/>
      <c r="BP443" s="1517"/>
      <c r="BQ443" s="1517"/>
      <c r="BR443" s="1517"/>
      <c r="BS443" s="1517"/>
      <c r="BT443" s="1517"/>
      <c r="BU443" s="1517"/>
      <c r="BV443" s="1518"/>
    </row>
    <row r="444" spans="2:82" ht="48.75" customHeight="1">
      <c r="S444" s="278"/>
      <c r="T444" s="278"/>
      <c r="V444" s="1287"/>
      <c r="W444" s="1961"/>
      <c r="X444" s="1962"/>
      <c r="Y444" s="1962"/>
      <c r="Z444" s="1962"/>
      <c r="AA444" s="1962"/>
      <c r="AB444" s="1962"/>
      <c r="AC444" s="2000"/>
      <c r="AD444" s="2000"/>
      <c r="AE444" s="2000"/>
      <c r="AF444" s="2000"/>
      <c r="AG444" s="2000"/>
      <c r="AH444" s="2000"/>
      <c r="AR444" s="1527"/>
      <c r="AS444" s="1527"/>
      <c r="AT444" s="1527"/>
      <c r="AU444" s="1527"/>
      <c r="AV444" s="1527"/>
      <c r="AW444" s="1527"/>
      <c r="BE444" s="19"/>
      <c r="BF444" s="17"/>
      <c r="BH444" s="657"/>
      <c r="BI444" s="657"/>
      <c r="BJ444" s="657"/>
      <c r="BK444" s="657"/>
      <c r="BM444" s="1516"/>
      <c r="BN444" s="1517"/>
      <c r="BO444" s="1517"/>
      <c r="BP444" s="1517"/>
      <c r="BQ444" s="1517"/>
      <c r="BR444" s="1517"/>
      <c r="BS444" s="1517"/>
      <c r="BT444" s="1517"/>
      <c r="BU444" s="1517"/>
      <c r="BV444" s="1518"/>
    </row>
    <row r="445" spans="2:82" ht="48.75" customHeight="1">
      <c r="S445" s="278"/>
      <c r="T445" s="278"/>
      <c r="V445" s="1287" t="s">
        <v>646</v>
      </c>
      <c r="W445" s="1957"/>
      <c r="X445" s="1958"/>
      <c r="Y445" s="1958"/>
      <c r="Z445" s="1958"/>
      <c r="AA445" s="1958"/>
      <c r="AB445" s="1958"/>
      <c r="AC445" s="2000"/>
      <c r="AD445" s="2000"/>
      <c r="AE445" s="2000"/>
      <c r="AF445" s="2000"/>
      <c r="AG445" s="2000"/>
      <c r="AH445" s="2000"/>
      <c r="AR445" s="1527"/>
      <c r="AS445" s="1527"/>
      <c r="AT445" s="1527"/>
      <c r="AU445" s="1527"/>
      <c r="AV445" s="1527"/>
      <c r="AW445" s="1527"/>
      <c r="AY445" s="2019"/>
      <c r="AZ445" s="2020"/>
      <c r="BA445" s="2020"/>
      <c r="BB445" s="2020"/>
      <c r="BC445" s="2020"/>
      <c r="BD445" s="2020"/>
      <c r="BE445" s="2020"/>
      <c r="BF445" s="2020"/>
      <c r="BG445" s="2020"/>
      <c r="BH445" s="2020"/>
      <c r="BI445" s="2021"/>
      <c r="BJ445" s="127"/>
      <c r="BM445" s="1516"/>
      <c r="BN445" s="1517"/>
      <c r="BO445" s="1517"/>
      <c r="BP445" s="1517"/>
      <c r="BQ445" s="1517"/>
      <c r="BR445" s="1517"/>
      <c r="BS445" s="1517"/>
      <c r="BT445" s="1517"/>
      <c r="BU445" s="1517"/>
      <c r="BV445" s="1518"/>
    </row>
    <row r="446" spans="2:82" ht="48.75" customHeight="1">
      <c r="S446" s="278"/>
      <c r="T446" s="278"/>
      <c r="V446" s="1287"/>
      <c r="W446" s="1959"/>
      <c r="X446" s="1960"/>
      <c r="Y446" s="1960"/>
      <c r="Z446" s="1960"/>
      <c r="AA446" s="1960"/>
      <c r="AB446" s="1960"/>
      <c r="AC446" s="2000"/>
      <c r="AD446" s="2000"/>
      <c r="AE446" s="2000"/>
      <c r="AF446" s="2000"/>
      <c r="AG446" s="2000"/>
      <c r="AH446" s="2000"/>
      <c r="AR446" s="1527"/>
      <c r="AS446" s="1527"/>
      <c r="AT446" s="1527"/>
      <c r="AU446" s="1527"/>
      <c r="AV446" s="1527"/>
      <c r="AW446" s="1527"/>
      <c r="AY446" s="1513"/>
      <c r="AZ446" s="1514"/>
      <c r="BA446" s="1514"/>
      <c r="BB446" s="1514"/>
      <c r="BC446" s="1514"/>
      <c r="BD446" s="1514"/>
      <c r="BE446" s="1514"/>
      <c r="BF446" s="1514"/>
      <c r="BG446" s="1514"/>
      <c r="BH446" s="1514"/>
      <c r="BI446" s="1514"/>
      <c r="BJ446" s="1515"/>
      <c r="BM446" s="1516"/>
      <c r="BN446" s="1517"/>
      <c r="BO446" s="1517"/>
      <c r="BP446" s="1517"/>
      <c r="BQ446" s="1517"/>
      <c r="BR446" s="1517"/>
      <c r="BS446" s="1517"/>
      <c r="BT446" s="1517"/>
      <c r="BU446" s="1517"/>
      <c r="BV446" s="1518"/>
    </row>
    <row r="447" spans="2:82" ht="48.75" customHeight="1">
      <c r="S447" s="278"/>
      <c r="T447" s="278"/>
      <c r="U447" s="278"/>
      <c r="V447" s="1287"/>
      <c r="W447" s="1961"/>
      <c r="X447" s="1962"/>
      <c r="Y447" s="1962"/>
      <c r="Z447" s="1962"/>
      <c r="AA447" s="1962"/>
      <c r="AB447" s="1962"/>
      <c r="AC447" s="2000"/>
      <c r="AD447" s="2000"/>
      <c r="AE447" s="2000"/>
      <c r="AF447" s="2000"/>
      <c r="AG447" s="2000"/>
      <c r="AH447" s="2000"/>
      <c r="AR447" s="1527"/>
      <c r="AS447" s="1527"/>
      <c r="AT447" s="1527"/>
      <c r="AU447" s="1527"/>
      <c r="AV447" s="1527"/>
      <c r="AW447" s="1527"/>
      <c r="AY447" s="1516"/>
      <c r="AZ447" s="1517"/>
      <c r="BA447" s="1517"/>
      <c r="BB447" s="1517"/>
      <c r="BC447" s="1517"/>
      <c r="BD447" s="1517"/>
      <c r="BE447" s="1517"/>
      <c r="BF447" s="1517"/>
      <c r="BG447" s="1517"/>
      <c r="BH447" s="1517"/>
      <c r="BI447" s="1517"/>
      <c r="BJ447" s="1518"/>
      <c r="BM447" s="1516"/>
      <c r="BN447" s="1517"/>
      <c r="BO447" s="1517"/>
      <c r="BP447" s="1517"/>
      <c r="BQ447" s="1517"/>
      <c r="BR447" s="1517"/>
      <c r="BS447" s="1517"/>
      <c r="BT447" s="1517"/>
      <c r="BU447" s="1517"/>
      <c r="BV447" s="1518"/>
    </row>
    <row r="448" spans="2:82" ht="48.75" customHeight="1">
      <c r="S448" s="278"/>
      <c r="T448" s="278"/>
      <c r="U448" s="278"/>
      <c r="V448" s="1287" t="s">
        <v>647</v>
      </c>
      <c r="W448" s="1957"/>
      <c r="X448" s="1958"/>
      <c r="Y448" s="1958"/>
      <c r="Z448" s="1958"/>
      <c r="AA448" s="1958"/>
      <c r="AB448" s="1958"/>
      <c r="AC448" s="2000"/>
      <c r="AD448" s="2000"/>
      <c r="AE448" s="2000"/>
      <c r="AF448" s="2000"/>
      <c r="AG448" s="2000"/>
      <c r="AH448" s="2000"/>
      <c r="AR448" s="1527"/>
      <c r="AS448" s="1527"/>
      <c r="AT448" s="1527"/>
      <c r="AU448" s="1527"/>
      <c r="AV448" s="1527"/>
      <c r="AW448" s="1527"/>
      <c r="AY448" s="1516"/>
      <c r="AZ448" s="1517"/>
      <c r="BA448" s="1517"/>
      <c r="BB448" s="1517"/>
      <c r="BC448" s="1517"/>
      <c r="BD448" s="1517"/>
      <c r="BE448" s="1517"/>
      <c r="BF448" s="1517"/>
      <c r="BG448" s="1517"/>
      <c r="BH448" s="1517"/>
      <c r="BI448" s="1517"/>
      <c r="BJ448" s="1518"/>
      <c r="BM448" s="1519"/>
      <c r="BN448" s="1520"/>
      <c r="BO448" s="1520"/>
      <c r="BP448" s="1520"/>
      <c r="BQ448" s="1520"/>
      <c r="BR448" s="1520"/>
      <c r="BS448" s="1520"/>
      <c r="BT448" s="1520"/>
      <c r="BU448" s="1520"/>
      <c r="BV448" s="1521"/>
    </row>
    <row r="449" spans="18:62" ht="48.75" customHeight="1">
      <c r="S449" s="278"/>
      <c r="T449" s="278"/>
      <c r="U449" s="278"/>
      <c r="V449" s="1287"/>
      <c r="W449" s="1959"/>
      <c r="X449" s="1960"/>
      <c r="Y449" s="1960"/>
      <c r="Z449" s="1960"/>
      <c r="AA449" s="1960"/>
      <c r="AB449" s="1960"/>
      <c r="AC449" s="2000"/>
      <c r="AD449" s="2000"/>
      <c r="AE449" s="2000"/>
      <c r="AF449" s="2000"/>
      <c r="AG449" s="2000"/>
      <c r="AH449" s="2000"/>
      <c r="AR449" s="1527"/>
      <c r="AS449" s="1527"/>
      <c r="AT449" s="1527"/>
      <c r="AU449" s="1527"/>
      <c r="AV449" s="1527"/>
      <c r="AW449" s="1527"/>
      <c r="AY449" s="1516"/>
      <c r="AZ449" s="1517"/>
      <c r="BA449" s="1517"/>
      <c r="BB449" s="1517"/>
      <c r="BC449" s="1517"/>
      <c r="BD449" s="1517"/>
      <c r="BE449" s="1517"/>
      <c r="BF449" s="1517"/>
      <c r="BG449" s="1517"/>
      <c r="BH449" s="1517"/>
      <c r="BI449" s="1517"/>
      <c r="BJ449" s="1518"/>
    </row>
    <row r="450" spans="18:62" ht="48.75" customHeight="1">
      <c r="S450" s="278"/>
      <c r="T450" s="278"/>
      <c r="U450" s="278"/>
      <c r="V450" s="1287"/>
      <c r="W450" s="1961"/>
      <c r="X450" s="1962"/>
      <c r="Y450" s="1962"/>
      <c r="Z450" s="1962"/>
      <c r="AA450" s="1962"/>
      <c r="AB450" s="1962"/>
      <c r="AC450" s="2000"/>
      <c r="AD450" s="2000"/>
      <c r="AE450" s="2000"/>
      <c r="AF450" s="2000"/>
      <c r="AG450" s="2000"/>
      <c r="AH450" s="2000"/>
      <c r="AY450" s="1516"/>
      <c r="AZ450" s="1517"/>
      <c r="BA450" s="1517"/>
      <c r="BB450" s="1517"/>
      <c r="BC450" s="1517"/>
      <c r="BD450" s="1517"/>
      <c r="BE450" s="1517"/>
      <c r="BF450" s="1517"/>
      <c r="BG450" s="1517"/>
      <c r="BH450" s="1517"/>
      <c r="BI450" s="1517"/>
      <c r="BJ450" s="1518"/>
    </row>
    <row r="451" spans="18:62" ht="48.75" customHeight="1">
      <c r="S451" s="278"/>
      <c r="T451" s="278"/>
      <c r="U451" s="278"/>
      <c r="V451" s="1287" t="s">
        <v>648</v>
      </c>
      <c r="W451" s="1957"/>
      <c r="X451" s="1958"/>
      <c r="Y451" s="1958"/>
      <c r="Z451" s="1958"/>
      <c r="AA451" s="1958"/>
      <c r="AB451" s="1958"/>
      <c r="AC451" s="2000"/>
      <c r="AD451" s="2000"/>
      <c r="AE451" s="2000"/>
      <c r="AF451" s="2000"/>
      <c r="AG451" s="2000"/>
      <c r="AH451" s="2000"/>
      <c r="AY451" s="1516"/>
      <c r="AZ451" s="1517"/>
      <c r="BA451" s="1517"/>
      <c r="BB451" s="1517"/>
      <c r="BC451" s="1517"/>
      <c r="BD451" s="1517"/>
      <c r="BE451" s="1517"/>
      <c r="BF451" s="1517"/>
      <c r="BG451" s="1517"/>
      <c r="BH451" s="1517"/>
      <c r="BI451" s="1517"/>
      <c r="BJ451" s="1518"/>
    </row>
    <row r="452" spans="18:62" ht="48.75" customHeight="1">
      <c r="S452" s="278"/>
      <c r="T452" s="278"/>
      <c r="U452" s="278"/>
      <c r="V452" s="1287"/>
      <c r="W452" s="1959"/>
      <c r="X452" s="1960"/>
      <c r="Y452" s="1960"/>
      <c r="Z452" s="1960"/>
      <c r="AA452" s="1960"/>
      <c r="AB452" s="1960"/>
      <c r="AC452" s="2000"/>
      <c r="AD452" s="2000"/>
      <c r="AE452" s="2000"/>
      <c r="AF452" s="2000"/>
      <c r="AG452" s="2000"/>
      <c r="AH452" s="2000"/>
      <c r="AY452" s="1516"/>
      <c r="AZ452" s="1517"/>
      <c r="BA452" s="1517"/>
      <c r="BB452" s="1517"/>
      <c r="BC452" s="1517"/>
      <c r="BD452" s="1517"/>
      <c r="BE452" s="1517"/>
      <c r="BF452" s="1517"/>
      <c r="BG452" s="1517"/>
      <c r="BH452" s="1517"/>
      <c r="BI452" s="1517"/>
      <c r="BJ452" s="1518"/>
    </row>
    <row r="453" spans="18:62" ht="48.75" customHeight="1">
      <c r="S453" s="278"/>
      <c r="T453" s="278"/>
      <c r="U453" s="278"/>
      <c r="V453" s="1287"/>
      <c r="W453" s="1961"/>
      <c r="X453" s="1962"/>
      <c r="Y453" s="1962"/>
      <c r="Z453" s="1962"/>
      <c r="AA453" s="1962"/>
      <c r="AB453" s="1962"/>
      <c r="AC453" s="2000"/>
      <c r="AD453" s="2000"/>
      <c r="AE453" s="2000"/>
      <c r="AF453" s="2000"/>
      <c r="AG453" s="2000"/>
      <c r="AH453" s="2000"/>
      <c r="AY453" s="1516"/>
      <c r="AZ453" s="1517"/>
      <c r="BA453" s="1517"/>
      <c r="BB453" s="1517"/>
      <c r="BC453" s="1517"/>
      <c r="BD453" s="1517"/>
      <c r="BE453" s="1517"/>
      <c r="BF453" s="1517"/>
      <c r="BG453" s="1517"/>
      <c r="BH453" s="1517"/>
      <c r="BI453" s="1517"/>
      <c r="BJ453" s="1518"/>
    </row>
    <row r="454" spans="18:62" ht="48.75" customHeight="1">
      <c r="S454" s="278"/>
      <c r="T454" s="278"/>
      <c r="U454" s="278"/>
      <c r="V454" s="958"/>
      <c r="W454" s="1058"/>
      <c r="X454" s="1058"/>
      <c r="Y454" s="1058"/>
      <c r="Z454" s="1058"/>
      <c r="AA454" s="1058"/>
      <c r="AB454" s="1058"/>
      <c r="AC454" s="1058"/>
      <c r="AD454" s="1058"/>
      <c r="AE454" s="1058"/>
      <c r="AF454" s="1058"/>
      <c r="AG454" s="1058"/>
      <c r="AH454" s="959"/>
      <c r="AY454" s="1516"/>
      <c r="AZ454" s="1517"/>
      <c r="BA454" s="1517"/>
      <c r="BB454" s="1517"/>
      <c r="BC454" s="1517"/>
      <c r="BD454" s="1517"/>
      <c r="BE454" s="1517"/>
      <c r="BF454" s="1517"/>
      <c r="BG454" s="1517"/>
      <c r="BH454" s="1517"/>
      <c r="BI454" s="1517"/>
      <c r="BJ454" s="1518"/>
    </row>
    <row r="455" spans="18:62" ht="48.75" customHeight="1">
      <c r="S455" s="278"/>
      <c r="T455" s="278"/>
      <c r="U455" s="278"/>
      <c r="V455" s="1951" t="s">
        <v>1253</v>
      </c>
      <c r="W455" s="1952"/>
      <c r="X455" s="1952"/>
      <c r="Y455" s="1952"/>
      <c r="Z455" s="1952"/>
      <c r="AA455" s="1952"/>
      <c r="AB455" s="1952"/>
      <c r="AC455" s="1952"/>
      <c r="AD455" s="1952"/>
      <c r="AE455" s="1952"/>
      <c r="AF455" s="1952"/>
      <c r="AG455" s="1952"/>
      <c r="AH455" s="1953"/>
      <c r="AY455" s="1516"/>
      <c r="AZ455" s="1517"/>
      <c r="BA455" s="1517"/>
      <c r="BB455" s="1517"/>
      <c r="BC455" s="1517"/>
      <c r="BD455" s="1517"/>
      <c r="BE455" s="1517"/>
      <c r="BF455" s="1517"/>
      <c r="BG455" s="1517"/>
      <c r="BH455" s="1517"/>
      <c r="BI455" s="1517"/>
      <c r="BJ455" s="1518"/>
    </row>
    <row r="456" spans="18:62" ht="48.75" customHeight="1">
      <c r="R456" s="278"/>
      <c r="S456" s="278"/>
      <c r="T456" s="278"/>
      <c r="U456" s="278"/>
      <c r="V456" s="1954"/>
      <c r="W456" s="1955"/>
      <c r="X456" s="1955"/>
      <c r="Y456" s="1955"/>
      <c r="Z456" s="1955"/>
      <c r="AA456" s="1955"/>
      <c r="AB456" s="1955"/>
      <c r="AC456" s="1955"/>
      <c r="AD456" s="1955"/>
      <c r="AE456" s="1955"/>
      <c r="AF456" s="1955"/>
      <c r="AG456" s="1955"/>
      <c r="AH456" s="1956"/>
      <c r="AY456" s="1516"/>
      <c r="AZ456" s="1517"/>
      <c r="BA456" s="1517"/>
      <c r="BB456" s="1517"/>
      <c r="BC456" s="1517"/>
      <c r="BD456" s="1517"/>
      <c r="BE456" s="1517"/>
      <c r="BF456" s="1517"/>
      <c r="BG456" s="1517"/>
      <c r="BH456" s="1517"/>
      <c r="BI456" s="1517"/>
      <c r="BJ456" s="1518"/>
    </row>
    <row r="457" spans="18:62" ht="48.75" customHeight="1">
      <c r="R457" s="278"/>
      <c r="S457" s="278"/>
      <c r="T457" s="278"/>
      <c r="U457" s="278"/>
      <c r="V457" s="278"/>
      <c r="W457" s="278"/>
      <c r="X457" s="278"/>
      <c r="Y457" s="278"/>
      <c r="Z457" s="278"/>
      <c r="AY457" s="1516"/>
      <c r="AZ457" s="1517"/>
      <c r="BA457" s="1517"/>
      <c r="BB457" s="1517"/>
      <c r="BC457" s="1517"/>
      <c r="BD457" s="1517"/>
      <c r="BE457" s="1517"/>
      <c r="BF457" s="1517"/>
      <c r="BG457" s="1517"/>
      <c r="BH457" s="1517"/>
      <c r="BI457" s="1517"/>
      <c r="BJ457" s="1518"/>
    </row>
    <row r="458" spans="18:62" ht="48.75" customHeight="1">
      <c r="R458" s="278"/>
      <c r="S458" s="278"/>
      <c r="T458" s="278"/>
      <c r="U458" s="278"/>
      <c r="V458" s="278"/>
      <c r="W458" s="278"/>
      <c r="X458" s="278"/>
      <c r="Y458" s="278"/>
      <c r="Z458" s="278"/>
      <c r="AY458" s="1516"/>
      <c r="AZ458" s="1517"/>
      <c r="BA458" s="1517"/>
      <c r="BB458" s="1517"/>
      <c r="BC458" s="1517"/>
      <c r="BD458" s="1517"/>
      <c r="BE458" s="1517"/>
      <c r="BF458" s="1517"/>
      <c r="BG458" s="1517"/>
      <c r="BH458" s="1517"/>
      <c r="BI458" s="1517"/>
      <c r="BJ458" s="1518"/>
    </row>
    <row r="459" spans="18:62" ht="48.75" customHeight="1">
      <c r="R459" s="278"/>
      <c r="S459" s="278"/>
      <c r="T459" s="278"/>
      <c r="U459" s="278"/>
      <c r="V459" s="278"/>
      <c r="W459" s="278"/>
      <c r="X459" s="278"/>
      <c r="Y459" s="278"/>
      <c r="Z459" s="278"/>
      <c r="AY459" s="1516"/>
      <c r="AZ459" s="1517"/>
      <c r="BA459" s="1517"/>
      <c r="BB459" s="1517"/>
      <c r="BC459" s="1517"/>
      <c r="BD459" s="1517"/>
      <c r="BE459" s="1517"/>
      <c r="BF459" s="1517"/>
      <c r="BG459" s="1517"/>
      <c r="BH459" s="1517"/>
      <c r="BI459" s="1517"/>
      <c r="BJ459" s="1518"/>
    </row>
    <row r="460" spans="18:62" ht="48.75" customHeight="1">
      <c r="R460" s="278"/>
      <c r="S460" s="278"/>
      <c r="T460" s="278"/>
      <c r="U460" s="278"/>
      <c r="V460" s="278"/>
      <c r="W460" s="278"/>
      <c r="X460" s="278"/>
      <c r="Y460" s="278"/>
      <c r="Z460" s="278"/>
      <c r="AY460" s="1519"/>
      <c r="AZ460" s="1520"/>
      <c r="BA460" s="1520"/>
      <c r="BB460" s="1520"/>
      <c r="BC460" s="1520"/>
      <c r="BD460" s="1520"/>
      <c r="BE460" s="1520"/>
      <c r="BF460" s="1520"/>
      <c r="BG460" s="1520"/>
      <c r="BH460" s="1520"/>
      <c r="BI460" s="1520"/>
      <c r="BJ460" s="1521"/>
    </row>
    <row r="461" spans="18:62" ht="48.75" customHeight="1">
      <c r="R461" s="278"/>
      <c r="S461" s="278"/>
      <c r="T461" s="278"/>
      <c r="U461" s="278"/>
      <c r="V461" s="278"/>
      <c r="W461" s="278"/>
      <c r="X461" s="278"/>
      <c r="Y461" s="278"/>
      <c r="Z461" s="278"/>
      <c r="BE461" s="19"/>
      <c r="BF461" s="17"/>
      <c r="BI461" s="11"/>
    </row>
    <row r="462" spans="18:62" ht="48.75" customHeight="1">
      <c r="R462" s="278"/>
      <c r="S462" s="278"/>
      <c r="T462" s="278"/>
      <c r="U462" s="278"/>
      <c r="V462" s="278"/>
      <c r="W462" s="278"/>
      <c r="X462" s="278"/>
      <c r="Y462" s="278"/>
      <c r="Z462" s="278"/>
      <c r="BE462" s="19"/>
      <c r="BF462" s="17"/>
      <c r="BI462" s="11"/>
    </row>
    <row r="463" spans="18:62" ht="48.75" customHeight="1">
      <c r="BE463" s="19"/>
      <c r="BF463" s="17"/>
      <c r="BI463" s="11"/>
    </row>
    <row r="464" spans="18:62" ht="48.75" customHeight="1">
      <c r="BE464" s="19"/>
      <c r="BF464" s="17"/>
      <c r="BI464" s="11"/>
    </row>
    <row r="465" spans="57:117" ht="48.75" customHeight="1">
      <c r="BE465" s="19"/>
      <c r="BF465" s="17"/>
      <c r="BI465" s="11"/>
    </row>
    <row r="466" spans="57:117" ht="48.75" customHeight="1">
      <c r="BE466" s="19"/>
      <c r="BF466" s="17"/>
      <c r="BI466" s="11"/>
    </row>
    <row r="467" spans="57:117" ht="48.75" customHeight="1">
      <c r="BI467" s="11"/>
    </row>
    <row r="468" spans="57:117" ht="48.75" customHeight="1">
      <c r="BI468" s="11"/>
    </row>
    <row r="469" spans="57:117" ht="48.75" customHeight="1">
      <c r="BI469" s="11"/>
    </row>
    <row r="470" spans="57:117" ht="48.75" customHeight="1">
      <c r="BI470" s="11"/>
    </row>
    <row r="471" spans="57:117" ht="48.75" customHeight="1">
      <c r="BI471" s="11"/>
    </row>
    <row r="472" spans="57:117" ht="48.75" customHeight="1">
      <c r="BI472" s="11"/>
    </row>
    <row r="473" spans="57:117" ht="48.75" customHeight="1">
      <c r="BI473" s="11"/>
    </row>
    <row r="474" spans="57:117" ht="48.75" customHeight="1">
      <c r="BI474" s="11"/>
    </row>
    <row r="475" spans="57:117" ht="48.75" customHeight="1">
      <c r="BE475" s="19"/>
      <c r="BF475" s="17"/>
      <c r="BI475" s="11"/>
    </row>
    <row r="476" spans="57:117" ht="48.75" customHeight="1">
      <c r="BE476" s="19"/>
      <c r="BF476" s="17"/>
      <c r="BI476" s="11"/>
      <c r="CI476" s="19"/>
      <c r="CJ476" s="17"/>
      <c r="CV476" s="8"/>
      <c r="DA476" s="3"/>
      <c r="DB476" s="18"/>
      <c r="DL476" s="3"/>
      <c r="DM476" s="18"/>
    </row>
    <row r="477" spans="57:117" ht="48.75" customHeight="1">
      <c r="BE477" s="19"/>
      <c r="BF477" s="17"/>
      <c r="BI477" s="11"/>
      <c r="CI477" s="19"/>
      <c r="CJ477" s="17"/>
      <c r="CV477" s="8"/>
      <c r="DL477" s="3"/>
      <c r="DM477" s="18"/>
    </row>
    <row r="478" spans="57:117" ht="48.75" customHeight="1">
      <c r="BE478" s="19"/>
      <c r="BF478" s="17"/>
      <c r="BI478" s="11"/>
      <c r="CI478" s="19"/>
      <c r="CJ478" s="17"/>
      <c r="CV478" s="8"/>
      <c r="DL478" s="3"/>
      <c r="DM478" s="18"/>
    </row>
    <row r="479" spans="57:117" ht="48.75" customHeight="1">
      <c r="BE479" s="19"/>
      <c r="BF479" s="17"/>
      <c r="BI479" s="11"/>
      <c r="CI479" s="19"/>
      <c r="CJ479" s="17"/>
      <c r="CV479" s="8"/>
      <c r="DL479" s="3"/>
      <c r="DM479" s="18"/>
    </row>
    <row r="480" spans="57:117" ht="48.75" customHeight="1">
      <c r="BE480" s="19"/>
      <c r="BF480" s="17"/>
      <c r="BI480" s="11"/>
      <c r="CI480" s="19"/>
      <c r="CJ480" s="17"/>
      <c r="CV480" s="8"/>
      <c r="DL480" s="3"/>
      <c r="DM480" s="18"/>
    </row>
    <row r="481" spans="57:117" ht="48.75" customHeight="1">
      <c r="BE481" s="19"/>
      <c r="BF481" s="17"/>
      <c r="BI481" s="11"/>
      <c r="CI481" s="19"/>
      <c r="CJ481" s="17"/>
      <c r="CV481" s="8"/>
      <c r="DL481" s="3"/>
      <c r="DM481" s="18"/>
    </row>
    <row r="482" spans="57:117" ht="48.75" customHeight="1">
      <c r="BE482" s="19"/>
      <c r="BF482" s="17"/>
      <c r="BI482" s="11"/>
      <c r="CI482" s="19"/>
      <c r="CJ482" s="17"/>
      <c r="CV482" s="8"/>
      <c r="DL482" s="3"/>
      <c r="DM482" s="18"/>
    </row>
    <row r="483" spans="57:117" ht="48.75" customHeight="1">
      <c r="BE483" s="19"/>
      <c r="BF483" s="17"/>
      <c r="BI483" s="11"/>
      <c r="CI483" s="19"/>
      <c r="CJ483" s="17"/>
      <c r="CV483" s="8"/>
      <c r="DL483" s="3"/>
      <c r="DM483" s="18"/>
    </row>
    <row r="484" spans="57:117" ht="48.75" customHeight="1">
      <c r="BE484" s="19"/>
      <c r="BF484" s="17"/>
      <c r="BI484" s="11"/>
      <c r="CI484" s="19"/>
      <c r="CJ484" s="17"/>
      <c r="CV484" s="8"/>
      <c r="DL484" s="3"/>
      <c r="DM484" s="18"/>
    </row>
    <row r="485" spans="57:117" ht="48.75" customHeight="1">
      <c r="BE485" s="19"/>
      <c r="BF485" s="17"/>
      <c r="BI485" s="11"/>
      <c r="CI485" s="19"/>
      <c r="CJ485" s="17"/>
      <c r="CV485" s="8"/>
      <c r="DL485" s="3"/>
      <c r="DM485" s="18"/>
    </row>
    <row r="486" spans="57:117" ht="48.75" customHeight="1">
      <c r="BE486" s="19"/>
      <c r="BF486" s="17"/>
      <c r="BI486" s="11"/>
      <c r="CI486" s="19"/>
      <c r="CJ486" s="17"/>
      <c r="CV486" s="8"/>
    </row>
    <row r="487" spans="57:117" ht="48.75" customHeight="1">
      <c r="BE487" s="19"/>
      <c r="BF487" s="17"/>
      <c r="BI487" s="11"/>
      <c r="CI487" s="19"/>
      <c r="CJ487" s="17"/>
      <c r="CV487" s="8"/>
    </row>
    <row r="488" spans="57:117" ht="48.75" customHeight="1">
      <c r="BE488" s="19"/>
      <c r="BF488" s="17"/>
      <c r="BI488" s="11"/>
      <c r="CI488" s="19"/>
      <c r="CJ488" s="17"/>
      <c r="CV488" s="8"/>
      <c r="DA488" s="3"/>
      <c r="DB488" s="18"/>
    </row>
    <row r="489" spans="57:117" ht="48.75" customHeight="1">
      <c r="BE489" s="19"/>
      <c r="BF489" s="17"/>
      <c r="BI489" s="11"/>
      <c r="CI489" s="19"/>
      <c r="CJ489" s="17"/>
      <c r="CV489" s="8"/>
      <c r="DA489" s="3"/>
      <c r="DB489" s="18"/>
    </row>
    <row r="490" spans="57:117" ht="48.75" customHeight="1">
      <c r="BE490" s="19"/>
      <c r="BF490" s="17"/>
      <c r="BI490" s="11"/>
      <c r="CI490" s="19"/>
      <c r="CJ490" s="17"/>
      <c r="CV490" s="8"/>
      <c r="DI490" s="3"/>
      <c r="DJ490" s="18"/>
    </row>
    <row r="491" spans="57:117" ht="48.75" customHeight="1">
      <c r="BE491" s="19"/>
      <c r="BF491" s="17"/>
      <c r="BI491" s="11"/>
      <c r="CI491" s="19"/>
      <c r="CJ491" s="17"/>
      <c r="CV491" s="8"/>
      <c r="DI491" s="3"/>
      <c r="DJ491" s="18"/>
    </row>
    <row r="492" spans="57:117" ht="48.75" customHeight="1">
      <c r="BE492" s="19"/>
      <c r="BF492" s="17"/>
      <c r="BI492" s="11"/>
      <c r="CI492" s="19"/>
      <c r="CJ492" s="17"/>
      <c r="CV492" s="8"/>
      <c r="DI492" s="3"/>
      <c r="DJ492" s="18"/>
    </row>
    <row r="493" spans="57:117" ht="48.75" customHeight="1">
      <c r="BE493" s="19"/>
      <c r="BF493" s="17"/>
      <c r="BI493" s="11"/>
      <c r="CI493" s="19"/>
      <c r="CJ493" s="17"/>
      <c r="CV493" s="8"/>
      <c r="DI493" s="3"/>
      <c r="DJ493" s="18"/>
    </row>
    <row r="494" spans="57:117" ht="48.75" customHeight="1">
      <c r="BE494" s="19"/>
      <c r="BF494" s="17"/>
      <c r="BI494" s="11"/>
      <c r="CI494" s="19"/>
      <c r="CJ494" s="17"/>
      <c r="CV494" s="8"/>
      <c r="DI494" s="3"/>
      <c r="DJ494" s="18"/>
    </row>
    <row r="495" spans="57:117" ht="48.75" customHeight="1">
      <c r="BE495" s="19"/>
      <c r="BF495" s="17"/>
      <c r="BI495" s="11"/>
      <c r="CI495" s="19"/>
      <c r="CJ495" s="17"/>
      <c r="CV495" s="8"/>
      <c r="DI495" s="3"/>
      <c r="DJ495" s="18"/>
    </row>
  </sheetData>
  <mergeCells count="1161">
    <mergeCell ref="AK124:AL124"/>
    <mergeCell ref="AI226:AK226"/>
    <mergeCell ref="AK97:AL97"/>
    <mergeCell ref="V227:X227"/>
    <mergeCell ref="AT399:AU399"/>
    <mergeCell ref="J212:J213"/>
    <mergeCell ref="L212:L213"/>
    <mergeCell ref="X327:AB329"/>
    <mergeCell ref="AI228:AK228"/>
    <mergeCell ref="T223:T230"/>
    <mergeCell ref="V225:X225"/>
    <mergeCell ref="T231:T238"/>
    <mergeCell ref="AI233:AK233"/>
    <mergeCell ref="AI223:AK223"/>
    <mergeCell ref="AI224:AK224"/>
    <mergeCell ref="V89:AA89"/>
    <mergeCell ref="L100:L101"/>
    <mergeCell ref="T109:U109"/>
    <mergeCell ref="W109:Z109"/>
    <mergeCell ref="T112:U112"/>
    <mergeCell ref="K140:L140"/>
    <mergeCell ref="M100:M101"/>
    <mergeCell ref="G100:G101"/>
    <mergeCell ref="G91:K92"/>
    <mergeCell ref="L91:L92"/>
    <mergeCell ref="L89:L90"/>
    <mergeCell ref="L93:Q94"/>
    <mergeCell ref="K136:L137"/>
    <mergeCell ref="E136:F137"/>
    <mergeCell ref="J136:J137"/>
    <mergeCell ref="Z90:AA90"/>
    <mergeCell ref="AY446:BJ460"/>
    <mergeCell ref="AY445:BI445"/>
    <mergeCell ref="V411:V412"/>
    <mergeCell ref="W411:AA412"/>
    <mergeCell ref="U411:U412"/>
    <mergeCell ref="AB411:AB412"/>
    <mergeCell ref="G89:J90"/>
    <mergeCell ref="P89:Q90"/>
    <mergeCell ref="T91:U91"/>
    <mergeCell ref="T102:U102"/>
    <mergeCell ref="H140:I140"/>
    <mergeCell ref="H136:I137"/>
    <mergeCell ref="N102:Q103"/>
    <mergeCell ref="I100:K101"/>
    <mergeCell ref="M102:M103"/>
    <mergeCell ref="L98:Q99"/>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AU95:AX95"/>
    <mergeCell ref="CZ73:CZ89"/>
    <mergeCell ref="T99:U99"/>
    <mergeCell ref="CQ14:CQ15"/>
    <mergeCell ref="P9:T9"/>
    <mergeCell ref="I6:P6"/>
    <mergeCell ref="R61:U65"/>
    <mergeCell ref="U53:X53"/>
    <mergeCell ref="CR73:CR89"/>
    <mergeCell ref="CV73:CV89"/>
    <mergeCell ref="AM86:AR86"/>
    <mergeCell ref="AI86:AI89"/>
    <mergeCell ref="AN95:AQ95"/>
    <mergeCell ref="BH55:BO55"/>
    <mergeCell ref="AH222:AS222"/>
    <mergeCell ref="AO219:AU219"/>
    <mergeCell ref="V247:X247"/>
    <mergeCell ref="AH248:AH249"/>
    <mergeCell ref="BI56:BO58"/>
    <mergeCell ref="AK91:AL91"/>
    <mergeCell ref="V104:AA104"/>
    <mergeCell ref="AK102:AL102"/>
    <mergeCell ref="AN88:AQ88"/>
    <mergeCell ref="AK87:AL87"/>
    <mergeCell ref="Z97:AA97"/>
    <mergeCell ref="Z92:AA92"/>
    <mergeCell ref="AK89:AL89"/>
    <mergeCell ref="AC89:AH89"/>
    <mergeCell ref="Z91:AA91"/>
    <mergeCell ref="BL59:BN59"/>
    <mergeCell ref="AA73:AC73"/>
    <mergeCell ref="AC86:AH86"/>
    <mergeCell ref="AI237:AK237"/>
    <mergeCell ref="AI238:AK238"/>
    <mergeCell ref="AT120:AY120"/>
    <mergeCell ref="AM110:AR110"/>
    <mergeCell ref="V111:AA111"/>
    <mergeCell ref="W101:Z101"/>
    <mergeCell ref="W102:Z102"/>
    <mergeCell ref="AK90:AL90"/>
    <mergeCell ref="AD87:AG87"/>
    <mergeCell ref="AI246:AK246"/>
    <mergeCell ref="V243:X243"/>
    <mergeCell ref="V244:X244"/>
    <mergeCell ref="V245:X245"/>
    <mergeCell ref="DF28:DF29"/>
    <mergeCell ref="BG29:BH29"/>
    <mergeCell ref="BJ29:BK29"/>
    <mergeCell ref="BM29:BN29"/>
    <mergeCell ref="BP29:BQ29"/>
    <mergeCell ref="BS29:BT29"/>
    <mergeCell ref="BV29:BW29"/>
    <mergeCell ref="X330:AC342"/>
    <mergeCell ref="T107:U107"/>
    <mergeCell ref="AK99:AL99"/>
    <mergeCell ref="AI240:AK240"/>
    <mergeCell ref="T103:U103"/>
    <mergeCell ref="AI236:AK236"/>
    <mergeCell ref="AK103:AL103"/>
    <mergeCell ref="V239:X239"/>
    <mergeCell ref="AK105:AL105"/>
    <mergeCell ref="Y221:AR221"/>
    <mergeCell ref="AM117:AR117"/>
    <mergeCell ref="AK118:AL118"/>
    <mergeCell ref="AK119:AL119"/>
    <mergeCell ref="CS30:DA41"/>
    <mergeCell ref="DB30:DB41"/>
    <mergeCell ref="DC30:DF41"/>
    <mergeCell ref="CR52:CR68"/>
    <mergeCell ref="AM97:AR97"/>
    <mergeCell ref="BP56:BP58"/>
    <mergeCell ref="DD73:DD89"/>
    <mergeCell ref="AK125:AL125"/>
    <mergeCell ref="AI232:AK232"/>
    <mergeCell ref="V238:X238"/>
    <mergeCell ref="AK100:AL100"/>
    <mergeCell ref="AC90:AE90"/>
    <mergeCell ref="CD419:CH420"/>
    <mergeCell ref="BQ419:BU419"/>
    <mergeCell ref="Y172:Z172"/>
    <mergeCell ref="BX421:CB433"/>
    <mergeCell ref="AU102:AX102"/>
    <mergeCell ref="AT110:AY110"/>
    <mergeCell ref="AN102:AQ102"/>
    <mergeCell ref="AI227:AK227"/>
    <mergeCell ref="V91:X91"/>
    <mergeCell ref="V92:X92"/>
    <mergeCell ref="AI252:AK252"/>
    <mergeCell ref="V97:Y97"/>
    <mergeCell ref="AI231:AK231"/>
    <mergeCell ref="AK121:AL121"/>
    <mergeCell ref="T111:U111"/>
    <mergeCell ref="T113:U113"/>
    <mergeCell ref="T114:U114"/>
    <mergeCell ref="T98:U98"/>
    <mergeCell ref="T96:U96"/>
    <mergeCell ref="AI235:AK235"/>
    <mergeCell ref="AI239:AK239"/>
    <mergeCell ref="CB419:CB420"/>
    <mergeCell ref="BX419:CA420"/>
    <mergeCell ref="BI419:BI420"/>
    <mergeCell ref="T396:AA402"/>
    <mergeCell ref="AB396:AB402"/>
    <mergeCell ref="AC396:AE402"/>
    <mergeCell ref="Z99:AA99"/>
    <mergeCell ref="V98:Y98"/>
    <mergeCell ref="V96:AA96"/>
    <mergeCell ref="CG364:CH364"/>
    <mergeCell ref="CG365:CH365"/>
    <mergeCell ref="T87:U87"/>
    <mergeCell ref="V86:AA86"/>
    <mergeCell ref="AD101:AG101"/>
    <mergeCell ref="Z98:AA98"/>
    <mergeCell ref="DH52:DH68"/>
    <mergeCell ref="U260:U261"/>
    <mergeCell ref="U250:U251"/>
    <mergeCell ref="AN121:AQ121"/>
    <mergeCell ref="U256:U257"/>
    <mergeCell ref="AU121:AX121"/>
    <mergeCell ref="AK109:AL109"/>
    <mergeCell ref="AD102:AG102"/>
    <mergeCell ref="AK96:AL96"/>
    <mergeCell ref="AK98:AL98"/>
    <mergeCell ref="AG222:AG224"/>
    <mergeCell ref="U221:U222"/>
    <mergeCell ref="AK116:AL116"/>
    <mergeCell ref="V229:X229"/>
    <mergeCell ref="AK122:AL122"/>
    <mergeCell ref="V252:X252"/>
    <mergeCell ref="W87:Z87"/>
    <mergeCell ref="AK88:AL88"/>
    <mergeCell ref="AF90:AG90"/>
    <mergeCell ref="T95:U95"/>
    <mergeCell ref="AD94:AG94"/>
    <mergeCell ref="U85:AX85"/>
    <mergeCell ref="Y75:AB75"/>
    <mergeCell ref="AE58:AM59"/>
    <mergeCell ref="BB59:BD59"/>
    <mergeCell ref="AM104:AR104"/>
    <mergeCell ref="AI229:AK229"/>
    <mergeCell ref="Y171:AD171"/>
    <mergeCell ref="N9:O9"/>
    <mergeCell ref="AD51:AE51"/>
    <mergeCell ref="AD52:AE52"/>
    <mergeCell ref="AD50:AI50"/>
    <mergeCell ref="T105:U105"/>
    <mergeCell ref="W94:Z94"/>
    <mergeCell ref="T94:U94"/>
    <mergeCell ref="AK95:AL95"/>
    <mergeCell ref="T97:U97"/>
    <mergeCell ref="AK110:AL110"/>
    <mergeCell ref="T88:U88"/>
    <mergeCell ref="U52:X52"/>
    <mergeCell ref="V90:X90"/>
    <mergeCell ref="T90:U90"/>
    <mergeCell ref="N10:O10"/>
    <mergeCell ref="N19:O19"/>
    <mergeCell ref="AK123:AL123"/>
    <mergeCell ref="N100:Q101"/>
    <mergeCell ref="N28:O28"/>
    <mergeCell ref="T92:U92"/>
    <mergeCell ref="T89:U89"/>
    <mergeCell ref="O97:Q97"/>
    <mergeCell ref="N21:O21"/>
    <mergeCell ref="N22:O22"/>
    <mergeCell ref="AK115:AL115"/>
    <mergeCell ref="AD109:AG109"/>
    <mergeCell ref="T104:U104"/>
    <mergeCell ref="T106:U106"/>
    <mergeCell ref="L86:Q86"/>
    <mergeCell ref="Q64:Q81"/>
    <mergeCell ref="AK117:AL117"/>
    <mergeCell ref="N33:O33"/>
    <mergeCell ref="AI225:AK225"/>
    <mergeCell ref="V222:AF222"/>
    <mergeCell ref="AI230:AK230"/>
    <mergeCell ref="J200:J201"/>
    <mergeCell ref="K199:K201"/>
    <mergeCell ref="G199:J199"/>
    <mergeCell ref="H209:I209"/>
    <mergeCell ref="H135:J135"/>
    <mergeCell ref="K138:L138"/>
    <mergeCell ref="K139:L139"/>
    <mergeCell ref="G226:I226"/>
    <mergeCell ref="M133:M134"/>
    <mergeCell ref="V224:X224"/>
    <mergeCell ref="K212:K213"/>
    <mergeCell ref="K221:K224"/>
    <mergeCell ref="V228:X228"/>
    <mergeCell ref="E135:G135"/>
    <mergeCell ref="H138:I138"/>
    <mergeCell ref="H139:I139"/>
    <mergeCell ref="T221:T222"/>
    <mergeCell ref="D202:D210"/>
    <mergeCell ref="E199:E201"/>
    <mergeCell ref="AK106:AL106"/>
    <mergeCell ref="AK108:AL108"/>
    <mergeCell ref="AK114:AL114"/>
    <mergeCell ref="T110:U110"/>
    <mergeCell ref="M136:M137"/>
    <mergeCell ref="L199:L201"/>
    <mergeCell ref="H210:I210"/>
    <mergeCell ref="F208:I208"/>
    <mergeCell ref="D211:D217"/>
    <mergeCell ref="H203:I203"/>
    <mergeCell ref="F199:F201"/>
    <mergeCell ref="B133:L134"/>
    <mergeCell ref="F202:I202"/>
    <mergeCell ref="E208:E210"/>
    <mergeCell ref="H204:I204"/>
    <mergeCell ref="AI174:AL174"/>
    <mergeCell ref="K135:M135"/>
    <mergeCell ref="D199:D201"/>
    <mergeCell ref="G212:G213"/>
    <mergeCell ref="F205:I205"/>
    <mergeCell ref="D135:D137"/>
    <mergeCell ref="E138:F138"/>
    <mergeCell ref="C135:C137"/>
    <mergeCell ref="F214:F215"/>
    <mergeCell ref="AK111:AL111"/>
    <mergeCell ref="AK112:AL112"/>
    <mergeCell ref="L197:L198"/>
    <mergeCell ref="E139:F139"/>
    <mergeCell ref="B176:G176"/>
    <mergeCell ref="G200:I200"/>
    <mergeCell ref="E358:K360"/>
    <mergeCell ref="E355:K357"/>
    <mergeCell ref="E352:K354"/>
    <mergeCell ref="E349:K351"/>
    <mergeCell ref="T252:T257"/>
    <mergeCell ref="L420:M420"/>
    <mergeCell ref="L417:M417"/>
    <mergeCell ref="N417:O417"/>
    <mergeCell ref="N418:O418"/>
    <mergeCell ref="G311:H311"/>
    <mergeCell ref="O281:X281"/>
    <mergeCell ref="AC347:AE353"/>
    <mergeCell ref="AF350:AG353"/>
    <mergeCell ref="O350:P350"/>
    <mergeCell ref="J327:J328"/>
    <mergeCell ref="B177:H192"/>
    <mergeCell ref="B199:C201"/>
    <mergeCell ref="H216:I217"/>
    <mergeCell ref="E212:E217"/>
    <mergeCell ref="H207:I207"/>
    <mergeCell ref="K228:K231"/>
    <mergeCell ref="H206:I206"/>
    <mergeCell ref="V231:X231"/>
    <mergeCell ref="V232:X232"/>
    <mergeCell ref="V226:X226"/>
    <mergeCell ref="G238:I238"/>
    <mergeCell ref="J221:J241"/>
    <mergeCell ref="G223:I223"/>
    <mergeCell ref="G224:I224"/>
    <mergeCell ref="G222:I222"/>
    <mergeCell ref="G225:I225"/>
    <mergeCell ref="B327:I328"/>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AH432:AH433"/>
    <mergeCell ref="W435:AB435"/>
    <mergeCell ref="W434:AH434"/>
    <mergeCell ref="V434:V435"/>
    <mergeCell ref="L423:M424"/>
    <mergeCell ref="L425:M425"/>
    <mergeCell ref="L426:M426"/>
    <mergeCell ref="N423:S423"/>
    <mergeCell ref="P420:Q420"/>
    <mergeCell ref="L418:M418"/>
    <mergeCell ref="L419:M419"/>
    <mergeCell ref="AB403:AB406"/>
    <mergeCell ref="P428:R428"/>
    <mergeCell ref="AR403:AS403"/>
    <mergeCell ref="AR402:AS402"/>
    <mergeCell ref="P417:Q417"/>
    <mergeCell ref="P418:Q418"/>
    <mergeCell ref="P419:Q419"/>
    <mergeCell ref="I419:I421"/>
    <mergeCell ref="BM434:BU434"/>
    <mergeCell ref="BB419:BH420"/>
    <mergeCell ref="BB421:BI440"/>
    <mergeCell ref="W439:AB441"/>
    <mergeCell ref="D425:D426"/>
    <mergeCell ref="D423:D424"/>
    <mergeCell ref="AC435:AH435"/>
    <mergeCell ref="V432:AG433"/>
    <mergeCell ref="W436:AB438"/>
    <mergeCell ref="AR439:AV440"/>
    <mergeCell ref="AR441:AW449"/>
    <mergeCell ref="AC403:AE406"/>
    <mergeCell ref="AC442:AH444"/>
    <mergeCell ref="AR399:AS399"/>
    <mergeCell ref="AC439:AH441"/>
    <mergeCell ref="B433:J433"/>
    <mergeCell ref="V445:V447"/>
    <mergeCell ref="V448:V450"/>
    <mergeCell ref="V439:V441"/>
    <mergeCell ref="AC448:AH450"/>
    <mergeCell ref="V442:V444"/>
    <mergeCell ref="W442:AB444"/>
    <mergeCell ref="W445:AB447"/>
    <mergeCell ref="AC436:AH438"/>
    <mergeCell ref="AC445:AH447"/>
    <mergeCell ref="B423:C432"/>
    <mergeCell ref="G419:G421"/>
    <mergeCell ref="E419:E421"/>
    <mergeCell ref="F419:F421"/>
    <mergeCell ref="H419:H421"/>
    <mergeCell ref="B434:J435"/>
    <mergeCell ref="N419:O419"/>
    <mergeCell ref="V436:V438"/>
    <mergeCell ref="L216:L217"/>
    <mergeCell ref="K214:K215"/>
    <mergeCell ref="K216:K217"/>
    <mergeCell ref="L214:L215"/>
    <mergeCell ref="M227:O227"/>
    <mergeCell ref="M229:O229"/>
    <mergeCell ref="M221:O221"/>
    <mergeCell ref="P228:R228"/>
    <mergeCell ref="P221:R221"/>
    <mergeCell ref="M238:O239"/>
    <mergeCell ref="K236:K239"/>
    <mergeCell ref="K225:K227"/>
    <mergeCell ref="P231:R231"/>
    <mergeCell ref="M236:O237"/>
    <mergeCell ref="L232:L233"/>
    <mergeCell ref="P225:R225"/>
    <mergeCell ref="P238:R239"/>
    <mergeCell ref="N345:O346"/>
    <mergeCell ref="O348:P348"/>
    <mergeCell ref="L422:R422"/>
    <mergeCell ref="K345:K346"/>
    <mergeCell ref="N420:O420"/>
    <mergeCell ref="V246:X246"/>
    <mergeCell ref="V240:X240"/>
    <mergeCell ref="V241:X241"/>
    <mergeCell ref="V223:X223"/>
    <mergeCell ref="D220:Q220"/>
    <mergeCell ref="O300:P300"/>
    <mergeCell ref="B279:K279"/>
    <mergeCell ref="S327:S328"/>
    <mergeCell ref="E246:F246"/>
    <mergeCell ref="G310:H310"/>
    <mergeCell ref="M232:O233"/>
    <mergeCell ref="D222:F222"/>
    <mergeCell ref="L238:L239"/>
    <mergeCell ref="M231:O231"/>
    <mergeCell ref="P232:R233"/>
    <mergeCell ref="G228:I228"/>
    <mergeCell ref="G229:I229"/>
    <mergeCell ref="M225:O225"/>
    <mergeCell ref="G236:I236"/>
    <mergeCell ref="B211:C217"/>
    <mergeCell ref="H212:I213"/>
    <mergeCell ref="B230:B237"/>
    <mergeCell ref="D229:F229"/>
    <mergeCell ref="D241:F241"/>
    <mergeCell ref="G246:I246"/>
    <mergeCell ref="B221:B222"/>
    <mergeCell ref="D233:F233"/>
    <mergeCell ref="J216:J217"/>
    <mergeCell ref="G214:G215"/>
    <mergeCell ref="D230:F230"/>
    <mergeCell ref="D226:F226"/>
    <mergeCell ref="B245:H245"/>
    <mergeCell ref="D238:F238"/>
    <mergeCell ref="D239:F239"/>
    <mergeCell ref="D240:F240"/>
    <mergeCell ref="B223:B229"/>
    <mergeCell ref="H214:I215"/>
    <mergeCell ref="C221:C222"/>
    <mergeCell ref="P223:R223"/>
    <mergeCell ref="O299:P299"/>
    <mergeCell ref="D221:I221"/>
    <mergeCell ref="BK419:BN419"/>
    <mergeCell ref="BK420:BO426"/>
    <mergeCell ref="J419:J421"/>
    <mergeCell ref="G418:H418"/>
    <mergeCell ref="AT398:AU398"/>
    <mergeCell ref="AT402:AU402"/>
    <mergeCell ref="E347:K348"/>
    <mergeCell ref="G313:H313"/>
    <mergeCell ref="C308:F308"/>
    <mergeCell ref="C349:D351"/>
    <mergeCell ref="C352:D354"/>
    <mergeCell ref="C347:D348"/>
    <mergeCell ref="C355:D357"/>
    <mergeCell ref="B345:J346"/>
    <mergeCell ref="I311:J311"/>
    <mergeCell ref="M309:V309"/>
    <mergeCell ref="B307:B309"/>
    <mergeCell ref="D419:D422"/>
    <mergeCell ref="D417:D418"/>
    <mergeCell ref="B416:I416"/>
    <mergeCell ref="B419:C422"/>
    <mergeCell ref="B358:B360"/>
    <mergeCell ref="B329:J339"/>
    <mergeCell ref="B417:C418"/>
    <mergeCell ref="B364:B366"/>
    <mergeCell ref="M327:R328"/>
    <mergeCell ref="I312:J312"/>
    <mergeCell ref="I313:J313"/>
    <mergeCell ref="E309:F309"/>
    <mergeCell ref="AG345:AG346"/>
    <mergeCell ref="M329:S338"/>
    <mergeCell ref="AK327:AQ338"/>
    <mergeCell ref="N396:N402"/>
    <mergeCell ref="C307:J307"/>
    <mergeCell ref="B306:I306"/>
    <mergeCell ref="B280:B281"/>
    <mergeCell ref="M222:O222"/>
    <mergeCell ref="M223:O223"/>
    <mergeCell ref="M224:O224"/>
    <mergeCell ref="D228:F228"/>
    <mergeCell ref="B361:B363"/>
    <mergeCell ref="B349:B354"/>
    <mergeCell ref="B355:B357"/>
    <mergeCell ref="G237:I237"/>
    <mergeCell ref="L236:L237"/>
    <mergeCell ref="M226:O226"/>
    <mergeCell ref="M230:O230"/>
    <mergeCell ref="B347:B348"/>
    <mergeCell ref="C358:D360"/>
    <mergeCell ref="C361:D363"/>
    <mergeCell ref="E361:K363"/>
    <mergeCell ref="D223:F223"/>
    <mergeCell ref="G239:I239"/>
    <mergeCell ref="D231:F231"/>
    <mergeCell ref="B238:B241"/>
    <mergeCell ref="D236:F236"/>
    <mergeCell ref="D237:F237"/>
    <mergeCell ref="G234:I234"/>
    <mergeCell ref="G235:I235"/>
    <mergeCell ref="D235:F235"/>
    <mergeCell ref="D224:F224"/>
    <mergeCell ref="D225:F225"/>
    <mergeCell ref="D227:F227"/>
    <mergeCell ref="G240:I240"/>
    <mergeCell ref="C61:C63"/>
    <mergeCell ref="C91:C94"/>
    <mergeCell ref="F91:F92"/>
    <mergeCell ref="D91:E92"/>
    <mergeCell ref="E64:E81"/>
    <mergeCell ref="E61:E63"/>
    <mergeCell ref="B38:B39"/>
    <mergeCell ref="C87:E87"/>
    <mergeCell ref="C89:E90"/>
    <mergeCell ref="B41:B46"/>
    <mergeCell ref="D93:E94"/>
    <mergeCell ref="C100:D103"/>
    <mergeCell ref="E100:E101"/>
    <mergeCell ref="E102:E103"/>
    <mergeCell ref="H102:H103"/>
    <mergeCell ref="J96:K96"/>
    <mergeCell ref="B85:B87"/>
    <mergeCell ref="C88:E88"/>
    <mergeCell ref="F89:F90"/>
    <mergeCell ref="J61:J63"/>
    <mergeCell ref="J95:K95"/>
    <mergeCell ref="D97:E97"/>
    <mergeCell ref="B102:B103"/>
    <mergeCell ref="C98:E99"/>
    <mergeCell ref="B98:B99"/>
    <mergeCell ref="D95:E95"/>
    <mergeCell ref="B100:B101"/>
    <mergeCell ref="H100:H101"/>
    <mergeCell ref="G102:G103"/>
    <mergeCell ref="F102:F103"/>
    <mergeCell ref="J97:K97"/>
    <mergeCell ref="G88:I88"/>
    <mergeCell ref="N24:O24"/>
    <mergeCell ref="N25:O25"/>
    <mergeCell ref="L24:M24"/>
    <mergeCell ref="L26:M26"/>
    <mergeCell ref="J26:K26"/>
    <mergeCell ref="J24:K24"/>
    <mergeCell ref="H34:I34"/>
    <mergeCell ref="L33:M33"/>
    <mergeCell ref="D25:E25"/>
    <mergeCell ref="D26:E26"/>
    <mergeCell ref="F27:G27"/>
    <mergeCell ref="F28:G28"/>
    <mergeCell ref="D33:E33"/>
    <mergeCell ref="D31:E31"/>
    <mergeCell ref="D29:E29"/>
    <mergeCell ref="D30:E30"/>
    <mergeCell ref="F31:G31"/>
    <mergeCell ref="F32:G32"/>
    <mergeCell ref="L31:M31"/>
    <mergeCell ref="D32:E32"/>
    <mergeCell ref="D27:E27"/>
    <mergeCell ref="N34:O34"/>
    <mergeCell ref="N31:O31"/>
    <mergeCell ref="N27:O27"/>
    <mergeCell ref="N30:O30"/>
    <mergeCell ref="N32:O32"/>
    <mergeCell ref="J31:K31"/>
    <mergeCell ref="H33:I33"/>
    <mergeCell ref="D28:E28"/>
    <mergeCell ref="L32:M32"/>
    <mergeCell ref="F34:G34"/>
    <mergeCell ref="J32:K32"/>
    <mergeCell ref="H11:I11"/>
    <mergeCell ref="F23:G23"/>
    <mergeCell ref="L29:M29"/>
    <mergeCell ref="L27:M27"/>
    <mergeCell ref="H28:I28"/>
    <mergeCell ref="H29:I29"/>
    <mergeCell ref="H30:I30"/>
    <mergeCell ref="J30:K30"/>
    <mergeCell ref="L25:M25"/>
    <mergeCell ref="J25:K25"/>
    <mergeCell ref="N20:O20"/>
    <mergeCell ref="F30:G30"/>
    <mergeCell ref="N26:O26"/>
    <mergeCell ref="F29:G29"/>
    <mergeCell ref="H25:I25"/>
    <mergeCell ref="J27:K27"/>
    <mergeCell ref="L30:M30"/>
    <mergeCell ref="J28:K28"/>
    <mergeCell ref="J29:K29"/>
    <mergeCell ref="F25:G25"/>
    <mergeCell ref="L28:M28"/>
    <mergeCell ref="F26:G26"/>
    <mergeCell ref="H27:I27"/>
    <mergeCell ref="L21:M21"/>
    <mergeCell ref="L23:M23"/>
    <mergeCell ref="J22:K22"/>
    <mergeCell ref="H22:I22"/>
    <mergeCell ref="J23:K23"/>
    <mergeCell ref="H21:I21"/>
    <mergeCell ref="J21:K21"/>
    <mergeCell ref="N29:O29"/>
    <mergeCell ref="N23:O23"/>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J14:K14"/>
    <mergeCell ref="L15:M15"/>
    <mergeCell ref="L16:M16"/>
    <mergeCell ref="H16:I16"/>
    <mergeCell ref="H17:I17"/>
    <mergeCell ref="H10:I10"/>
    <mergeCell ref="D15:E15"/>
    <mergeCell ref="N15:O15"/>
    <mergeCell ref="N16:O16"/>
    <mergeCell ref="N17:O17"/>
    <mergeCell ref="N18:O18"/>
    <mergeCell ref="H18:I18"/>
    <mergeCell ref="J15:K15"/>
    <mergeCell ref="J16:K16"/>
    <mergeCell ref="J17:K17"/>
    <mergeCell ref="J10:K10"/>
    <mergeCell ref="L10:M10"/>
    <mergeCell ref="F15:G15"/>
    <mergeCell ref="F16:G16"/>
    <mergeCell ref="F17:G17"/>
    <mergeCell ref="F18:G18"/>
    <mergeCell ref="F19:G19"/>
    <mergeCell ref="L19:M19"/>
    <mergeCell ref="H19:I19"/>
    <mergeCell ref="D11:E11"/>
    <mergeCell ref="J11:K11"/>
    <mergeCell ref="D12:E12"/>
    <mergeCell ref="D13:E13"/>
    <mergeCell ref="D14:E14"/>
    <mergeCell ref="D16:E16"/>
    <mergeCell ref="D17:E17"/>
    <mergeCell ref="F13:G13"/>
    <mergeCell ref="F14:G14"/>
    <mergeCell ref="D19:E19"/>
    <mergeCell ref="H13:I13"/>
    <mergeCell ref="H14:I14"/>
    <mergeCell ref="J12:K12"/>
    <mergeCell ref="J13:K13"/>
    <mergeCell ref="J18:K18"/>
    <mergeCell ref="J19:K19"/>
    <mergeCell ref="L11:M11"/>
    <mergeCell ref="F11:G11"/>
    <mergeCell ref="F12:G12"/>
    <mergeCell ref="L18:M18"/>
    <mergeCell ref="D18:E18"/>
    <mergeCell ref="H12:I12"/>
    <mergeCell ref="H15:I15"/>
    <mergeCell ref="D24:E24"/>
    <mergeCell ref="H31:I31"/>
    <mergeCell ref="H32:I32"/>
    <mergeCell ref="D20:E20"/>
    <mergeCell ref="D23:E23"/>
    <mergeCell ref="J20:K20"/>
    <mergeCell ref="F24:G24"/>
    <mergeCell ref="J33:K33"/>
    <mergeCell ref="F216:F217"/>
    <mergeCell ref="H24:I24"/>
    <mergeCell ref="D21:E21"/>
    <mergeCell ref="F21:G21"/>
    <mergeCell ref="D22:E22"/>
    <mergeCell ref="H23:I23"/>
    <mergeCell ref="C95:C97"/>
    <mergeCell ref="D96:E96"/>
    <mergeCell ref="G98:K99"/>
    <mergeCell ref="I102:K103"/>
    <mergeCell ref="J177:T184"/>
    <mergeCell ref="F212:F213"/>
    <mergeCell ref="J176:S176"/>
    <mergeCell ref="L102:L103"/>
    <mergeCell ref="O96:Q96"/>
    <mergeCell ref="O95:Q95"/>
    <mergeCell ref="L22:M22"/>
    <mergeCell ref="F22:G22"/>
    <mergeCell ref="I64:I81"/>
    <mergeCell ref="J34:K34"/>
    <mergeCell ref="B48:G48"/>
    <mergeCell ref="M64:M81"/>
    <mergeCell ref="D34:E34"/>
    <mergeCell ref="M61:M63"/>
    <mergeCell ref="F33:G33"/>
    <mergeCell ref="H26:I26"/>
    <mergeCell ref="F61:F63"/>
    <mergeCell ref="F93:F94"/>
    <mergeCell ref="B93:B94"/>
    <mergeCell ref="G93:K94"/>
    <mergeCell ref="I85:P85"/>
    <mergeCell ref="G86:K86"/>
    <mergeCell ref="K89:K90"/>
    <mergeCell ref="M38:M39"/>
    <mergeCell ref="E85:G85"/>
    <mergeCell ref="L88:N88"/>
    <mergeCell ref="O88:P88"/>
    <mergeCell ref="M91:Q92"/>
    <mergeCell ref="M89:O90"/>
    <mergeCell ref="Q61:Q63"/>
    <mergeCell ref="B60:T60"/>
    <mergeCell ref="L34:M34"/>
    <mergeCell ref="P61:P63"/>
    <mergeCell ref="D61:D63"/>
    <mergeCell ref="G61:G63"/>
    <mergeCell ref="H61:H63"/>
    <mergeCell ref="L61:L63"/>
    <mergeCell ref="I61:I63"/>
    <mergeCell ref="N61:N63"/>
    <mergeCell ref="O61:O63"/>
    <mergeCell ref="K61:K63"/>
    <mergeCell ref="C38:L39"/>
    <mergeCell ref="O38:R38"/>
    <mergeCell ref="B91:B92"/>
    <mergeCell ref="C86:E86"/>
    <mergeCell ref="B61:B63"/>
    <mergeCell ref="AH250:AH251"/>
    <mergeCell ref="CG300:CH300"/>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AV396:AX396"/>
    <mergeCell ref="AQ396:AU397"/>
    <mergeCell ref="AQ395:AW395"/>
    <mergeCell ref="AV397:AX402"/>
    <mergeCell ref="I418:J418"/>
    <mergeCell ref="E417:J417"/>
    <mergeCell ref="AV403:AX403"/>
    <mergeCell ref="M310:W323"/>
    <mergeCell ref="Z280:Z281"/>
    <mergeCell ref="AA281:AJ281"/>
    <mergeCell ref="V250:X251"/>
    <mergeCell ref="L416:P416"/>
    <mergeCell ref="AI250:AK251"/>
    <mergeCell ref="CG298:CH298"/>
    <mergeCell ref="CG299:CH299"/>
    <mergeCell ref="DE298:DF298"/>
    <mergeCell ref="E140:F140"/>
    <mergeCell ref="F211:I211"/>
    <mergeCell ref="J214:J215"/>
    <mergeCell ref="B202:C210"/>
    <mergeCell ref="G136:G137"/>
    <mergeCell ref="B197:K198"/>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53:AK253"/>
    <mergeCell ref="V260:X261"/>
    <mergeCell ref="V256:X257"/>
    <mergeCell ref="BI306:BJ306"/>
    <mergeCell ref="BI307:BJ307"/>
    <mergeCell ref="BG306:BH306"/>
    <mergeCell ref="BG307:BH307"/>
    <mergeCell ref="AH260:AH261"/>
    <mergeCell ref="CS335:CT335"/>
    <mergeCell ref="CS336:CT336"/>
    <mergeCell ref="DE302:DF302"/>
    <mergeCell ref="DE303:DF303"/>
    <mergeCell ref="DD297:DF297"/>
    <mergeCell ref="DE332:DF332"/>
    <mergeCell ref="CX296:DA307"/>
    <mergeCell ref="DE300:DF300"/>
    <mergeCell ref="DE301:DF301"/>
    <mergeCell ref="CS298:CT298"/>
    <mergeCell ref="CS299:CT299"/>
    <mergeCell ref="U263:U264"/>
    <mergeCell ref="V263:X264"/>
    <mergeCell ref="Y279:Y281"/>
    <mergeCell ref="BG301:BO301"/>
    <mergeCell ref="DE299:DF299"/>
    <mergeCell ref="CS300:CT300"/>
    <mergeCell ref="CS301:CT301"/>
    <mergeCell ref="CS302:CT302"/>
    <mergeCell ref="CS303:CT303"/>
    <mergeCell ref="BW305:BX305"/>
    <mergeCell ref="CG350:CH350"/>
    <mergeCell ref="CG351:CH351"/>
    <mergeCell ref="CG352:CH352"/>
    <mergeCell ref="CG353:CH353"/>
    <mergeCell ref="DE335:DF335"/>
    <mergeCell ref="DE336:DF336"/>
    <mergeCell ref="DE337:DF337"/>
    <mergeCell ref="DD331:DF331"/>
    <mergeCell ref="DK348:DN354"/>
    <mergeCell ref="CL314:CO325"/>
    <mergeCell ref="CL330:CO341"/>
    <mergeCell ref="CG317:CH317"/>
    <mergeCell ref="CG318:CH318"/>
    <mergeCell ref="CG319:CH319"/>
    <mergeCell ref="CS352:CT352"/>
    <mergeCell ref="CS353:CT353"/>
    <mergeCell ref="CG322:CH322"/>
    <mergeCell ref="CR349:CT349"/>
    <mergeCell ref="CG333:CH333"/>
    <mergeCell ref="CS320:CT320"/>
    <mergeCell ref="CS321:CT321"/>
    <mergeCell ref="CG332:CH332"/>
    <mergeCell ref="CG320:CH320"/>
    <mergeCell ref="CG321:CH321"/>
    <mergeCell ref="CS354:CT354"/>
    <mergeCell ref="CS350:CT350"/>
    <mergeCell ref="CS351:CT351"/>
    <mergeCell ref="DE321:DF321"/>
    <mergeCell ref="DE322:DF322"/>
    <mergeCell ref="CS332:CT332"/>
    <mergeCell ref="CS333:CT333"/>
    <mergeCell ref="CS334:CT334"/>
    <mergeCell ref="DJ296:DM307"/>
    <mergeCell ref="CR297:CT297"/>
    <mergeCell ref="CX314:DA324"/>
    <mergeCell ref="CF315:CH315"/>
    <mergeCell ref="DJ330:DM341"/>
    <mergeCell ref="DE318:DF318"/>
    <mergeCell ref="DE319:DF319"/>
    <mergeCell ref="DE320:DF320"/>
    <mergeCell ref="CG366:CH366"/>
    <mergeCell ref="DI362:DL368"/>
    <mergeCell ref="CX330:DA341"/>
    <mergeCell ref="CR315:CT315"/>
    <mergeCell ref="CR331:CT331"/>
    <mergeCell ref="CS364:CT364"/>
    <mergeCell ref="CS365:CT365"/>
    <mergeCell ref="CF349:CH349"/>
    <mergeCell ref="CF331:CH331"/>
    <mergeCell ref="CG336:CH336"/>
    <mergeCell ref="CG337:CH337"/>
    <mergeCell ref="CG334:CH334"/>
    <mergeCell ref="CG335:CH335"/>
    <mergeCell ref="CS337:CT337"/>
    <mergeCell ref="DE333:DF333"/>
    <mergeCell ref="DE334:DF334"/>
    <mergeCell ref="DD349:DF349"/>
    <mergeCell ref="DE316:DF316"/>
    <mergeCell ref="DE317:DF317"/>
    <mergeCell ref="CG316:CH316"/>
    <mergeCell ref="CS316:CT316"/>
    <mergeCell ref="CS317:CT317"/>
    <mergeCell ref="CS318:CT318"/>
    <mergeCell ref="CS319:CT319"/>
    <mergeCell ref="CF363:CH363"/>
    <mergeCell ref="DJ314:DM325"/>
    <mergeCell ref="DD315:DF315"/>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CS366:CT366"/>
    <mergeCell ref="CM375:CO384"/>
    <mergeCell ref="CX375:DA385"/>
    <mergeCell ref="CS355:CT355"/>
    <mergeCell ref="CG354:CH354"/>
    <mergeCell ref="DD366:DE366"/>
    <mergeCell ref="DD367:DE367"/>
    <mergeCell ref="DD365:DE365"/>
    <mergeCell ref="CX362:CZ372"/>
    <mergeCell ref="CL348:CO358"/>
    <mergeCell ref="V455:AH456"/>
    <mergeCell ref="W451:AB453"/>
    <mergeCell ref="V451:V453"/>
    <mergeCell ref="AW439:AW440"/>
    <mergeCell ref="CI419:CI420"/>
    <mergeCell ref="CD421:CI432"/>
    <mergeCell ref="BQ420:BV429"/>
    <mergeCell ref="V454:AH454"/>
    <mergeCell ref="BM435:BV448"/>
    <mergeCell ref="BG374:BI374"/>
    <mergeCell ref="BG375:BI375"/>
    <mergeCell ref="BG376:BI376"/>
    <mergeCell ref="BG377:BI377"/>
    <mergeCell ref="BG378:BI378"/>
    <mergeCell ref="BG379:BI379"/>
    <mergeCell ref="BG380:BI380"/>
    <mergeCell ref="DD364:DE364"/>
    <mergeCell ref="CG377:CH377"/>
    <mergeCell ref="CG378:CH378"/>
    <mergeCell ref="CG379:CH379"/>
    <mergeCell ref="CG380:CH380"/>
    <mergeCell ref="CF376:CH376"/>
    <mergeCell ref="BG381:BI381"/>
    <mergeCell ref="BG366:BI366"/>
    <mergeCell ref="AT403:AU403"/>
    <mergeCell ref="BV371:BW371"/>
    <mergeCell ref="BU365:BY365"/>
    <mergeCell ref="BY366:BZ366"/>
    <mergeCell ref="BY367:BZ367"/>
    <mergeCell ref="BY368:BZ368"/>
    <mergeCell ref="BY369:BZ369"/>
    <mergeCell ref="BY370:BZ370"/>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U304:BV304"/>
    <mergeCell ref="BK306:BL306"/>
    <mergeCell ref="BG367:BI367"/>
    <mergeCell ref="BG368:BI368"/>
    <mergeCell ref="DH73:DH89"/>
    <mergeCell ref="CO50:DJ50"/>
    <mergeCell ref="CO71:DJ71"/>
    <mergeCell ref="FG23:FL23"/>
    <mergeCell ref="FG24:FL24"/>
    <mergeCell ref="FG25:FL25"/>
    <mergeCell ref="FG26:FL26"/>
    <mergeCell ref="FG27:FL27"/>
    <mergeCell ref="FG28:FL28"/>
    <mergeCell ref="FG29:FL29"/>
    <mergeCell ref="DC16:DF26"/>
    <mergeCell ref="AA2:AC2"/>
    <mergeCell ref="AX55:BE55"/>
    <mergeCell ref="AY56:BE58"/>
    <mergeCell ref="AD53:AE55"/>
    <mergeCell ref="AN58:AN59"/>
    <mergeCell ref="CV52:CV68"/>
    <mergeCell ref="DD52:DD68"/>
    <mergeCell ref="AH60:AI60"/>
    <mergeCell ref="AU87:AX87"/>
    <mergeCell ref="CJ14:CP15"/>
    <mergeCell ref="AT86:AY86"/>
    <mergeCell ref="AS86:AS89"/>
    <mergeCell ref="AU88:AX88"/>
    <mergeCell ref="AR34:AX34"/>
    <mergeCell ref="BM10:BN10"/>
    <mergeCell ref="FG22:FL22"/>
    <mergeCell ref="CZ52:CZ68"/>
    <mergeCell ref="AN87:AQ87"/>
    <mergeCell ref="BV10:BW10"/>
    <mergeCell ref="CS28:DE29"/>
    <mergeCell ref="DJ12:DK12"/>
    <mergeCell ref="B2:M3"/>
    <mergeCell ref="O2:Q2"/>
    <mergeCell ref="O3:Q3"/>
    <mergeCell ref="F9:G9"/>
    <mergeCell ref="AK92:AL92"/>
    <mergeCell ref="AK93:AL93"/>
    <mergeCell ref="AK104:AL104"/>
    <mergeCell ref="AI234:AK234"/>
    <mergeCell ref="AU108:AX108"/>
    <mergeCell ref="AI247:AK247"/>
    <mergeCell ref="AI248:AK249"/>
    <mergeCell ref="AK326:AP326"/>
    <mergeCell ref="AI262:AK262"/>
    <mergeCell ref="AI263:AK264"/>
    <mergeCell ref="AN115:AQ115"/>
    <mergeCell ref="AU115:AX115"/>
    <mergeCell ref="AS114:AS117"/>
    <mergeCell ref="AI241:AK241"/>
    <mergeCell ref="AW304:AX305"/>
    <mergeCell ref="U54:X54"/>
    <mergeCell ref="P236:R237"/>
    <mergeCell ref="AM123:AR123"/>
    <mergeCell ref="N280:N281"/>
    <mergeCell ref="M279:M281"/>
    <mergeCell ref="D234:F234"/>
    <mergeCell ref="P224:R224"/>
    <mergeCell ref="P230:R230"/>
    <mergeCell ref="AN108:AQ108"/>
    <mergeCell ref="AN114:AQ114"/>
    <mergeCell ref="F98:F99"/>
    <mergeCell ref="F100:F101"/>
    <mergeCell ref="AI256:AK257"/>
    <mergeCell ref="AU114:AX114"/>
    <mergeCell ref="T247:T251"/>
    <mergeCell ref="V253:X253"/>
    <mergeCell ref="U254:U255"/>
    <mergeCell ref="V254:X255"/>
    <mergeCell ref="T354:AA360"/>
    <mergeCell ref="AF348:AF349"/>
    <mergeCell ref="AG348:AG349"/>
    <mergeCell ref="AB354:AB360"/>
    <mergeCell ref="AC354:AE360"/>
    <mergeCell ref="N354:N360"/>
    <mergeCell ref="P345:P346"/>
    <mergeCell ref="V345:AF346"/>
    <mergeCell ref="Q345:U346"/>
    <mergeCell ref="R351:S351"/>
    <mergeCell ref="AI254:AK255"/>
    <mergeCell ref="AH254:AH255"/>
    <mergeCell ref="AI242:AK242"/>
    <mergeCell ref="AI243:AK243"/>
    <mergeCell ref="AI244:AK244"/>
    <mergeCell ref="U248:U249"/>
    <mergeCell ref="V248:X249"/>
    <mergeCell ref="O352:P352"/>
    <mergeCell ref="AG355:AG356"/>
    <mergeCell ref="O353:P353"/>
    <mergeCell ref="AB348:AB353"/>
    <mergeCell ref="P222:R222"/>
    <mergeCell ref="T347:AA347"/>
    <mergeCell ref="T348:AA353"/>
    <mergeCell ref="AI258:AK259"/>
    <mergeCell ref="AI260:AK261"/>
    <mergeCell ref="O351:P351"/>
    <mergeCell ref="V236:X236"/>
    <mergeCell ref="V237:X237"/>
    <mergeCell ref="D232:F232"/>
    <mergeCell ref="K232:K235"/>
    <mergeCell ref="G231:I231"/>
    <mergeCell ref="G232:I232"/>
    <mergeCell ref="P227:R227"/>
    <mergeCell ref="P226:R226"/>
    <mergeCell ref="P229:R229"/>
    <mergeCell ref="P234:R235"/>
    <mergeCell ref="L234:L235"/>
    <mergeCell ref="G230:I230"/>
    <mergeCell ref="G233:I233"/>
    <mergeCell ref="M234:O235"/>
    <mergeCell ref="V230:X230"/>
    <mergeCell ref="G227:I227"/>
    <mergeCell ref="M228:O228"/>
    <mergeCell ref="B135:B137"/>
    <mergeCell ref="G216:G217"/>
    <mergeCell ref="O347:S347"/>
    <mergeCell ref="N348:N353"/>
    <mergeCell ref="AC389:AE395"/>
    <mergeCell ref="AF376:AF377"/>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AC361:AE367"/>
    <mergeCell ref="N368:N374"/>
    <mergeCell ref="T375:AA381"/>
    <mergeCell ref="AB375:AB381"/>
    <mergeCell ref="N361:N367"/>
    <mergeCell ref="AF355:AF356"/>
    <mergeCell ref="AF357:AG360"/>
    <mergeCell ref="G241:I241"/>
    <mergeCell ref="V233:X233"/>
    <mergeCell ref="V234:X234"/>
    <mergeCell ref="BG369:BI369"/>
    <mergeCell ref="AI245:AK245"/>
    <mergeCell ref="AY304:BE305"/>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O349:P349"/>
    <mergeCell ref="T239:T242"/>
    <mergeCell ref="AH263:AH264"/>
    <mergeCell ref="V235:X235"/>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Z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390525</xdr:colOff>
                <xdr:row>23</xdr:row>
                <xdr:rowOff>133350</xdr:rowOff>
              </from>
              <to>
                <xdr:col>167</xdr:col>
                <xdr:colOff>514350</xdr:colOff>
                <xdr:row>26</xdr:row>
                <xdr:rowOff>9525</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AN98:AO98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77"/>
  <sheetViews>
    <sheetView topLeftCell="A6" zoomScale="10" zoomScaleNormal="10" workbookViewId="0">
      <selection activeCell="BM59" sqref="BM59"/>
    </sheetView>
  </sheetViews>
  <sheetFormatPr defaultRowHeight="48" customHeight="1"/>
  <cols>
    <col min="24" max="24" width="11.625" bestFit="1" customWidth="1"/>
  </cols>
  <sheetData>
    <row r="10" spans="13:117" ht="48" customHeight="1">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c r="M11" s="15"/>
      <c r="N11" s="15"/>
      <c r="O11" s="15"/>
      <c r="P11" s="15"/>
      <c r="Q11" s="15"/>
      <c r="R11" s="15"/>
      <c r="S11" s="15"/>
      <c r="T11" s="15"/>
      <c r="U11" s="15"/>
      <c r="V11" s="15"/>
      <c r="X11" s="15"/>
      <c r="Y11" s="15"/>
      <c r="Z11" s="15"/>
      <c r="AA11" s="15"/>
      <c r="AB11" s="15"/>
      <c r="AC11" s="15"/>
      <c r="AD11" s="15"/>
      <c r="AE11" s="13">
        <f>'Вывод расчетов'!AP20</f>
        <v>4</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412</v>
      </c>
      <c r="AM12" s="15"/>
      <c r="AN12" s="15"/>
      <c r="AO12" s="15"/>
      <c r="AP12" s="15" t="s">
        <v>409</v>
      </c>
      <c r="AQ12" s="15"/>
      <c r="AR12" s="15"/>
      <c r="AS12" s="15"/>
      <c r="AT12" s="15"/>
      <c r="AU12" s="70" t="s">
        <v>413</v>
      </c>
      <c r="AV12" s="15"/>
      <c r="AW12" s="20"/>
      <c r="AX12" s="15"/>
      <c r="AY12" s="15"/>
      <c r="AZ12" s="15"/>
      <c r="BA12" s="15"/>
      <c r="BB12" s="15"/>
      <c r="BC12" s="15"/>
      <c r="BD12" s="15"/>
      <c r="BE12" s="15"/>
      <c r="BF12" s="75" t="s">
        <v>702</v>
      </c>
      <c r="BG12" s="15"/>
      <c r="BH12" s="67" t="s">
        <v>439</v>
      </c>
      <c r="BI12" s="15"/>
      <c r="BJ12" s="67" t="s">
        <v>439</v>
      </c>
      <c r="BK12" s="15"/>
      <c r="BL12" s="61" t="s">
        <v>451</v>
      </c>
      <c r="BM12" s="15"/>
      <c r="BN12" s="62" t="s">
        <v>441</v>
      </c>
      <c r="BO12" s="15"/>
      <c r="BP12" s="61" t="s">
        <v>440</v>
      </c>
      <c r="BQ12" s="15"/>
      <c r="BR12" s="61" t="s">
        <v>445</v>
      </c>
      <c r="BS12" s="15"/>
      <c r="BT12" s="61" t="s">
        <v>450</v>
      </c>
      <c r="BU12" s="15"/>
      <c r="BV12" s="61" t="s">
        <v>442</v>
      </c>
      <c r="BX12" s="75" t="s">
        <v>714</v>
      </c>
    </row>
    <row r="13" spans="13:117" ht="48" customHeight="1">
      <c r="M13" s="15"/>
      <c r="N13" s="15"/>
      <c r="O13" s="15"/>
      <c r="P13" s="15"/>
      <c r="Q13" s="15"/>
      <c r="R13" s="15"/>
      <c r="S13" s="15"/>
      <c r="T13" s="15"/>
      <c r="U13" s="2034" t="s">
        <v>1</v>
      </c>
      <c r="V13" s="2034"/>
      <c r="W13" s="2034"/>
      <c r="X13" s="53">
        <v>25000</v>
      </c>
      <c r="Y13" s="15"/>
      <c r="Z13" s="15"/>
      <c r="AA13" s="15"/>
      <c r="AB13" s="15"/>
      <c r="AC13" s="15" t="s">
        <v>415</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c r="M14" s="15"/>
      <c r="N14" s="15"/>
      <c r="O14" s="15"/>
      <c r="P14" s="15"/>
      <c r="Q14" s="15"/>
      <c r="R14" s="15"/>
      <c r="S14" s="15"/>
      <c r="T14" s="15"/>
      <c r="U14" s="2034" t="s">
        <v>419</v>
      </c>
      <c r="V14" s="2034"/>
      <c r="W14" s="2034"/>
      <c r="X14" s="53">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c r="M15" s="15"/>
      <c r="N15" s="15"/>
      <c r="O15" s="15"/>
      <c r="P15" s="15"/>
      <c r="Q15" s="15"/>
      <c r="R15" s="15"/>
      <c r="S15" s="15"/>
      <c r="T15" s="15"/>
      <c r="U15" s="2034" t="s">
        <v>8</v>
      </c>
      <c r="V15" s="2034"/>
      <c r="W15" s="2034"/>
      <c r="X15" s="53">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row>
    <row r="16" spans="13:117" ht="48" customHeight="1">
      <c r="M16" s="15"/>
      <c r="N16" s="15"/>
      <c r="O16" s="15"/>
      <c r="P16" s="15"/>
      <c r="Q16" s="15"/>
      <c r="R16" s="15"/>
      <c r="S16" s="15"/>
      <c r="T16" s="15"/>
      <c r="U16" s="2034" t="s">
        <v>417</v>
      </c>
      <c r="V16" s="2034"/>
      <c r="W16" s="2034"/>
      <c r="X16" s="39">
        <f xml:space="preserve">
IF(X23&gt;11,12,
IF(X23&gt;9,10,
IF(X23&gt;7,8,
IF(X23&gt;5,6,
IF(X23&gt;3,4,
IF(X23&lt;3,2,
CONCATENATE("Введна недопутимая частота вращения или частота тока")
))))))</f>
        <v>4</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c r="DM16" s="144"/>
    </row>
    <row r="17" spans="13:117" ht="48" customHeight="1" thickBot="1">
      <c r="M17" s="15"/>
      <c r="N17" s="15"/>
      <c r="O17" s="15"/>
      <c r="P17" s="15"/>
      <c r="Q17" s="15"/>
      <c r="R17" s="15"/>
      <c r="S17" s="15"/>
      <c r="T17" s="15"/>
      <c r="U17" s="2034" t="s">
        <v>417</v>
      </c>
      <c r="V17" s="2034"/>
      <c r="W17" s="2034"/>
      <c r="X17" s="53">
        <f>IF(X16="Введна недопутимая частота вращения или частота тока",0,X16)</f>
        <v>4</v>
      </c>
      <c r="Y17" s="15"/>
      <c r="Z17" s="2033" t="s">
        <v>1</v>
      </c>
      <c r="AA17" s="2033"/>
      <c r="AB17" s="2033"/>
      <c r="AC17" s="2033"/>
      <c r="AD17" s="37">
        <f>'Ввод значений статус решения'!X21</f>
        <v>30000</v>
      </c>
      <c r="AE17" s="33"/>
      <c r="AF17" s="33"/>
      <c r="AG17" s="33"/>
      <c r="AH17" s="33"/>
      <c r="AI17" s="33"/>
      <c r="AJ17" s="2023"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2024"/>
      <c r="AL17" s="2024"/>
      <c r="AM17" s="2024"/>
      <c r="AN17" s="2024"/>
      <c r="AO17" s="2024"/>
      <c r="AP17" s="2024"/>
      <c r="AQ17" s="2025"/>
      <c r="AR17" s="41"/>
      <c r="AS17" s="38"/>
      <c r="AT17" s="38"/>
      <c r="AU17" s="38"/>
      <c r="AV17" s="15"/>
      <c r="AW17" s="20"/>
      <c r="BF17" s="15"/>
      <c r="BG17" s="15"/>
      <c r="BH17" s="15"/>
      <c r="BI17" s="15"/>
      <c r="BJ17" s="15"/>
      <c r="BK17" s="15"/>
      <c r="BL17" s="15"/>
      <c r="BM17" s="15"/>
      <c r="BN17" s="15"/>
      <c r="BO17" s="15"/>
      <c r="BP17" s="15"/>
      <c r="BQ17" s="15"/>
      <c r="BR17" s="15"/>
      <c r="BS17" s="15"/>
      <c r="BT17" s="15"/>
      <c r="BU17" s="15"/>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row>
    <row r="18" spans="13:117" ht="48" customHeight="1">
      <c r="M18" s="15"/>
      <c r="N18" s="15"/>
      <c r="O18" s="15"/>
      <c r="P18" s="15"/>
      <c r="Q18" s="15"/>
      <c r="R18" s="15"/>
      <c r="S18" s="15"/>
      <c r="T18" s="15"/>
      <c r="U18" s="15"/>
      <c r="V18" s="15"/>
      <c r="W18" s="15"/>
      <c r="X18" s="15"/>
      <c r="Y18" s="15"/>
      <c r="Z18" s="2034" t="s">
        <v>418</v>
      </c>
      <c r="AA18" s="2034"/>
      <c r="AB18" s="2034"/>
      <c r="AC18" s="2034"/>
      <c r="AD18" s="50">
        <v>3600</v>
      </c>
      <c r="AE18" s="50">
        <v>3000</v>
      </c>
      <c r="AF18" s="50">
        <v>1800</v>
      </c>
      <c r="AG18" s="50">
        <v>1500</v>
      </c>
      <c r="AH18" s="51"/>
      <c r="AI18" s="42"/>
      <c r="AJ18" s="42"/>
      <c r="AK18" s="43"/>
      <c r="AL18" s="43"/>
      <c r="AM18" s="43"/>
      <c r="AN18" s="43"/>
      <c r="AO18" s="43"/>
      <c r="AP18" s="43"/>
      <c r="AQ18" s="43"/>
      <c r="AR18" s="44"/>
      <c r="AS18" s="32"/>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c r="DM18" s="144"/>
    </row>
    <row r="19" spans="13:117" ht="48" customHeight="1">
      <c r="M19" s="15"/>
      <c r="N19" s="15"/>
      <c r="O19" s="15"/>
      <c r="P19" s="15"/>
      <c r="Q19" s="15"/>
      <c r="R19" s="15"/>
      <c r="S19" s="15"/>
      <c r="T19" s="15"/>
      <c r="U19" s="15"/>
      <c r="V19" s="15"/>
      <c r="W19" s="15"/>
      <c r="X19" s="15"/>
      <c r="Y19" s="15"/>
      <c r="Z19" s="2034"/>
      <c r="AA19" s="2034"/>
      <c r="AB19" s="2034"/>
      <c r="AC19" s="2034"/>
      <c r="AD19" s="48">
        <f>X14</f>
        <v>3600</v>
      </c>
      <c r="AE19" s="46">
        <f>X14</f>
        <v>3600</v>
      </c>
      <c r="AF19" s="46">
        <f>X14</f>
        <v>3600</v>
      </c>
      <c r="AG19" s="49">
        <f>X14</f>
        <v>3600</v>
      </c>
      <c r="AH19" s="34"/>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c r="DM19" s="144"/>
    </row>
    <row r="20" spans="13:117" ht="48" customHeight="1">
      <c r="M20" s="15"/>
      <c r="N20" s="15"/>
      <c r="O20" s="15"/>
      <c r="P20" s="15"/>
      <c r="Q20" s="15"/>
      <c r="R20" s="15"/>
      <c r="S20" s="15"/>
      <c r="T20" s="15"/>
      <c r="U20" s="15"/>
      <c r="V20" s="15"/>
      <c r="W20" s="15"/>
      <c r="X20" s="15"/>
      <c r="Y20" s="15"/>
      <c r="Z20" s="2034"/>
      <c r="AA20" s="2034"/>
      <c r="AB20" s="2034"/>
      <c r="AC20" s="2034"/>
      <c r="AD20" s="31">
        <v>1200</v>
      </c>
      <c r="AE20" s="31">
        <v>1000</v>
      </c>
      <c r="AF20" s="31">
        <v>900</v>
      </c>
      <c r="AG20" s="31">
        <v>750</v>
      </c>
      <c r="AH20" s="13"/>
      <c r="AI20" s="13"/>
      <c r="AJ20" s="2026"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2027"/>
      <c r="AL20" s="2027"/>
      <c r="AM20" s="2027"/>
      <c r="AN20" s="2027"/>
      <c r="AO20" s="2027"/>
      <c r="AP20" s="2027"/>
      <c r="AQ20" s="2028"/>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row>
    <row r="21" spans="13:117" ht="48" customHeight="1" thickBot="1">
      <c r="M21" s="15"/>
      <c r="S21" s="57">
        <v>1</v>
      </c>
      <c r="T21" s="2035" t="s">
        <v>420</v>
      </c>
      <c r="U21" s="2036"/>
      <c r="V21" s="2037"/>
      <c r="W21" s="54"/>
      <c r="X21" s="54">
        <f>'Вывод расчетов'!AP5</f>
        <v>30000</v>
      </c>
      <c r="Y21" s="15"/>
      <c r="Z21" s="2034"/>
      <c r="AA21" s="2034"/>
      <c r="AB21" s="2034"/>
      <c r="AC21" s="2034"/>
      <c r="AD21" s="45">
        <f>$X$14</f>
        <v>3600</v>
      </c>
      <c r="AE21" s="45">
        <f>$X$14</f>
        <v>3600</v>
      </c>
      <c r="AF21" s="45">
        <f>$X$14</f>
        <v>3600</v>
      </c>
      <c r="AG21" s="45">
        <f>$X$14</f>
        <v>3600</v>
      </c>
      <c r="AH21" s="40"/>
      <c r="AI21" s="40"/>
      <c r="AJ21" s="40"/>
      <c r="AK21" s="40"/>
      <c r="AL21" s="40"/>
      <c r="AM21" s="40"/>
      <c r="AN21" s="40"/>
      <c r="AO21" s="40"/>
      <c r="AP21" s="40"/>
      <c r="AQ21" s="40"/>
      <c r="AR21" s="40"/>
      <c r="AS21" s="15"/>
      <c r="AT21" s="15"/>
      <c r="AU21" s="2032"/>
      <c r="AV21" s="2032"/>
      <c r="AW21" s="2032"/>
      <c r="AX21" s="2032"/>
      <c r="AY21" s="2032"/>
      <c r="AZ21" s="15"/>
      <c r="BA21" s="15"/>
      <c r="BB21" s="15"/>
      <c r="BC21" s="15"/>
      <c r="BD21" s="15"/>
      <c r="BE21" s="15"/>
      <c r="BF21" s="15"/>
      <c r="BG21" s="15"/>
      <c r="BH21" s="15"/>
      <c r="BI21" s="15"/>
      <c r="BJ21" s="15"/>
      <c r="BK21" s="15"/>
      <c r="BL21" s="15"/>
      <c r="BM21" s="15"/>
      <c r="BN21" s="15"/>
      <c r="BO21" s="15"/>
      <c r="BP21" s="15"/>
      <c r="BQ21" s="15"/>
      <c r="BR21" s="15"/>
      <c r="BS21" s="15"/>
      <c r="BT21" s="15"/>
      <c r="BU21" s="15"/>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c r="DM21" s="144"/>
    </row>
    <row r="22" spans="13:117" ht="48" customHeight="1">
      <c r="M22" s="15"/>
      <c r="S22" s="57"/>
      <c r="T22" s="2035" t="s">
        <v>421</v>
      </c>
      <c r="U22" s="2036"/>
      <c r="V22" s="2037"/>
      <c r="W22" s="54"/>
      <c r="X22" s="54">
        <f>X21/1000</f>
        <v>30</v>
      </c>
      <c r="Y22" s="15"/>
      <c r="Z22" s="2033" t="s">
        <v>417</v>
      </c>
      <c r="AA22" s="2033"/>
      <c r="AB22" s="2033"/>
      <c r="AC22" s="2033"/>
      <c r="AD22" s="35">
        <v>2</v>
      </c>
      <c r="AE22" s="35">
        <v>4</v>
      </c>
      <c r="AF22" s="35">
        <v>6</v>
      </c>
      <c r="AG22" s="35">
        <v>8</v>
      </c>
      <c r="AH22" s="35">
        <v>10</v>
      </c>
      <c r="AI22" s="35">
        <v>12</v>
      </c>
      <c r="AJ22" s="34"/>
      <c r="AK22" s="34"/>
      <c r="AL22" s="34"/>
      <c r="AM22" s="34"/>
      <c r="AN22" s="34"/>
      <c r="AO22" s="34"/>
      <c r="AP22" s="34"/>
      <c r="AQ22" s="34"/>
      <c r="AR22" s="34"/>
      <c r="AS22" s="15"/>
      <c r="AT22" s="15"/>
      <c r="AU22" s="15"/>
      <c r="AV22" s="15"/>
      <c r="AW22" s="20"/>
      <c r="AX22" s="15"/>
      <c r="BE22" s="15"/>
      <c r="BF22" s="15"/>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c r="DM22" s="144"/>
    </row>
    <row r="23" spans="13:117" ht="48" customHeight="1" thickBot="1">
      <c r="M23" s="15"/>
      <c r="S23" s="57">
        <v>2</v>
      </c>
      <c r="T23" s="2035" t="s">
        <v>437</v>
      </c>
      <c r="U23" s="2036"/>
      <c r="V23" s="2037"/>
      <c r="W23" s="54"/>
      <c r="X23" s="54">
        <f>'Вывод расчетов'!AP20</f>
        <v>4</v>
      </c>
      <c r="Y23" s="14"/>
      <c r="Z23" s="2033"/>
      <c r="AA23" s="2033"/>
      <c r="AB23" s="2033"/>
      <c r="AC23" s="2033"/>
      <c r="AD23" s="47">
        <f t="shared" ref="AD23:AI23" si="0">$X$17</f>
        <v>4</v>
      </c>
      <c r="AE23" s="47">
        <f t="shared" si="0"/>
        <v>4</v>
      </c>
      <c r="AF23" s="47">
        <f t="shared" si="0"/>
        <v>4</v>
      </c>
      <c r="AG23" s="47">
        <f t="shared" si="0"/>
        <v>4</v>
      </c>
      <c r="AH23" s="47">
        <f t="shared" si="0"/>
        <v>4</v>
      </c>
      <c r="AI23" s="47">
        <f t="shared" si="0"/>
        <v>4</v>
      </c>
      <c r="AJ23" s="40"/>
      <c r="AK23" s="2029" t="s">
        <v>422</v>
      </c>
      <c r="AL23" s="2030"/>
      <c r="AM23" s="2030"/>
      <c r="AN23" s="2030"/>
      <c r="AO23" s="2030"/>
      <c r="AP23" s="2030"/>
      <c r="AQ23" s="2031"/>
      <c r="AR23" s="40"/>
      <c r="AS23" s="15"/>
      <c r="AT23" s="15"/>
      <c r="AU23" s="15"/>
      <c r="AV23" s="15"/>
      <c r="AW23" s="20"/>
      <c r="AX23" s="15"/>
      <c r="BE23" s="15"/>
      <c r="BF23" s="15"/>
      <c r="BG23" s="69"/>
      <c r="BH23" s="15"/>
      <c r="BI23" s="15"/>
      <c r="BJ23" s="15"/>
      <c r="BK23" s="15"/>
      <c r="BL23" s="15"/>
      <c r="BM23" s="15"/>
      <c r="BN23" s="15"/>
      <c r="BO23" s="15"/>
      <c r="BP23" s="15"/>
      <c r="BQ23" s="15"/>
      <c r="BR23" s="15"/>
      <c r="BS23" s="15"/>
      <c r="BT23" s="15"/>
      <c r="BU23" s="15"/>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c r="DM23" s="144"/>
    </row>
    <row r="24" spans="13:117" ht="48" customHeight="1">
      <c r="M24" s="15"/>
      <c r="N24" s="15"/>
      <c r="O24" s="15"/>
      <c r="P24" s="15"/>
      <c r="Q24" s="15"/>
      <c r="R24" s="15"/>
      <c r="S24" s="15"/>
      <c r="T24" s="15"/>
      <c r="U24" s="15"/>
      <c r="V24" s="15"/>
      <c r="W24" s="15"/>
      <c r="X24" s="14"/>
      <c r="Y24" s="14"/>
      <c r="Z24" s="2034" t="s">
        <v>414</v>
      </c>
      <c r="AA24" s="2034"/>
      <c r="AB24" s="2034"/>
      <c r="AC24" s="2034"/>
      <c r="AD24" s="46">
        <f>'Программные таблицы'!Q6</f>
        <v>0.313</v>
      </c>
      <c r="AE24" s="34"/>
      <c r="AF24" s="34"/>
      <c r="AG24" s="34"/>
      <c r="AH24" s="34"/>
      <c r="AI24" s="34"/>
      <c r="AJ24" s="34"/>
      <c r="AK24" s="34"/>
      <c r="AL24" s="34"/>
      <c r="AM24" s="34"/>
      <c r="AN24" s="34"/>
      <c r="AO24" s="34"/>
      <c r="AP24" s="34"/>
      <c r="AQ24" s="34"/>
      <c r="AR24" s="34"/>
      <c r="AS24" s="15"/>
      <c r="AT24" s="15"/>
      <c r="AU24" s="15"/>
      <c r="AV24" s="15"/>
      <c r="AW24" s="20"/>
      <c r="AX24" s="15"/>
      <c r="BE24" s="15"/>
      <c r="BF24" s="15"/>
      <c r="BG24" s="69"/>
      <c r="BH24" s="15"/>
      <c r="BI24" s="15"/>
      <c r="BJ24" s="15"/>
      <c r="BK24" s="15"/>
      <c r="BL24" s="15"/>
      <c r="BM24" s="15"/>
      <c r="BN24" s="15"/>
      <c r="BO24" s="15"/>
      <c r="BP24" s="15"/>
      <c r="BQ24" s="15"/>
      <c r="BR24" s="15"/>
      <c r="BS24" s="15"/>
      <c r="BT24" s="15"/>
      <c r="BU24" s="15"/>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c r="DM24" s="144"/>
    </row>
    <row r="25" spans="13:117" ht="48" customHeight="1">
      <c r="M25" s="15"/>
      <c r="N25" s="15"/>
      <c r="O25" s="15"/>
      <c r="P25" s="15"/>
      <c r="Q25" s="15"/>
      <c r="R25" s="15"/>
      <c r="S25" s="15"/>
      <c r="T25" s="15"/>
      <c r="U25" s="15"/>
      <c r="V25" s="15"/>
      <c r="W25" s="15"/>
      <c r="X25" s="15"/>
      <c r="Y25" s="14"/>
      <c r="Z25" s="2034" t="s">
        <v>411</v>
      </c>
      <c r="AA25" s="2034"/>
      <c r="AB25" s="2034"/>
      <c r="AC25" s="2034"/>
      <c r="AD25" s="36">
        <f>'Программные таблицы'!S20</f>
        <v>180</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row>
    <row r="26" spans="13:117" ht="48" customHeight="1">
      <c r="M26" s="15"/>
      <c r="N26" s="15"/>
      <c r="O26" s="15"/>
      <c r="P26" s="15"/>
      <c r="Q26" s="15"/>
      <c r="R26" s="15"/>
      <c r="S26" s="15"/>
      <c r="T26" s="15"/>
      <c r="U26" s="15"/>
      <c r="V26" s="15"/>
      <c r="W26" s="15"/>
      <c r="X26" s="15"/>
      <c r="Y26" s="15"/>
      <c r="Z26" s="2034" t="s">
        <v>12</v>
      </c>
      <c r="AA26" s="2034"/>
      <c r="AB26" s="2034"/>
      <c r="AC26" s="2034"/>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c r="DM26" s="144"/>
    </row>
    <row r="27" spans="13:117" ht="48" customHeight="1">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c r="DM27" s="144"/>
    </row>
    <row r="28" spans="13:117" ht="48" customHeight="1">
      <c r="M28" s="15"/>
      <c r="N28" s="15"/>
      <c r="O28" s="15"/>
      <c r="P28" s="15"/>
      <c r="Q28" s="15"/>
      <c r="R28" s="15"/>
      <c r="S28" s="15"/>
      <c r="T28" s="15"/>
      <c r="U28" s="15"/>
      <c r="V28" s="15"/>
      <c r="W28" s="15"/>
      <c r="X28" s="15"/>
      <c r="Y28" s="15"/>
      <c r="Z28" s="15"/>
      <c r="AA28" s="15"/>
      <c r="AB28" s="15"/>
      <c r="AC28" s="15"/>
      <c r="AD28" s="15"/>
      <c r="AE28" s="15"/>
      <c r="AF28" s="15"/>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c r="DM28" s="144"/>
    </row>
    <row r="29" spans="13:117" ht="48" customHeight="1">
      <c r="M29" s="15"/>
      <c r="N29" s="15"/>
      <c r="O29" s="15"/>
      <c r="P29" s="15"/>
      <c r="Q29" s="15"/>
      <c r="R29" s="15"/>
      <c r="S29" s="15"/>
      <c r="T29" s="15"/>
      <c r="U29" s="15"/>
      <c r="V29" s="15"/>
      <c r="W29" s="15"/>
      <c r="X29" s="15"/>
      <c r="Y29" s="15"/>
      <c r="Z29" s="15"/>
      <c r="AA29" s="15"/>
      <c r="AB29" s="15"/>
      <c r="AC29" s="15"/>
      <c r="AD29" s="15"/>
      <c r="AE29" s="15"/>
      <c r="AF29" s="15"/>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row>
    <row r="30" spans="13:117" ht="48" customHeight="1">
      <c r="M30" s="15"/>
      <c r="N30" s="15"/>
      <c r="O30" s="15"/>
      <c r="P30" s="15"/>
      <c r="Q30" s="15"/>
      <c r="R30" s="15"/>
      <c r="S30" s="15"/>
      <c r="T30" s="15"/>
      <c r="U30" s="15"/>
      <c r="V30" s="15"/>
      <c r="W30" s="15"/>
      <c r="X30" s="15"/>
      <c r="Y30" s="15"/>
      <c r="Z30" s="15"/>
      <c r="AA30" s="15"/>
      <c r="AB30" s="15"/>
      <c r="AC30" s="15"/>
      <c r="AD30" s="15"/>
      <c r="AE30" s="15"/>
      <c r="AF30" s="15"/>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c r="DM30" s="144"/>
    </row>
    <row r="31" spans="13:117" ht="48" customHeight="1">
      <c r="M31" s="15"/>
      <c r="N31" s="15"/>
      <c r="O31" s="15"/>
      <c r="P31" s="15"/>
      <c r="Q31" s="15"/>
      <c r="R31" s="15"/>
      <c r="S31" s="15"/>
      <c r="T31" s="15"/>
      <c r="U31" s="15"/>
      <c r="V31" s="15"/>
      <c r="W31" s="15"/>
      <c r="X31" s="15"/>
      <c r="Y31" s="15"/>
      <c r="Z31" s="15"/>
      <c r="AA31" s="15"/>
      <c r="AB31" s="15"/>
      <c r="AC31" s="15"/>
      <c r="AD31" s="15"/>
      <c r="AE31" s="15"/>
      <c r="AF31" s="15"/>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c r="DM31" s="144"/>
    </row>
    <row r="32" spans="13:117" ht="48" customHeight="1">
      <c r="M32" s="15"/>
      <c r="N32" s="15"/>
      <c r="O32" s="15"/>
      <c r="P32" s="15"/>
      <c r="Q32" s="15"/>
      <c r="R32" s="15"/>
      <c r="S32" s="15"/>
      <c r="T32" s="15"/>
      <c r="U32" s="15"/>
      <c r="V32" s="15"/>
      <c r="W32" s="15"/>
      <c r="X32" s="15"/>
      <c r="Y32" s="15"/>
      <c r="Z32" s="15"/>
      <c r="AA32" s="15"/>
      <c r="AB32" s="15"/>
      <c r="AC32" s="15"/>
      <c r="AD32" s="15"/>
      <c r="AE32" s="15"/>
      <c r="AF32" s="15"/>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c r="DM32" s="144"/>
    </row>
    <row r="33" spans="13:117" ht="48" customHeight="1">
      <c r="M33" s="15"/>
      <c r="N33" s="15"/>
      <c r="O33" s="15"/>
      <c r="P33" s="15"/>
      <c r="Q33" s="15"/>
      <c r="R33" s="15"/>
      <c r="S33" s="15"/>
      <c r="T33" s="15"/>
      <c r="U33" s="15"/>
      <c r="V33" s="15"/>
      <c r="W33" s="15"/>
      <c r="X33" s="15"/>
      <c r="Y33" s="15"/>
      <c r="Z33" s="15"/>
      <c r="AA33" s="15"/>
      <c r="AB33" s="15"/>
      <c r="AC33" s="15"/>
      <c r="AD33" s="15"/>
      <c r="AE33" s="15"/>
      <c r="AF33" s="15"/>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row>
    <row r="34" spans="13:117" ht="48" customHeight="1">
      <c r="M34" s="15"/>
      <c r="N34" s="15"/>
      <c r="O34" s="15"/>
      <c r="P34" s="15"/>
      <c r="Q34" s="15"/>
      <c r="R34" s="15"/>
      <c r="S34" s="15"/>
      <c r="T34" s="15"/>
      <c r="U34" s="15"/>
      <c r="V34" s="15"/>
      <c r="W34" s="15"/>
      <c r="X34" s="15"/>
      <c r="Y34" s="15"/>
      <c r="Z34" s="15"/>
      <c r="AA34" s="15"/>
      <c r="AB34" s="15"/>
      <c r="AC34" s="15"/>
      <c r="AD34" s="15"/>
      <c r="AE34" s="15"/>
      <c r="AF34" s="15"/>
    </row>
    <row r="35" spans="13:117" ht="48" customHeight="1">
      <c r="M35" s="15"/>
      <c r="N35" s="15"/>
      <c r="O35" s="15"/>
      <c r="P35" s="15"/>
      <c r="Q35" s="15"/>
      <c r="R35" s="15"/>
      <c r="S35" s="15"/>
      <c r="T35" s="15"/>
      <c r="U35" s="15"/>
      <c r="V35" s="15"/>
      <c r="W35" s="15"/>
      <c r="X35" s="15"/>
      <c r="Y35" s="15"/>
      <c r="Z35" s="15"/>
      <c r="AA35" s="15"/>
      <c r="AB35" s="15"/>
      <c r="AC35" s="15"/>
      <c r="AD35" s="15"/>
      <c r="AE35" s="15"/>
      <c r="AF35" s="15"/>
    </row>
    <row r="36" spans="13:117" ht="48" customHeight="1">
      <c r="M36" s="15"/>
      <c r="N36" s="15"/>
      <c r="O36" s="15"/>
      <c r="P36" s="15"/>
      <c r="Q36" s="15"/>
      <c r="R36" s="15"/>
      <c r="S36" s="15"/>
      <c r="T36" s="15"/>
      <c r="U36" s="15"/>
      <c r="V36" s="15"/>
      <c r="W36" s="15"/>
      <c r="X36" s="15"/>
      <c r="Y36" s="15"/>
      <c r="Z36" s="15"/>
      <c r="AA36" s="15"/>
      <c r="AB36" s="15"/>
      <c r="AC36" s="15"/>
      <c r="AD36" s="15"/>
      <c r="AE36" s="15"/>
      <c r="AF36" s="15"/>
    </row>
    <row r="37" spans="13:117" ht="48" customHeight="1">
      <c r="M37" s="15"/>
      <c r="N37" s="15"/>
      <c r="O37" s="15"/>
      <c r="P37" s="15"/>
      <c r="Q37" s="15"/>
      <c r="R37" s="15"/>
      <c r="S37" s="15"/>
      <c r="T37" s="15"/>
      <c r="U37" s="15"/>
      <c r="V37" s="15"/>
      <c r="W37" s="15"/>
      <c r="X37" s="15"/>
      <c r="Y37" s="15"/>
      <c r="Z37" s="15"/>
      <c r="AA37" s="15"/>
      <c r="AB37" s="15"/>
      <c r="AC37" s="15"/>
      <c r="AD37" s="15"/>
      <c r="AE37" s="15"/>
      <c r="AF37" s="15"/>
    </row>
    <row r="38" spans="13:117" ht="48" customHeight="1">
      <c r="M38" s="70"/>
      <c r="N38" s="70"/>
      <c r="O38" s="70"/>
      <c r="P38" s="70"/>
      <c r="Q38" s="70"/>
      <c r="R38" s="70"/>
      <c r="S38" s="70"/>
      <c r="T38" s="70"/>
      <c r="U38" s="70"/>
      <c r="V38" s="70"/>
      <c r="W38" s="70"/>
      <c r="X38" s="70"/>
      <c r="Y38" s="70"/>
      <c r="Z38" s="70"/>
      <c r="AA38" s="70"/>
      <c r="AB38" s="70"/>
      <c r="AC38" s="70"/>
      <c r="AD38" s="70"/>
      <c r="AE38" s="70"/>
      <c r="AF38" s="70"/>
    </row>
    <row r="39" spans="13:117" ht="48" customHeight="1">
      <c r="M39" s="15"/>
      <c r="N39" s="15"/>
      <c r="O39" s="15"/>
      <c r="P39" s="15"/>
      <c r="Q39" s="15"/>
      <c r="R39" s="15"/>
      <c r="S39" s="15"/>
      <c r="T39" s="15"/>
      <c r="U39" s="15"/>
      <c r="V39" s="15"/>
      <c r="W39" s="15"/>
      <c r="X39" s="15"/>
      <c r="Y39" s="15"/>
      <c r="Z39" s="15"/>
      <c r="AA39" s="15"/>
      <c r="AB39" s="15"/>
      <c r="AC39" s="15"/>
      <c r="AD39" s="15"/>
      <c r="AE39" s="15"/>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15"/>
      <c r="BO39" s="15"/>
      <c r="BP39" s="15"/>
      <c r="BQ39" s="15"/>
      <c r="BR39" s="15"/>
      <c r="BS39" s="15"/>
      <c r="BT39" s="15"/>
      <c r="BU39" s="15"/>
    </row>
    <row r="40" spans="13:117" ht="48" customHeight="1">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70"/>
      <c r="AV40" s="70"/>
      <c r="AW40" s="70"/>
      <c r="AX40" s="70"/>
      <c r="AY40" s="70"/>
      <c r="AZ40" s="70"/>
      <c r="BA40" s="70"/>
      <c r="BB40" s="70"/>
      <c r="BC40" s="70"/>
      <c r="BD40" s="70"/>
      <c r="BE40" s="15"/>
      <c r="BF40" s="15"/>
      <c r="BG40" s="15"/>
      <c r="BH40" s="15"/>
      <c r="BI40" s="15"/>
      <c r="BJ40" s="15"/>
      <c r="BK40" s="15"/>
      <c r="BL40" s="15"/>
      <c r="BM40" s="15"/>
      <c r="BN40" s="15"/>
      <c r="BO40" s="15"/>
      <c r="BP40" s="15"/>
      <c r="BQ40" s="15"/>
      <c r="BR40" s="15"/>
      <c r="BS40" s="15"/>
      <c r="BT40" s="15"/>
      <c r="BU40" s="15"/>
    </row>
    <row r="41" spans="13:117" ht="48" customHeight="1">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c r="AC42" s="15"/>
      <c r="AD42" s="15"/>
      <c r="AE42" s="52"/>
      <c r="AF42" s="52"/>
      <c r="AG42" s="159"/>
      <c r="AH42" s="160"/>
      <c r="AI42" s="160"/>
      <c r="AJ42" s="160"/>
      <c r="AK42" s="160"/>
      <c r="AL42" s="160"/>
      <c r="AM42" s="160"/>
      <c r="AN42" s="160"/>
      <c r="AO42" s="160"/>
      <c r="AP42" s="160"/>
      <c r="AQ42" s="160"/>
      <c r="AR42" s="160"/>
      <c r="AS42" s="160"/>
      <c r="AT42" s="160"/>
      <c r="AU42" s="160"/>
      <c r="AV42" s="160"/>
      <c r="AW42" s="160"/>
      <c r="AX42" s="160"/>
      <c r="AY42" s="160"/>
      <c r="AZ42" s="160"/>
      <c r="BA42" s="160"/>
      <c r="BB42" s="161"/>
      <c r="BC42" s="15"/>
      <c r="BD42" s="15"/>
      <c r="BE42" s="15"/>
      <c r="BF42" s="15"/>
      <c r="BG42" s="15"/>
      <c r="BH42" s="15"/>
      <c r="BI42" s="15"/>
      <c r="BJ42" s="15"/>
      <c r="BK42" s="15"/>
      <c r="BL42" s="15"/>
      <c r="BM42" s="15"/>
      <c r="BN42" s="15"/>
      <c r="BO42" s="15"/>
      <c r="BP42" s="15"/>
      <c r="BQ42" s="15"/>
      <c r="BR42" s="15"/>
      <c r="BS42" s="15"/>
      <c r="BT42" s="15"/>
      <c r="BU42" s="15"/>
    </row>
    <row r="43" spans="13:117" ht="48" customHeight="1">
      <c r="AC43" s="70"/>
      <c r="AD43" s="70"/>
      <c r="AE43" s="71"/>
      <c r="AF43" s="71"/>
      <c r="AG43" s="162"/>
      <c r="AH43" s="158"/>
      <c r="AI43" s="158"/>
      <c r="AJ43" s="158"/>
      <c r="AK43" s="158"/>
      <c r="AL43" s="1069" t="s">
        <v>1835</v>
      </c>
      <c r="AM43" s="1070"/>
      <c r="AN43" s="1070"/>
      <c r="AO43" s="1070"/>
      <c r="AP43" s="1070"/>
      <c r="AQ43" s="1070"/>
      <c r="AR43" s="1070"/>
      <c r="AS43" s="1070"/>
      <c r="AT43" s="1070"/>
      <c r="AU43" s="1070"/>
      <c r="AV43" s="1070"/>
      <c r="AW43" s="1070"/>
      <c r="AX43" s="1071"/>
      <c r="AY43" s="742"/>
      <c r="AZ43" s="158"/>
      <c r="BA43" s="158"/>
      <c r="BB43" s="163"/>
      <c r="BC43" s="70"/>
      <c r="BD43" s="70"/>
      <c r="BE43" s="70"/>
      <c r="BF43" s="70"/>
      <c r="BG43" s="70"/>
      <c r="BH43" s="70"/>
      <c r="BI43" s="70"/>
      <c r="BJ43" s="70"/>
      <c r="BK43" s="70"/>
      <c r="BL43" s="70"/>
      <c r="BM43" s="70"/>
      <c r="BN43" s="70"/>
      <c r="BO43" s="70"/>
      <c r="BP43" s="70"/>
      <c r="BQ43" s="70"/>
      <c r="BR43" s="70"/>
      <c r="BS43" s="70"/>
      <c r="BT43" s="70"/>
      <c r="BU43" s="70"/>
    </row>
    <row r="44" spans="13:117" ht="48" customHeight="1">
      <c r="AC44" s="70"/>
      <c r="AD44" s="70"/>
      <c r="AE44" s="71"/>
      <c r="AF44" s="71"/>
      <c r="AG44" s="162"/>
      <c r="AH44" s="158"/>
      <c r="AI44" s="158"/>
      <c r="AJ44" s="158"/>
      <c r="AK44" s="158"/>
      <c r="AL44" s="158"/>
      <c r="AM44" s="158"/>
      <c r="AN44" s="158"/>
      <c r="AO44" s="158"/>
      <c r="AP44" s="158"/>
      <c r="AQ44" s="158"/>
      <c r="AR44" s="158"/>
      <c r="AS44" s="158"/>
      <c r="AT44" s="158"/>
      <c r="AU44" s="158"/>
      <c r="AV44" s="158"/>
      <c r="AW44" s="158"/>
      <c r="AX44" s="158"/>
      <c r="AY44" s="158"/>
      <c r="AZ44" s="158"/>
      <c r="BA44" s="158"/>
      <c r="BB44" s="163"/>
      <c r="BC44" s="70"/>
      <c r="BD44" s="70"/>
      <c r="BE44" s="70"/>
      <c r="BF44" s="70"/>
      <c r="BG44" s="70"/>
      <c r="BH44" s="70"/>
      <c r="BI44" s="70"/>
      <c r="BJ44" s="70"/>
      <c r="BK44" s="70"/>
      <c r="BL44" s="70"/>
      <c r="BM44" s="70"/>
      <c r="BN44" s="70"/>
      <c r="BO44" s="70"/>
      <c r="BP44" s="70"/>
      <c r="BQ44" s="70"/>
      <c r="BR44" s="70"/>
      <c r="BS44" s="70"/>
      <c r="BT44" s="70"/>
      <c r="BU44" s="70"/>
    </row>
    <row r="45" spans="13:117" ht="48" customHeight="1">
      <c r="AC45" s="70"/>
      <c r="AD45" s="70"/>
      <c r="AE45" s="71"/>
      <c r="AF45" s="71"/>
      <c r="AG45" s="162"/>
      <c r="AH45" s="782" t="s">
        <v>721</v>
      </c>
      <c r="AI45" s="783"/>
      <c r="AJ45" s="784"/>
      <c r="AK45" s="158"/>
      <c r="AL45" s="158"/>
      <c r="AM45" s="158"/>
      <c r="AN45" s="158"/>
      <c r="AO45" s="158"/>
      <c r="AP45" s="158"/>
      <c r="AQ45" s="158"/>
      <c r="AR45" s="158"/>
      <c r="AS45" s="158"/>
      <c r="AT45" s="158"/>
      <c r="AU45" s="158"/>
      <c r="AV45" s="158"/>
      <c r="AW45" s="158"/>
      <c r="AX45" s="158"/>
      <c r="AY45" s="158"/>
      <c r="AZ45" s="158"/>
      <c r="BA45" s="158"/>
      <c r="BB45" s="163"/>
      <c r="BC45" s="70"/>
      <c r="BD45" s="70"/>
      <c r="BE45" s="70"/>
      <c r="BF45" s="70"/>
      <c r="BG45" s="70"/>
      <c r="BH45" s="70"/>
      <c r="BI45" s="70"/>
      <c r="BJ45" s="70"/>
      <c r="BK45" s="70"/>
      <c r="BL45" s="70"/>
      <c r="BM45" s="70"/>
      <c r="BN45" s="70"/>
      <c r="BO45" s="70"/>
      <c r="BP45" s="70"/>
      <c r="BQ45" s="70"/>
      <c r="BR45" s="70"/>
      <c r="BS45" s="70"/>
      <c r="BT45" s="70"/>
      <c r="BU45" s="70"/>
    </row>
    <row r="46" spans="13:117" ht="48" customHeight="1">
      <c r="AC46" s="70"/>
      <c r="AD46" s="70"/>
      <c r="AE46" s="71"/>
      <c r="AF46" s="71"/>
      <c r="AG46" s="162"/>
      <c r="AH46" s="785"/>
      <c r="AI46" s="786"/>
      <c r="AJ46" s="787"/>
      <c r="AK46" s="158"/>
      <c r="AL46" s="865" t="s">
        <v>911</v>
      </c>
      <c r="AM46" s="867" t="s">
        <v>1830</v>
      </c>
      <c r="AN46" s="868"/>
      <c r="AO46" s="868"/>
      <c r="AP46" s="868"/>
      <c r="AQ46" s="868"/>
      <c r="AR46" s="868"/>
      <c r="AS46" s="868"/>
      <c r="AT46" s="868"/>
      <c r="AU46" s="869"/>
      <c r="AV46" s="158"/>
      <c r="AW46" s="158"/>
      <c r="AX46" s="158"/>
      <c r="AY46" s="158"/>
      <c r="AZ46" s="158"/>
      <c r="BA46" s="158"/>
      <c r="BB46" s="163"/>
      <c r="BC46" s="70"/>
      <c r="BD46" s="70"/>
      <c r="BE46" s="70"/>
      <c r="BF46" s="70"/>
      <c r="BG46" s="70"/>
      <c r="BH46" s="70"/>
      <c r="BI46" s="70"/>
      <c r="BJ46" s="70"/>
      <c r="BK46" s="70"/>
      <c r="BL46" s="70"/>
      <c r="BM46" s="70"/>
      <c r="BN46" s="70"/>
      <c r="BO46" s="70"/>
      <c r="BP46" s="70"/>
      <c r="BQ46" s="70"/>
      <c r="BR46" s="70"/>
      <c r="BS46" s="70"/>
      <c r="BT46" s="70"/>
      <c r="BU46" s="70"/>
    </row>
    <row r="47" spans="13:117" ht="48" customHeight="1" thickBot="1">
      <c r="AG47" s="162"/>
      <c r="AH47" s="788"/>
      <c r="AI47" s="789"/>
      <c r="AJ47" s="790"/>
      <c r="AK47" s="158"/>
      <c r="AL47" s="866"/>
      <c r="AM47" s="870"/>
      <c r="AN47" s="871"/>
      <c r="AO47" s="871"/>
      <c r="AP47" s="871"/>
      <c r="AQ47" s="871"/>
      <c r="AR47" s="871"/>
      <c r="AS47" s="871"/>
      <c r="AT47" s="871"/>
      <c r="AU47" s="872"/>
      <c r="AV47" s="158"/>
      <c r="AW47" s="158"/>
      <c r="AX47" s="158"/>
      <c r="AY47" s="158"/>
      <c r="AZ47" s="158"/>
      <c r="BA47" s="158"/>
      <c r="BB47" s="163"/>
    </row>
    <row r="48" spans="13:117" ht="48" customHeight="1">
      <c r="AG48" s="162"/>
      <c r="AH48" s="158"/>
      <c r="AI48" s="158"/>
      <c r="AJ48" s="158"/>
      <c r="AK48" s="158"/>
      <c r="AL48" s="158"/>
      <c r="AM48" s="158"/>
      <c r="AN48" s="158"/>
      <c r="AO48" s="158"/>
      <c r="AP48" s="158"/>
      <c r="AQ48" s="158"/>
      <c r="AR48" s="158"/>
      <c r="AS48" s="158"/>
      <c r="AT48" s="158"/>
      <c r="AU48" s="158"/>
      <c r="AV48" s="158"/>
      <c r="AW48" s="158"/>
      <c r="AX48" s="158"/>
      <c r="AY48" s="158"/>
      <c r="AZ48" s="158"/>
      <c r="BA48" s="158"/>
      <c r="BB48" s="163"/>
    </row>
    <row r="49" spans="33:54" ht="48" customHeight="1">
      <c r="AG49" s="162"/>
      <c r="AH49" s="800" t="s">
        <v>402</v>
      </c>
      <c r="AI49" s="801"/>
      <c r="AJ49" s="158"/>
      <c r="AK49" s="158"/>
      <c r="AL49" s="736" t="s">
        <v>911</v>
      </c>
      <c r="AM49" s="873" t="s">
        <v>1831</v>
      </c>
      <c r="AN49" s="874"/>
      <c r="AO49" s="874"/>
      <c r="AP49" s="874"/>
      <c r="AQ49" s="874"/>
      <c r="AR49" s="874"/>
      <c r="AS49" s="874"/>
      <c r="AT49" s="874"/>
      <c r="AU49" s="874"/>
      <c r="AV49" s="874"/>
      <c r="AW49" s="875"/>
      <c r="AX49" s="158"/>
      <c r="AY49" s="158"/>
      <c r="AZ49" s="158"/>
      <c r="BA49" s="158"/>
      <c r="BB49" s="163"/>
    </row>
    <row r="50" spans="33:54" ht="48" customHeight="1">
      <c r="AG50" s="162"/>
      <c r="AH50" s="158"/>
      <c r="AI50" s="158"/>
      <c r="AJ50" s="158"/>
      <c r="AK50" s="158"/>
      <c r="AL50" s="158"/>
      <c r="AM50" s="158"/>
      <c r="AN50" s="158"/>
      <c r="AO50" s="158"/>
      <c r="AP50" s="158"/>
      <c r="AQ50" s="158"/>
      <c r="AR50" s="158"/>
      <c r="AS50" s="158"/>
      <c r="AT50" s="158"/>
      <c r="AU50" s="158"/>
      <c r="AV50" s="158"/>
      <c r="AW50" s="158"/>
      <c r="AX50" s="158"/>
      <c r="AY50" s="158"/>
      <c r="AZ50" s="158"/>
      <c r="BA50" s="158"/>
      <c r="BB50" s="163"/>
    </row>
    <row r="51" spans="33:54" ht="48" customHeight="1">
      <c r="AG51" s="162"/>
      <c r="AH51" s="743" t="s">
        <v>1085</v>
      </c>
      <c r="AI51" s="861" t="s">
        <v>1564</v>
      </c>
      <c r="AJ51" s="861"/>
      <c r="AK51" s="158"/>
      <c r="AL51" s="736" t="s">
        <v>911</v>
      </c>
      <c r="AM51" s="862" t="s">
        <v>1829</v>
      </c>
      <c r="AN51" s="863"/>
      <c r="AO51" s="863"/>
      <c r="AP51" s="863"/>
      <c r="AQ51" s="863"/>
      <c r="AR51" s="863"/>
      <c r="AS51" s="863"/>
      <c r="AT51" s="864"/>
      <c r="AU51" s="158"/>
      <c r="AV51" s="158"/>
      <c r="AW51" s="158"/>
      <c r="AX51" s="158"/>
      <c r="AY51" s="158"/>
      <c r="AZ51" s="158"/>
      <c r="BA51" s="158"/>
      <c r="BB51" s="163"/>
    </row>
    <row r="52" spans="33:54" ht="48" customHeight="1">
      <c r="AG52" s="162"/>
      <c r="AH52" s="158"/>
      <c r="AI52" s="158"/>
      <c r="AJ52" s="158"/>
      <c r="AK52" s="158"/>
      <c r="AL52" s="158"/>
      <c r="AM52" s="158"/>
      <c r="AN52" s="158"/>
      <c r="AO52" s="158"/>
      <c r="AP52" s="158"/>
      <c r="AQ52" s="158"/>
      <c r="AR52" s="158"/>
      <c r="AS52" s="158"/>
      <c r="AT52" s="158"/>
      <c r="AU52" s="158"/>
      <c r="AV52" s="158"/>
      <c r="AW52" s="158"/>
      <c r="AX52" s="158"/>
      <c r="AY52" s="158"/>
      <c r="AZ52" s="158"/>
      <c r="BA52" s="158"/>
      <c r="BB52" s="163"/>
    </row>
    <row r="53" spans="33:54" ht="48" customHeight="1">
      <c r="AG53" s="162"/>
      <c r="AH53" s="158"/>
      <c r="AI53" s="76" t="s">
        <v>1654</v>
      </c>
      <c r="AJ53" s="158"/>
      <c r="AK53" s="865" t="s">
        <v>911</v>
      </c>
      <c r="AL53" s="867" t="s">
        <v>1836</v>
      </c>
      <c r="AM53" s="868"/>
      <c r="AN53" s="868"/>
      <c r="AO53" s="869"/>
      <c r="AP53" s="158"/>
      <c r="AQ53" s="76" t="s">
        <v>793</v>
      </c>
      <c r="AR53" s="158"/>
      <c r="AS53" s="158"/>
      <c r="AT53" s="158"/>
      <c r="AU53" s="158"/>
      <c r="AV53" s="158"/>
      <c r="AW53" s="158"/>
      <c r="AX53" s="158"/>
      <c r="AY53" s="158"/>
      <c r="AZ53" s="158"/>
      <c r="BA53" s="158"/>
      <c r="BB53" s="163"/>
    </row>
    <row r="54" spans="33:54" ht="48" customHeight="1">
      <c r="AG54" s="162"/>
      <c r="AH54" s="158"/>
      <c r="AI54" s="849"/>
      <c r="AJ54" s="158"/>
      <c r="AK54" s="1780"/>
      <c r="AL54" s="1587"/>
      <c r="AM54" s="1881"/>
      <c r="AN54" s="1881"/>
      <c r="AO54" s="1588"/>
      <c r="AP54" s="158"/>
      <c r="AQ54" s="849"/>
      <c r="AR54" s="158"/>
      <c r="AS54" s="158"/>
      <c r="AT54" s="158"/>
      <c r="AU54" s="158"/>
      <c r="AV54" s="158"/>
      <c r="AW54" s="158"/>
      <c r="AX54" s="158"/>
      <c r="AY54" s="158"/>
      <c r="AZ54" s="158"/>
      <c r="BA54" s="158"/>
      <c r="BB54" s="163"/>
    </row>
    <row r="55" spans="33:54" ht="48" customHeight="1">
      <c r="AG55" s="162"/>
      <c r="AH55" s="158"/>
      <c r="AI55" s="876"/>
      <c r="AJ55" s="158"/>
      <c r="AK55" s="866"/>
      <c r="AL55" s="870"/>
      <c r="AM55" s="871"/>
      <c r="AN55" s="871"/>
      <c r="AO55" s="872"/>
      <c r="AP55" s="158"/>
      <c r="AQ55" s="876"/>
      <c r="AR55" s="158"/>
      <c r="AS55" s="158"/>
      <c r="AT55" s="158"/>
      <c r="AU55" s="158"/>
      <c r="AV55" s="158"/>
      <c r="AW55" s="158"/>
      <c r="AX55" s="158"/>
      <c r="AY55" s="158"/>
      <c r="AZ55" s="158"/>
      <c r="BA55" s="158"/>
      <c r="BB55" s="163"/>
    </row>
    <row r="56" spans="33:54" ht="48" customHeight="1">
      <c r="AG56" s="162"/>
      <c r="AH56" s="158"/>
      <c r="AI56" s="158"/>
      <c r="AJ56" s="158"/>
      <c r="AK56" s="158"/>
      <c r="AL56" s="158"/>
      <c r="AM56" s="158"/>
      <c r="AN56" s="158"/>
      <c r="AO56" s="158"/>
      <c r="AP56" s="158"/>
      <c r="AQ56" s="158"/>
      <c r="AR56" s="158"/>
      <c r="AS56" s="158"/>
      <c r="AT56" s="158"/>
      <c r="AU56" s="158"/>
      <c r="AV56" s="158"/>
      <c r="AW56" s="158"/>
      <c r="AX56" s="158"/>
      <c r="AY56" s="158"/>
      <c r="AZ56" s="158"/>
      <c r="BA56" s="158"/>
      <c r="BB56" s="163"/>
    </row>
    <row r="57" spans="33:54" ht="48" customHeight="1">
      <c r="AG57" s="162"/>
      <c r="AH57" s="906" t="s">
        <v>863</v>
      </c>
      <c r="AI57" s="907"/>
      <c r="AJ57" s="908"/>
      <c r="AK57" s="158"/>
      <c r="AL57" s="158"/>
      <c r="AM57" s="158"/>
      <c r="AN57" s="158"/>
      <c r="AO57" s="158"/>
      <c r="AP57" s="158"/>
      <c r="AQ57" s="158"/>
      <c r="AR57" s="158"/>
      <c r="AS57" s="158"/>
      <c r="AT57" s="158"/>
      <c r="AU57" s="158"/>
      <c r="AV57" s="158"/>
      <c r="AW57" s="158"/>
      <c r="AX57" s="158"/>
      <c r="AY57" s="158"/>
      <c r="AZ57" s="158"/>
      <c r="BA57" s="158"/>
      <c r="BB57" s="163"/>
    </row>
    <row r="58" spans="33:54" ht="48" customHeight="1">
      <c r="AG58" s="162"/>
      <c r="AH58" s="1203" t="s">
        <v>862</v>
      </c>
      <c r="AI58" s="1275"/>
      <c r="AJ58" s="1204"/>
      <c r="AK58" s="158"/>
      <c r="AL58" s="736" t="s">
        <v>911</v>
      </c>
      <c r="AM58" s="862" t="s">
        <v>1832</v>
      </c>
      <c r="AN58" s="863"/>
      <c r="AO58" s="863"/>
      <c r="AP58" s="863"/>
      <c r="AQ58" s="863"/>
      <c r="AR58" s="863"/>
      <c r="AS58" s="863"/>
      <c r="AT58" s="863"/>
      <c r="AU58" s="863"/>
      <c r="AV58" s="864"/>
      <c r="AW58" s="158"/>
      <c r="AX58" s="158"/>
      <c r="AY58" s="158"/>
      <c r="AZ58" s="158"/>
      <c r="BA58" s="158"/>
      <c r="BB58" s="163"/>
    </row>
    <row r="59" spans="33:54" ht="48" customHeight="1">
      <c r="AG59" s="162"/>
      <c r="AH59" s="1722"/>
      <c r="AI59" s="1724"/>
      <c r="AJ59" s="1723"/>
      <c r="AK59" s="158"/>
      <c r="AL59" s="158"/>
      <c r="AM59" s="158"/>
      <c r="AN59" s="158"/>
      <c r="AO59" s="158"/>
      <c r="AP59" s="158"/>
      <c r="AQ59" s="158"/>
      <c r="AR59" s="158"/>
      <c r="AS59" s="158"/>
      <c r="AT59" s="158"/>
      <c r="AU59" s="158"/>
      <c r="AV59" s="158"/>
      <c r="AW59" s="158"/>
      <c r="AX59" s="158"/>
      <c r="AY59" s="158"/>
      <c r="AZ59" s="158"/>
      <c r="BA59" s="158"/>
      <c r="BB59" s="163"/>
    </row>
    <row r="60" spans="33:54" ht="48" customHeight="1">
      <c r="AG60" s="162"/>
      <c r="AH60" s="158"/>
      <c r="AI60" s="158"/>
      <c r="AJ60" s="158"/>
      <c r="AK60" s="158"/>
      <c r="AL60" s="158"/>
      <c r="AM60" s="158"/>
      <c r="AN60" s="158"/>
      <c r="AO60" s="158"/>
      <c r="AP60" s="158"/>
      <c r="AQ60" s="158"/>
      <c r="AR60" s="158"/>
      <c r="AS60" s="158"/>
      <c r="AT60" s="158"/>
      <c r="AU60" s="158"/>
      <c r="AV60" s="158"/>
      <c r="AW60" s="158"/>
      <c r="AX60" s="158"/>
      <c r="AY60" s="158"/>
      <c r="AZ60" s="158"/>
      <c r="BA60" s="158"/>
      <c r="BB60" s="163"/>
    </row>
    <row r="61" spans="33:54" ht="48" customHeight="1">
      <c r="AG61" s="162"/>
      <c r="AH61" s="158"/>
      <c r="AI61" s="1203" t="s">
        <v>1654</v>
      </c>
      <c r="AJ61" s="1204"/>
      <c r="AK61" s="158"/>
      <c r="AL61" s="736" t="s">
        <v>911</v>
      </c>
      <c r="AM61" s="862" t="s">
        <v>1834</v>
      </c>
      <c r="AN61" s="863"/>
      <c r="AO61" s="863"/>
      <c r="AP61" s="863"/>
      <c r="AQ61" s="863"/>
      <c r="AR61" s="863"/>
      <c r="AS61" s="863"/>
      <c r="AT61" s="863"/>
      <c r="AU61" s="863"/>
      <c r="AV61" s="864"/>
      <c r="AW61" s="158"/>
      <c r="AX61" s="158"/>
      <c r="AY61" s="158"/>
      <c r="AZ61" s="158"/>
      <c r="BA61" s="158"/>
      <c r="BB61" s="163"/>
    </row>
    <row r="62" spans="33:54" ht="48" customHeight="1">
      <c r="AG62" s="162"/>
      <c r="AH62" s="158"/>
      <c r="AI62" s="1722"/>
      <c r="AJ62" s="1723"/>
      <c r="AK62" s="158"/>
      <c r="AL62" s="158"/>
      <c r="AM62" s="158"/>
      <c r="AN62" s="158"/>
      <c r="AO62" s="158"/>
      <c r="AP62" s="158"/>
      <c r="AQ62" s="158"/>
      <c r="AR62" s="158"/>
      <c r="AS62" s="158"/>
      <c r="AT62" s="158"/>
      <c r="AU62" s="158"/>
      <c r="AV62" s="158"/>
      <c r="AW62" s="158"/>
      <c r="AX62" s="158"/>
      <c r="AY62" s="158"/>
      <c r="AZ62" s="158"/>
      <c r="BA62" s="158"/>
      <c r="BB62" s="163"/>
    </row>
    <row r="63" spans="33:54" ht="48" customHeight="1">
      <c r="AG63" s="162"/>
      <c r="AH63" s="158"/>
      <c r="AI63" s="158"/>
      <c r="AJ63" s="158"/>
      <c r="AK63" s="158"/>
      <c r="AL63" s="158"/>
      <c r="AM63" s="158"/>
      <c r="AN63" s="158"/>
      <c r="AO63" s="158"/>
      <c r="AP63" s="158"/>
      <c r="AQ63" s="158"/>
      <c r="AR63" s="158"/>
      <c r="AS63" s="158"/>
      <c r="AT63" s="158"/>
      <c r="AU63" s="158"/>
      <c r="AV63" s="158"/>
      <c r="AW63" s="158"/>
      <c r="AX63" s="158"/>
      <c r="AY63" s="158"/>
      <c r="AZ63" s="158"/>
      <c r="BA63" s="158"/>
      <c r="BB63" s="163"/>
    </row>
    <row r="64" spans="33:54" ht="48" customHeight="1">
      <c r="AG64" s="162"/>
      <c r="AH64" s="158"/>
      <c r="AI64" s="158"/>
      <c r="AJ64" s="739" t="s">
        <v>676</v>
      </c>
      <c r="AK64" s="158"/>
      <c r="AL64" s="736" t="s">
        <v>911</v>
      </c>
      <c r="AM64" s="862" t="s">
        <v>1833</v>
      </c>
      <c r="AN64" s="863"/>
      <c r="AO64" s="863"/>
      <c r="AP64" s="863"/>
      <c r="AQ64" s="863"/>
      <c r="AR64" s="863"/>
      <c r="AS64" s="863"/>
      <c r="AT64" s="863"/>
      <c r="AU64" s="863"/>
      <c r="AV64" s="864"/>
      <c r="AW64" s="158"/>
      <c r="AX64" s="158"/>
      <c r="AY64" s="158"/>
      <c r="AZ64" s="158"/>
      <c r="BA64" s="158"/>
      <c r="BB64" s="163"/>
    </row>
    <row r="65" spans="33:54" ht="48" customHeight="1">
      <c r="AG65" s="162"/>
      <c r="AH65" s="158"/>
      <c r="AI65" s="158"/>
      <c r="AJ65" s="158"/>
      <c r="AK65" s="158"/>
      <c r="AL65" s="158"/>
      <c r="AM65" s="158"/>
      <c r="AN65" s="158"/>
      <c r="AO65" s="158"/>
      <c r="AP65" s="158"/>
      <c r="AQ65" s="158"/>
      <c r="AR65" s="158"/>
      <c r="AS65" s="158"/>
      <c r="AT65" s="158"/>
      <c r="AU65" s="158"/>
      <c r="AV65" s="158"/>
      <c r="AW65" s="158"/>
      <c r="AX65" s="158"/>
      <c r="AY65" s="158"/>
      <c r="AZ65" s="158"/>
      <c r="BA65" s="158"/>
      <c r="BB65" s="163"/>
    </row>
    <row r="66" spans="33:54" ht="48" customHeight="1">
      <c r="AG66" s="162"/>
      <c r="AH66" s="742"/>
      <c r="AI66" s="854"/>
      <c r="AJ66" s="891"/>
      <c r="AK66" s="891"/>
      <c r="AL66" s="891"/>
      <c r="AM66" s="891"/>
      <c r="AN66" s="891"/>
      <c r="AO66" s="742"/>
      <c r="AP66" s="158"/>
      <c r="AQ66" s="158"/>
      <c r="AR66" s="158"/>
      <c r="AS66" s="158"/>
      <c r="AT66" s="158"/>
      <c r="AU66" s="158"/>
      <c r="AV66" s="158"/>
      <c r="AW66" s="158"/>
      <c r="AX66" s="158"/>
      <c r="AY66" s="158"/>
      <c r="AZ66" s="158"/>
      <c r="BA66" s="158"/>
      <c r="BB66" s="163"/>
    </row>
    <row r="67" spans="33:54" ht="48" customHeight="1">
      <c r="AG67" s="162"/>
      <c r="AH67" s="162"/>
      <c r="AI67" s="158"/>
      <c r="AJ67" s="158"/>
      <c r="AK67" s="158"/>
      <c r="AL67" s="158"/>
      <c r="AM67" s="158"/>
      <c r="AN67" s="158"/>
      <c r="AO67" s="163"/>
      <c r="AP67" s="158"/>
      <c r="AQ67" s="158"/>
      <c r="AR67" s="158"/>
      <c r="AS67" s="158"/>
      <c r="AT67" s="158"/>
      <c r="AU67" s="158"/>
      <c r="AV67" s="158"/>
      <c r="AW67" s="158"/>
      <c r="AX67" s="158"/>
      <c r="AY67" s="158"/>
      <c r="AZ67" s="158"/>
      <c r="BA67" s="158"/>
      <c r="BB67" s="163"/>
    </row>
    <row r="68" spans="33:54" ht="48" customHeight="1">
      <c r="AG68" s="162"/>
      <c r="AH68" s="162"/>
      <c r="AI68" s="158"/>
      <c r="AJ68" s="158"/>
      <c r="AK68" s="158"/>
      <c r="AL68" s="158"/>
      <c r="AM68" s="158"/>
      <c r="AN68" s="158"/>
      <c r="AO68" s="163"/>
      <c r="AP68" s="158"/>
      <c r="AQ68" s="158"/>
      <c r="AR68" s="158"/>
      <c r="AS68" s="158"/>
      <c r="AT68" s="158"/>
      <c r="AU68" s="158"/>
      <c r="AV68" s="158"/>
      <c r="AW68" s="158"/>
      <c r="AX68" s="158"/>
      <c r="AY68" s="158"/>
      <c r="AZ68" s="158"/>
      <c r="BA68" s="158"/>
      <c r="BB68" s="163"/>
    </row>
    <row r="69" spans="33:54" ht="48" customHeight="1">
      <c r="AG69" s="162"/>
      <c r="AH69" s="162"/>
      <c r="AI69" s="158"/>
      <c r="AJ69" s="158"/>
      <c r="AK69" s="158"/>
      <c r="AL69" s="158"/>
      <c r="AM69" s="158"/>
      <c r="AN69" s="158"/>
      <c r="AO69" s="163"/>
      <c r="AP69" s="158"/>
      <c r="AQ69" s="865" t="s">
        <v>911</v>
      </c>
      <c r="AR69" s="867" t="s">
        <v>1837</v>
      </c>
      <c r="AS69" s="868"/>
      <c r="AT69" s="868"/>
      <c r="AU69" s="868"/>
      <c r="AV69" s="869"/>
      <c r="AW69" s="158"/>
      <c r="AX69" s="158"/>
      <c r="AY69" s="158"/>
      <c r="AZ69" s="158"/>
      <c r="BA69" s="158"/>
      <c r="BB69" s="163"/>
    </row>
    <row r="70" spans="33:54" ht="48" customHeight="1">
      <c r="AG70" s="162"/>
      <c r="AH70" s="162"/>
      <c r="AI70" s="158"/>
      <c r="AJ70" s="158"/>
      <c r="AK70" s="158"/>
      <c r="AL70" s="158"/>
      <c r="AM70" s="158"/>
      <c r="AN70" s="158"/>
      <c r="AO70" s="163"/>
      <c r="AP70" s="158"/>
      <c r="AQ70" s="1780"/>
      <c r="AR70" s="1587"/>
      <c r="AS70" s="1881"/>
      <c r="AT70" s="1881"/>
      <c r="AU70" s="1881"/>
      <c r="AV70" s="1588"/>
      <c r="AW70" s="158"/>
      <c r="AX70" s="158"/>
      <c r="AY70" s="158"/>
      <c r="AZ70" s="158"/>
      <c r="BA70" s="158"/>
      <c r="BB70" s="163"/>
    </row>
    <row r="71" spans="33:54" ht="48" customHeight="1">
      <c r="AG71" s="162"/>
      <c r="AH71" s="162"/>
      <c r="AI71" s="158"/>
      <c r="AJ71" s="158"/>
      <c r="AK71" s="158"/>
      <c r="AL71" s="158"/>
      <c r="AM71" s="158"/>
      <c r="AN71" s="158"/>
      <c r="AO71" s="163"/>
      <c r="AP71" s="158"/>
      <c r="AQ71" s="866"/>
      <c r="AR71" s="870"/>
      <c r="AS71" s="871"/>
      <c r="AT71" s="871"/>
      <c r="AU71" s="871"/>
      <c r="AV71" s="872"/>
      <c r="AW71" s="158"/>
      <c r="AX71" s="158"/>
      <c r="AY71" s="158"/>
      <c r="AZ71" s="158"/>
      <c r="BA71" s="158"/>
      <c r="BB71" s="163"/>
    </row>
    <row r="72" spans="33:54" ht="48" customHeight="1">
      <c r="AG72" s="162"/>
      <c r="AH72" s="742"/>
      <c r="AI72" s="854"/>
      <c r="AJ72" s="891"/>
      <c r="AK72" s="891"/>
      <c r="AL72" s="891"/>
      <c r="AM72" s="891"/>
      <c r="AN72" s="891"/>
      <c r="AO72" s="742"/>
      <c r="AP72" s="158"/>
      <c r="AQ72" s="158"/>
      <c r="AR72" s="158"/>
      <c r="AS72" s="158"/>
      <c r="AT72" s="158"/>
      <c r="AU72" s="158"/>
      <c r="AV72" s="158"/>
      <c r="AW72" s="158"/>
      <c r="AX72" s="158"/>
      <c r="AY72" s="158"/>
      <c r="AZ72" s="158"/>
      <c r="BA72" s="158"/>
      <c r="BB72" s="163"/>
    </row>
    <row r="73" spans="33:54" ht="48" customHeight="1">
      <c r="AG73" s="162"/>
      <c r="AH73" s="165"/>
      <c r="AI73" s="165"/>
      <c r="AJ73" s="165"/>
      <c r="AK73" s="158"/>
      <c r="AL73" s="165"/>
      <c r="AM73" s="165"/>
      <c r="AN73" s="165"/>
      <c r="AO73" s="158"/>
      <c r="AP73" s="158"/>
      <c r="AQ73" s="158"/>
      <c r="AR73" s="158"/>
      <c r="AS73" s="158"/>
      <c r="AT73" s="158"/>
      <c r="AU73" s="158"/>
      <c r="AV73" s="158"/>
      <c r="AW73" s="158"/>
      <c r="AX73" s="158"/>
      <c r="AY73" s="158"/>
      <c r="AZ73" s="158"/>
      <c r="BA73" s="158"/>
      <c r="BB73" s="163"/>
    </row>
    <row r="74" spans="33:54" ht="48" customHeight="1">
      <c r="AG74" s="162"/>
      <c r="AH74" s="897" t="s">
        <v>973</v>
      </c>
      <c r="AI74" s="898"/>
      <c r="AJ74" s="899"/>
      <c r="AK74" s="158"/>
      <c r="AL74" s="897" t="s">
        <v>974</v>
      </c>
      <c r="AM74" s="898"/>
      <c r="AN74" s="899"/>
      <c r="AO74" s="158"/>
      <c r="AP74" s="158"/>
      <c r="AQ74" s="158"/>
      <c r="AR74" s="158"/>
      <c r="AS74" s="158"/>
      <c r="AT74" s="158"/>
      <c r="AU74" s="158"/>
      <c r="AV74" s="158"/>
      <c r="AW74" s="158"/>
      <c r="AX74" s="158"/>
      <c r="AY74" s="158"/>
      <c r="AZ74" s="158"/>
      <c r="BA74" s="158"/>
      <c r="BB74" s="163"/>
    </row>
    <row r="75" spans="33:54" ht="48" customHeight="1">
      <c r="AG75" s="162"/>
      <c r="AH75" s="900"/>
      <c r="AI75" s="901"/>
      <c r="AJ75" s="902"/>
      <c r="AK75" s="158"/>
      <c r="AL75" s="900"/>
      <c r="AM75" s="901"/>
      <c r="AN75" s="902"/>
      <c r="AO75" s="158"/>
      <c r="AP75" s="158"/>
      <c r="AQ75" s="158"/>
      <c r="AR75" s="158"/>
      <c r="AS75" s="158"/>
      <c r="AT75" s="158"/>
      <c r="AU75" s="158"/>
      <c r="AV75" s="158"/>
      <c r="AW75" s="158"/>
      <c r="AX75" s="158"/>
      <c r="AY75" s="158"/>
      <c r="AZ75" s="158"/>
      <c r="BA75" s="158"/>
      <c r="BB75" s="163"/>
    </row>
    <row r="76" spans="33:54" ht="48" customHeight="1">
      <c r="AG76" s="162"/>
      <c r="AH76" s="1522"/>
      <c r="AI76" s="1523"/>
      <c r="AJ76" s="1524"/>
      <c r="AK76" s="158"/>
      <c r="AL76" s="1522"/>
      <c r="AM76" s="1523"/>
      <c r="AN76" s="1524"/>
      <c r="AO76" s="158"/>
      <c r="AP76" s="158"/>
      <c r="AQ76" s="158"/>
      <c r="AR76" s="158"/>
      <c r="AS76" s="158"/>
      <c r="AT76" s="158"/>
      <c r="AU76" s="158"/>
      <c r="AV76" s="158"/>
      <c r="AW76" s="158"/>
      <c r="AX76" s="158"/>
      <c r="AY76" s="158"/>
      <c r="AZ76" s="158"/>
      <c r="BA76" s="158"/>
      <c r="BB76" s="163"/>
    </row>
    <row r="77" spans="33:54" ht="48" customHeight="1">
      <c r="AG77" s="164"/>
      <c r="AH77" s="165"/>
      <c r="AI77" s="165"/>
      <c r="AJ77" s="165"/>
      <c r="AK77" s="165"/>
      <c r="AL77" s="165"/>
      <c r="AM77" s="165"/>
      <c r="AN77" s="165"/>
      <c r="AO77" s="165"/>
      <c r="AP77" s="165"/>
      <c r="AQ77" s="165"/>
      <c r="AR77" s="165"/>
      <c r="AS77" s="165"/>
      <c r="AT77" s="165"/>
      <c r="AU77" s="165"/>
      <c r="AV77" s="165"/>
      <c r="AW77" s="165"/>
      <c r="AX77" s="165"/>
      <c r="AY77" s="165"/>
      <c r="AZ77" s="165"/>
      <c r="BA77" s="165"/>
      <c r="BB77" s="166"/>
    </row>
  </sheetData>
  <mergeCells count="46">
    <mergeCell ref="AI72:AJ72"/>
    <mergeCell ref="AK72:AL72"/>
    <mergeCell ref="AM72:AN72"/>
    <mergeCell ref="AH74:AJ76"/>
    <mergeCell ref="AL74:AN76"/>
    <mergeCell ref="AM64:AV64"/>
    <mergeCell ref="AI66:AJ66"/>
    <mergeCell ref="AK66:AL66"/>
    <mergeCell ref="AM66:AN66"/>
    <mergeCell ref="AQ69:AQ71"/>
    <mergeCell ref="AR69:AV71"/>
    <mergeCell ref="AH57:AJ57"/>
    <mergeCell ref="AH58:AJ59"/>
    <mergeCell ref="AM58:AV58"/>
    <mergeCell ref="AI61:AJ62"/>
    <mergeCell ref="AM61:AV61"/>
    <mergeCell ref="AI51:AJ51"/>
    <mergeCell ref="AM51:AT51"/>
    <mergeCell ref="AK53:AK55"/>
    <mergeCell ref="AL53:AO55"/>
    <mergeCell ref="AI54:AI55"/>
    <mergeCell ref="AQ54:AQ55"/>
    <mergeCell ref="AL43:AX43"/>
    <mergeCell ref="AH45:AJ47"/>
    <mergeCell ref="AL46:AL47"/>
    <mergeCell ref="AM46:AU47"/>
    <mergeCell ref="AH49:AI49"/>
    <mergeCell ref="AM49:AW49"/>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 xmlns:xm="http://schemas.microsoft.com/office/excel/2006/main">
          <x14:cfRule type="containsText" priority="26" operator="containsText" id="{30CE83EA-9888-4157-8C2D-B5981583C4E8}">
            <xm:f>NOT(ISERROR(SEARCH("отсутствует значение",AD24)))</xm:f>
            <xm:f>"отсутствует значение"</xm:f>
            <x14:dxf>
              <fill>
                <patternFill>
                  <bgColor rgb="FFFF0000"/>
                </patternFill>
              </fill>
            </x14:dxf>
          </x14:cfRule>
          <x14:cfRule type="iconSet" priority="27" id="{F394D35C-F17A-4A33-A9AC-E88978A49A5F}">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8" id="{46F4CFC3-8D23-417F-AA6A-E01A3B8A74CB}">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AD25</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739"/>
  <sheetViews>
    <sheetView zoomScale="10" zoomScaleNormal="10" workbookViewId="0">
      <selection activeCell="A88" sqref="A88:XFD88"/>
    </sheetView>
  </sheetViews>
  <sheetFormatPr defaultColWidth="9.125" defaultRowHeight="15"/>
  <cols>
    <col min="1" max="1" width="9.125" style="22"/>
    <col min="2" max="2" width="26.75" style="22" bestFit="1" customWidth="1"/>
    <col min="3" max="3" width="10" style="22" bestFit="1" customWidth="1"/>
    <col min="4" max="5" width="9.125" style="22"/>
    <col min="6" max="6" width="11.625" style="22" bestFit="1" customWidth="1"/>
    <col min="7" max="18" width="9.125" style="22"/>
    <col min="19" max="19" width="11.375" style="22" bestFit="1" customWidth="1"/>
    <col min="20" max="25" width="9.125" style="22"/>
    <col min="26" max="26" width="8.875" style="22" bestFit="1" customWidth="1"/>
    <col min="27" max="28" width="9.125" style="22"/>
    <col min="29" max="29" width="26" style="22" bestFit="1" customWidth="1"/>
    <col min="30" max="42" width="9.125" style="22"/>
    <col min="43" max="43" width="25.75" style="22" bestFit="1" customWidth="1"/>
    <col min="44" max="55" width="9.125" style="22"/>
    <col min="56" max="56" width="26.125" style="22" bestFit="1" customWidth="1"/>
    <col min="57" max="16384" width="9.125" style="22"/>
  </cols>
  <sheetData>
    <row r="3" spans="1:9">
      <c r="A3" s="21"/>
      <c r="B3" s="21"/>
      <c r="C3" s="21"/>
      <c r="D3" s="21"/>
      <c r="E3" s="21"/>
      <c r="F3" s="21"/>
      <c r="G3" s="21"/>
      <c r="H3" s="21"/>
      <c r="I3" s="21"/>
    </row>
    <row r="4" spans="1:9">
      <c r="A4" s="21"/>
      <c r="B4" s="21"/>
      <c r="C4" s="21"/>
      <c r="D4" s="21"/>
      <c r="E4" s="21"/>
      <c r="F4" s="21"/>
      <c r="G4" s="21"/>
      <c r="H4" s="21"/>
      <c r="I4" s="21"/>
    </row>
    <row r="5" spans="1:9">
      <c r="A5" s="21"/>
      <c r="B5" s="21"/>
      <c r="C5" s="21"/>
      <c r="D5" s="21"/>
      <c r="E5" s="21"/>
      <c r="F5" s="21"/>
      <c r="G5" s="21"/>
      <c r="H5" s="21"/>
      <c r="I5" s="21"/>
    </row>
    <row r="6" spans="1:9">
      <c r="A6" s="21"/>
      <c r="B6" s="21"/>
      <c r="C6" s="21"/>
      <c r="D6" s="21"/>
      <c r="E6" s="21"/>
      <c r="F6" s="21"/>
      <c r="G6" s="21"/>
      <c r="H6" s="21"/>
      <c r="I6" s="21"/>
    </row>
    <row r="7" spans="1:9">
      <c r="A7" s="21"/>
      <c r="B7" s="21"/>
      <c r="C7" s="21"/>
      <c r="D7" s="21"/>
      <c r="E7" s="21"/>
      <c r="F7" s="21"/>
      <c r="G7" s="21"/>
      <c r="H7" s="21"/>
      <c r="I7" s="21"/>
    </row>
    <row r="8" spans="1:9">
      <c r="A8" s="21"/>
      <c r="B8" s="21"/>
      <c r="C8" s="21"/>
      <c r="D8" s="21"/>
      <c r="E8" s="21"/>
      <c r="F8" s="21"/>
      <c r="G8" s="21"/>
      <c r="H8" s="21"/>
      <c r="I8" s="21"/>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1"/>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21"/>
      <c r="F19" s="21"/>
      <c r="G19" s="21"/>
      <c r="H19" s="21"/>
      <c r="I19" s="21"/>
    </row>
    <row r="20" spans="1:9">
      <c r="A20" s="21"/>
      <c r="B20" s="21"/>
      <c r="C20" s="21"/>
      <c r="D20" s="21"/>
      <c r="E20" s="21"/>
      <c r="F20" s="21"/>
      <c r="G20" s="21"/>
      <c r="H20" s="21"/>
      <c r="I20" s="21"/>
    </row>
    <row r="21" spans="1:9">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c r="A24" s="21"/>
      <c r="B24" s="21"/>
      <c r="C24" s="21"/>
      <c r="D24" s="21"/>
      <c r="E24" s="21"/>
      <c r="F24" s="21"/>
      <c r="G24" s="21"/>
      <c r="H24" s="21"/>
      <c r="I24" s="21"/>
    </row>
    <row r="25" spans="1:9">
      <c r="A25" s="21"/>
      <c r="B25" s="21"/>
      <c r="C25" s="21"/>
      <c r="D25" s="21"/>
      <c r="E25" s="21"/>
      <c r="F25" s="21"/>
      <c r="G25" s="21"/>
      <c r="H25" s="21"/>
      <c r="I25" s="21"/>
    </row>
    <row r="26" spans="1:9">
      <c r="A26" s="21"/>
      <c r="B26" s="21"/>
      <c r="C26" s="21"/>
      <c r="D26" s="21"/>
      <c r="E26" s="21"/>
      <c r="F26" s="21"/>
      <c r="G26" s="21"/>
      <c r="H26" s="21"/>
      <c r="I26" s="21"/>
    </row>
    <row r="27" spans="1:9">
      <c r="A27" s="21"/>
      <c r="B27" s="21"/>
      <c r="C27" s="21"/>
      <c r="D27" s="21"/>
      <c r="E27" s="21"/>
      <c r="F27" s="21"/>
      <c r="G27" s="21"/>
      <c r="H27" s="21"/>
      <c r="I27" s="21"/>
    </row>
    <row r="28" spans="1:9">
      <c r="A28" s="21"/>
      <c r="B28" s="21"/>
      <c r="C28" s="21"/>
      <c r="D28" s="21"/>
      <c r="E28" s="21"/>
      <c r="F28" s="21"/>
      <c r="G28" s="21"/>
      <c r="H28" s="21"/>
      <c r="I28" s="21"/>
    </row>
    <row r="29" spans="1:9">
      <c r="A29" s="21"/>
      <c r="B29" s="21"/>
      <c r="C29" s="21"/>
      <c r="D29" s="21"/>
      <c r="E29" s="21"/>
      <c r="F29" s="21"/>
      <c r="G29" s="21"/>
      <c r="H29" s="21"/>
      <c r="I29" s="21"/>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66" spans="2:44" ht="15.75" thickBot="1"/>
    <row r="67" spans="2:44" ht="77.25" customHeight="1" thickBot="1">
      <c r="B67" s="570" t="s">
        <v>11</v>
      </c>
      <c r="C67" s="2057" t="s">
        <v>171</v>
      </c>
      <c r="D67" s="2060" t="s">
        <v>172</v>
      </c>
      <c r="E67" s="2061"/>
      <c r="F67" s="2061"/>
      <c r="G67" s="2062"/>
      <c r="H67" s="2060" t="s">
        <v>173</v>
      </c>
      <c r="I67" s="2061"/>
      <c r="J67" s="2061"/>
      <c r="K67" s="2061"/>
      <c r="L67" s="2061"/>
      <c r="M67" s="2061"/>
      <c r="N67" s="2062"/>
      <c r="O67" s="576"/>
      <c r="P67" s="576"/>
      <c r="Q67" s="576"/>
      <c r="R67" s="2044" t="s">
        <v>210</v>
      </c>
      <c r="S67" s="2044" t="s">
        <v>171</v>
      </c>
      <c r="T67" s="2051" t="s">
        <v>211</v>
      </c>
      <c r="U67" s="2052"/>
      <c r="V67" s="2052"/>
      <c r="W67" s="2052"/>
      <c r="X67" s="2052"/>
      <c r="Y67" s="2052"/>
      <c r="Z67" s="2052"/>
      <c r="AA67" s="2052"/>
      <c r="AB67" s="2052"/>
      <c r="AC67" s="2053"/>
      <c r="AG67" s="2041" t="s">
        <v>210</v>
      </c>
      <c r="AH67" s="2041" t="s">
        <v>171</v>
      </c>
      <c r="AI67" s="2038" t="s">
        <v>211</v>
      </c>
      <c r="AJ67" s="2039"/>
      <c r="AK67" s="2039"/>
      <c r="AL67" s="2039"/>
      <c r="AM67" s="2039"/>
      <c r="AN67" s="2039"/>
      <c r="AO67" s="2039"/>
      <c r="AP67" s="2039"/>
      <c r="AQ67" s="2040"/>
      <c r="AR67" s="567" t="s">
        <v>230</v>
      </c>
    </row>
    <row r="68" spans="2:44" ht="21" thickBot="1">
      <c r="B68" s="571" t="s">
        <v>168</v>
      </c>
      <c r="C68" s="2058"/>
      <c r="D68" s="2063" t="s">
        <v>45</v>
      </c>
      <c r="E68" s="2064"/>
      <c r="F68" s="2064"/>
      <c r="G68" s="2065"/>
      <c r="H68" s="2063"/>
      <c r="I68" s="2069"/>
      <c r="J68" s="2069"/>
      <c r="K68" s="2069"/>
      <c r="L68" s="2069"/>
      <c r="M68" s="2069"/>
      <c r="N68" s="2065"/>
      <c r="O68" s="576"/>
      <c r="P68" s="576"/>
      <c r="Q68" s="576"/>
      <c r="R68" s="2046"/>
      <c r="S68" s="2050"/>
      <c r="T68" s="23" t="s">
        <v>218</v>
      </c>
      <c r="U68" s="23" t="s">
        <v>219</v>
      </c>
      <c r="V68" s="23" t="s">
        <v>220</v>
      </c>
      <c r="W68" s="23" t="s">
        <v>221</v>
      </c>
      <c r="X68" s="23" t="s">
        <v>222</v>
      </c>
      <c r="Y68" s="23" t="s">
        <v>223</v>
      </c>
      <c r="Z68" s="23" t="s">
        <v>224</v>
      </c>
      <c r="AA68" s="23" t="s">
        <v>225</v>
      </c>
      <c r="AB68" s="23" t="s">
        <v>226</v>
      </c>
      <c r="AC68" s="23" t="s">
        <v>212</v>
      </c>
      <c r="AG68" s="2042"/>
      <c r="AH68" s="2042"/>
      <c r="AI68" s="577" t="s">
        <v>232</v>
      </c>
      <c r="AJ68" s="577" t="s">
        <v>233</v>
      </c>
      <c r="AK68" s="577" t="s">
        <v>234</v>
      </c>
      <c r="AL68" s="577" t="s">
        <v>235</v>
      </c>
      <c r="AM68" s="577" t="s">
        <v>236</v>
      </c>
      <c r="AN68" s="577" t="s">
        <v>237</v>
      </c>
      <c r="AO68" s="577" t="s">
        <v>238</v>
      </c>
      <c r="AP68" s="577" t="s">
        <v>239</v>
      </c>
      <c r="AQ68" s="577" t="s">
        <v>240</v>
      </c>
      <c r="AR68" s="569" t="s">
        <v>231</v>
      </c>
    </row>
    <row r="69" spans="2:44" ht="39.75" customHeight="1" thickBot="1">
      <c r="B69" s="571" t="s">
        <v>169</v>
      </c>
      <c r="C69" s="2058"/>
      <c r="D69" s="2066"/>
      <c r="E69" s="2067"/>
      <c r="F69" s="2067"/>
      <c r="G69" s="2068"/>
      <c r="H69" s="2066"/>
      <c r="I69" s="2067"/>
      <c r="J69" s="2067"/>
      <c r="K69" s="2067"/>
      <c r="L69" s="2067"/>
      <c r="M69" s="2067"/>
      <c r="N69" s="2068"/>
      <c r="O69" s="576"/>
      <c r="P69" s="576"/>
      <c r="Q69" s="576"/>
      <c r="R69" s="574">
        <v>50</v>
      </c>
      <c r="S69" s="2044">
        <v>2.4</v>
      </c>
      <c r="T69" s="2044">
        <v>72</v>
      </c>
      <c r="U69" s="24" t="s">
        <v>184</v>
      </c>
      <c r="V69" s="24">
        <v>3</v>
      </c>
      <c r="W69" s="24">
        <v>3</v>
      </c>
      <c r="X69" s="24">
        <v>80</v>
      </c>
      <c r="Y69" s="24">
        <v>102</v>
      </c>
      <c r="Z69" s="24">
        <v>22</v>
      </c>
      <c r="AA69" s="2044">
        <v>62</v>
      </c>
      <c r="AB69" s="2044">
        <v>36</v>
      </c>
      <c r="AC69" s="24">
        <v>50</v>
      </c>
      <c r="AG69" s="566">
        <v>50</v>
      </c>
      <c r="AH69" s="2041">
        <v>2.4</v>
      </c>
      <c r="AI69" s="569">
        <v>3</v>
      </c>
      <c r="AJ69" s="569">
        <v>3</v>
      </c>
      <c r="AK69" s="569">
        <v>10.199999999999999</v>
      </c>
      <c r="AL69" s="569">
        <v>6</v>
      </c>
      <c r="AM69" s="569">
        <v>124</v>
      </c>
      <c r="AN69" s="569">
        <v>9</v>
      </c>
      <c r="AO69" s="2041">
        <v>5.8</v>
      </c>
      <c r="AP69" s="569">
        <v>9</v>
      </c>
      <c r="AQ69" s="569">
        <v>10.199999999999999</v>
      </c>
      <c r="AR69" s="569">
        <v>3.3</v>
      </c>
    </row>
    <row r="70" spans="2:44" ht="57.75" customHeight="1" thickBot="1">
      <c r="B70" s="572" t="s">
        <v>170</v>
      </c>
      <c r="C70" s="2059"/>
      <c r="D70" s="573" t="s">
        <v>200</v>
      </c>
      <c r="E70" s="573" t="s">
        <v>200</v>
      </c>
      <c r="F70" s="573" t="s">
        <v>201</v>
      </c>
      <c r="G70" s="573" t="s">
        <v>202</v>
      </c>
      <c r="H70" s="573" t="s">
        <v>203</v>
      </c>
      <c r="I70" s="573" t="s">
        <v>204</v>
      </c>
      <c r="J70" s="573" t="s">
        <v>205</v>
      </c>
      <c r="K70" s="573" t="s">
        <v>206</v>
      </c>
      <c r="L70" s="573" t="s">
        <v>207</v>
      </c>
      <c r="M70" s="573" t="s">
        <v>208</v>
      </c>
      <c r="N70" s="573" t="s">
        <v>209</v>
      </c>
      <c r="R70" s="574">
        <v>56</v>
      </c>
      <c r="S70" s="2046"/>
      <c r="T70" s="2045"/>
      <c r="U70" s="24" t="s">
        <v>184</v>
      </c>
      <c r="V70" s="24">
        <v>4</v>
      </c>
      <c r="W70" s="24">
        <v>4</v>
      </c>
      <c r="X70" s="24">
        <v>90</v>
      </c>
      <c r="Y70" s="24">
        <v>116</v>
      </c>
      <c r="Z70" s="24">
        <v>23</v>
      </c>
      <c r="AA70" s="2045"/>
      <c r="AB70" s="2045"/>
      <c r="AC70" s="24">
        <v>56</v>
      </c>
      <c r="AG70" s="566">
        <v>56</v>
      </c>
      <c r="AH70" s="2042"/>
      <c r="AI70" s="569">
        <v>4</v>
      </c>
      <c r="AJ70" s="569">
        <v>4</v>
      </c>
      <c r="AK70" s="569">
        <v>12.5</v>
      </c>
      <c r="AL70" s="2041">
        <v>7</v>
      </c>
      <c r="AM70" s="569">
        <v>134</v>
      </c>
      <c r="AN70" s="569">
        <v>11</v>
      </c>
      <c r="AO70" s="2042"/>
      <c r="AP70" s="569">
        <v>11</v>
      </c>
      <c r="AQ70" s="569">
        <v>12.5</v>
      </c>
      <c r="AR70" s="569">
        <v>4.5</v>
      </c>
    </row>
    <row r="71" spans="2:44" ht="19.5" thickBot="1">
      <c r="B71" s="572">
        <v>50</v>
      </c>
      <c r="C71" s="2054" t="s">
        <v>174</v>
      </c>
      <c r="D71" s="573">
        <v>174</v>
      </c>
      <c r="E71" s="573">
        <v>198</v>
      </c>
      <c r="F71" s="573">
        <v>142</v>
      </c>
      <c r="G71" s="573">
        <v>112</v>
      </c>
      <c r="H71" s="573">
        <v>20</v>
      </c>
      <c r="I71" s="573">
        <v>20</v>
      </c>
      <c r="J71" s="573">
        <v>63</v>
      </c>
      <c r="K71" s="573">
        <v>77</v>
      </c>
      <c r="L71" s="25" t="s">
        <v>175</v>
      </c>
      <c r="M71" s="573">
        <v>32</v>
      </c>
      <c r="N71" s="573">
        <v>61</v>
      </c>
      <c r="O71" s="576"/>
      <c r="P71" s="576"/>
      <c r="Q71" s="576"/>
      <c r="R71" s="574">
        <v>63</v>
      </c>
      <c r="S71" s="24" t="s">
        <v>213</v>
      </c>
      <c r="T71" s="2046"/>
      <c r="U71" s="24" t="s">
        <v>184</v>
      </c>
      <c r="V71" s="24">
        <v>5</v>
      </c>
      <c r="W71" s="24">
        <v>5</v>
      </c>
      <c r="X71" s="24">
        <v>100</v>
      </c>
      <c r="Y71" s="24">
        <v>129</v>
      </c>
      <c r="Z71" s="24">
        <v>27</v>
      </c>
      <c r="AA71" s="2046"/>
      <c r="AB71" s="2046"/>
      <c r="AC71" s="24">
        <v>63</v>
      </c>
      <c r="AG71" s="566">
        <v>63</v>
      </c>
      <c r="AH71" s="569" t="s">
        <v>213</v>
      </c>
      <c r="AI71" s="569">
        <v>5</v>
      </c>
      <c r="AJ71" s="569">
        <v>5</v>
      </c>
      <c r="AK71" s="569">
        <v>16</v>
      </c>
      <c r="AL71" s="2042"/>
      <c r="AM71" s="569">
        <v>146</v>
      </c>
      <c r="AN71" s="569">
        <v>14</v>
      </c>
      <c r="AO71" s="2041">
        <v>7</v>
      </c>
      <c r="AP71" s="569">
        <v>14</v>
      </c>
      <c r="AQ71" s="569">
        <v>16</v>
      </c>
      <c r="AR71" s="569">
        <v>6.3</v>
      </c>
    </row>
    <row r="72" spans="2:44" ht="19.5" thickBot="1">
      <c r="B72" s="572">
        <v>56</v>
      </c>
      <c r="C72" s="2055"/>
      <c r="D72" s="573">
        <v>194</v>
      </c>
      <c r="E72" s="573">
        <v>221</v>
      </c>
      <c r="F72" s="573">
        <v>152</v>
      </c>
      <c r="G72" s="573">
        <v>128</v>
      </c>
      <c r="H72" s="573">
        <v>23</v>
      </c>
      <c r="I72" s="573">
        <v>23</v>
      </c>
      <c r="J72" s="573">
        <v>71</v>
      </c>
      <c r="K72" s="573">
        <v>85</v>
      </c>
      <c r="L72" s="573" t="s">
        <v>175</v>
      </c>
      <c r="M72" s="573">
        <v>36</v>
      </c>
      <c r="N72" s="573">
        <v>65</v>
      </c>
      <c r="O72" s="576"/>
      <c r="P72" s="576"/>
      <c r="Q72" s="576"/>
      <c r="R72" s="574">
        <v>71</v>
      </c>
      <c r="S72" s="2044" t="s">
        <v>228</v>
      </c>
      <c r="T72" s="2044">
        <v>93</v>
      </c>
      <c r="U72" s="24" t="s">
        <v>184</v>
      </c>
      <c r="V72" s="2044">
        <v>6</v>
      </c>
      <c r="W72" s="2044">
        <v>6</v>
      </c>
      <c r="X72" s="24">
        <v>112</v>
      </c>
      <c r="Y72" s="24">
        <v>135</v>
      </c>
      <c r="Z72" s="24">
        <v>28.5</v>
      </c>
      <c r="AA72" s="2044" t="s">
        <v>214</v>
      </c>
      <c r="AB72" s="2044">
        <v>48</v>
      </c>
      <c r="AC72" s="24">
        <v>71</v>
      </c>
      <c r="AG72" s="566">
        <v>71</v>
      </c>
      <c r="AH72" s="568">
        <v>2.4</v>
      </c>
      <c r="AI72" s="2041">
        <v>6</v>
      </c>
      <c r="AJ72" s="2041">
        <v>6</v>
      </c>
      <c r="AK72" s="569">
        <v>21.5</v>
      </c>
      <c r="AL72" s="569">
        <v>9</v>
      </c>
      <c r="AM72" s="569" t="s">
        <v>241</v>
      </c>
      <c r="AN72" s="569">
        <v>19</v>
      </c>
      <c r="AO72" s="2042"/>
      <c r="AP72" s="569">
        <v>19</v>
      </c>
      <c r="AQ72" s="569">
        <v>21.5</v>
      </c>
      <c r="AR72" s="569">
        <v>15.1</v>
      </c>
    </row>
    <row r="73" spans="2:44" ht="19.5" thickBot="1">
      <c r="B73" s="572">
        <v>63</v>
      </c>
      <c r="C73" s="573" t="s">
        <v>176</v>
      </c>
      <c r="D73" s="573">
        <v>216</v>
      </c>
      <c r="E73" s="573">
        <v>250</v>
      </c>
      <c r="F73" s="573" t="s">
        <v>177</v>
      </c>
      <c r="G73" s="573">
        <v>138</v>
      </c>
      <c r="H73" s="573">
        <v>30</v>
      </c>
      <c r="I73" s="573">
        <v>30</v>
      </c>
      <c r="J73" s="573">
        <v>80</v>
      </c>
      <c r="K73" s="573">
        <v>96</v>
      </c>
      <c r="L73" s="573" t="s">
        <v>175</v>
      </c>
      <c r="M73" s="573">
        <v>40</v>
      </c>
      <c r="N73" s="573">
        <v>67</v>
      </c>
      <c r="O73" s="576"/>
      <c r="P73" s="576"/>
      <c r="Q73" s="576"/>
      <c r="R73" s="574" t="s">
        <v>215</v>
      </c>
      <c r="S73" s="2045"/>
      <c r="T73" s="2045"/>
      <c r="U73" s="24" t="s">
        <v>184</v>
      </c>
      <c r="V73" s="2045"/>
      <c r="W73" s="2045"/>
      <c r="X73" s="2044">
        <v>125</v>
      </c>
      <c r="Y73" s="2044">
        <v>155</v>
      </c>
      <c r="Z73" s="2044">
        <v>33</v>
      </c>
      <c r="AA73" s="2045"/>
      <c r="AB73" s="2045"/>
      <c r="AC73" s="2044">
        <v>80</v>
      </c>
      <c r="AG73" s="566" t="s">
        <v>215</v>
      </c>
      <c r="AH73" s="568">
        <v>6.8</v>
      </c>
      <c r="AI73" s="2043"/>
      <c r="AJ73" s="2043"/>
      <c r="AK73" s="2041">
        <v>24.5</v>
      </c>
      <c r="AL73" s="2041">
        <v>10</v>
      </c>
      <c r="AM73" s="2041" t="s">
        <v>242</v>
      </c>
      <c r="AN73" s="2041">
        <v>22</v>
      </c>
      <c r="AO73" s="2041">
        <v>10</v>
      </c>
      <c r="AP73" s="2041">
        <v>22</v>
      </c>
      <c r="AQ73" s="2041">
        <v>24.5</v>
      </c>
      <c r="AR73" s="569">
        <v>17.399999999999999</v>
      </c>
    </row>
    <row r="74" spans="2:44" ht="38.25" customHeight="1" thickBot="1">
      <c r="B74" s="572">
        <v>71</v>
      </c>
      <c r="C74" s="2054" t="s">
        <v>228</v>
      </c>
      <c r="D74" s="573">
        <v>285</v>
      </c>
      <c r="E74" s="573">
        <v>330</v>
      </c>
      <c r="F74" s="573" t="s">
        <v>182</v>
      </c>
      <c r="G74" s="573">
        <v>170</v>
      </c>
      <c r="H74" s="573">
        <v>40</v>
      </c>
      <c r="I74" s="573">
        <v>40</v>
      </c>
      <c r="J74" s="573">
        <v>90</v>
      </c>
      <c r="K74" s="573" t="s">
        <v>244</v>
      </c>
      <c r="L74" s="573" t="s">
        <v>175</v>
      </c>
      <c r="M74" s="573">
        <v>45</v>
      </c>
      <c r="N74" s="573">
        <v>73.5</v>
      </c>
      <c r="O74" s="576"/>
      <c r="P74" s="576"/>
      <c r="Q74" s="576"/>
      <c r="R74" s="574" t="s">
        <v>216</v>
      </c>
      <c r="S74" s="2045"/>
      <c r="T74" s="2045"/>
      <c r="U74" s="24" t="s">
        <v>184</v>
      </c>
      <c r="V74" s="2046"/>
      <c r="W74" s="2046"/>
      <c r="X74" s="2046"/>
      <c r="Y74" s="2046"/>
      <c r="Z74" s="2046"/>
      <c r="AA74" s="2045"/>
      <c r="AB74" s="2045"/>
      <c r="AC74" s="2046"/>
      <c r="AG74" s="566" t="s">
        <v>216</v>
      </c>
      <c r="AH74" s="578"/>
      <c r="AI74" s="2042"/>
      <c r="AJ74" s="2042"/>
      <c r="AK74" s="2042"/>
      <c r="AL74" s="2042"/>
      <c r="AM74" s="2042"/>
      <c r="AN74" s="2042"/>
      <c r="AO74" s="2043"/>
      <c r="AP74" s="2042"/>
      <c r="AQ74" s="2042"/>
      <c r="AR74" s="569">
        <v>20.399999999999999</v>
      </c>
    </row>
    <row r="75" spans="2:44" ht="19.5" thickBot="1">
      <c r="B75" s="572" t="s">
        <v>178</v>
      </c>
      <c r="C75" s="2056"/>
      <c r="D75" s="573">
        <v>300</v>
      </c>
      <c r="E75" s="573">
        <v>355</v>
      </c>
      <c r="F75" s="2054" t="s">
        <v>181</v>
      </c>
      <c r="G75" s="2054">
        <v>186</v>
      </c>
      <c r="H75" s="2054">
        <v>50</v>
      </c>
      <c r="I75" s="2054">
        <v>50</v>
      </c>
      <c r="J75" s="2054">
        <v>100</v>
      </c>
      <c r="K75" s="2054">
        <v>125</v>
      </c>
      <c r="L75" s="2054" t="s">
        <v>175</v>
      </c>
      <c r="M75" s="2054">
        <v>50</v>
      </c>
      <c r="N75" s="2054">
        <v>76</v>
      </c>
      <c r="O75" s="576"/>
      <c r="P75" s="576"/>
      <c r="Q75" s="576"/>
      <c r="R75" s="574" t="s">
        <v>180</v>
      </c>
      <c r="S75" s="2046"/>
      <c r="T75" s="2046"/>
      <c r="U75" s="24" t="s">
        <v>217</v>
      </c>
      <c r="V75" s="24">
        <v>8</v>
      </c>
      <c r="W75" s="24">
        <v>8</v>
      </c>
      <c r="X75" s="24">
        <v>140</v>
      </c>
      <c r="Y75" s="24">
        <v>175</v>
      </c>
      <c r="Z75" s="24">
        <v>38</v>
      </c>
      <c r="AA75" s="2046"/>
      <c r="AB75" s="2046"/>
      <c r="AC75" s="24">
        <v>90</v>
      </c>
      <c r="AG75" s="566" t="s">
        <v>180</v>
      </c>
      <c r="AH75" s="579"/>
      <c r="AI75" s="569">
        <v>7</v>
      </c>
      <c r="AJ75" s="569">
        <v>7</v>
      </c>
      <c r="AK75" s="569">
        <v>27</v>
      </c>
      <c r="AL75" s="569">
        <v>11</v>
      </c>
      <c r="AM75" s="569" t="s">
        <v>243</v>
      </c>
      <c r="AN75" s="569">
        <v>24</v>
      </c>
      <c r="AO75" s="2042"/>
      <c r="AP75" s="569">
        <v>24</v>
      </c>
      <c r="AQ75" s="569">
        <v>27</v>
      </c>
      <c r="AR75" s="569">
        <v>28.7</v>
      </c>
    </row>
    <row r="76" spans="2:44" ht="40.5" customHeight="1" thickBot="1">
      <c r="B76" s="572" t="s">
        <v>179</v>
      </c>
      <c r="C76" s="2056"/>
      <c r="D76" s="573">
        <v>320</v>
      </c>
      <c r="E76" s="573">
        <v>375</v>
      </c>
      <c r="F76" s="2055"/>
      <c r="G76" s="2055"/>
      <c r="H76" s="2056"/>
      <c r="I76" s="2056"/>
      <c r="J76" s="2055"/>
      <c r="K76" s="2055"/>
      <c r="L76" s="2055"/>
      <c r="M76" s="2055"/>
      <c r="N76" s="2055"/>
      <c r="O76" s="576"/>
      <c r="P76" s="576"/>
      <c r="Q76" s="576"/>
      <c r="R76" s="27" t="s">
        <v>183</v>
      </c>
      <c r="S76" s="575">
        <v>2.4</v>
      </c>
      <c r="T76" s="2044">
        <v>93</v>
      </c>
      <c r="U76" s="2044">
        <v>228.5</v>
      </c>
      <c r="V76" s="2044">
        <v>8</v>
      </c>
      <c r="W76" s="2044">
        <v>8</v>
      </c>
      <c r="X76" s="2044">
        <v>160</v>
      </c>
      <c r="Y76" s="2044">
        <v>200</v>
      </c>
      <c r="Z76" s="2044">
        <v>44</v>
      </c>
      <c r="AA76" s="2044" t="s">
        <v>227</v>
      </c>
      <c r="AB76" s="2044">
        <v>48</v>
      </c>
      <c r="AC76" s="2044">
        <v>100</v>
      </c>
      <c r="AG76" s="2047" t="s">
        <v>183</v>
      </c>
      <c r="AH76" s="2047" t="s">
        <v>174</v>
      </c>
      <c r="AI76" s="2047">
        <v>7</v>
      </c>
      <c r="AJ76" s="2047">
        <v>7</v>
      </c>
      <c r="AK76" s="2047">
        <v>31</v>
      </c>
      <c r="AL76" s="2047">
        <v>12</v>
      </c>
      <c r="AM76" s="2047">
        <v>231</v>
      </c>
      <c r="AN76" s="2047">
        <v>28</v>
      </c>
      <c r="AO76" s="2047">
        <v>12</v>
      </c>
      <c r="AP76" s="2047">
        <v>28</v>
      </c>
      <c r="AQ76" s="2047">
        <v>31</v>
      </c>
      <c r="AR76" s="2047">
        <v>36</v>
      </c>
    </row>
    <row r="77" spans="2:44" ht="19.5" thickBot="1">
      <c r="B77" s="572" t="s">
        <v>180</v>
      </c>
      <c r="C77" s="2055"/>
      <c r="D77" s="573">
        <v>350</v>
      </c>
      <c r="E77" s="573">
        <v>405</v>
      </c>
      <c r="F77" s="573">
        <v>243260</v>
      </c>
      <c r="G77" s="573">
        <v>208</v>
      </c>
      <c r="H77" s="2055"/>
      <c r="I77" s="2055"/>
      <c r="J77" s="573">
        <v>125</v>
      </c>
      <c r="K77" s="573">
        <v>155</v>
      </c>
      <c r="L77" s="573" t="s">
        <v>175</v>
      </c>
      <c r="M77" s="573">
        <v>56</v>
      </c>
      <c r="N77" s="573">
        <v>79</v>
      </c>
      <c r="O77" s="576"/>
      <c r="P77" s="576"/>
      <c r="Q77" s="576"/>
      <c r="R77" s="574" t="s">
        <v>185</v>
      </c>
      <c r="S77" s="26">
        <v>2.4</v>
      </c>
      <c r="T77" s="2046"/>
      <c r="U77" s="2046"/>
      <c r="V77" s="2046"/>
      <c r="W77" s="2046"/>
      <c r="X77" s="2046"/>
      <c r="Y77" s="2046"/>
      <c r="Z77" s="2046"/>
      <c r="AA77" s="2046"/>
      <c r="AB77" s="2046"/>
      <c r="AC77" s="2046"/>
      <c r="AG77" s="2048"/>
      <c r="AH77" s="2048"/>
      <c r="AI77" s="2049"/>
      <c r="AJ77" s="2049"/>
      <c r="AK77" s="2049"/>
      <c r="AL77" s="2049"/>
      <c r="AM77" s="2048"/>
      <c r="AN77" s="2049"/>
      <c r="AO77" s="2049"/>
      <c r="AP77" s="2049"/>
      <c r="AQ77" s="2049"/>
      <c r="AR77" s="2048"/>
    </row>
    <row r="78" spans="2:44" ht="19.5" thickBot="1">
      <c r="B78" s="27" t="s">
        <v>183</v>
      </c>
      <c r="C78" s="575">
        <v>2.4</v>
      </c>
      <c r="D78" s="575">
        <v>365</v>
      </c>
      <c r="E78" s="575">
        <v>427</v>
      </c>
      <c r="F78" s="575">
        <v>265</v>
      </c>
      <c r="G78" s="2044">
        <v>235</v>
      </c>
      <c r="H78" s="2044">
        <v>60</v>
      </c>
      <c r="I78" s="2044">
        <v>60</v>
      </c>
      <c r="J78" s="575">
        <v>112</v>
      </c>
      <c r="K78" s="575">
        <v>147</v>
      </c>
      <c r="L78" s="2044" t="s">
        <v>184</v>
      </c>
      <c r="M78" s="2044">
        <v>63</v>
      </c>
      <c r="N78" s="2044">
        <v>83.5</v>
      </c>
      <c r="O78" s="576"/>
      <c r="P78" s="576"/>
      <c r="Q78" s="576"/>
      <c r="R78" s="574" t="s">
        <v>186</v>
      </c>
      <c r="S78" s="24">
        <v>6.8</v>
      </c>
      <c r="T78" s="2044">
        <v>126</v>
      </c>
      <c r="U78" s="24">
        <v>268</v>
      </c>
      <c r="V78" s="2044">
        <v>10</v>
      </c>
      <c r="W78" s="2044">
        <v>10</v>
      </c>
      <c r="X78" s="24">
        <v>190</v>
      </c>
      <c r="Y78" s="24">
        <v>230</v>
      </c>
      <c r="Z78" s="24">
        <v>40</v>
      </c>
      <c r="AA78" s="2044">
        <v>115</v>
      </c>
      <c r="AB78" s="24">
        <v>30</v>
      </c>
      <c r="AC78" s="24">
        <v>112</v>
      </c>
      <c r="AG78" s="2047" t="s">
        <v>185</v>
      </c>
      <c r="AH78" s="580" t="s">
        <v>245</v>
      </c>
      <c r="AI78" s="2049"/>
      <c r="AJ78" s="2049"/>
      <c r="AK78" s="2049"/>
      <c r="AL78" s="2049"/>
      <c r="AM78" s="2047">
        <v>240</v>
      </c>
      <c r="AN78" s="2049"/>
      <c r="AO78" s="2049"/>
      <c r="AP78" s="2049"/>
      <c r="AQ78" s="2049"/>
      <c r="AR78" s="2047">
        <v>42</v>
      </c>
    </row>
    <row r="79" spans="2:44" ht="19.5" thickBot="1">
      <c r="B79" s="574" t="s">
        <v>185</v>
      </c>
      <c r="C79" s="26">
        <v>2.4</v>
      </c>
      <c r="D79" s="24">
        <v>395</v>
      </c>
      <c r="E79" s="24">
        <v>457</v>
      </c>
      <c r="F79" s="24">
        <v>280</v>
      </c>
      <c r="G79" s="2046"/>
      <c r="H79" s="2046"/>
      <c r="I79" s="2046"/>
      <c r="J79" s="2044">
        <v>140</v>
      </c>
      <c r="K79" s="24">
        <v>175</v>
      </c>
      <c r="L79" s="2046"/>
      <c r="M79" s="2046"/>
      <c r="N79" s="2046"/>
      <c r="O79" s="576"/>
      <c r="P79" s="576"/>
      <c r="Q79" s="576"/>
      <c r="R79" s="574" t="s">
        <v>187</v>
      </c>
      <c r="S79" s="24" t="s">
        <v>188</v>
      </c>
      <c r="T79" s="2045"/>
      <c r="U79" s="2044">
        <v>277</v>
      </c>
      <c r="V79" s="2045"/>
      <c r="W79" s="2045"/>
      <c r="X79" s="2044">
        <v>216</v>
      </c>
      <c r="Y79" s="2044">
        <v>265</v>
      </c>
      <c r="Z79" s="2044">
        <v>44</v>
      </c>
      <c r="AA79" s="2045"/>
      <c r="AB79" s="2044">
        <v>40</v>
      </c>
      <c r="AC79" s="2044">
        <v>132</v>
      </c>
      <c r="AG79" s="2049"/>
      <c r="AH79" s="580" t="s">
        <v>246</v>
      </c>
      <c r="AI79" s="2049"/>
      <c r="AJ79" s="2049"/>
      <c r="AK79" s="2049"/>
      <c r="AL79" s="2049"/>
      <c r="AM79" s="2049"/>
      <c r="AN79" s="2049"/>
      <c r="AO79" s="2049"/>
      <c r="AP79" s="2049"/>
      <c r="AQ79" s="2049"/>
      <c r="AR79" s="2049"/>
    </row>
    <row r="80" spans="2:44" ht="19.5" thickBot="1">
      <c r="B80" s="574" t="s">
        <v>186</v>
      </c>
      <c r="C80" s="24">
        <v>6.8</v>
      </c>
      <c r="D80" s="24">
        <v>452</v>
      </c>
      <c r="E80" s="24">
        <v>534</v>
      </c>
      <c r="F80" s="24">
        <v>310</v>
      </c>
      <c r="G80" s="24">
        <v>260</v>
      </c>
      <c r="H80" s="2044">
        <v>80</v>
      </c>
      <c r="I80" s="2044">
        <v>80</v>
      </c>
      <c r="J80" s="2045"/>
      <c r="K80" s="24">
        <v>180</v>
      </c>
      <c r="L80" s="24" t="s">
        <v>184</v>
      </c>
      <c r="M80" s="24">
        <v>70</v>
      </c>
      <c r="N80" s="2044">
        <v>100</v>
      </c>
      <c r="O80" s="576"/>
      <c r="P80" s="576"/>
      <c r="Q80" s="576"/>
      <c r="R80" s="2044" t="s">
        <v>189</v>
      </c>
      <c r="S80" s="2044" t="s">
        <v>228</v>
      </c>
      <c r="T80" s="2045"/>
      <c r="U80" s="2045"/>
      <c r="V80" s="2045"/>
      <c r="W80" s="2045"/>
      <c r="X80" s="2045"/>
      <c r="Y80" s="2045"/>
      <c r="Z80" s="2045"/>
      <c r="AA80" s="2045"/>
      <c r="AB80" s="2045"/>
      <c r="AC80" s="2045"/>
      <c r="AG80" s="2048"/>
      <c r="AH80" s="580"/>
      <c r="AI80" s="2048"/>
      <c r="AJ80" s="2048"/>
      <c r="AK80" s="2048"/>
      <c r="AL80" s="2049"/>
      <c r="AM80" s="2048"/>
      <c r="AN80" s="2048"/>
      <c r="AO80" s="2049"/>
      <c r="AP80" s="2048"/>
      <c r="AQ80" s="2048"/>
      <c r="AR80" s="2048"/>
    </row>
    <row r="81" spans="2:44" ht="19.5" thickBot="1">
      <c r="B81" s="574" t="s">
        <v>187</v>
      </c>
      <c r="C81" s="24" t="s">
        <v>188</v>
      </c>
      <c r="D81" s="24">
        <v>480</v>
      </c>
      <c r="E81" s="24">
        <v>560</v>
      </c>
      <c r="F81" s="2044">
        <v>350</v>
      </c>
      <c r="G81" s="2044">
        <v>302</v>
      </c>
      <c r="H81" s="2045"/>
      <c r="I81" s="2045"/>
      <c r="J81" s="2046"/>
      <c r="K81" s="24">
        <v>185</v>
      </c>
      <c r="L81" s="2044" t="s">
        <v>184</v>
      </c>
      <c r="M81" s="2044">
        <v>89</v>
      </c>
      <c r="N81" s="2045"/>
      <c r="O81" s="576"/>
      <c r="P81" s="576"/>
      <c r="Q81" s="576"/>
      <c r="R81" s="2046"/>
      <c r="S81" s="2046"/>
      <c r="T81" s="2046"/>
      <c r="U81" s="2046"/>
      <c r="V81" s="2046"/>
      <c r="W81" s="2046"/>
      <c r="X81" s="2046"/>
      <c r="Y81" s="2046"/>
      <c r="Z81" s="2046"/>
      <c r="AA81" s="2046"/>
      <c r="AB81" s="2046"/>
      <c r="AC81" s="2046"/>
      <c r="AG81" s="2047" t="s">
        <v>247</v>
      </c>
      <c r="AH81" s="580"/>
      <c r="AI81" s="580"/>
      <c r="AJ81" s="2047">
        <v>8</v>
      </c>
      <c r="AK81" s="2047">
        <v>35</v>
      </c>
      <c r="AL81" s="2049"/>
      <c r="AM81" s="2047">
        <v>262</v>
      </c>
      <c r="AN81" s="2047">
        <v>32</v>
      </c>
      <c r="AO81" s="2049"/>
      <c r="AP81" s="2047">
        <v>32</v>
      </c>
      <c r="AQ81" s="2047">
        <v>35</v>
      </c>
      <c r="AR81" s="2047">
        <v>56</v>
      </c>
    </row>
    <row r="82" spans="2:44" ht="19.5" thickBot="1">
      <c r="B82" s="2044" t="s">
        <v>189</v>
      </c>
      <c r="C82" s="2044" t="s">
        <v>228</v>
      </c>
      <c r="D82" s="2044">
        <v>530</v>
      </c>
      <c r="E82" s="2044">
        <v>610</v>
      </c>
      <c r="F82" s="2045"/>
      <c r="G82" s="2045"/>
      <c r="H82" s="2045"/>
      <c r="I82" s="2045"/>
      <c r="J82" s="2044">
        <v>178</v>
      </c>
      <c r="K82" s="2044">
        <v>223</v>
      </c>
      <c r="L82" s="2045"/>
      <c r="M82" s="2045"/>
      <c r="N82" s="2045"/>
      <c r="O82" s="576"/>
      <c r="P82" s="576"/>
      <c r="Q82" s="576"/>
      <c r="R82" s="2044" t="s">
        <v>190</v>
      </c>
      <c r="S82" s="24">
        <v>2</v>
      </c>
      <c r="T82" s="2044">
        <v>175</v>
      </c>
      <c r="U82" s="2044">
        <v>354</v>
      </c>
      <c r="V82" s="24">
        <v>12</v>
      </c>
      <c r="W82" s="2044">
        <v>12</v>
      </c>
      <c r="X82" s="2044">
        <v>254</v>
      </c>
      <c r="Y82" s="2044">
        <v>304</v>
      </c>
      <c r="Z82" s="2044">
        <v>50</v>
      </c>
      <c r="AA82" s="2044">
        <v>205</v>
      </c>
      <c r="AB82" s="2044">
        <v>115</v>
      </c>
      <c r="AC82" s="2044">
        <v>160</v>
      </c>
      <c r="AG82" s="2049"/>
      <c r="AH82" s="581"/>
      <c r="AI82" s="580">
        <v>8</v>
      </c>
      <c r="AJ82" s="2049"/>
      <c r="AK82" s="2049"/>
      <c r="AL82" s="2049"/>
      <c r="AM82" s="2049"/>
      <c r="AN82" s="2049"/>
      <c r="AO82" s="2049"/>
      <c r="AP82" s="2049"/>
      <c r="AQ82" s="2049"/>
      <c r="AR82" s="2049"/>
    </row>
    <row r="83" spans="2:44" ht="19.5" thickBot="1">
      <c r="B83" s="2046"/>
      <c r="C83" s="2046"/>
      <c r="D83" s="2046"/>
      <c r="E83" s="2046"/>
      <c r="F83" s="2046"/>
      <c r="G83" s="2046"/>
      <c r="H83" s="2046"/>
      <c r="I83" s="2046"/>
      <c r="J83" s="2045"/>
      <c r="K83" s="2046"/>
      <c r="L83" s="2046"/>
      <c r="M83" s="2046"/>
      <c r="N83" s="2046"/>
      <c r="O83" s="576"/>
      <c r="P83" s="576"/>
      <c r="Q83" s="576"/>
      <c r="R83" s="2046"/>
      <c r="S83" s="24" t="s">
        <v>188</v>
      </c>
      <c r="T83" s="2045"/>
      <c r="U83" s="2045"/>
      <c r="V83" s="24">
        <v>14</v>
      </c>
      <c r="W83" s="2045"/>
      <c r="X83" s="2045"/>
      <c r="Y83" s="2045"/>
      <c r="Z83" s="2045"/>
      <c r="AA83" s="2045"/>
      <c r="AB83" s="2045"/>
      <c r="AC83" s="2045"/>
      <c r="AG83" s="2048"/>
      <c r="AH83" s="582"/>
      <c r="AI83" s="580"/>
      <c r="AJ83" s="2049"/>
      <c r="AK83" s="2048"/>
      <c r="AL83" s="2048"/>
      <c r="AM83" s="2048"/>
      <c r="AN83" s="2048"/>
      <c r="AO83" s="2049"/>
      <c r="AP83" s="2048"/>
      <c r="AQ83" s="2048"/>
      <c r="AR83" s="2048"/>
    </row>
    <row r="84" spans="2:44" ht="19.5" thickBot="1">
      <c r="B84" s="2044" t="s">
        <v>190</v>
      </c>
      <c r="C84" s="24">
        <v>2</v>
      </c>
      <c r="D84" s="2044">
        <v>624</v>
      </c>
      <c r="E84" s="2044">
        <v>737</v>
      </c>
      <c r="F84" s="2044">
        <v>430</v>
      </c>
      <c r="G84" s="2044">
        <v>358</v>
      </c>
      <c r="H84" s="2044">
        <v>110</v>
      </c>
      <c r="I84" s="2044">
        <v>110</v>
      </c>
      <c r="J84" s="2045"/>
      <c r="K84" s="2044">
        <v>228</v>
      </c>
      <c r="L84" s="2044" t="s">
        <v>184</v>
      </c>
      <c r="M84" s="2044">
        <v>108</v>
      </c>
      <c r="N84" s="2044">
        <v>128</v>
      </c>
      <c r="O84" s="576"/>
      <c r="P84" s="576"/>
      <c r="Q84" s="576"/>
      <c r="R84" s="2044" t="s">
        <v>191</v>
      </c>
      <c r="S84" s="24">
        <v>2</v>
      </c>
      <c r="T84" s="2045"/>
      <c r="U84" s="2045"/>
      <c r="V84" s="24">
        <v>12</v>
      </c>
      <c r="W84" s="2045"/>
      <c r="X84" s="2045"/>
      <c r="Y84" s="2045"/>
      <c r="Z84" s="2045"/>
      <c r="AA84" s="2045"/>
      <c r="AB84" s="2045"/>
      <c r="AC84" s="2045"/>
      <c r="AG84" s="2047" t="s">
        <v>187</v>
      </c>
      <c r="AH84" s="2047" t="s">
        <v>248</v>
      </c>
      <c r="AI84" s="580"/>
      <c r="AJ84" s="2049"/>
      <c r="AK84" s="2047">
        <v>41</v>
      </c>
      <c r="AL84" s="2047">
        <v>13</v>
      </c>
      <c r="AM84" s="2047">
        <v>302</v>
      </c>
      <c r="AN84" s="2047">
        <v>38</v>
      </c>
      <c r="AO84" s="2049"/>
      <c r="AP84" s="2047">
        <v>38</v>
      </c>
      <c r="AQ84" s="2047">
        <v>41</v>
      </c>
      <c r="AR84" s="2047">
        <v>77</v>
      </c>
    </row>
    <row r="85" spans="2:44" ht="19.5" thickBot="1">
      <c r="B85" s="2046"/>
      <c r="C85" s="24" t="s">
        <v>188</v>
      </c>
      <c r="D85" s="2046"/>
      <c r="E85" s="2046"/>
      <c r="F85" s="2045"/>
      <c r="G85" s="2045"/>
      <c r="H85" s="2045"/>
      <c r="I85" s="2045"/>
      <c r="J85" s="2046"/>
      <c r="K85" s="2046"/>
      <c r="L85" s="2046"/>
      <c r="M85" s="2045"/>
      <c r="N85" s="2045"/>
      <c r="O85" s="576"/>
      <c r="P85" s="576"/>
      <c r="Q85" s="576"/>
      <c r="R85" s="2046"/>
      <c r="S85" s="24" t="s">
        <v>188</v>
      </c>
      <c r="T85" s="2045"/>
      <c r="U85" s="2046"/>
      <c r="V85" s="2044">
        <v>14</v>
      </c>
      <c r="W85" s="2046"/>
      <c r="X85" s="2046"/>
      <c r="Y85" s="2046"/>
      <c r="Z85" s="2046"/>
      <c r="AA85" s="2045"/>
      <c r="AB85" s="2045"/>
      <c r="AC85" s="2046"/>
      <c r="AG85" s="2048"/>
      <c r="AH85" s="2048"/>
      <c r="AI85" s="580"/>
      <c r="AJ85" s="2049"/>
      <c r="AK85" s="2049"/>
      <c r="AL85" s="2049"/>
      <c r="AM85" s="2049"/>
      <c r="AN85" s="2049"/>
      <c r="AO85" s="2049"/>
      <c r="AP85" s="2049"/>
      <c r="AQ85" s="2049"/>
      <c r="AR85" s="2048"/>
    </row>
    <row r="86" spans="2:44" ht="19.5" thickBot="1">
      <c r="B86" s="2044" t="s">
        <v>191</v>
      </c>
      <c r="C86" s="24">
        <v>2</v>
      </c>
      <c r="D86" s="2044">
        <v>667</v>
      </c>
      <c r="E86" s="2044">
        <v>780</v>
      </c>
      <c r="F86" s="2045"/>
      <c r="G86" s="2045"/>
      <c r="H86" s="2045"/>
      <c r="I86" s="2045"/>
      <c r="J86" s="2044">
        <v>210</v>
      </c>
      <c r="K86" s="2044">
        <v>260</v>
      </c>
      <c r="L86" s="2044" t="s">
        <v>184</v>
      </c>
      <c r="M86" s="2045"/>
      <c r="N86" s="2045"/>
      <c r="O86" s="576"/>
      <c r="P86" s="576"/>
      <c r="Q86" s="576"/>
      <c r="R86" s="2044" t="s">
        <v>192</v>
      </c>
      <c r="S86" s="24">
        <v>2</v>
      </c>
      <c r="T86" s="2045"/>
      <c r="U86" s="2044">
        <v>364</v>
      </c>
      <c r="V86" s="2046"/>
      <c r="W86" s="2044">
        <v>14</v>
      </c>
      <c r="X86" s="2044">
        <v>279</v>
      </c>
      <c r="Y86" s="2044">
        <v>340</v>
      </c>
      <c r="Z86" s="2044">
        <v>67</v>
      </c>
      <c r="AA86" s="2045"/>
      <c r="AB86" s="2045"/>
      <c r="AC86" s="2044">
        <v>180</v>
      </c>
      <c r="AG86" s="583" t="s">
        <v>249</v>
      </c>
      <c r="AH86" s="584" t="s">
        <v>250</v>
      </c>
      <c r="AI86" s="580"/>
      <c r="AJ86" s="2049"/>
      <c r="AK86" s="2048"/>
      <c r="AL86" s="2048"/>
      <c r="AM86" s="2048"/>
      <c r="AN86" s="2048"/>
      <c r="AO86" s="2048"/>
      <c r="AP86" s="2048"/>
      <c r="AQ86" s="2048"/>
      <c r="AR86" s="584">
        <v>93</v>
      </c>
    </row>
    <row r="87" spans="2:44" ht="19.5" thickBot="1">
      <c r="B87" s="2046"/>
      <c r="C87" s="24" t="s">
        <v>188</v>
      </c>
      <c r="D87" s="2046"/>
      <c r="E87" s="2046"/>
      <c r="F87" s="2046"/>
      <c r="G87" s="2046"/>
      <c r="H87" s="2045"/>
      <c r="I87" s="2045"/>
      <c r="J87" s="2046"/>
      <c r="K87" s="2046"/>
      <c r="L87" s="2046"/>
      <c r="M87" s="2046"/>
      <c r="N87" s="2046"/>
      <c r="O87" s="576"/>
      <c r="P87" s="576"/>
      <c r="Q87" s="576"/>
      <c r="R87" s="2046"/>
      <c r="S87" s="24">
        <v>4</v>
      </c>
      <c r="T87" s="2045"/>
      <c r="U87" s="2045"/>
      <c r="V87" s="24">
        <v>16</v>
      </c>
      <c r="W87" s="2045"/>
      <c r="X87" s="2045"/>
      <c r="Y87" s="2045"/>
      <c r="Z87" s="2045"/>
      <c r="AA87" s="2045"/>
      <c r="AB87" s="2045"/>
      <c r="AC87" s="2045"/>
      <c r="AG87" s="2047" t="s">
        <v>190</v>
      </c>
      <c r="AH87" s="2047">
        <v>2</v>
      </c>
      <c r="AI87" s="581"/>
      <c r="AJ87" s="2049"/>
      <c r="AK87" s="2047">
        <v>45</v>
      </c>
      <c r="AL87" s="2047">
        <v>18</v>
      </c>
      <c r="AM87" s="2047">
        <v>325</v>
      </c>
      <c r="AN87" s="2047">
        <v>42</v>
      </c>
      <c r="AO87" s="2047">
        <v>15</v>
      </c>
      <c r="AP87" s="2047">
        <v>42</v>
      </c>
      <c r="AQ87" s="2047">
        <v>45</v>
      </c>
      <c r="AR87" s="2047">
        <v>130</v>
      </c>
    </row>
    <row r="88" spans="2:44" ht="19.5" thickBot="1">
      <c r="B88" s="2044" t="s">
        <v>192</v>
      </c>
      <c r="C88" s="24">
        <v>2</v>
      </c>
      <c r="D88" s="2044">
        <v>662</v>
      </c>
      <c r="E88" s="2044">
        <v>778</v>
      </c>
      <c r="F88" s="2044">
        <v>470</v>
      </c>
      <c r="G88" s="2044">
        <v>410</v>
      </c>
      <c r="H88" s="2045"/>
      <c r="I88" s="2045"/>
      <c r="J88" s="2044">
        <v>203</v>
      </c>
      <c r="K88" s="2044">
        <v>253</v>
      </c>
      <c r="L88" s="2044">
        <v>60</v>
      </c>
      <c r="M88" s="2044">
        <v>121</v>
      </c>
      <c r="N88" s="2044">
        <v>138</v>
      </c>
      <c r="O88" s="576"/>
      <c r="P88" s="576"/>
      <c r="Q88" s="576"/>
      <c r="R88" s="2044" t="s">
        <v>193</v>
      </c>
      <c r="S88" s="24">
        <v>2</v>
      </c>
      <c r="T88" s="2045"/>
      <c r="U88" s="2045"/>
      <c r="V88" s="24">
        <v>14</v>
      </c>
      <c r="W88" s="2045"/>
      <c r="X88" s="2045"/>
      <c r="Y88" s="2045"/>
      <c r="Z88" s="2045"/>
      <c r="AA88" s="2045"/>
      <c r="AB88" s="2045"/>
      <c r="AC88" s="2045"/>
      <c r="AG88" s="2049"/>
      <c r="AH88" s="2048"/>
      <c r="AI88" s="582"/>
      <c r="AJ88" s="2049"/>
      <c r="AK88" s="2048"/>
      <c r="AL88" s="2049"/>
      <c r="AM88" s="2049"/>
      <c r="AN88" s="2048"/>
      <c r="AO88" s="2049"/>
      <c r="AP88" s="2049"/>
      <c r="AQ88" s="2049"/>
      <c r="AR88" s="2048"/>
    </row>
    <row r="89" spans="2:44" ht="19.5" thickBot="1">
      <c r="B89" s="2046"/>
      <c r="C89" s="24">
        <v>4</v>
      </c>
      <c r="D89" s="2046"/>
      <c r="E89" s="2046"/>
      <c r="F89" s="2045"/>
      <c r="G89" s="2045"/>
      <c r="H89" s="2045"/>
      <c r="I89" s="2045"/>
      <c r="J89" s="2046"/>
      <c r="K89" s="2046"/>
      <c r="L89" s="2045"/>
      <c r="M89" s="2045"/>
      <c r="N89" s="2045"/>
      <c r="O89" s="576"/>
      <c r="P89" s="576"/>
      <c r="Q89" s="576"/>
      <c r="R89" s="2046"/>
      <c r="S89" s="24" t="s">
        <v>188</v>
      </c>
      <c r="T89" s="2046"/>
      <c r="U89" s="2046"/>
      <c r="V89" s="2044">
        <v>16</v>
      </c>
      <c r="W89" s="2046"/>
      <c r="X89" s="2046"/>
      <c r="Y89" s="2046"/>
      <c r="Z89" s="2046"/>
      <c r="AA89" s="2046"/>
      <c r="AB89" s="2046"/>
      <c r="AC89" s="2046"/>
      <c r="AG89" s="2049"/>
      <c r="AH89" s="2047" t="s">
        <v>248</v>
      </c>
      <c r="AI89" s="2047">
        <v>9</v>
      </c>
      <c r="AJ89" s="2049"/>
      <c r="AK89" s="2047">
        <v>51.5</v>
      </c>
      <c r="AL89" s="2049"/>
      <c r="AM89" s="2049"/>
      <c r="AN89" s="2047">
        <v>48</v>
      </c>
      <c r="AO89" s="2049"/>
      <c r="AP89" s="2049"/>
      <c r="AQ89" s="2049"/>
      <c r="AR89" s="2047">
        <v>135</v>
      </c>
    </row>
    <row r="90" spans="2:44" ht="19.5" thickBot="1">
      <c r="B90" s="2044" t="s">
        <v>193</v>
      </c>
      <c r="C90" s="24">
        <v>2</v>
      </c>
      <c r="D90" s="2044">
        <v>702</v>
      </c>
      <c r="E90" s="2044">
        <v>818</v>
      </c>
      <c r="F90" s="2045"/>
      <c r="G90" s="2045"/>
      <c r="H90" s="2045"/>
      <c r="I90" s="2045"/>
      <c r="J90" s="2044">
        <v>241</v>
      </c>
      <c r="K90" s="2044">
        <v>290</v>
      </c>
      <c r="L90" s="2045"/>
      <c r="M90" s="2045"/>
      <c r="N90" s="2045"/>
      <c r="O90" s="576"/>
      <c r="P90" s="576"/>
      <c r="Q90" s="576"/>
      <c r="R90" s="2044" t="s">
        <v>194</v>
      </c>
      <c r="S90" s="24">
        <v>2</v>
      </c>
      <c r="T90" s="2044">
        <v>22</v>
      </c>
      <c r="U90" s="24">
        <v>403</v>
      </c>
      <c r="V90" s="2046"/>
      <c r="W90" s="2044">
        <v>16</v>
      </c>
      <c r="X90" s="2044">
        <v>318</v>
      </c>
      <c r="Y90" s="2044">
        <v>408</v>
      </c>
      <c r="Z90" s="2044">
        <v>90</v>
      </c>
      <c r="AA90" s="2044">
        <v>235</v>
      </c>
      <c r="AB90" s="2044">
        <v>120</v>
      </c>
      <c r="AC90" s="2044">
        <v>200</v>
      </c>
      <c r="AG90" s="2048"/>
      <c r="AH90" s="2048"/>
      <c r="AI90" s="2048"/>
      <c r="AJ90" s="2049"/>
      <c r="AK90" s="2048"/>
      <c r="AL90" s="2049"/>
      <c r="AM90" s="2049"/>
      <c r="AN90" s="2048"/>
      <c r="AO90" s="2049"/>
      <c r="AP90" s="2049"/>
      <c r="AQ90" s="2049"/>
      <c r="AR90" s="2048"/>
    </row>
    <row r="91" spans="2:44" ht="19.5" thickBot="1">
      <c r="B91" s="2046"/>
      <c r="C91" s="24" t="s">
        <v>188</v>
      </c>
      <c r="D91" s="2046"/>
      <c r="E91" s="2046"/>
      <c r="F91" s="2046"/>
      <c r="G91" s="2046"/>
      <c r="H91" s="2045"/>
      <c r="I91" s="2045"/>
      <c r="J91" s="2046"/>
      <c r="K91" s="2046"/>
      <c r="L91" s="2046"/>
      <c r="M91" s="2046"/>
      <c r="N91" s="2046"/>
      <c r="O91" s="576"/>
      <c r="P91" s="576"/>
      <c r="Q91" s="576"/>
      <c r="R91" s="2046"/>
      <c r="S91" s="24" t="s">
        <v>188</v>
      </c>
      <c r="T91" s="2045"/>
      <c r="U91" s="24">
        <v>433</v>
      </c>
      <c r="V91" s="24">
        <v>18</v>
      </c>
      <c r="W91" s="2045"/>
      <c r="X91" s="2045"/>
      <c r="Y91" s="2045"/>
      <c r="Z91" s="2045"/>
      <c r="AA91" s="2045"/>
      <c r="AB91" s="2045"/>
      <c r="AC91" s="2045"/>
      <c r="AG91" s="2047" t="s">
        <v>251</v>
      </c>
      <c r="AH91" s="2047">
        <v>2</v>
      </c>
      <c r="AI91" s="2047">
        <v>8</v>
      </c>
      <c r="AJ91" s="2049"/>
      <c r="AK91" s="2047">
        <v>45</v>
      </c>
      <c r="AL91" s="2049"/>
      <c r="AM91" s="2049"/>
      <c r="AN91" s="2047">
        <v>42</v>
      </c>
      <c r="AO91" s="2049"/>
      <c r="AP91" s="2049"/>
      <c r="AQ91" s="2049"/>
      <c r="AR91" s="2047">
        <v>145</v>
      </c>
    </row>
    <row r="92" spans="2:44" ht="19.5" thickBot="1">
      <c r="B92" s="2044" t="s">
        <v>194</v>
      </c>
      <c r="C92" s="24">
        <v>2</v>
      </c>
      <c r="D92" s="24">
        <v>760</v>
      </c>
      <c r="E92" s="24">
        <v>875</v>
      </c>
      <c r="F92" s="2044">
        <v>535</v>
      </c>
      <c r="G92" s="2044">
        <v>450</v>
      </c>
      <c r="H92" s="2046"/>
      <c r="I92" s="2045"/>
      <c r="J92" s="2044">
        <v>267</v>
      </c>
      <c r="K92" s="2044">
        <v>337</v>
      </c>
      <c r="L92" s="2044">
        <v>90</v>
      </c>
      <c r="M92" s="2044">
        <v>133</v>
      </c>
      <c r="N92" s="2044">
        <v>156</v>
      </c>
      <c r="O92" s="576"/>
      <c r="P92" s="576"/>
      <c r="Q92" s="576"/>
      <c r="R92" s="2044" t="s">
        <v>195</v>
      </c>
      <c r="S92" s="24">
        <v>2</v>
      </c>
      <c r="T92" s="2045"/>
      <c r="U92" s="24">
        <v>403</v>
      </c>
      <c r="V92" s="24">
        <v>16</v>
      </c>
      <c r="W92" s="2045"/>
      <c r="X92" s="2045"/>
      <c r="Y92" s="2045"/>
      <c r="Z92" s="2045"/>
      <c r="AA92" s="2045"/>
      <c r="AB92" s="2045"/>
      <c r="AC92" s="2045"/>
      <c r="AG92" s="2049"/>
      <c r="AH92" s="2048"/>
      <c r="AI92" s="2048"/>
      <c r="AJ92" s="2049"/>
      <c r="AK92" s="2048"/>
      <c r="AL92" s="2049"/>
      <c r="AM92" s="2049"/>
      <c r="AN92" s="2048"/>
      <c r="AO92" s="2049"/>
      <c r="AP92" s="2049"/>
      <c r="AQ92" s="2049"/>
      <c r="AR92" s="2048"/>
    </row>
    <row r="93" spans="2:44" ht="19.5" thickBot="1">
      <c r="B93" s="2046"/>
      <c r="C93" s="24" t="s">
        <v>188</v>
      </c>
      <c r="D93" s="24">
        <v>790</v>
      </c>
      <c r="E93" s="24">
        <v>905</v>
      </c>
      <c r="F93" s="2045"/>
      <c r="G93" s="2045"/>
      <c r="H93" s="24">
        <v>140</v>
      </c>
      <c r="I93" s="2045"/>
      <c r="J93" s="2046"/>
      <c r="K93" s="2046"/>
      <c r="L93" s="2045"/>
      <c r="M93" s="2045"/>
      <c r="N93" s="2045"/>
      <c r="O93" s="576"/>
      <c r="P93" s="576"/>
      <c r="Q93" s="576"/>
      <c r="R93" s="2046"/>
      <c r="S93" s="24" t="s">
        <v>188</v>
      </c>
      <c r="T93" s="2045"/>
      <c r="U93" s="24">
        <v>433</v>
      </c>
      <c r="V93" s="24">
        <v>18</v>
      </c>
      <c r="W93" s="2045"/>
      <c r="X93" s="2046"/>
      <c r="Y93" s="2046"/>
      <c r="Z93" s="2046"/>
      <c r="AA93" s="2045"/>
      <c r="AB93" s="2045"/>
      <c r="AC93" s="2046"/>
      <c r="AG93" s="2049"/>
      <c r="AH93" s="2047" t="s">
        <v>248</v>
      </c>
      <c r="AI93" s="2047">
        <v>9</v>
      </c>
      <c r="AJ93" s="2049"/>
      <c r="AK93" s="2047">
        <v>51.5</v>
      </c>
      <c r="AL93" s="2049"/>
      <c r="AM93" s="2049"/>
      <c r="AN93" s="2047">
        <v>48</v>
      </c>
      <c r="AO93" s="2049"/>
      <c r="AP93" s="2049"/>
      <c r="AQ93" s="2049"/>
      <c r="AR93" s="2047">
        <v>160</v>
      </c>
    </row>
    <row r="94" spans="2:44" ht="19.5" thickBot="1">
      <c r="B94" s="2044" t="s">
        <v>195</v>
      </c>
      <c r="C94" s="24">
        <v>2</v>
      </c>
      <c r="D94" s="24">
        <v>800</v>
      </c>
      <c r="E94" s="24">
        <v>915</v>
      </c>
      <c r="F94" s="2045"/>
      <c r="G94" s="2045"/>
      <c r="H94" s="24">
        <v>110</v>
      </c>
      <c r="I94" s="2045"/>
      <c r="J94" s="2044">
        <v>305</v>
      </c>
      <c r="K94" s="2044">
        <v>375</v>
      </c>
      <c r="L94" s="2045"/>
      <c r="M94" s="2045"/>
      <c r="N94" s="2045"/>
      <c r="O94" s="576"/>
      <c r="P94" s="576"/>
      <c r="Q94" s="576"/>
      <c r="R94" s="2044" t="s">
        <v>196</v>
      </c>
      <c r="S94" s="24">
        <v>2</v>
      </c>
      <c r="T94" s="2045"/>
      <c r="U94" s="24">
        <v>420</v>
      </c>
      <c r="V94" s="24">
        <v>16</v>
      </c>
      <c r="W94" s="2046"/>
      <c r="X94" s="2044">
        <v>356</v>
      </c>
      <c r="Y94" s="2044">
        <v>440</v>
      </c>
      <c r="Z94" s="2044">
        <v>100</v>
      </c>
      <c r="AA94" s="2045"/>
      <c r="AB94" s="2045"/>
      <c r="AC94" s="2044">
        <v>225</v>
      </c>
      <c r="AG94" s="2048"/>
      <c r="AH94" s="2048"/>
      <c r="AI94" s="2049"/>
      <c r="AJ94" s="2048"/>
      <c r="AK94" s="2049"/>
      <c r="AL94" s="2048"/>
      <c r="AM94" s="2048"/>
      <c r="AN94" s="2049"/>
      <c r="AO94" s="2049"/>
      <c r="AP94" s="2048"/>
      <c r="AQ94" s="2048"/>
      <c r="AR94" s="2048"/>
    </row>
    <row r="95" spans="2:44" ht="19.5" thickBot="1">
      <c r="B95" s="2046"/>
      <c r="C95" s="24" t="s">
        <v>188</v>
      </c>
      <c r="D95" s="24">
        <v>830</v>
      </c>
      <c r="E95" s="24">
        <v>945</v>
      </c>
      <c r="F95" s="2046"/>
      <c r="G95" s="2046"/>
      <c r="H95" s="24">
        <v>140</v>
      </c>
      <c r="I95" s="2045"/>
      <c r="J95" s="2046"/>
      <c r="K95" s="2046"/>
      <c r="L95" s="2046"/>
      <c r="M95" s="2046"/>
      <c r="N95" s="2046"/>
      <c r="O95" s="576"/>
      <c r="P95" s="576"/>
      <c r="Q95" s="576"/>
      <c r="R95" s="2046"/>
      <c r="S95" s="24" t="s">
        <v>188</v>
      </c>
      <c r="T95" s="2046"/>
      <c r="U95" s="24">
        <v>450</v>
      </c>
      <c r="V95" s="2044">
        <v>18</v>
      </c>
      <c r="W95" s="2044">
        <v>18</v>
      </c>
      <c r="X95" s="2045"/>
      <c r="Y95" s="2045"/>
      <c r="Z95" s="2045"/>
      <c r="AA95" s="2045"/>
      <c r="AB95" s="2045"/>
      <c r="AC95" s="2045"/>
      <c r="AG95" s="2047" t="s">
        <v>192</v>
      </c>
      <c r="AH95" s="2047">
        <v>2</v>
      </c>
      <c r="AI95" s="2049"/>
      <c r="AJ95" s="2047"/>
      <c r="AK95" s="2049"/>
      <c r="AL95" s="2047">
        <v>20</v>
      </c>
      <c r="AM95" s="2047">
        <v>365</v>
      </c>
      <c r="AN95" s="2049"/>
      <c r="AO95" s="2049"/>
      <c r="AP95" s="2047">
        <v>48</v>
      </c>
      <c r="AQ95" s="2047">
        <v>51.5</v>
      </c>
      <c r="AR95" s="2047">
        <v>165</v>
      </c>
    </row>
    <row r="96" spans="2:44" ht="19.5" thickBot="1">
      <c r="B96" s="2044" t="s">
        <v>196</v>
      </c>
      <c r="C96" s="24">
        <v>2</v>
      </c>
      <c r="D96" s="24">
        <v>810</v>
      </c>
      <c r="E96" s="24">
        <v>925</v>
      </c>
      <c r="F96" s="2044">
        <v>575</v>
      </c>
      <c r="G96" s="2044">
        <v>494</v>
      </c>
      <c r="H96" s="24">
        <v>110</v>
      </c>
      <c r="I96" s="2046"/>
      <c r="J96" s="2044">
        <v>311</v>
      </c>
      <c r="K96" s="2044">
        <v>390</v>
      </c>
      <c r="L96" s="2044">
        <v>100</v>
      </c>
      <c r="M96" s="2044">
        <v>149</v>
      </c>
      <c r="N96" s="2044">
        <v>161</v>
      </c>
      <c r="O96" s="576"/>
      <c r="P96" s="576"/>
      <c r="Q96" s="576"/>
      <c r="R96" s="2044" t="s">
        <v>197</v>
      </c>
      <c r="S96" s="2044" t="s">
        <v>229</v>
      </c>
      <c r="T96" s="2044">
        <v>175</v>
      </c>
      <c r="U96" s="2044">
        <v>496</v>
      </c>
      <c r="V96" s="2046"/>
      <c r="W96" s="2046"/>
      <c r="X96" s="2046"/>
      <c r="Y96" s="2046"/>
      <c r="Z96" s="2045"/>
      <c r="AA96" s="2046"/>
      <c r="AB96" s="2046"/>
      <c r="AC96" s="2046"/>
      <c r="AG96" s="2049"/>
      <c r="AH96" s="2049"/>
      <c r="AI96" s="2049"/>
      <c r="AJ96" s="2049"/>
      <c r="AK96" s="2049"/>
      <c r="AL96" s="2049"/>
      <c r="AM96" s="2049"/>
      <c r="AN96" s="2049"/>
      <c r="AO96" s="2049"/>
      <c r="AP96" s="2049"/>
      <c r="AQ96" s="2049"/>
      <c r="AR96" s="2049"/>
    </row>
    <row r="97" spans="2:44" ht="19.5" thickBot="1">
      <c r="B97" s="2046"/>
      <c r="C97" s="24" t="s">
        <v>188</v>
      </c>
      <c r="D97" s="24">
        <v>840</v>
      </c>
      <c r="E97" s="24">
        <v>985</v>
      </c>
      <c r="F97" s="2046"/>
      <c r="G97" s="2046"/>
      <c r="H97" s="2044">
        <v>140</v>
      </c>
      <c r="I97" s="2044">
        <v>140</v>
      </c>
      <c r="J97" s="2045"/>
      <c r="K97" s="2045"/>
      <c r="L97" s="2045"/>
      <c r="M97" s="2046"/>
      <c r="N97" s="2046"/>
      <c r="O97" s="576"/>
      <c r="P97" s="576"/>
      <c r="Q97" s="576"/>
      <c r="R97" s="2045"/>
      <c r="S97" s="2045"/>
      <c r="T97" s="2045"/>
      <c r="U97" s="2045"/>
      <c r="V97" s="2044">
        <v>20</v>
      </c>
      <c r="W97" s="2044">
        <v>20</v>
      </c>
      <c r="X97" s="2044">
        <v>406</v>
      </c>
      <c r="Y97" s="2044">
        <v>490</v>
      </c>
      <c r="Z97" s="2045"/>
      <c r="AA97" s="2044">
        <v>270</v>
      </c>
      <c r="AB97" s="2044">
        <v>160</v>
      </c>
      <c r="AC97" s="2044">
        <v>250</v>
      </c>
      <c r="AG97" s="2049"/>
      <c r="AH97" s="2048"/>
      <c r="AI97" s="2049"/>
      <c r="AJ97" s="2049"/>
      <c r="AK97" s="2048"/>
      <c r="AL97" s="2049"/>
      <c r="AM97" s="2049"/>
      <c r="AN97" s="2048"/>
      <c r="AO97" s="2049"/>
      <c r="AP97" s="2049"/>
      <c r="AQ97" s="2049"/>
      <c r="AR97" s="2048"/>
    </row>
    <row r="98" spans="2:44" ht="19.5" thickBot="1">
      <c r="B98" s="2044" t="s">
        <v>197</v>
      </c>
      <c r="C98" s="24">
        <v>2</v>
      </c>
      <c r="D98" s="2044">
        <v>915</v>
      </c>
      <c r="E98" s="2044">
        <v>1060</v>
      </c>
      <c r="F98" s="2044">
        <v>640</v>
      </c>
      <c r="G98" s="2044">
        <v>554</v>
      </c>
      <c r="H98" s="2045"/>
      <c r="I98" s="2045"/>
      <c r="J98" s="2045"/>
      <c r="K98" s="2045"/>
      <c r="L98" s="2045"/>
      <c r="M98" s="2044">
        <v>168</v>
      </c>
      <c r="N98" s="2044">
        <v>184</v>
      </c>
      <c r="O98" s="576"/>
      <c r="P98" s="576"/>
      <c r="Q98" s="576"/>
      <c r="R98" s="2046"/>
      <c r="S98" s="2046"/>
      <c r="T98" s="2045"/>
      <c r="U98" s="2045"/>
      <c r="V98" s="2046"/>
      <c r="W98" s="2046"/>
      <c r="X98" s="2045"/>
      <c r="Y98" s="2045"/>
      <c r="Z98" s="2045"/>
      <c r="AA98" s="2045"/>
      <c r="AB98" s="2045"/>
      <c r="AC98" s="2045"/>
      <c r="AG98" s="2048"/>
      <c r="AH98" s="584">
        <v>4</v>
      </c>
      <c r="AI98" s="2048"/>
      <c r="AJ98" s="2049"/>
      <c r="AK98" s="584">
        <v>59</v>
      </c>
      <c r="AL98" s="2049"/>
      <c r="AM98" s="2049"/>
      <c r="AN98" s="584">
        <v>55</v>
      </c>
      <c r="AO98" s="2049"/>
      <c r="AP98" s="2049"/>
      <c r="AQ98" s="2049"/>
      <c r="AR98" s="584">
        <v>175</v>
      </c>
    </row>
    <row r="99" spans="2:44" ht="19.5" thickBot="1">
      <c r="B99" s="2045"/>
      <c r="C99" s="26" t="s">
        <v>198</v>
      </c>
      <c r="D99" s="2045"/>
      <c r="E99" s="2045"/>
      <c r="F99" s="2045"/>
      <c r="G99" s="2045"/>
      <c r="H99" s="2045"/>
      <c r="I99" s="2045"/>
      <c r="J99" s="2045"/>
      <c r="K99" s="2045"/>
      <c r="L99" s="2045"/>
      <c r="M99" s="2045"/>
      <c r="N99" s="2045"/>
      <c r="O99" s="576"/>
      <c r="P99" s="576"/>
      <c r="Q99" s="576"/>
      <c r="R99" s="574" t="s">
        <v>199</v>
      </c>
      <c r="S99" s="24">
        <v>2</v>
      </c>
      <c r="T99" s="2046"/>
      <c r="U99" s="2046"/>
      <c r="V99" s="24">
        <v>18</v>
      </c>
      <c r="W99" s="24">
        <v>18</v>
      </c>
      <c r="X99" s="2046"/>
      <c r="Y99" s="2046"/>
      <c r="Z99" s="2046"/>
      <c r="AA99" s="2046"/>
      <c r="AB99" s="2046"/>
      <c r="AC99" s="2046"/>
      <c r="AG99" s="2047" t="s">
        <v>252</v>
      </c>
      <c r="AH99" s="2047">
        <v>2</v>
      </c>
      <c r="AI99" s="584">
        <v>10</v>
      </c>
      <c r="AJ99" s="2049"/>
      <c r="AK99" s="2047">
        <v>51.5</v>
      </c>
      <c r="AL99" s="2049"/>
      <c r="AM99" s="2049"/>
      <c r="AN99" s="2047">
        <v>48</v>
      </c>
      <c r="AO99" s="2049"/>
      <c r="AP99" s="2049"/>
      <c r="AQ99" s="2049"/>
      <c r="AR99" s="2047">
        <v>185</v>
      </c>
    </row>
    <row r="100" spans="2:44" ht="19.5" thickBot="1">
      <c r="B100" s="2046"/>
      <c r="C100" s="24">
        <v>8.1</v>
      </c>
      <c r="D100" s="2046"/>
      <c r="E100" s="2046"/>
      <c r="F100" s="2045"/>
      <c r="G100" s="2045"/>
      <c r="H100" s="2045"/>
      <c r="I100" s="2045"/>
      <c r="J100" s="2046"/>
      <c r="K100" s="2046"/>
      <c r="L100" s="2045"/>
      <c r="M100" s="2045"/>
      <c r="N100" s="2045"/>
      <c r="O100" s="576"/>
      <c r="P100" s="576"/>
      <c r="Q100" s="576"/>
      <c r="R100" s="576"/>
      <c r="S100" s="576"/>
      <c r="T100" s="576"/>
      <c r="U100" s="576"/>
      <c r="V100" s="576"/>
      <c r="W100" s="576"/>
      <c r="X100" s="576"/>
      <c r="AG100" s="2049"/>
      <c r="AH100" s="2048"/>
      <c r="AI100" s="584">
        <v>9</v>
      </c>
      <c r="AJ100" s="2049"/>
      <c r="AK100" s="2048"/>
      <c r="AL100" s="2049"/>
      <c r="AM100" s="2049"/>
      <c r="AN100" s="2048"/>
      <c r="AO100" s="2049"/>
      <c r="AP100" s="2049"/>
      <c r="AQ100" s="2049"/>
      <c r="AR100" s="2048"/>
    </row>
    <row r="101" spans="2:44" ht="19.5" thickBot="1">
      <c r="B101" s="574" t="s">
        <v>199</v>
      </c>
      <c r="C101" s="24">
        <v>2</v>
      </c>
      <c r="D101" s="24">
        <v>955</v>
      </c>
      <c r="E101" s="24">
        <v>1100</v>
      </c>
      <c r="F101" s="2046"/>
      <c r="G101" s="2046"/>
      <c r="H101" s="2046"/>
      <c r="I101" s="2046"/>
      <c r="J101" s="24">
        <v>349</v>
      </c>
      <c r="K101" s="24">
        <v>430</v>
      </c>
      <c r="L101" s="2046"/>
      <c r="M101" s="2046"/>
      <c r="N101" s="2046"/>
      <c r="O101" s="576"/>
      <c r="P101" s="576"/>
      <c r="Q101" s="576"/>
      <c r="R101" s="576"/>
      <c r="S101" s="576"/>
      <c r="T101" s="576"/>
      <c r="U101" s="576"/>
      <c r="V101" s="576"/>
      <c r="W101" s="576"/>
      <c r="X101" s="576"/>
      <c r="AG101" s="2049"/>
      <c r="AH101" s="2047" t="s">
        <v>248</v>
      </c>
      <c r="AI101" s="2047">
        <v>10</v>
      </c>
      <c r="AJ101" s="2049"/>
      <c r="AK101" s="2047">
        <v>59</v>
      </c>
      <c r="AL101" s="2049"/>
      <c r="AM101" s="2049"/>
      <c r="AN101" s="2047">
        <v>55</v>
      </c>
      <c r="AO101" s="2049"/>
      <c r="AP101" s="2049"/>
      <c r="AQ101" s="2049"/>
      <c r="AR101" s="2047">
        <v>195</v>
      </c>
    </row>
    <row r="102" spans="2:44" ht="15.75" thickBot="1">
      <c r="AG102" s="2048"/>
      <c r="AH102" s="2048"/>
      <c r="AI102" s="2049"/>
      <c r="AJ102" s="2048"/>
      <c r="AK102" s="2049"/>
      <c r="AL102" s="2048"/>
      <c r="AM102" s="2048"/>
      <c r="AN102" s="2049"/>
      <c r="AO102" s="2048"/>
      <c r="AP102" s="2048"/>
      <c r="AQ102" s="2048"/>
      <c r="AR102" s="2048"/>
    </row>
    <row r="103" spans="2:44" ht="15.75" thickBot="1">
      <c r="AG103" s="2047" t="s">
        <v>253</v>
      </c>
      <c r="AH103" s="584">
        <v>2</v>
      </c>
      <c r="AI103" s="2048"/>
      <c r="AJ103" s="2047">
        <v>10</v>
      </c>
      <c r="AK103" s="2048"/>
      <c r="AL103" s="2047">
        <v>25</v>
      </c>
      <c r="AM103" s="2047">
        <v>425</v>
      </c>
      <c r="AN103" s="2048"/>
      <c r="AO103" s="2047">
        <v>19</v>
      </c>
      <c r="AP103" s="2047">
        <v>55</v>
      </c>
      <c r="AQ103" s="2047">
        <v>59</v>
      </c>
      <c r="AR103" s="584">
        <v>255</v>
      </c>
    </row>
    <row r="104" spans="2:44">
      <c r="AG104" s="2049"/>
      <c r="AH104" s="2047" t="s">
        <v>248</v>
      </c>
      <c r="AI104" s="2047">
        <v>11</v>
      </c>
      <c r="AJ104" s="2049"/>
      <c r="AK104" s="2047">
        <v>64</v>
      </c>
      <c r="AL104" s="2049"/>
      <c r="AM104" s="2049"/>
      <c r="AN104" s="2047">
        <v>60</v>
      </c>
      <c r="AO104" s="2049"/>
      <c r="AP104" s="2049"/>
      <c r="AQ104" s="2049"/>
      <c r="AR104" s="2047">
        <v>270</v>
      </c>
    </row>
    <row r="105" spans="2:44" ht="15.75" thickBot="1">
      <c r="AG105" s="2048"/>
      <c r="AH105" s="2048"/>
      <c r="AI105" s="2048"/>
      <c r="AJ105" s="2049"/>
      <c r="AK105" s="2048"/>
      <c r="AL105" s="2049"/>
      <c r="AM105" s="2049"/>
      <c r="AN105" s="2048"/>
      <c r="AO105" s="2049"/>
      <c r="AP105" s="2049"/>
      <c r="AQ105" s="2049"/>
      <c r="AR105" s="2048"/>
    </row>
    <row r="106" spans="2:44" ht="15.75" thickBot="1">
      <c r="AG106" s="2047" t="s">
        <v>195</v>
      </c>
      <c r="AH106" s="584">
        <v>2</v>
      </c>
      <c r="AI106" s="584">
        <v>10</v>
      </c>
      <c r="AJ106" s="2049"/>
      <c r="AK106" s="584">
        <v>59</v>
      </c>
      <c r="AL106" s="2049"/>
      <c r="AM106" s="2049"/>
      <c r="AN106" s="584">
        <v>55</v>
      </c>
      <c r="AO106" s="2049"/>
      <c r="AP106" s="2049"/>
      <c r="AQ106" s="2049"/>
      <c r="AR106" s="584">
        <v>280</v>
      </c>
    </row>
    <row r="107" spans="2:44" ht="15.75" thickBot="1">
      <c r="AG107" s="2048"/>
      <c r="AH107" s="584" t="s">
        <v>248</v>
      </c>
      <c r="AI107" s="584">
        <v>11</v>
      </c>
      <c r="AJ107" s="2049"/>
      <c r="AK107" s="584">
        <v>64</v>
      </c>
      <c r="AL107" s="2048"/>
      <c r="AM107" s="2048"/>
      <c r="AN107" s="584">
        <v>60</v>
      </c>
      <c r="AO107" s="2049"/>
      <c r="AP107" s="2049"/>
      <c r="AQ107" s="2049"/>
      <c r="AR107" s="584">
        <v>310</v>
      </c>
    </row>
    <row r="108" spans="2:44">
      <c r="AG108" s="2047" t="s">
        <v>254</v>
      </c>
      <c r="AH108" s="2047">
        <v>2</v>
      </c>
      <c r="AI108" s="2047">
        <v>10</v>
      </c>
      <c r="AJ108" s="2049"/>
      <c r="AK108" s="2047">
        <v>59</v>
      </c>
      <c r="AL108" s="2047">
        <v>28</v>
      </c>
      <c r="AM108" s="2047">
        <v>480</v>
      </c>
      <c r="AN108" s="2047">
        <v>55</v>
      </c>
      <c r="AO108" s="2049"/>
      <c r="AP108" s="2049"/>
      <c r="AQ108" s="2049"/>
      <c r="AR108" s="2047">
        <v>355</v>
      </c>
    </row>
    <row r="109" spans="2:44" ht="15.75" thickBot="1">
      <c r="AG109" s="2049"/>
      <c r="AH109" s="2048"/>
      <c r="AI109" s="2048"/>
      <c r="AJ109" s="2048"/>
      <c r="AK109" s="2048"/>
      <c r="AL109" s="2049"/>
      <c r="AM109" s="2049"/>
      <c r="AN109" s="2048"/>
      <c r="AO109" s="2049"/>
      <c r="AP109" s="2048"/>
      <c r="AQ109" s="2048"/>
      <c r="AR109" s="2049"/>
    </row>
    <row r="110" spans="2:44">
      <c r="AG110" s="2049"/>
      <c r="AH110" s="2047" t="s">
        <v>248</v>
      </c>
      <c r="AI110" s="2047">
        <v>11</v>
      </c>
      <c r="AJ110" s="2047">
        <v>11</v>
      </c>
      <c r="AK110" s="2047">
        <v>69</v>
      </c>
      <c r="AL110" s="2049"/>
      <c r="AM110" s="2049"/>
      <c r="AN110" s="2047">
        <v>65</v>
      </c>
      <c r="AO110" s="2049"/>
      <c r="AP110" s="2047">
        <v>60</v>
      </c>
      <c r="AQ110" s="2047">
        <v>64</v>
      </c>
      <c r="AR110" s="2049"/>
    </row>
    <row r="111" spans="2:44" ht="15.75" thickBot="1">
      <c r="AG111" s="2048"/>
      <c r="AH111" s="2048"/>
      <c r="AI111" s="2049"/>
      <c r="AJ111" s="2049"/>
      <c r="AK111" s="2049"/>
      <c r="AL111" s="2048"/>
      <c r="AM111" s="2048"/>
      <c r="AN111" s="2049"/>
      <c r="AO111" s="2048"/>
      <c r="AP111" s="2048"/>
      <c r="AQ111" s="2048"/>
      <c r="AR111" s="2048"/>
    </row>
    <row r="112" spans="2:44" ht="15.75" thickBot="1">
      <c r="AG112" s="2047" t="s">
        <v>197</v>
      </c>
      <c r="AH112" s="584">
        <v>2</v>
      </c>
      <c r="AI112" s="2048"/>
      <c r="AJ112" s="2048"/>
      <c r="AK112" s="2048"/>
      <c r="AL112" s="2047">
        <v>30</v>
      </c>
      <c r="AM112" s="2047">
        <v>530</v>
      </c>
      <c r="AN112" s="2048"/>
      <c r="AO112" s="2047">
        <v>24</v>
      </c>
      <c r="AP112" s="584">
        <v>65</v>
      </c>
      <c r="AQ112" s="584">
        <v>69</v>
      </c>
      <c r="AR112" s="584">
        <v>470</v>
      </c>
    </row>
    <row r="113" spans="33:44">
      <c r="AG113" s="2049"/>
      <c r="AH113" s="2047" t="s">
        <v>255</v>
      </c>
      <c r="AI113" s="2047">
        <v>12</v>
      </c>
      <c r="AJ113" s="2047">
        <v>12</v>
      </c>
      <c r="AK113" s="2047">
        <v>79.5</v>
      </c>
      <c r="AL113" s="2049"/>
      <c r="AM113" s="2049"/>
      <c r="AN113" s="2047">
        <v>75</v>
      </c>
      <c r="AO113" s="2049"/>
      <c r="AP113" s="2047">
        <v>70</v>
      </c>
      <c r="AQ113" s="2047">
        <v>74.5</v>
      </c>
      <c r="AR113" s="2047">
        <v>490</v>
      </c>
    </row>
    <row r="114" spans="33:44" ht="15.75" thickBot="1">
      <c r="AG114" s="2048"/>
      <c r="AH114" s="2048"/>
      <c r="AI114" s="2048"/>
      <c r="AJ114" s="2048"/>
      <c r="AK114" s="2048"/>
      <c r="AL114" s="2049"/>
      <c r="AM114" s="2049"/>
      <c r="AN114" s="2048"/>
      <c r="AO114" s="2049"/>
      <c r="AP114" s="2048"/>
      <c r="AQ114" s="2048"/>
      <c r="AR114" s="2048"/>
    </row>
    <row r="115" spans="33:44" ht="15.75" thickBot="1">
      <c r="AG115" s="2047" t="s">
        <v>256</v>
      </c>
      <c r="AH115" s="584">
        <v>2</v>
      </c>
      <c r="AI115" s="584">
        <v>11</v>
      </c>
      <c r="AJ115" s="584">
        <v>11</v>
      </c>
      <c r="AK115" s="584">
        <v>69</v>
      </c>
      <c r="AL115" s="2049"/>
      <c r="AM115" s="2049"/>
      <c r="AN115" s="584">
        <v>65</v>
      </c>
      <c r="AO115" s="2049"/>
      <c r="AP115" s="584">
        <v>65</v>
      </c>
      <c r="AQ115" s="584">
        <v>69</v>
      </c>
      <c r="AR115" s="584">
        <v>510</v>
      </c>
    </row>
    <row r="116" spans="33:44" ht="15.75" thickBot="1">
      <c r="AG116" s="2048"/>
      <c r="AH116" s="584" t="s">
        <v>248</v>
      </c>
      <c r="AI116" s="584">
        <v>12</v>
      </c>
      <c r="AJ116" s="584">
        <v>12</v>
      </c>
      <c r="AK116" s="584">
        <v>79.5</v>
      </c>
      <c r="AL116" s="2048"/>
      <c r="AM116" s="2048"/>
      <c r="AN116" s="584">
        <v>75</v>
      </c>
      <c r="AO116" s="2048"/>
      <c r="AP116" s="584">
        <v>70</v>
      </c>
      <c r="AQ116" s="584">
        <v>74.5</v>
      </c>
      <c r="AR116" s="584">
        <v>535</v>
      </c>
    </row>
    <row r="168" spans="2:66" ht="15.75" thickBot="1"/>
    <row r="169" spans="2:66" ht="48" customHeight="1" thickBot="1">
      <c r="B169" s="2041" t="s">
        <v>332</v>
      </c>
      <c r="C169" s="2038" t="s">
        <v>258</v>
      </c>
      <c r="D169" s="2039"/>
      <c r="E169" s="2039"/>
      <c r="F169" s="2039"/>
      <c r="G169" s="2039"/>
      <c r="H169" s="2039"/>
      <c r="I169" s="2039"/>
      <c r="J169" s="2039"/>
      <c r="K169" s="2039"/>
      <c r="L169" s="2039"/>
      <c r="M169" s="2039"/>
      <c r="N169" s="2039"/>
      <c r="O169" s="2039"/>
      <c r="P169" s="2040"/>
      <c r="AC169" s="2041" t="s">
        <v>360</v>
      </c>
      <c r="AD169" s="2038" t="s">
        <v>258</v>
      </c>
      <c r="AE169" s="2039"/>
      <c r="AF169" s="2039"/>
      <c r="AG169" s="2039"/>
      <c r="AH169" s="2039"/>
      <c r="AI169" s="2039"/>
      <c r="AJ169" s="2039"/>
      <c r="AK169" s="2039"/>
      <c r="AL169" s="2039"/>
      <c r="AM169" s="2039"/>
      <c r="AN169" s="2040"/>
      <c r="AQ169" s="2041" t="s">
        <v>360</v>
      </c>
      <c r="AR169" s="2038" t="s">
        <v>258</v>
      </c>
      <c r="AS169" s="2039"/>
      <c r="AT169" s="2039"/>
      <c r="AU169" s="2039"/>
      <c r="AV169" s="2039"/>
      <c r="AW169" s="2039"/>
      <c r="AX169" s="2039"/>
      <c r="AY169" s="2039"/>
      <c r="AZ169" s="2039"/>
      <c r="BA169" s="2040"/>
      <c r="BD169" s="2076" t="s">
        <v>332</v>
      </c>
      <c r="BE169" s="2073" t="s">
        <v>258</v>
      </c>
      <c r="BF169" s="2074"/>
      <c r="BG169" s="2074"/>
      <c r="BH169" s="2074"/>
      <c r="BI169" s="2074"/>
      <c r="BJ169" s="2075"/>
      <c r="BK169" s="2076" t="s">
        <v>368</v>
      </c>
      <c r="BL169" s="2073" t="s">
        <v>369</v>
      </c>
      <c r="BM169" s="2075"/>
      <c r="BN169" s="2076" t="s">
        <v>352</v>
      </c>
    </row>
    <row r="170" spans="2:66" ht="48" customHeight="1" thickBot="1">
      <c r="B170" s="2043"/>
      <c r="C170" s="2038" t="s">
        <v>90</v>
      </c>
      <c r="D170" s="2039"/>
      <c r="E170" s="2039"/>
      <c r="F170" s="2039"/>
      <c r="G170" s="2039"/>
      <c r="H170" s="2039"/>
      <c r="I170" s="2039"/>
      <c r="J170" s="2039"/>
      <c r="K170" s="2040"/>
      <c r="L170" s="2038" t="s">
        <v>91</v>
      </c>
      <c r="M170" s="2039"/>
      <c r="N170" s="2039"/>
      <c r="O170" s="2039"/>
      <c r="P170" s="2040"/>
      <c r="AC170" s="2043"/>
      <c r="AD170" s="2038" t="s">
        <v>90</v>
      </c>
      <c r="AE170" s="2039"/>
      <c r="AF170" s="2039"/>
      <c r="AG170" s="2039"/>
      <c r="AH170" s="2039"/>
      <c r="AI170" s="2039"/>
      <c r="AJ170" s="2039"/>
      <c r="AK170" s="2039"/>
      <c r="AL170" s="2039"/>
      <c r="AM170" s="2039"/>
      <c r="AN170" s="2040"/>
      <c r="AQ170" s="2043"/>
      <c r="AR170" s="2038" t="s">
        <v>90</v>
      </c>
      <c r="AS170" s="2039"/>
      <c r="AT170" s="2040"/>
      <c r="AU170" s="2038" t="s">
        <v>91</v>
      </c>
      <c r="AV170" s="2039"/>
      <c r="AW170" s="2039"/>
      <c r="AX170" s="2039"/>
      <c r="AY170" s="2039"/>
      <c r="AZ170" s="2039"/>
      <c r="BA170" s="2040"/>
      <c r="BD170" s="2077"/>
      <c r="BE170" s="2073" t="s">
        <v>353</v>
      </c>
      <c r="BF170" s="2074"/>
      <c r="BG170" s="2074"/>
      <c r="BH170" s="2074"/>
      <c r="BI170" s="2074"/>
      <c r="BJ170" s="2075"/>
      <c r="BK170" s="2077"/>
      <c r="BL170" s="2076" t="s">
        <v>370</v>
      </c>
      <c r="BM170" s="2076" t="s">
        <v>371</v>
      </c>
      <c r="BN170" s="2077"/>
    </row>
    <row r="171" spans="2:66" ht="48" customHeight="1" thickBot="1">
      <c r="B171" s="2042"/>
      <c r="C171" s="569" t="s">
        <v>259</v>
      </c>
      <c r="D171" s="569" t="s">
        <v>260</v>
      </c>
      <c r="E171" s="569" t="s">
        <v>261</v>
      </c>
      <c r="F171" s="569" t="s">
        <v>262</v>
      </c>
      <c r="G171" s="569" t="s">
        <v>263</v>
      </c>
      <c r="H171" s="569" t="s">
        <v>265</v>
      </c>
      <c r="I171" s="569" t="s">
        <v>266</v>
      </c>
      <c r="J171" s="569" t="s">
        <v>333</v>
      </c>
      <c r="K171" s="569" t="s">
        <v>334</v>
      </c>
      <c r="L171" s="569" t="s">
        <v>260</v>
      </c>
      <c r="M171" s="569" t="s">
        <v>335</v>
      </c>
      <c r="N171" s="569" t="s">
        <v>336</v>
      </c>
      <c r="O171" s="569" t="s">
        <v>337</v>
      </c>
      <c r="P171" s="569" t="s">
        <v>338</v>
      </c>
      <c r="AC171" s="2042"/>
      <c r="AD171" s="569" t="s">
        <v>259</v>
      </c>
      <c r="AE171" s="569" t="s">
        <v>260</v>
      </c>
      <c r="AF171" s="569" t="s">
        <v>261</v>
      </c>
      <c r="AG171" s="569" t="s">
        <v>262</v>
      </c>
      <c r="AH171" s="569" t="s">
        <v>263</v>
      </c>
      <c r="AI171" s="569" t="s">
        <v>264</v>
      </c>
      <c r="AJ171" s="569" t="s">
        <v>265</v>
      </c>
      <c r="AK171" s="569" t="s">
        <v>266</v>
      </c>
      <c r="AL171" s="569" t="s">
        <v>267</v>
      </c>
      <c r="AM171" s="569" t="s">
        <v>268</v>
      </c>
      <c r="AN171" s="569" t="s">
        <v>269</v>
      </c>
      <c r="AQ171" s="2042"/>
      <c r="AR171" s="569" t="s">
        <v>361</v>
      </c>
      <c r="AS171" s="569" t="s">
        <v>334</v>
      </c>
      <c r="AT171" s="569" t="s">
        <v>359</v>
      </c>
      <c r="AU171" s="569" t="s">
        <v>362</v>
      </c>
      <c r="AV171" s="569" t="s">
        <v>335</v>
      </c>
      <c r="AW171" s="569" t="s">
        <v>336</v>
      </c>
      <c r="AX171" s="569" t="s">
        <v>337</v>
      </c>
      <c r="AY171" s="569" t="s">
        <v>338</v>
      </c>
      <c r="AZ171" s="569" t="s">
        <v>363</v>
      </c>
      <c r="BA171" s="569" t="s">
        <v>364</v>
      </c>
      <c r="BD171" s="2078"/>
      <c r="BE171" s="29" t="s">
        <v>372</v>
      </c>
      <c r="BF171" s="29" t="s">
        <v>373</v>
      </c>
      <c r="BG171" s="29" t="s">
        <v>374</v>
      </c>
      <c r="BH171" s="29" t="s">
        <v>375</v>
      </c>
      <c r="BI171" s="29" t="s">
        <v>376</v>
      </c>
      <c r="BJ171" s="29" t="s">
        <v>377</v>
      </c>
      <c r="BK171" s="2078"/>
      <c r="BL171" s="2078"/>
      <c r="BM171" s="2078"/>
      <c r="BN171" s="2078"/>
    </row>
    <row r="172" spans="2:66" ht="48" customHeight="1" thickBot="1">
      <c r="B172" s="566" t="s">
        <v>339</v>
      </c>
      <c r="C172" s="2041">
        <v>89</v>
      </c>
      <c r="D172" s="2041">
        <v>89</v>
      </c>
      <c r="E172" s="2041">
        <v>84</v>
      </c>
      <c r="F172" s="2041">
        <v>80</v>
      </c>
      <c r="G172" s="2041">
        <v>48</v>
      </c>
      <c r="H172" s="569">
        <v>47</v>
      </c>
      <c r="I172" s="2041">
        <v>32</v>
      </c>
      <c r="J172" s="2041">
        <v>28</v>
      </c>
      <c r="K172" s="2041">
        <v>14</v>
      </c>
      <c r="L172" s="2041">
        <v>47.5</v>
      </c>
      <c r="M172" s="2041">
        <v>17</v>
      </c>
      <c r="N172" s="2041">
        <v>17</v>
      </c>
      <c r="O172" s="569">
        <v>47</v>
      </c>
      <c r="P172" s="2041">
        <v>18</v>
      </c>
      <c r="AC172" s="566" t="s">
        <v>270</v>
      </c>
      <c r="AD172" s="2041">
        <v>116</v>
      </c>
      <c r="AE172" s="2041">
        <v>116</v>
      </c>
      <c r="AF172" s="2041">
        <v>102</v>
      </c>
      <c r="AG172" s="2041">
        <v>70</v>
      </c>
      <c r="AH172" s="2041">
        <v>65</v>
      </c>
      <c r="AI172" s="2041" t="s">
        <v>271</v>
      </c>
      <c r="AJ172" s="569">
        <v>65</v>
      </c>
      <c r="AK172" s="2041">
        <v>42</v>
      </c>
      <c r="AL172" s="2041">
        <v>42</v>
      </c>
      <c r="AM172" s="2041">
        <v>10</v>
      </c>
      <c r="AN172" s="2041">
        <v>10</v>
      </c>
      <c r="AQ172" s="566" t="s">
        <v>270</v>
      </c>
      <c r="AR172" s="2041">
        <v>10</v>
      </c>
      <c r="AS172" s="2041">
        <v>13</v>
      </c>
      <c r="AT172" s="2041">
        <v>4</v>
      </c>
      <c r="AU172" s="2041">
        <v>64.3</v>
      </c>
      <c r="AV172" s="2041">
        <v>27</v>
      </c>
      <c r="AW172" s="2041">
        <v>27</v>
      </c>
      <c r="AX172" s="569">
        <v>65</v>
      </c>
      <c r="AY172" s="2041">
        <v>22</v>
      </c>
      <c r="AZ172" s="2041">
        <v>5</v>
      </c>
      <c r="BA172" s="2041">
        <v>29.1</v>
      </c>
      <c r="BD172" s="563" t="s">
        <v>270</v>
      </c>
      <c r="BE172" s="2076">
        <v>134</v>
      </c>
      <c r="BF172" s="2076">
        <v>25</v>
      </c>
      <c r="BG172" s="2076">
        <v>25</v>
      </c>
      <c r="BH172" s="2076">
        <v>30</v>
      </c>
      <c r="BI172" s="2076">
        <v>49</v>
      </c>
      <c r="BJ172" s="2076">
        <v>25</v>
      </c>
      <c r="BK172" s="2076">
        <v>3.6999999999999998E-2</v>
      </c>
      <c r="BL172" s="2076">
        <v>2.5000000000000001E-3</v>
      </c>
      <c r="BM172" s="2076">
        <v>3.5000000000000001E-3</v>
      </c>
      <c r="BN172" s="29">
        <v>5.7</v>
      </c>
    </row>
    <row r="173" spans="2:66" ht="48" customHeight="1" thickBot="1">
      <c r="B173" s="566" t="s">
        <v>340</v>
      </c>
      <c r="C173" s="2043"/>
      <c r="D173" s="2043"/>
      <c r="E173" s="2043"/>
      <c r="F173" s="2043"/>
      <c r="G173" s="2042"/>
      <c r="H173" s="569">
        <v>56</v>
      </c>
      <c r="I173" s="2042"/>
      <c r="J173" s="2042"/>
      <c r="K173" s="2043"/>
      <c r="L173" s="2042"/>
      <c r="M173" s="2043"/>
      <c r="N173" s="2043"/>
      <c r="O173" s="569">
        <v>56</v>
      </c>
      <c r="P173" s="2043"/>
      <c r="AC173" s="566" t="s">
        <v>272</v>
      </c>
      <c r="AD173" s="2043"/>
      <c r="AE173" s="2043"/>
      <c r="AF173" s="2043"/>
      <c r="AG173" s="2042"/>
      <c r="AH173" s="2042"/>
      <c r="AI173" s="2043"/>
      <c r="AJ173" s="569">
        <v>74</v>
      </c>
      <c r="AK173" s="2042"/>
      <c r="AL173" s="2042"/>
      <c r="AM173" s="2043"/>
      <c r="AN173" s="2043"/>
      <c r="AQ173" s="566" t="s">
        <v>272</v>
      </c>
      <c r="AR173" s="2043"/>
      <c r="AS173" s="2043"/>
      <c r="AT173" s="2043"/>
      <c r="AU173" s="2042"/>
      <c r="AV173" s="2043"/>
      <c r="AW173" s="2043"/>
      <c r="AX173" s="569">
        <v>74</v>
      </c>
      <c r="AY173" s="2043"/>
      <c r="AZ173" s="2043"/>
      <c r="BA173" s="2043"/>
      <c r="BD173" s="563" t="s">
        <v>272</v>
      </c>
      <c r="BE173" s="2077"/>
      <c r="BF173" s="2077"/>
      <c r="BG173" s="2077"/>
      <c r="BH173" s="2077"/>
      <c r="BI173" s="2077"/>
      <c r="BJ173" s="2077"/>
      <c r="BK173" s="2078"/>
      <c r="BL173" s="2077"/>
      <c r="BM173" s="2077"/>
      <c r="BN173" s="29">
        <v>6.4</v>
      </c>
    </row>
    <row r="174" spans="2:66" ht="48" customHeight="1" thickBot="1">
      <c r="B174" s="566" t="s">
        <v>341</v>
      </c>
      <c r="C174" s="2043"/>
      <c r="D174" s="2043"/>
      <c r="E174" s="2043"/>
      <c r="F174" s="2043"/>
      <c r="G174" s="2041">
        <v>55</v>
      </c>
      <c r="H174" s="569">
        <v>47</v>
      </c>
      <c r="I174" s="2041">
        <v>28</v>
      </c>
      <c r="J174" s="2041">
        <v>24</v>
      </c>
      <c r="K174" s="2043"/>
      <c r="L174" s="2041">
        <v>54.5</v>
      </c>
      <c r="M174" s="2043"/>
      <c r="N174" s="2043"/>
      <c r="O174" s="569">
        <v>47</v>
      </c>
      <c r="P174" s="2043"/>
      <c r="AC174" s="566" t="s">
        <v>273</v>
      </c>
      <c r="AD174" s="2043"/>
      <c r="AE174" s="2043"/>
      <c r="AF174" s="2043"/>
      <c r="AG174" s="2041">
        <v>75</v>
      </c>
      <c r="AH174" s="2041">
        <v>70</v>
      </c>
      <c r="AI174" s="2043"/>
      <c r="AJ174" s="569">
        <v>65</v>
      </c>
      <c r="AK174" s="2041">
        <v>40</v>
      </c>
      <c r="AL174" s="2041">
        <v>40</v>
      </c>
      <c r="AM174" s="2043"/>
      <c r="AN174" s="2043"/>
      <c r="AQ174" s="566" t="s">
        <v>273</v>
      </c>
      <c r="AR174" s="2043"/>
      <c r="AS174" s="2043"/>
      <c r="AT174" s="2043"/>
      <c r="AU174" s="2041">
        <v>69.5</v>
      </c>
      <c r="AV174" s="2043"/>
      <c r="AW174" s="2043"/>
      <c r="AX174" s="569">
        <v>65</v>
      </c>
      <c r="AY174" s="2043"/>
      <c r="AZ174" s="2043"/>
      <c r="BA174" s="2043"/>
      <c r="BD174" s="563" t="s">
        <v>273</v>
      </c>
      <c r="BE174" s="2077"/>
      <c r="BF174" s="2077"/>
      <c r="BG174" s="2077"/>
      <c r="BH174" s="2077"/>
      <c r="BI174" s="2077"/>
      <c r="BJ174" s="2077"/>
      <c r="BK174" s="2076">
        <v>1.7999999999999999E-2</v>
      </c>
      <c r="BL174" s="2077"/>
      <c r="BM174" s="2077"/>
      <c r="BN174" s="29">
        <v>5.4</v>
      </c>
    </row>
    <row r="175" spans="2:66" ht="48" customHeight="1" thickBot="1">
      <c r="B175" s="566" t="s">
        <v>342</v>
      </c>
      <c r="C175" s="2042"/>
      <c r="D175" s="2042"/>
      <c r="E175" s="2042"/>
      <c r="F175" s="2042"/>
      <c r="G175" s="2042"/>
      <c r="H175" s="2041">
        <v>56</v>
      </c>
      <c r="I175" s="2042"/>
      <c r="J175" s="2042"/>
      <c r="K175" s="2043"/>
      <c r="L175" s="2042"/>
      <c r="M175" s="2042"/>
      <c r="N175" s="2042"/>
      <c r="O175" s="2041">
        <v>56</v>
      </c>
      <c r="P175" s="2042"/>
      <c r="AC175" s="566" t="s">
        <v>274</v>
      </c>
      <c r="AD175" s="2042"/>
      <c r="AE175" s="2042"/>
      <c r="AF175" s="2042"/>
      <c r="AG175" s="2042"/>
      <c r="AH175" s="2042"/>
      <c r="AI175" s="2043"/>
      <c r="AJ175" s="569">
        <v>74</v>
      </c>
      <c r="AK175" s="2042"/>
      <c r="AL175" s="2042"/>
      <c r="AM175" s="2042"/>
      <c r="AN175" s="2042"/>
      <c r="AQ175" s="566" t="s">
        <v>274</v>
      </c>
      <c r="AR175" s="2042"/>
      <c r="AS175" s="2042"/>
      <c r="AT175" s="2042"/>
      <c r="AU175" s="2042"/>
      <c r="AV175" s="2042"/>
      <c r="AW175" s="2042"/>
      <c r="AX175" s="569">
        <v>74</v>
      </c>
      <c r="AY175" s="2042"/>
      <c r="AZ175" s="2042"/>
      <c r="BA175" s="2042"/>
      <c r="BD175" s="563" t="s">
        <v>274</v>
      </c>
      <c r="BE175" s="2078"/>
      <c r="BF175" s="2078"/>
      <c r="BG175" s="2078"/>
      <c r="BH175" s="2078"/>
      <c r="BI175" s="2078"/>
      <c r="BJ175" s="2078"/>
      <c r="BK175" s="2078"/>
      <c r="BL175" s="2078"/>
      <c r="BM175" s="2078"/>
      <c r="BN175" s="29">
        <v>6.2</v>
      </c>
    </row>
    <row r="176" spans="2:66" ht="48" customHeight="1" thickBot="1">
      <c r="B176" s="566" t="s">
        <v>343</v>
      </c>
      <c r="C176" s="2041">
        <v>100</v>
      </c>
      <c r="D176" s="2041">
        <v>100</v>
      </c>
      <c r="E176" s="2041">
        <v>95</v>
      </c>
      <c r="F176" s="2041">
        <v>90</v>
      </c>
      <c r="G176" s="2041">
        <v>54</v>
      </c>
      <c r="H176" s="2042"/>
      <c r="I176" s="2041">
        <v>35</v>
      </c>
      <c r="J176" s="2041">
        <v>31</v>
      </c>
      <c r="K176" s="2043"/>
      <c r="L176" s="2041">
        <v>53.4</v>
      </c>
      <c r="M176" s="2041">
        <v>20</v>
      </c>
      <c r="N176" s="2041">
        <v>20</v>
      </c>
      <c r="O176" s="2042"/>
      <c r="P176" s="2041">
        <v>20</v>
      </c>
      <c r="AC176" s="566" t="s">
        <v>275</v>
      </c>
      <c r="AD176" s="2041">
        <v>116</v>
      </c>
      <c r="AE176" s="2041">
        <v>116</v>
      </c>
      <c r="AF176" s="2041">
        <v>102</v>
      </c>
      <c r="AG176" s="2041">
        <v>82</v>
      </c>
      <c r="AH176" s="2041">
        <v>76</v>
      </c>
      <c r="AI176" s="2043"/>
      <c r="AJ176" s="569">
        <v>65</v>
      </c>
      <c r="AK176" s="2041">
        <v>37</v>
      </c>
      <c r="AL176" s="2041">
        <v>37</v>
      </c>
      <c r="AM176" s="2041">
        <v>10</v>
      </c>
      <c r="AN176" s="2041">
        <v>10</v>
      </c>
      <c r="AQ176" s="566" t="s">
        <v>275</v>
      </c>
      <c r="AR176" s="2041">
        <v>10</v>
      </c>
      <c r="AS176" s="2041">
        <v>13</v>
      </c>
      <c r="AT176" s="2041">
        <v>4</v>
      </c>
      <c r="AU176" s="2041">
        <v>75.5</v>
      </c>
      <c r="AV176" s="2041">
        <v>27</v>
      </c>
      <c r="AW176" s="2041">
        <v>27</v>
      </c>
      <c r="AX176" s="569">
        <v>65</v>
      </c>
      <c r="AY176" s="2041">
        <v>16</v>
      </c>
      <c r="AZ176" s="2041">
        <v>5</v>
      </c>
      <c r="BA176" s="2041">
        <v>29.1</v>
      </c>
      <c r="BD176" s="563" t="s">
        <v>275</v>
      </c>
      <c r="BE176" s="2076">
        <v>134</v>
      </c>
      <c r="BF176" s="2076">
        <v>25</v>
      </c>
      <c r="BG176" s="2076">
        <v>25</v>
      </c>
      <c r="BH176" s="2076">
        <v>30</v>
      </c>
      <c r="BI176" s="2076">
        <v>49</v>
      </c>
      <c r="BJ176" s="2076">
        <v>25</v>
      </c>
      <c r="BK176" s="2076">
        <v>1.2E-2</v>
      </c>
      <c r="BL176" s="2076">
        <v>2.5000000000000001E-3</v>
      </c>
      <c r="BM176" s="2076">
        <v>3.5000000000000001E-3</v>
      </c>
      <c r="BN176" s="29">
        <v>5.5</v>
      </c>
    </row>
    <row r="177" spans="2:66" ht="48" customHeight="1" thickBot="1">
      <c r="B177" s="566" t="s">
        <v>344</v>
      </c>
      <c r="C177" s="2043"/>
      <c r="D177" s="2043"/>
      <c r="E177" s="2043"/>
      <c r="F177" s="2043"/>
      <c r="G177" s="2042"/>
      <c r="H177" s="569">
        <v>65</v>
      </c>
      <c r="I177" s="2042"/>
      <c r="J177" s="2042"/>
      <c r="K177" s="2043"/>
      <c r="L177" s="2042"/>
      <c r="M177" s="2043"/>
      <c r="N177" s="2043"/>
      <c r="O177" s="569">
        <v>65</v>
      </c>
      <c r="P177" s="2043"/>
      <c r="AC177" s="566" t="s">
        <v>276</v>
      </c>
      <c r="AD177" s="2043"/>
      <c r="AE177" s="2043"/>
      <c r="AF177" s="2043"/>
      <c r="AG177" s="2043"/>
      <c r="AH177" s="2043"/>
      <c r="AI177" s="2043"/>
      <c r="AJ177" s="569">
        <v>90</v>
      </c>
      <c r="AK177" s="2042"/>
      <c r="AL177" s="2042"/>
      <c r="AM177" s="2043"/>
      <c r="AN177" s="2043"/>
      <c r="AQ177" s="566" t="s">
        <v>276</v>
      </c>
      <c r="AR177" s="2043"/>
      <c r="AS177" s="2043"/>
      <c r="AT177" s="2043"/>
      <c r="AU177" s="2043"/>
      <c r="AV177" s="2043"/>
      <c r="AW177" s="2043"/>
      <c r="AX177" s="569">
        <v>90</v>
      </c>
      <c r="AY177" s="2043"/>
      <c r="AZ177" s="2043"/>
      <c r="BA177" s="2043"/>
      <c r="BD177" s="563" t="s">
        <v>276</v>
      </c>
      <c r="BE177" s="2077"/>
      <c r="BF177" s="2077"/>
      <c r="BG177" s="2077"/>
      <c r="BH177" s="2077"/>
      <c r="BI177" s="2077"/>
      <c r="BJ177" s="2077"/>
      <c r="BK177" s="2078"/>
      <c r="BL177" s="2077"/>
      <c r="BM177" s="2077"/>
      <c r="BN177" s="29">
        <v>6.8</v>
      </c>
    </row>
    <row r="178" spans="2:66" ht="48" customHeight="1" thickBot="1">
      <c r="B178" s="566" t="s">
        <v>345</v>
      </c>
      <c r="C178" s="2043"/>
      <c r="D178" s="2043"/>
      <c r="E178" s="2043"/>
      <c r="F178" s="2043"/>
      <c r="G178" s="2041">
        <v>61</v>
      </c>
      <c r="H178" s="569">
        <v>56</v>
      </c>
      <c r="I178" s="2041">
        <v>28</v>
      </c>
      <c r="J178" s="2041">
        <v>24</v>
      </c>
      <c r="K178" s="2043"/>
      <c r="L178" s="2041">
        <v>60.5</v>
      </c>
      <c r="M178" s="2043"/>
      <c r="N178" s="2043"/>
      <c r="O178" s="569">
        <v>56</v>
      </c>
      <c r="P178" s="2043"/>
      <c r="AC178" s="566" t="s">
        <v>277</v>
      </c>
      <c r="AD178" s="2042"/>
      <c r="AE178" s="2042"/>
      <c r="AF178" s="2042"/>
      <c r="AG178" s="2042"/>
      <c r="AH178" s="2042"/>
      <c r="AI178" s="2043"/>
      <c r="AJ178" s="569">
        <v>74</v>
      </c>
      <c r="AK178" s="569">
        <v>35</v>
      </c>
      <c r="AL178" s="569">
        <v>35</v>
      </c>
      <c r="AM178" s="2043"/>
      <c r="AN178" s="2043"/>
      <c r="AQ178" s="566" t="s">
        <v>277</v>
      </c>
      <c r="AR178" s="2043"/>
      <c r="AS178" s="2042"/>
      <c r="AT178" s="2043"/>
      <c r="AU178" s="2042"/>
      <c r="AV178" s="2042"/>
      <c r="AW178" s="2042"/>
      <c r="AX178" s="569">
        <v>74</v>
      </c>
      <c r="AY178" s="2042"/>
      <c r="AZ178" s="2042"/>
      <c r="BA178" s="2042"/>
      <c r="BD178" s="563" t="s">
        <v>277</v>
      </c>
      <c r="BE178" s="2078"/>
      <c r="BF178" s="2078"/>
      <c r="BG178" s="2078"/>
      <c r="BH178" s="2078"/>
      <c r="BI178" s="2077"/>
      <c r="BJ178" s="2077"/>
      <c r="BK178" s="29">
        <v>8.9999999999999993E-3</v>
      </c>
      <c r="BL178" s="2078"/>
      <c r="BM178" s="2077"/>
      <c r="BN178" s="29">
        <v>5.7</v>
      </c>
    </row>
    <row r="179" spans="2:66" ht="48" customHeight="1" thickBot="1">
      <c r="B179" s="566" t="s">
        <v>346</v>
      </c>
      <c r="C179" s="2043"/>
      <c r="D179" s="2043"/>
      <c r="E179" s="2043"/>
      <c r="F179" s="2043"/>
      <c r="G179" s="2042"/>
      <c r="H179" s="569">
        <v>65</v>
      </c>
      <c r="I179" s="2043"/>
      <c r="J179" s="2043"/>
      <c r="K179" s="2043"/>
      <c r="L179" s="2042"/>
      <c r="M179" s="2043"/>
      <c r="N179" s="2043"/>
      <c r="O179" s="569">
        <v>65</v>
      </c>
      <c r="P179" s="2043"/>
      <c r="AC179" s="566" t="s">
        <v>278</v>
      </c>
      <c r="AD179" s="2041">
        <v>131</v>
      </c>
      <c r="AE179" s="2041">
        <v>131</v>
      </c>
      <c r="AF179" s="2041">
        <v>117</v>
      </c>
      <c r="AG179" s="2041">
        <v>80</v>
      </c>
      <c r="AH179" s="2041">
        <v>74</v>
      </c>
      <c r="AI179" s="2043"/>
      <c r="AJ179" s="569">
        <v>78</v>
      </c>
      <c r="AK179" s="2041">
        <v>45</v>
      </c>
      <c r="AL179" s="2041">
        <v>45</v>
      </c>
      <c r="AM179" s="2043"/>
      <c r="AN179" s="2043"/>
      <c r="AQ179" s="566" t="s">
        <v>278</v>
      </c>
      <c r="AR179" s="2043"/>
      <c r="AS179" s="2041">
        <v>10</v>
      </c>
      <c r="AT179" s="2043"/>
      <c r="AU179" s="2041">
        <v>73.3</v>
      </c>
      <c r="AV179" s="2041">
        <v>32</v>
      </c>
      <c r="AW179" s="2041">
        <v>32</v>
      </c>
      <c r="AX179" s="569">
        <v>78</v>
      </c>
      <c r="AY179" s="2041">
        <v>19</v>
      </c>
      <c r="AZ179" s="2041">
        <v>6</v>
      </c>
      <c r="BA179" s="2041">
        <v>34.799999999999997</v>
      </c>
      <c r="BD179" s="563" t="s">
        <v>278</v>
      </c>
      <c r="BE179" s="2076">
        <v>150</v>
      </c>
      <c r="BF179" s="2076">
        <v>30</v>
      </c>
      <c r="BG179" s="2076">
        <v>30</v>
      </c>
      <c r="BH179" s="2076">
        <v>32.5</v>
      </c>
      <c r="BI179" s="2077"/>
      <c r="BJ179" s="2077"/>
      <c r="BK179" s="2076">
        <v>5.3999999999999999E-2</v>
      </c>
      <c r="BL179" s="2076">
        <v>3.0000000000000001E-3</v>
      </c>
      <c r="BM179" s="2077"/>
      <c r="BN179" s="29">
        <v>8.1999999999999993</v>
      </c>
    </row>
    <row r="180" spans="2:66" ht="48" customHeight="1" thickBot="1">
      <c r="B180" s="566" t="s">
        <v>347</v>
      </c>
      <c r="C180" s="2043"/>
      <c r="D180" s="2043"/>
      <c r="E180" s="2043"/>
      <c r="F180" s="2043"/>
      <c r="G180" s="2041">
        <v>65</v>
      </c>
      <c r="H180" s="569">
        <v>56</v>
      </c>
      <c r="I180" s="2043"/>
      <c r="J180" s="2043"/>
      <c r="K180" s="2043"/>
      <c r="L180" s="2041">
        <v>64.5</v>
      </c>
      <c r="M180" s="2043"/>
      <c r="N180" s="2043"/>
      <c r="O180" s="569">
        <v>56</v>
      </c>
      <c r="P180" s="2043"/>
      <c r="AC180" s="566" t="s">
        <v>279</v>
      </c>
      <c r="AD180" s="2043"/>
      <c r="AE180" s="2043"/>
      <c r="AF180" s="2043"/>
      <c r="AG180" s="2042"/>
      <c r="AH180" s="2042"/>
      <c r="AI180" s="2043"/>
      <c r="AJ180" s="569">
        <v>98</v>
      </c>
      <c r="AK180" s="2043"/>
      <c r="AL180" s="2043"/>
      <c r="AM180" s="2043"/>
      <c r="AN180" s="2043"/>
      <c r="AQ180" s="566" t="s">
        <v>279</v>
      </c>
      <c r="AR180" s="2043"/>
      <c r="AS180" s="2043"/>
      <c r="AT180" s="2043"/>
      <c r="AU180" s="2042"/>
      <c r="AV180" s="2043"/>
      <c r="AW180" s="2043"/>
      <c r="AX180" s="569">
        <v>98</v>
      </c>
      <c r="AY180" s="2042"/>
      <c r="AZ180" s="2043"/>
      <c r="BA180" s="2043"/>
      <c r="BD180" s="563" t="s">
        <v>279</v>
      </c>
      <c r="BE180" s="2077"/>
      <c r="BF180" s="2077"/>
      <c r="BG180" s="2077"/>
      <c r="BH180" s="2077"/>
      <c r="BI180" s="2077"/>
      <c r="BJ180" s="2077"/>
      <c r="BK180" s="2078"/>
      <c r="BL180" s="2077"/>
      <c r="BM180" s="2077"/>
      <c r="BN180" s="29">
        <v>9.9</v>
      </c>
    </row>
    <row r="181" spans="2:66" ht="48" customHeight="1" thickBot="1">
      <c r="B181" s="566" t="s">
        <v>348</v>
      </c>
      <c r="C181" s="2042"/>
      <c r="D181" s="2042"/>
      <c r="E181" s="2042"/>
      <c r="F181" s="2042"/>
      <c r="G181" s="2042"/>
      <c r="H181" s="569">
        <v>65</v>
      </c>
      <c r="I181" s="2042"/>
      <c r="J181" s="2042"/>
      <c r="K181" s="2042"/>
      <c r="L181" s="2042"/>
      <c r="M181" s="2042"/>
      <c r="N181" s="2042"/>
      <c r="O181" s="569">
        <v>65</v>
      </c>
      <c r="P181" s="2042"/>
      <c r="AC181" s="566" t="s">
        <v>280</v>
      </c>
      <c r="AD181" s="2043"/>
      <c r="AE181" s="2043"/>
      <c r="AF181" s="2043"/>
      <c r="AG181" s="2041">
        <v>90</v>
      </c>
      <c r="AH181" s="2041">
        <v>84</v>
      </c>
      <c r="AI181" s="2043"/>
      <c r="AJ181" s="569">
        <v>78</v>
      </c>
      <c r="AK181" s="2043"/>
      <c r="AL181" s="2043"/>
      <c r="AM181" s="2043"/>
      <c r="AN181" s="2043"/>
      <c r="AQ181" s="566" t="s">
        <v>280</v>
      </c>
      <c r="AR181" s="2043"/>
      <c r="AS181" s="2043"/>
      <c r="AT181" s="2043"/>
      <c r="AU181" s="2041">
        <v>83.5</v>
      </c>
      <c r="AV181" s="2043"/>
      <c r="AW181" s="2043"/>
      <c r="AX181" s="569">
        <v>78</v>
      </c>
      <c r="AY181" s="2041">
        <v>20</v>
      </c>
      <c r="AZ181" s="2043"/>
      <c r="BA181" s="2043"/>
      <c r="BD181" s="563" t="s">
        <v>280</v>
      </c>
      <c r="BE181" s="2077"/>
      <c r="BF181" s="2077"/>
      <c r="BG181" s="2077"/>
      <c r="BH181" s="2077"/>
      <c r="BI181" s="2077"/>
      <c r="BJ181" s="2077"/>
      <c r="BK181" s="2076">
        <v>2.7E-2</v>
      </c>
      <c r="BL181" s="2077"/>
      <c r="BM181" s="2077"/>
      <c r="BN181" s="29">
        <v>8.1999999999999993</v>
      </c>
    </row>
    <row r="182" spans="2:66" ht="48" customHeight="1" thickBot="1">
      <c r="AC182" s="566" t="s">
        <v>281</v>
      </c>
      <c r="AD182" s="2043"/>
      <c r="AE182" s="2043"/>
      <c r="AF182" s="2043"/>
      <c r="AG182" s="2042"/>
      <c r="AH182" s="2042"/>
      <c r="AI182" s="2043"/>
      <c r="AJ182" s="569">
        <v>98</v>
      </c>
      <c r="AK182" s="2043"/>
      <c r="AL182" s="2043"/>
      <c r="AM182" s="2043"/>
      <c r="AN182" s="2043"/>
      <c r="AQ182" s="566" t="s">
        <v>281</v>
      </c>
      <c r="AR182" s="2043"/>
      <c r="AS182" s="2043"/>
      <c r="AT182" s="2043"/>
      <c r="AU182" s="2042"/>
      <c r="AV182" s="2043"/>
      <c r="AW182" s="2043"/>
      <c r="AX182" s="569">
        <v>98</v>
      </c>
      <c r="AY182" s="2042"/>
      <c r="AZ182" s="2043"/>
      <c r="BA182" s="2043"/>
      <c r="BD182" s="563" t="s">
        <v>281</v>
      </c>
      <c r="BE182" s="2077"/>
      <c r="BF182" s="2077"/>
      <c r="BG182" s="2077"/>
      <c r="BH182" s="2077"/>
      <c r="BI182" s="2077"/>
      <c r="BJ182" s="2077"/>
      <c r="BK182" s="2078"/>
      <c r="BL182" s="2077"/>
      <c r="BM182" s="2077"/>
      <c r="BN182" s="29">
        <v>10.1</v>
      </c>
    </row>
    <row r="183" spans="2:66" ht="48" customHeight="1" thickBot="1">
      <c r="B183" s="564" t="s">
        <v>349</v>
      </c>
      <c r="C183" s="2038" t="s">
        <v>258</v>
      </c>
      <c r="D183" s="2039"/>
      <c r="E183" s="2039"/>
      <c r="F183" s="2040"/>
      <c r="G183" s="2041" t="s">
        <v>350</v>
      </c>
      <c r="H183" s="2038" t="s">
        <v>351</v>
      </c>
      <c r="I183" s="2040"/>
      <c r="J183" s="2041" t="s">
        <v>352</v>
      </c>
      <c r="AC183" s="566" t="s">
        <v>282</v>
      </c>
      <c r="AD183" s="2043"/>
      <c r="AE183" s="2043"/>
      <c r="AF183" s="2043"/>
      <c r="AG183" s="2041">
        <v>95</v>
      </c>
      <c r="AH183" s="2041">
        <v>88</v>
      </c>
      <c r="AI183" s="2043"/>
      <c r="AJ183" s="569">
        <v>78</v>
      </c>
      <c r="AK183" s="2042"/>
      <c r="AL183" s="2042"/>
      <c r="AM183" s="2043"/>
      <c r="AN183" s="2043"/>
      <c r="AQ183" s="566" t="s">
        <v>282</v>
      </c>
      <c r="AR183" s="2043"/>
      <c r="AS183" s="2043"/>
      <c r="AT183" s="2043"/>
      <c r="AU183" s="2041">
        <v>87.5</v>
      </c>
      <c r="AV183" s="2043"/>
      <c r="AW183" s="2043"/>
      <c r="AX183" s="569">
        <v>78</v>
      </c>
      <c r="AY183" s="2041">
        <v>14.5</v>
      </c>
      <c r="AZ183" s="2043"/>
      <c r="BA183" s="2043"/>
      <c r="BD183" s="563" t="s">
        <v>282</v>
      </c>
      <c r="BE183" s="2077"/>
      <c r="BF183" s="2077"/>
      <c r="BG183" s="2077"/>
      <c r="BH183" s="2077"/>
      <c r="BI183" s="2077"/>
      <c r="BJ183" s="2077"/>
      <c r="BK183" s="2076">
        <v>1.7999999999999999E-2</v>
      </c>
      <c r="BL183" s="2077"/>
      <c r="BM183" s="2077"/>
      <c r="BN183" s="29">
        <v>7.6</v>
      </c>
    </row>
    <row r="184" spans="2:66" ht="48" customHeight="1" thickBot="1">
      <c r="B184" s="565" t="s">
        <v>257</v>
      </c>
      <c r="C184" s="2038" t="s">
        <v>353</v>
      </c>
      <c r="D184" s="2039"/>
      <c r="E184" s="2039"/>
      <c r="F184" s="2040"/>
      <c r="G184" s="2043"/>
      <c r="H184" s="2041" t="s">
        <v>354</v>
      </c>
      <c r="I184" s="2041" t="s">
        <v>355</v>
      </c>
      <c r="J184" s="2043"/>
      <c r="AC184" s="566" t="s">
        <v>283</v>
      </c>
      <c r="AD184" s="2043"/>
      <c r="AE184" s="2043"/>
      <c r="AF184" s="2043"/>
      <c r="AG184" s="2043"/>
      <c r="AH184" s="2043"/>
      <c r="AI184" s="2043"/>
      <c r="AJ184" s="569">
        <v>115</v>
      </c>
      <c r="AK184" s="569">
        <v>36.5</v>
      </c>
      <c r="AL184" s="569">
        <v>36.5</v>
      </c>
      <c r="AM184" s="2043"/>
      <c r="AN184" s="2043"/>
      <c r="AQ184" s="566" t="s">
        <v>283</v>
      </c>
      <c r="AR184" s="2043"/>
      <c r="AS184" s="2043"/>
      <c r="AT184" s="2043"/>
      <c r="AU184" s="2043"/>
      <c r="AV184" s="2043"/>
      <c r="AW184" s="2043"/>
      <c r="AX184" s="569">
        <v>115</v>
      </c>
      <c r="AY184" s="2043"/>
      <c r="AZ184" s="2043"/>
      <c r="BA184" s="2043"/>
      <c r="BD184" s="563" t="s">
        <v>283</v>
      </c>
      <c r="BE184" s="2077"/>
      <c r="BF184" s="2077"/>
      <c r="BG184" s="2077"/>
      <c r="BH184" s="2077"/>
      <c r="BI184" s="2077"/>
      <c r="BJ184" s="2077"/>
      <c r="BK184" s="2078"/>
      <c r="BL184" s="2077"/>
      <c r="BM184" s="2077"/>
      <c r="BN184" s="29">
        <v>10.5</v>
      </c>
    </row>
    <row r="185" spans="2:66" ht="48" customHeight="1" thickBot="1">
      <c r="B185" s="585"/>
      <c r="C185" s="569" t="s">
        <v>356</v>
      </c>
      <c r="D185" s="569" t="s">
        <v>357</v>
      </c>
      <c r="E185" s="569" t="s">
        <v>358</v>
      </c>
      <c r="F185" s="569" t="s">
        <v>359</v>
      </c>
      <c r="G185" s="2042"/>
      <c r="H185" s="2042"/>
      <c r="I185" s="2042"/>
      <c r="J185" s="2042"/>
      <c r="AC185" s="566" t="s">
        <v>284</v>
      </c>
      <c r="AD185" s="2043"/>
      <c r="AE185" s="2043"/>
      <c r="AF185" s="2043"/>
      <c r="AG185" s="2043"/>
      <c r="AH185" s="2043"/>
      <c r="AI185" s="2043"/>
      <c r="AJ185" s="569">
        <v>78</v>
      </c>
      <c r="AK185" s="2041">
        <v>45</v>
      </c>
      <c r="AL185" s="2041">
        <v>45</v>
      </c>
      <c r="AM185" s="2043"/>
      <c r="AN185" s="2043"/>
      <c r="AQ185" s="566" t="s">
        <v>284</v>
      </c>
      <c r="AR185" s="2043"/>
      <c r="AS185" s="2043"/>
      <c r="AT185" s="2043"/>
      <c r="AU185" s="2043"/>
      <c r="AV185" s="2043"/>
      <c r="AW185" s="2043"/>
      <c r="AX185" s="569">
        <v>78</v>
      </c>
      <c r="AY185" s="2043"/>
      <c r="AZ185" s="2043"/>
      <c r="BA185" s="2043"/>
      <c r="BD185" s="563" t="s">
        <v>284</v>
      </c>
      <c r="BE185" s="2077"/>
      <c r="BF185" s="2077"/>
      <c r="BG185" s="2077"/>
      <c r="BH185" s="2077"/>
      <c r="BI185" s="2077"/>
      <c r="BJ185" s="2077"/>
      <c r="BK185" s="2076">
        <v>1.4E-2</v>
      </c>
      <c r="BL185" s="2077"/>
      <c r="BM185" s="2077"/>
      <c r="BN185" s="29">
        <v>7.5</v>
      </c>
    </row>
    <row r="186" spans="2:66" ht="48" customHeight="1" thickBot="1">
      <c r="B186" s="566" t="s">
        <v>339</v>
      </c>
      <c r="C186" s="2041">
        <v>114</v>
      </c>
      <c r="D186" s="2041">
        <v>14</v>
      </c>
      <c r="E186" s="2041">
        <v>14</v>
      </c>
      <c r="F186" s="2041">
        <v>15.4</v>
      </c>
      <c r="G186" s="2041">
        <v>1.4E-2</v>
      </c>
      <c r="H186" s="2041">
        <v>3.0000000000000001E-3</v>
      </c>
      <c r="I186" s="2041">
        <v>3.0000000000000001E-3</v>
      </c>
      <c r="J186" s="569">
        <v>2.2999999999999998</v>
      </c>
      <c r="AC186" s="566" t="s">
        <v>285</v>
      </c>
      <c r="AD186" s="2042"/>
      <c r="AE186" s="2042"/>
      <c r="AF186" s="2042"/>
      <c r="AG186" s="2042"/>
      <c r="AH186" s="2042"/>
      <c r="AI186" s="2043"/>
      <c r="AJ186" s="569">
        <v>98</v>
      </c>
      <c r="AK186" s="2042"/>
      <c r="AL186" s="2042"/>
      <c r="AM186" s="2042"/>
      <c r="AN186" s="2042"/>
      <c r="AQ186" s="566" t="s">
        <v>285</v>
      </c>
      <c r="AR186" s="2042"/>
      <c r="AS186" s="2042"/>
      <c r="AT186" s="2043"/>
      <c r="AU186" s="2042"/>
      <c r="AV186" s="2043"/>
      <c r="AW186" s="2043"/>
      <c r="AX186" s="569">
        <v>98</v>
      </c>
      <c r="AY186" s="2042"/>
      <c r="AZ186" s="2043"/>
      <c r="BA186" s="2043"/>
      <c r="BD186" s="563" t="s">
        <v>285</v>
      </c>
      <c r="BE186" s="2078"/>
      <c r="BF186" s="2077"/>
      <c r="BG186" s="2077"/>
      <c r="BH186" s="2078"/>
      <c r="BI186" s="2078"/>
      <c r="BJ186" s="2077"/>
      <c r="BK186" s="2078"/>
      <c r="BL186" s="2078"/>
      <c r="BM186" s="2078"/>
      <c r="BN186" s="29">
        <v>9.9</v>
      </c>
    </row>
    <row r="187" spans="2:66" ht="48" customHeight="1" thickBot="1">
      <c r="B187" s="566" t="s">
        <v>340</v>
      </c>
      <c r="C187" s="2043"/>
      <c r="D187" s="2043"/>
      <c r="E187" s="2043"/>
      <c r="F187" s="2043"/>
      <c r="G187" s="2042"/>
      <c r="H187" s="2043"/>
      <c r="I187" s="2043"/>
      <c r="J187" s="569">
        <v>2.8</v>
      </c>
      <c r="AC187" s="566" t="s">
        <v>286</v>
      </c>
      <c r="AD187" s="2041">
        <v>149</v>
      </c>
      <c r="AE187" s="2041">
        <v>149</v>
      </c>
      <c r="AF187" s="2041">
        <v>135</v>
      </c>
      <c r="AG187" s="569">
        <v>90</v>
      </c>
      <c r="AH187" s="569">
        <v>84</v>
      </c>
      <c r="AI187" s="2043"/>
      <c r="AJ187" s="2041">
        <v>100</v>
      </c>
      <c r="AK187" s="2041">
        <v>50</v>
      </c>
      <c r="AL187" s="2041">
        <v>50</v>
      </c>
      <c r="AM187" s="2041">
        <v>12</v>
      </c>
      <c r="AN187" s="2041">
        <v>12</v>
      </c>
      <c r="AQ187" s="566" t="s">
        <v>286</v>
      </c>
      <c r="AR187" s="2041">
        <v>12</v>
      </c>
      <c r="AS187" s="2041">
        <v>12</v>
      </c>
      <c r="AT187" s="2043"/>
      <c r="AU187" s="569">
        <v>83.2</v>
      </c>
      <c r="AV187" s="2043"/>
      <c r="AW187" s="2043"/>
      <c r="AX187" s="2041">
        <v>100</v>
      </c>
      <c r="AY187" s="2041">
        <v>30</v>
      </c>
      <c r="AZ187" s="2043"/>
      <c r="BA187" s="2043"/>
      <c r="BD187" s="563" t="s">
        <v>286</v>
      </c>
      <c r="BE187" s="2076">
        <v>172</v>
      </c>
      <c r="BF187" s="2077"/>
      <c r="BG187" s="2077"/>
      <c r="BH187" s="2076">
        <v>38</v>
      </c>
      <c r="BI187" s="2076">
        <v>55</v>
      </c>
      <c r="BJ187" s="2077"/>
      <c r="BK187" s="29">
        <v>7.8E-2</v>
      </c>
      <c r="BL187" s="2076">
        <v>4.0000000000000001E-3</v>
      </c>
      <c r="BM187" s="2076">
        <v>4.4999999999999997E-3</v>
      </c>
      <c r="BN187" s="29">
        <v>13.6</v>
      </c>
    </row>
    <row r="188" spans="2:66" ht="48" customHeight="1" thickBot="1">
      <c r="B188" s="566" t="s">
        <v>341</v>
      </c>
      <c r="C188" s="2043"/>
      <c r="D188" s="2043"/>
      <c r="E188" s="2043"/>
      <c r="F188" s="2043"/>
      <c r="G188" s="2041">
        <v>1.4999999999999999E-2</v>
      </c>
      <c r="H188" s="2043"/>
      <c r="I188" s="2043"/>
      <c r="J188" s="569">
        <v>2.2999999999999998</v>
      </c>
      <c r="AC188" s="566" t="s">
        <v>287</v>
      </c>
      <c r="AD188" s="2043"/>
      <c r="AE188" s="2043"/>
      <c r="AF188" s="2043"/>
      <c r="AG188" s="569">
        <v>100</v>
      </c>
      <c r="AH188" s="569">
        <v>95</v>
      </c>
      <c r="AI188" s="2043"/>
      <c r="AJ188" s="2042"/>
      <c r="AK188" s="2042"/>
      <c r="AL188" s="2042"/>
      <c r="AM188" s="2043"/>
      <c r="AN188" s="2043"/>
      <c r="AQ188" s="566" t="s">
        <v>287</v>
      </c>
      <c r="AR188" s="2043"/>
      <c r="AS188" s="2043"/>
      <c r="AT188" s="2043"/>
      <c r="AU188" s="569">
        <v>94.5</v>
      </c>
      <c r="AV188" s="2043"/>
      <c r="AW188" s="2043"/>
      <c r="AX188" s="2042"/>
      <c r="AY188" s="2043"/>
      <c r="AZ188" s="2043"/>
      <c r="BA188" s="2043"/>
      <c r="BD188" s="563" t="s">
        <v>287</v>
      </c>
      <c r="BE188" s="2077"/>
      <c r="BF188" s="2077"/>
      <c r="BG188" s="2077"/>
      <c r="BH188" s="2077"/>
      <c r="BI188" s="2077"/>
      <c r="BJ188" s="2077"/>
      <c r="BK188" s="29">
        <v>3.9E-2</v>
      </c>
      <c r="BL188" s="2077"/>
      <c r="BM188" s="2077"/>
      <c r="BN188" s="29">
        <v>12.4</v>
      </c>
    </row>
    <row r="189" spans="2:66" ht="48" customHeight="1" thickBot="1">
      <c r="B189" s="566" t="s">
        <v>342</v>
      </c>
      <c r="C189" s="2042"/>
      <c r="D189" s="2042"/>
      <c r="E189" s="2042"/>
      <c r="F189" s="2042"/>
      <c r="G189" s="2042"/>
      <c r="H189" s="2042"/>
      <c r="I189" s="2042"/>
      <c r="J189" s="569">
        <v>2.6</v>
      </c>
      <c r="AC189" s="566" t="s">
        <v>288</v>
      </c>
      <c r="AD189" s="2043"/>
      <c r="AE189" s="2043"/>
      <c r="AF189" s="2043"/>
      <c r="AG189" s="2041">
        <v>105</v>
      </c>
      <c r="AH189" s="2041">
        <v>100</v>
      </c>
      <c r="AI189" s="2043"/>
      <c r="AJ189" s="569">
        <v>110</v>
      </c>
      <c r="AK189" s="569">
        <v>45</v>
      </c>
      <c r="AL189" s="569">
        <v>45</v>
      </c>
      <c r="AM189" s="2043"/>
      <c r="AN189" s="2043"/>
      <c r="AQ189" s="566" t="s">
        <v>288</v>
      </c>
      <c r="AR189" s="2043"/>
      <c r="AS189" s="2043"/>
      <c r="AT189" s="2043"/>
      <c r="AU189" s="2041">
        <v>99.5</v>
      </c>
      <c r="AV189" s="2043"/>
      <c r="AW189" s="2043"/>
      <c r="AX189" s="569">
        <v>110</v>
      </c>
      <c r="AY189" s="2043"/>
      <c r="AZ189" s="2043"/>
      <c r="BA189" s="2043"/>
      <c r="BD189" s="563" t="s">
        <v>288</v>
      </c>
      <c r="BE189" s="2077"/>
      <c r="BF189" s="2077"/>
      <c r="BG189" s="2077"/>
      <c r="BH189" s="2077"/>
      <c r="BI189" s="2077"/>
      <c r="BJ189" s="2077"/>
      <c r="BK189" s="29">
        <v>2.5999999999999999E-2</v>
      </c>
      <c r="BL189" s="2077"/>
      <c r="BM189" s="2077"/>
      <c r="BN189" s="29">
        <v>13.5</v>
      </c>
    </row>
    <row r="190" spans="2:66" ht="48" customHeight="1" thickBot="1">
      <c r="B190" s="566" t="s">
        <v>343</v>
      </c>
      <c r="C190" s="2041">
        <v>126</v>
      </c>
      <c r="D190" s="2041">
        <v>17</v>
      </c>
      <c r="E190" s="2041">
        <v>17</v>
      </c>
      <c r="F190" s="2041">
        <v>18</v>
      </c>
      <c r="G190" s="2041">
        <v>0.02</v>
      </c>
      <c r="H190" s="2041">
        <v>4.0000000000000001E-3</v>
      </c>
      <c r="I190" s="2041">
        <v>4.0000000000000001E-3</v>
      </c>
      <c r="J190" s="569">
        <v>3.3</v>
      </c>
      <c r="AC190" s="566" t="s">
        <v>289</v>
      </c>
      <c r="AD190" s="2043"/>
      <c r="AE190" s="2043"/>
      <c r="AF190" s="2043"/>
      <c r="AG190" s="2043"/>
      <c r="AH190" s="2043"/>
      <c r="AI190" s="2043"/>
      <c r="AJ190" s="569">
        <v>100</v>
      </c>
      <c r="AK190" s="2041">
        <v>36</v>
      </c>
      <c r="AL190" s="2041">
        <v>36</v>
      </c>
      <c r="AM190" s="2043"/>
      <c r="AN190" s="2043"/>
      <c r="AQ190" s="566" t="s">
        <v>289</v>
      </c>
      <c r="AR190" s="2043"/>
      <c r="AS190" s="2043"/>
      <c r="AT190" s="2043"/>
      <c r="AU190" s="2043"/>
      <c r="AV190" s="2043"/>
      <c r="AW190" s="2043"/>
      <c r="AX190" s="569">
        <v>100</v>
      </c>
      <c r="AY190" s="2042"/>
      <c r="AZ190" s="2043"/>
      <c r="BA190" s="2043"/>
      <c r="BD190" s="563" t="s">
        <v>289</v>
      </c>
      <c r="BE190" s="2077"/>
      <c r="BF190" s="2077"/>
      <c r="BG190" s="2077"/>
      <c r="BH190" s="2077"/>
      <c r="BI190" s="2077"/>
      <c r="BJ190" s="2077"/>
      <c r="BK190" s="2076">
        <v>1.9E-2</v>
      </c>
      <c r="BL190" s="2077"/>
      <c r="BM190" s="2077"/>
      <c r="BN190" s="29">
        <v>11.5</v>
      </c>
    </row>
    <row r="191" spans="2:66" ht="48" customHeight="1" thickBot="1">
      <c r="B191" s="566" t="s">
        <v>344</v>
      </c>
      <c r="C191" s="2043"/>
      <c r="D191" s="2043"/>
      <c r="E191" s="2043"/>
      <c r="F191" s="2043"/>
      <c r="G191" s="2042"/>
      <c r="H191" s="2043"/>
      <c r="I191" s="2043"/>
      <c r="J191" s="569">
        <v>3.8</v>
      </c>
      <c r="AC191" s="566" t="s">
        <v>290</v>
      </c>
      <c r="AD191" s="2042"/>
      <c r="AE191" s="2042"/>
      <c r="AF191" s="2042"/>
      <c r="AG191" s="2042"/>
      <c r="AH191" s="2042"/>
      <c r="AI191" s="2043"/>
      <c r="AJ191" s="569">
        <v>130</v>
      </c>
      <c r="AK191" s="2042"/>
      <c r="AL191" s="2042"/>
      <c r="AM191" s="2042"/>
      <c r="AN191" s="2042"/>
      <c r="AQ191" s="566" t="s">
        <v>290</v>
      </c>
      <c r="AR191" s="2042"/>
      <c r="AS191" s="2042"/>
      <c r="AT191" s="2043"/>
      <c r="AU191" s="2042"/>
      <c r="AV191" s="2042"/>
      <c r="AW191" s="2042"/>
      <c r="AX191" s="569">
        <v>130</v>
      </c>
      <c r="AY191" s="569">
        <v>20</v>
      </c>
      <c r="AZ191" s="2043"/>
      <c r="BA191" s="2042"/>
      <c r="BD191" s="563" t="s">
        <v>290</v>
      </c>
      <c r="BE191" s="2078"/>
      <c r="BF191" s="2078"/>
      <c r="BG191" s="2078"/>
      <c r="BH191" s="2078"/>
      <c r="BI191" s="2078"/>
      <c r="BJ191" s="2078"/>
      <c r="BK191" s="2078"/>
      <c r="BL191" s="2078"/>
      <c r="BM191" s="2078"/>
      <c r="BN191" s="29">
        <v>15.4</v>
      </c>
    </row>
    <row r="192" spans="2:66" ht="48" customHeight="1" thickBot="1">
      <c r="B192" s="566" t="s">
        <v>345</v>
      </c>
      <c r="C192" s="2043"/>
      <c r="D192" s="2043"/>
      <c r="E192" s="2043"/>
      <c r="F192" s="2043"/>
      <c r="G192" s="2041">
        <v>2.1000000000000001E-2</v>
      </c>
      <c r="H192" s="2043"/>
      <c r="I192" s="2043"/>
      <c r="J192" s="569">
        <v>3.3</v>
      </c>
      <c r="AC192" s="566" t="s">
        <v>291</v>
      </c>
      <c r="AD192" s="2041">
        <v>168</v>
      </c>
      <c r="AE192" s="2041">
        <v>168</v>
      </c>
      <c r="AF192" s="2041">
        <v>154</v>
      </c>
      <c r="AG192" s="2041">
        <v>101</v>
      </c>
      <c r="AH192" s="2041">
        <v>95</v>
      </c>
      <c r="AI192" s="2043"/>
      <c r="AJ192" s="569">
        <v>100</v>
      </c>
      <c r="AK192" s="2041">
        <v>50</v>
      </c>
      <c r="AL192" s="2041">
        <v>50</v>
      </c>
      <c r="AM192" s="2041">
        <v>14</v>
      </c>
      <c r="AN192" s="2041">
        <v>14</v>
      </c>
      <c r="AQ192" s="566" t="s">
        <v>291</v>
      </c>
      <c r="AR192" s="2041">
        <v>14</v>
      </c>
      <c r="AS192" s="2041">
        <v>14</v>
      </c>
      <c r="AT192" s="2043"/>
      <c r="AU192" s="2041">
        <v>94.1</v>
      </c>
      <c r="AV192" s="2041">
        <v>37</v>
      </c>
      <c r="AW192" s="2041">
        <v>37</v>
      </c>
      <c r="AX192" s="569">
        <v>100</v>
      </c>
      <c r="AY192" s="2041">
        <v>33</v>
      </c>
      <c r="AZ192" s="2043"/>
      <c r="BA192" s="2041">
        <v>39.799999999999997</v>
      </c>
      <c r="BD192" s="563" t="s">
        <v>291</v>
      </c>
      <c r="BE192" s="2076">
        <v>194</v>
      </c>
      <c r="BF192" s="2076">
        <v>35</v>
      </c>
      <c r="BG192" s="2076">
        <v>35</v>
      </c>
      <c r="BH192" s="2076">
        <v>45</v>
      </c>
      <c r="BI192" s="2076">
        <v>59</v>
      </c>
      <c r="BJ192" s="2076">
        <v>28</v>
      </c>
      <c r="BK192" s="2076">
        <v>9.6000000000000002E-2</v>
      </c>
      <c r="BL192" s="2076">
        <v>5.0000000000000001E-3</v>
      </c>
      <c r="BM192" s="2076">
        <v>6.4999999999999997E-3</v>
      </c>
      <c r="BN192" s="29">
        <v>17.5</v>
      </c>
    </row>
    <row r="193" spans="2:66" ht="48" customHeight="1" thickBot="1">
      <c r="B193" s="566" t="s">
        <v>346</v>
      </c>
      <c r="C193" s="2043"/>
      <c r="D193" s="2043"/>
      <c r="E193" s="2043"/>
      <c r="F193" s="2043"/>
      <c r="G193" s="2042"/>
      <c r="H193" s="2043"/>
      <c r="I193" s="2043"/>
      <c r="J193" s="569">
        <v>3.5</v>
      </c>
      <c r="AC193" s="566" t="s">
        <v>292</v>
      </c>
      <c r="AD193" s="2043"/>
      <c r="AE193" s="2043"/>
      <c r="AF193" s="2043"/>
      <c r="AG193" s="2042"/>
      <c r="AH193" s="2042"/>
      <c r="AI193" s="2043"/>
      <c r="AJ193" s="569">
        <v>130</v>
      </c>
      <c r="AK193" s="2042"/>
      <c r="AL193" s="2042"/>
      <c r="AM193" s="2043"/>
      <c r="AN193" s="2043"/>
      <c r="AQ193" s="566" t="s">
        <v>292</v>
      </c>
      <c r="AR193" s="2043"/>
      <c r="AS193" s="2043"/>
      <c r="AT193" s="2043"/>
      <c r="AU193" s="2042"/>
      <c r="AV193" s="2043"/>
      <c r="AW193" s="2043"/>
      <c r="AX193" s="569">
        <v>130</v>
      </c>
      <c r="AY193" s="2043"/>
      <c r="AZ193" s="2043"/>
      <c r="BA193" s="2043"/>
      <c r="BD193" s="563" t="s">
        <v>292</v>
      </c>
      <c r="BE193" s="2077"/>
      <c r="BF193" s="2077"/>
      <c r="BG193" s="2077"/>
      <c r="BH193" s="2077"/>
      <c r="BI193" s="2077"/>
      <c r="BJ193" s="2077"/>
      <c r="BK193" s="2078"/>
      <c r="BL193" s="2077"/>
      <c r="BM193" s="2077"/>
      <c r="BN193" s="29">
        <v>22</v>
      </c>
    </row>
    <row r="194" spans="2:66" ht="48" customHeight="1" thickBot="1">
      <c r="B194" s="566" t="s">
        <v>347</v>
      </c>
      <c r="C194" s="2043"/>
      <c r="D194" s="2043"/>
      <c r="E194" s="2043"/>
      <c r="F194" s="2043"/>
      <c r="G194" s="2041">
        <v>0.02</v>
      </c>
      <c r="H194" s="2043"/>
      <c r="I194" s="2043"/>
      <c r="J194" s="569">
        <v>3.8</v>
      </c>
      <c r="AC194" s="566" t="s">
        <v>293</v>
      </c>
      <c r="AD194" s="2043"/>
      <c r="AE194" s="2043"/>
      <c r="AF194" s="2043"/>
      <c r="AG194" s="2041">
        <v>109</v>
      </c>
      <c r="AH194" s="2041">
        <v>105</v>
      </c>
      <c r="AI194" s="2043"/>
      <c r="AJ194" s="569">
        <v>100</v>
      </c>
      <c r="AK194" s="2041">
        <v>48</v>
      </c>
      <c r="AL194" s="2041">
        <v>48</v>
      </c>
      <c r="AM194" s="2043"/>
      <c r="AN194" s="2043"/>
      <c r="AQ194" s="566" t="s">
        <v>293</v>
      </c>
      <c r="AR194" s="2043"/>
      <c r="AS194" s="2043"/>
      <c r="AT194" s="2043"/>
      <c r="AU194" s="2041">
        <v>104.4</v>
      </c>
      <c r="AV194" s="2043"/>
      <c r="AW194" s="2043"/>
      <c r="AX194" s="569">
        <v>100</v>
      </c>
      <c r="AY194" s="2043"/>
      <c r="AZ194" s="2043"/>
      <c r="BA194" s="2043"/>
      <c r="BD194" s="563" t="s">
        <v>293</v>
      </c>
      <c r="BE194" s="2077"/>
      <c r="BF194" s="2077"/>
      <c r="BG194" s="2077"/>
      <c r="BH194" s="2077"/>
      <c r="BI194" s="2077"/>
      <c r="BJ194" s="2077"/>
      <c r="BK194" s="2076">
        <v>4.8000000000000001E-2</v>
      </c>
      <c r="BL194" s="2077"/>
      <c r="BM194" s="2077"/>
      <c r="BN194" s="29" t="s">
        <v>378</v>
      </c>
    </row>
    <row r="195" spans="2:66" ht="48" customHeight="1" thickBot="1">
      <c r="B195" s="566" t="s">
        <v>348</v>
      </c>
      <c r="C195" s="2042"/>
      <c r="D195" s="2042"/>
      <c r="E195" s="2042"/>
      <c r="F195" s="2042"/>
      <c r="G195" s="2042"/>
      <c r="H195" s="2042"/>
      <c r="I195" s="2042"/>
      <c r="J195" s="569">
        <v>4.3</v>
      </c>
      <c r="AC195" s="566" t="s">
        <v>294</v>
      </c>
      <c r="AD195" s="2043"/>
      <c r="AE195" s="2043"/>
      <c r="AF195" s="2043"/>
      <c r="AG195" s="2042"/>
      <c r="AH195" s="2042"/>
      <c r="AI195" s="2043"/>
      <c r="AJ195" s="569">
        <v>130</v>
      </c>
      <c r="AK195" s="2042"/>
      <c r="AL195" s="2042"/>
      <c r="AM195" s="2043"/>
      <c r="AN195" s="2043"/>
      <c r="AQ195" s="566" t="s">
        <v>294</v>
      </c>
      <c r="AR195" s="2043"/>
      <c r="AS195" s="2043"/>
      <c r="AT195" s="2043"/>
      <c r="AU195" s="2042"/>
      <c r="AV195" s="2043"/>
      <c r="AW195" s="2043"/>
      <c r="AX195" s="569">
        <v>130</v>
      </c>
      <c r="AY195" s="2043"/>
      <c r="AZ195" s="2043"/>
      <c r="BA195" s="2043"/>
      <c r="BD195" s="563" t="s">
        <v>294</v>
      </c>
      <c r="BE195" s="2078"/>
      <c r="BF195" s="2078"/>
      <c r="BG195" s="2078"/>
      <c r="BH195" s="2078"/>
      <c r="BI195" s="2078"/>
      <c r="BJ195" s="2078"/>
      <c r="BK195" s="2078"/>
      <c r="BL195" s="2078"/>
      <c r="BM195" s="2078"/>
      <c r="BN195" s="29">
        <v>20.9</v>
      </c>
    </row>
    <row r="196" spans="2:66" ht="48" customHeight="1" thickBot="1">
      <c r="AC196" s="566" t="s">
        <v>295</v>
      </c>
      <c r="AD196" s="2042"/>
      <c r="AE196" s="2042"/>
      <c r="AF196" s="2042"/>
      <c r="AG196" s="569">
        <v>119</v>
      </c>
      <c r="AH196" s="569">
        <v>113</v>
      </c>
      <c r="AI196" s="2042"/>
      <c r="AJ196" s="569">
        <v>120</v>
      </c>
      <c r="AK196" s="569">
        <v>45</v>
      </c>
      <c r="AL196" s="569">
        <v>45</v>
      </c>
      <c r="AM196" s="2042"/>
      <c r="AN196" s="2042"/>
      <c r="AQ196" s="566" t="s">
        <v>295</v>
      </c>
      <c r="AR196" s="2043"/>
      <c r="AS196" s="2043"/>
      <c r="AT196" s="2043"/>
      <c r="AU196" s="2041">
        <v>112.4</v>
      </c>
      <c r="AV196" s="2043"/>
      <c r="AW196" s="2043"/>
      <c r="AX196" s="2041">
        <v>120</v>
      </c>
      <c r="AY196" s="2043"/>
      <c r="AZ196" s="2043"/>
      <c r="BA196" s="2043"/>
      <c r="BD196" s="563" t="s">
        <v>295</v>
      </c>
      <c r="BE196" s="2076">
        <v>194</v>
      </c>
      <c r="BF196" s="2076">
        <v>35</v>
      </c>
      <c r="BG196" s="2076">
        <v>35</v>
      </c>
      <c r="BH196" s="2076">
        <v>45</v>
      </c>
      <c r="BI196" s="2076">
        <v>59</v>
      </c>
      <c r="BJ196" s="2076">
        <v>28</v>
      </c>
      <c r="BK196" s="29">
        <v>3.2000000000000001E-2</v>
      </c>
      <c r="BL196" s="2076">
        <v>5.0000000000000001E-3</v>
      </c>
      <c r="BM196" s="2076">
        <v>6.4999999999999997E-3</v>
      </c>
      <c r="BN196" s="29">
        <v>18.8</v>
      </c>
    </row>
    <row r="197" spans="2:66" ht="48" customHeight="1" thickBot="1">
      <c r="AC197" s="566" t="s">
        <v>296</v>
      </c>
      <c r="AD197" s="2041">
        <v>191</v>
      </c>
      <c r="AE197" s="2041">
        <v>191</v>
      </c>
      <c r="AF197" s="2041">
        <v>177</v>
      </c>
      <c r="AG197" s="2041">
        <v>165</v>
      </c>
      <c r="AH197" s="569">
        <v>110</v>
      </c>
      <c r="AI197" s="2041">
        <v>7.9</v>
      </c>
      <c r="AJ197" s="2041">
        <v>125</v>
      </c>
      <c r="AK197" s="2070">
        <v>57</v>
      </c>
      <c r="AL197" s="2041">
        <v>57</v>
      </c>
      <c r="AM197" s="2041">
        <v>18</v>
      </c>
      <c r="AN197" s="2041">
        <v>18</v>
      </c>
      <c r="AQ197" s="566" t="s">
        <v>365</v>
      </c>
      <c r="AR197" s="2042"/>
      <c r="AS197" s="2042"/>
      <c r="AT197" s="2042"/>
      <c r="AU197" s="2042"/>
      <c r="AV197" s="2042"/>
      <c r="AW197" s="2042"/>
      <c r="AX197" s="2042"/>
      <c r="AY197" s="2042"/>
      <c r="AZ197" s="2042"/>
      <c r="BA197" s="2042"/>
      <c r="BD197" s="563" t="s">
        <v>365</v>
      </c>
      <c r="BE197" s="2078"/>
      <c r="BF197" s="2078"/>
      <c r="BG197" s="2078"/>
      <c r="BH197" s="2078"/>
      <c r="BI197" s="2078"/>
      <c r="BJ197" s="2078"/>
      <c r="BK197" s="29">
        <v>2.4E-2</v>
      </c>
      <c r="BL197" s="2078"/>
      <c r="BM197" s="2078"/>
      <c r="BN197" s="29">
        <v>18.600000000000001</v>
      </c>
    </row>
    <row r="198" spans="2:66" ht="48" customHeight="1" thickBot="1">
      <c r="AC198" s="566" t="s">
        <v>297</v>
      </c>
      <c r="AD198" s="2043"/>
      <c r="AE198" s="2043"/>
      <c r="AF198" s="2043"/>
      <c r="AG198" s="2043"/>
      <c r="AH198" s="569">
        <v>126</v>
      </c>
      <c r="AI198" s="2043"/>
      <c r="AJ198" s="2042"/>
      <c r="AK198" s="2071"/>
      <c r="AL198" s="2043"/>
      <c r="AM198" s="2043"/>
      <c r="AN198" s="2043"/>
      <c r="AQ198" s="566" t="s">
        <v>296</v>
      </c>
      <c r="AR198" s="2041">
        <v>16</v>
      </c>
      <c r="AS198" s="2041">
        <v>17</v>
      </c>
      <c r="AT198" s="2041">
        <v>6</v>
      </c>
      <c r="AU198" s="569">
        <v>108.8</v>
      </c>
      <c r="AV198" s="2041">
        <v>43</v>
      </c>
      <c r="AW198" s="2041">
        <v>43</v>
      </c>
      <c r="AX198" s="2041">
        <v>128</v>
      </c>
      <c r="AY198" s="2041">
        <v>37</v>
      </c>
      <c r="AZ198" s="2041">
        <v>12</v>
      </c>
      <c r="BA198" s="2041">
        <v>46.3</v>
      </c>
      <c r="BD198" s="563" t="s">
        <v>296</v>
      </c>
      <c r="BE198" s="2076">
        <v>223</v>
      </c>
      <c r="BF198" s="2076">
        <v>43</v>
      </c>
      <c r="BG198" s="2076">
        <v>43</v>
      </c>
      <c r="BH198" s="2076">
        <v>45</v>
      </c>
      <c r="BI198" s="2076">
        <v>66</v>
      </c>
      <c r="BJ198" s="2076">
        <v>31</v>
      </c>
      <c r="BK198" s="29">
        <v>0.05</v>
      </c>
      <c r="BL198" s="2076">
        <v>0.01</v>
      </c>
      <c r="BM198" s="2076">
        <v>1.9E-2</v>
      </c>
      <c r="BN198" s="29">
        <v>27.5</v>
      </c>
    </row>
    <row r="199" spans="2:66" ht="48" customHeight="1" thickBot="1">
      <c r="AC199" s="566" t="s">
        <v>298</v>
      </c>
      <c r="AD199" s="2043"/>
      <c r="AE199" s="2043"/>
      <c r="AF199" s="2043"/>
      <c r="AG199" s="2043"/>
      <c r="AH199" s="2041">
        <v>132</v>
      </c>
      <c r="AI199" s="2043"/>
      <c r="AJ199" s="28">
        <v>100</v>
      </c>
      <c r="AK199" s="2071"/>
      <c r="AL199" s="2043"/>
      <c r="AM199" s="2043"/>
      <c r="AN199" s="2043"/>
      <c r="AQ199" s="566" t="s">
        <v>297</v>
      </c>
      <c r="AR199" s="2043"/>
      <c r="AS199" s="2043"/>
      <c r="AT199" s="2043"/>
      <c r="AU199" s="569">
        <v>125.4</v>
      </c>
      <c r="AV199" s="2043"/>
      <c r="AW199" s="2043"/>
      <c r="AX199" s="2042"/>
      <c r="AY199" s="2043"/>
      <c r="AZ199" s="2043"/>
      <c r="BA199" s="2043"/>
      <c r="BD199" s="563" t="s">
        <v>297</v>
      </c>
      <c r="BE199" s="2077"/>
      <c r="BF199" s="2077"/>
      <c r="BG199" s="2077"/>
      <c r="BH199" s="2077"/>
      <c r="BI199" s="2077"/>
      <c r="BJ199" s="2077"/>
      <c r="BK199" s="29">
        <v>0.04</v>
      </c>
      <c r="BL199" s="2077"/>
      <c r="BM199" s="2077"/>
      <c r="BN199" s="29">
        <v>25.9</v>
      </c>
    </row>
    <row r="200" spans="2:66" ht="48" customHeight="1" thickBot="1">
      <c r="AC200" s="566" t="s">
        <v>299</v>
      </c>
      <c r="AD200" s="2043"/>
      <c r="AE200" s="2043"/>
      <c r="AF200" s="2043"/>
      <c r="AG200" s="2043"/>
      <c r="AH200" s="2043"/>
      <c r="AI200" s="2043"/>
      <c r="AJ200" s="569">
        <v>125</v>
      </c>
      <c r="AK200" s="2071"/>
      <c r="AL200" s="2043"/>
      <c r="AM200" s="2043"/>
      <c r="AN200" s="2043"/>
      <c r="AQ200" s="566" t="s">
        <v>298</v>
      </c>
      <c r="AR200" s="2043"/>
      <c r="AS200" s="2043"/>
      <c r="AT200" s="2043"/>
      <c r="AU200" s="2041">
        <v>131.4</v>
      </c>
      <c r="AV200" s="2043"/>
      <c r="AW200" s="2043"/>
      <c r="AX200" s="569">
        <v>103</v>
      </c>
      <c r="AY200" s="2043"/>
      <c r="AZ200" s="2043"/>
      <c r="BA200" s="2043"/>
      <c r="BD200" s="563" t="s">
        <v>298</v>
      </c>
      <c r="BE200" s="2077"/>
      <c r="BF200" s="2077"/>
      <c r="BG200" s="2077"/>
      <c r="BH200" s="2077"/>
      <c r="BI200" s="2077"/>
      <c r="BJ200" s="2077"/>
      <c r="BK200" s="2076">
        <v>3.5000000000000003E-2</v>
      </c>
      <c r="BL200" s="2077"/>
      <c r="BM200" s="2077"/>
      <c r="BN200" s="29">
        <v>20.8</v>
      </c>
    </row>
    <row r="201" spans="2:66" ht="48" customHeight="1" thickBot="1">
      <c r="AC201" s="566" t="s">
        <v>300</v>
      </c>
      <c r="AD201" s="2043"/>
      <c r="AE201" s="2043"/>
      <c r="AF201" s="2043"/>
      <c r="AG201" s="2043"/>
      <c r="AH201" s="2043"/>
      <c r="AI201" s="2043"/>
      <c r="AJ201" s="569">
        <v>100</v>
      </c>
      <c r="AK201" s="2071"/>
      <c r="AL201" s="2043"/>
      <c r="AM201" s="2043"/>
      <c r="AN201" s="2043"/>
      <c r="AQ201" s="566" t="s">
        <v>299</v>
      </c>
      <c r="AR201" s="2043"/>
      <c r="AS201" s="2043"/>
      <c r="AT201" s="2043"/>
      <c r="AU201" s="2043"/>
      <c r="AV201" s="2043"/>
      <c r="AW201" s="2043"/>
      <c r="AX201" s="569">
        <v>128</v>
      </c>
      <c r="AY201" s="2043"/>
      <c r="AZ201" s="2043"/>
      <c r="BA201" s="2043"/>
      <c r="BD201" s="563" t="s">
        <v>299</v>
      </c>
      <c r="BE201" s="2077"/>
      <c r="BF201" s="2077"/>
      <c r="BG201" s="2077"/>
      <c r="BH201" s="2077"/>
      <c r="BI201" s="2077"/>
      <c r="BJ201" s="2077"/>
      <c r="BK201" s="2078"/>
      <c r="BL201" s="2077"/>
      <c r="BM201" s="2077"/>
      <c r="BN201" s="29">
        <v>25.5</v>
      </c>
    </row>
    <row r="202" spans="2:66" ht="48" customHeight="1" thickBot="1">
      <c r="AC202" s="566" t="s">
        <v>301</v>
      </c>
      <c r="AD202" s="2042"/>
      <c r="AE202" s="2042"/>
      <c r="AF202" s="2042"/>
      <c r="AG202" s="2042"/>
      <c r="AH202" s="2042"/>
      <c r="AI202" s="2043"/>
      <c r="AJ202" s="2041">
        <v>130</v>
      </c>
      <c r="AK202" s="2072"/>
      <c r="AL202" s="2042"/>
      <c r="AM202" s="2042"/>
      <c r="AN202" s="2042"/>
      <c r="AQ202" s="566" t="s">
        <v>300</v>
      </c>
      <c r="AR202" s="2043"/>
      <c r="AS202" s="2043"/>
      <c r="AT202" s="2043"/>
      <c r="AU202" s="2043"/>
      <c r="AV202" s="2043"/>
      <c r="AW202" s="2043"/>
      <c r="AX202" s="569">
        <v>103</v>
      </c>
      <c r="AY202" s="2043"/>
      <c r="AZ202" s="2043"/>
      <c r="BA202" s="2043"/>
      <c r="BD202" s="563" t="s">
        <v>300</v>
      </c>
      <c r="BE202" s="2077"/>
      <c r="BF202" s="2077"/>
      <c r="BG202" s="2077"/>
      <c r="BH202" s="2077"/>
      <c r="BI202" s="2077"/>
      <c r="BJ202" s="2077"/>
      <c r="BK202" s="2076">
        <v>2.5999999999999999E-2</v>
      </c>
      <c r="BL202" s="2077"/>
      <c r="BM202" s="2077"/>
      <c r="BN202" s="29">
        <v>20.9</v>
      </c>
    </row>
    <row r="203" spans="2:66" ht="48" customHeight="1" thickBot="1">
      <c r="AC203" s="566" t="s">
        <v>302</v>
      </c>
      <c r="AD203" s="2041">
        <v>225</v>
      </c>
      <c r="AE203" s="2041">
        <v>225</v>
      </c>
      <c r="AF203" s="2041">
        <v>205</v>
      </c>
      <c r="AG203" s="2041">
        <v>194</v>
      </c>
      <c r="AH203" s="569">
        <v>130</v>
      </c>
      <c r="AI203" s="2043"/>
      <c r="AJ203" s="2042"/>
      <c r="AK203" s="2041">
        <v>65</v>
      </c>
      <c r="AL203" s="2041">
        <v>65</v>
      </c>
      <c r="AM203" s="2041">
        <v>20</v>
      </c>
      <c r="AN203" s="2041">
        <v>20</v>
      </c>
      <c r="AQ203" s="566" t="s">
        <v>301</v>
      </c>
      <c r="AR203" s="2042"/>
      <c r="AS203" s="2042"/>
      <c r="AT203" s="2043"/>
      <c r="AU203" s="2042"/>
      <c r="AV203" s="2042"/>
      <c r="AW203" s="2042"/>
      <c r="AX203" s="2041">
        <v>133</v>
      </c>
      <c r="AY203" s="2042"/>
      <c r="AZ203" s="2043"/>
      <c r="BA203" s="2042"/>
      <c r="BD203" s="563" t="s">
        <v>301</v>
      </c>
      <c r="BE203" s="2078"/>
      <c r="BF203" s="2078"/>
      <c r="BG203" s="2078"/>
      <c r="BH203" s="2078"/>
      <c r="BI203" s="2078"/>
      <c r="BJ203" s="2078"/>
      <c r="BK203" s="2078"/>
      <c r="BL203" s="2078"/>
      <c r="BM203" s="2078"/>
      <c r="BN203" s="29">
        <v>26.8</v>
      </c>
    </row>
    <row r="204" spans="2:66" ht="48" customHeight="1" thickBot="1">
      <c r="AC204" s="566" t="s">
        <v>303</v>
      </c>
      <c r="AD204" s="2043"/>
      <c r="AE204" s="2043"/>
      <c r="AF204" s="2043"/>
      <c r="AG204" s="2043"/>
      <c r="AH204" s="2041">
        <v>145</v>
      </c>
      <c r="AI204" s="2043"/>
      <c r="AJ204" s="569">
        <v>115</v>
      </c>
      <c r="AK204" s="2043"/>
      <c r="AL204" s="2043"/>
      <c r="AM204" s="2043"/>
      <c r="AN204" s="2043"/>
      <c r="AQ204" s="566" t="s">
        <v>302</v>
      </c>
      <c r="AR204" s="2041">
        <v>18</v>
      </c>
      <c r="AS204" s="2041">
        <v>19</v>
      </c>
      <c r="AT204" s="2043"/>
      <c r="AU204" s="569">
        <v>128.80000000000001</v>
      </c>
      <c r="AV204" s="2041">
        <v>54</v>
      </c>
      <c r="AW204" s="2041">
        <v>54</v>
      </c>
      <c r="AX204" s="2042"/>
      <c r="AY204" s="2041">
        <v>45</v>
      </c>
      <c r="AZ204" s="2043"/>
      <c r="BA204" s="2041">
        <v>57.3</v>
      </c>
      <c r="BD204" s="563" t="s">
        <v>302</v>
      </c>
      <c r="BE204" s="2076">
        <v>261</v>
      </c>
      <c r="BF204" s="2076">
        <v>54</v>
      </c>
      <c r="BG204" s="2076">
        <v>54</v>
      </c>
      <c r="BH204" s="2076">
        <v>51</v>
      </c>
      <c r="BI204" s="2076">
        <v>74</v>
      </c>
      <c r="BJ204" s="2076">
        <v>32</v>
      </c>
      <c r="BK204" s="29">
        <v>7.0000000000000007E-2</v>
      </c>
      <c r="BL204" s="2076">
        <v>1.2200000000000001E-2</v>
      </c>
      <c r="BM204" s="2076">
        <v>2.7300000000000001E-2</v>
      </c>
      <c r="BN204" s="29">
        <v>40.9</v>
      </c>
    </row>
    <row r="205" spans="2:66" ht="48" customHeight="1" thickBot="1">
      <c r="AC205" s="566" t="s">
        <v>304</v>
      </c>
      <c r="AD205" s="2043"/>
      <c r="AE205" s="2043"/>
      <c r="AF205" s="2043"/>
      <c r="AG205" s="2043"/>
      <c r="AH205" s="2042"/>
      <c r="AI205" s="2043"/>
      <c r="AJ205" s="569">
        <v>160</v>
      </c>
      <c r="AK205" s="2043"/>
      <c r="AL205" s="2043"/>
      <c r="AM205" s="2043"/>
      <c r="AN205" s="2043"/>
      <c r="AQ205" s="566" t="s">
        <v>303</v>
      </c>
      <c r="AR205" s="2043"/>
      <c r="AS205" s="2043"/>
      <c r="AT205" s="2043"/>
      <c r="AU205" s="2041">
        <v>144.30000000000001</v>
      </c>
      <c r="AV205" s="2043"/>
      <c r="AW205" s="2043"/>
      <c r="AX205" s="569">
        <v>118</v>
      </c>
      <c r="AY205" s="2043"/>
      <c r="AZ205" s="2043"/>
      <c r="BA205" s="2043"/>
      <c r="BD205" s="563" t="s">
        <v>303</v>
      </c>
      <c r="BE205" s="2077"/>
      <c r="BF205" s="2077"/>
      <c r="BG205" s="2077"/>
      <c r="BH205" s="2077"/>
      <c r="BI205" s="2077"/>
      <c r="BJ205" s="2077"/>
      <c r="BK205" s="2076">
        <v>6.5000000000000002E-2</v>
      </c>
      <c r="BL205" s="2077"/>
      <c r="BM205" s="2077"/>
      <c r="BN205" s="29">
        <v>35.4</v>
      </c>
    </row>
    <row r="206" spans="2:66" ht="48" customHeight="1" thickBot="1">
      <c r="AC206" s="566" t="s">
        <v>305</v>
      </c>
      <c r="AD206" s="2043"/>
      <c r="AE206" s="2043"/>
      <c r="AF206" s="2043"/>
      <c r="AG206" s="2043"/>
      <c r="AH206" s="2041">
        <v>158</v>
      </c>
      <c r="AI206" s="2043"/>
      <c r="AJ206" s="569">
        <v>115</v>
      </c>
      <c r="AK206" s="2043"/>
      <c r="AL206" s="2043"/>
      <c r="AM206" s="2043"/>
      <c r="AN206" s="2043"/>
      <c r="AQ206" s="566" t="s">
        <v>304</v>
      </c>
      <c r="AR206" s="2043"/>
      <c r="AS206" s="2043"/>
      <c r="AT206" s="2043"/>
      <c r="AU206" s="2042"/>
      <c r="AV206" s="2043"/>
      <c r="AW206" s="2043"/>
      <c r="AX206" s="569">
        <v>163</v>
      </c>
      <c r="AY206" s="2043"/>
      <c r="AZ206" s="2043"/>
      <c r="BA206" s="2043"/>
      <c r="BD206" s="563" t="s">
        <v>304</v>
      </c>
      <c r="BE206" s="2077"/>
      <c r="BF206" s="2077"/>
      <c r="BG206" s="2077"/>
      <c r="BH206" s="2077"/>
      <c r="BI206" s="2077"/>
      <c r="BJ206" s="2077"/>
      <c r="BK206" s="2078"/>
      <c r="BL206" s="2077"/>
      <c r="BM206" s="2077"/>
      <c r="BN206" s="29">
        <v>46.5</v>
      </c>
    </row>
    <row r="207" spans="2:66" ht="48" customHeight="1" thickBot="1">
      <c r="AC207" s="566" t="s">
        <v>306</v>
      </c>
      <c r="AD207" s="2043"/>
      <c r="AE207" s="2043"/>
      <c r="AF207" s="2043"/>
      <c r="AG207" s="2043"/>
      <c r="AH207" s="2043"/>
      <c r="AI207" s="2043"/>
      <c r="AJ207" s="569">
        <v>160</v>
      </c>
      <c r="AK207" s="2043"/>
      <c r="AL207" s="2043"/>
      <c r="AM207" s="2043"/>
      <c r="AN207" s="2043"/>
      <c r="AQ207" s="566" t="s">
        <v>305</v>
      </c>
      <c r="AR207" s="2043"/>
      <c r="AS207" s="2043"/>
      <c r="AT207" s="2043"/>
      <c r="AU207" s="2041">
        <v>157.30000000000001</v>
      </c>
      <c r="AV207" s="2043"/>
      <c r="AW207" s="2043"/>
      <c r="AX207" s="569">
        <v>118</v>
      </c>
      <c r="AY207" s="2043"/>
      <c r="AZ207" s="2043"/>
      <c r="BA207" s="2043"/>
      <c r="BD207" s="563" t="s">
        <v>305</v>
      </c>
      <c r="BE207" s="2077"/>
      <c r="BF207" s="2077"/>
      <c r="BG207" s="2077"/>
      <c r="BH207" s="2077"/>
      <c r="BI207" s="2077"/>
      <c r="BJ207" s="2077"/>
      <c r="BK207" s="2076">
        <v>0.05</v>
      </c>
      <c r="BL207" s="2077"/>
      <c r="BM207" s="2077"/>
      <c r="BN207" s="29">
        <v>34.1</v>
      </c>
    </row>
    <row r="208" spans="2:66" ht="48" customHeight="1" thickBot="1">
      <c r="AC208" s="566" t="s">
        <v>307</v>
      </c>
      <c r="AD208" s="2043"/>
      <c r="AE208" s="2043"/>
      <c r="AF208" s="2043"/>
      <c r="AG208" s="2043"/>
      <c r="AH208" s="2043"/>
      <c r="AI208" s="2043"/>
      <c r="AJ208" s="569">
        <v>115</v>
      </c>
      <c r="AK208" s="2043"/>
      <c r="AL208" s="2043"/>
      <c r="AM208" s="2043"/>
      <c r="AN208" s="2043"/>
      <c r="AQ208" s="566" t="s">
        <v>306</v>
      </c>
      <c r="AR208" s="2043"/>
      <c r="AS208" s="2043"/>
      <c r="AT208" s="2043"/>
      <c r="AU208" s="2043"/>
      <c r="AV208" s="2043"/>
      <c r="AW208" s="2043"/>
      <c r="AX208" s="569">
        <v>163</v>
      </c>
      <c r="AY208" s="2043"/>
      <c r="AZ208" s="2043"/>
      <c r="BA208" s="2043"/>
      <c r="BD208" s="563" t="s">
        <v>306</v>
      </c>
      <c r="BE208" s="2077"/>
      <c r="BF208" s="2077"/>
      <c r="BG208" s="2077"/>
      <c r="BH208" s="2077"/>
      <c r="BI208" s="2077"/>
      <c r="BJ208" s="2077"/>
      <c r="BK208" s="2078"/>
      <c r="BL208" s="2077"/>
      <c r="BM208" s="2077"/>
      <c r="BN208" s="29">
        <v>45</v>
      </c>
    </row>
    <row r="209" spans="29:66" ht="48" customHeight="1" thickBot="1">
      <c r="AC209" s="566" t="s">
        <v>308</v>
      </c>
      <c r="AD209" s="2042"/>
      <c r="AE209" s="2042"/>
      <c r="AF209" s="2042"/>
      <c r="AG209" s="2042"/>
      <c r="AH209" s="2042"/>
      <c r="AI209" s="2042"/>
      <c r="AJ209" s="569">
        <v>160</v>
      </c>
      <c r="AK209" s="2042"/>
      <c r="AL209" s="2042"/>
      <c r="AM209" s="2042"/>
      <c r="AN209" s="2042"/>
      <c r="AQ209" s="566" t="s">
        <v>307</v>
      </c>
      <c r="AR209" s="2043"/>
      <c r="AS209" s="2043"/>
      <c r="AT209" s="2043"/>
      <c r="AU209" s="2043"/>
      <c r="AV209" s="2043"/>
      <c r="AW209" s="2043"/>
      <c r="AX209" s="569">
        <v>118</v>
      </c>
      <c r="AY209" s="2043"/>
      <c r="AZ209" s="2043"/>
      <c r="BA209" s="2043"/>
      <c r="BD209" s="563" t="s">
        <v>307</v>
      </c>
      <c r="BE209" s="2077"/>
      <c r="BF209" s="2077"/>
      <c r="BG209" s="2077"/>
      <c r="BH209" s="2077"/>
      <c r="BI209" s="2077"/>
      <c r="BJ209" s="2077"/>
      <c r="BK209" s="2076">
        <v>4.2000000000000003E-2</v>
      </c>
      <c r="BL209" s="2077"/>
      <c r="BM209" s="2077"/>
      <c r="BN209" s="29">
        <v>34.1</v>
      </c>
    </row>
    <row r="210" spans="29:66" ht="48" customHeight="1" thickBot="1">
      <c r="AC210" s="566" t="s">
        <v>309</v>
      </c>
      <c r="AD210" s="2041">
        <v>116</v>
      </c>
      <c r="AE210" s="2041">
        <v>116</v>
      </c>
      <c r="AF210" s="2041">
        <v>105</v>
      </c>
      <c r="AG210" s="2041">
        <v>74</v>
      </c>
      <c r="AH210" s="2041">
        <v>70</v>
      </c>
      <c r="AI210" s="2041" t="s">
        <v>271</v>
      </c>
      <c r="AJ210" s="569">
        <v>74</v>
      </c>
      <c r="AK210" s="569">
        <v>42</v>
      </c>
      <c r="AL210" s="569">
        <v>42</v>
      </c>
      <c r="AM210" s="2041">
        <v>10</v>
      </c>
      <c r="AN210" s="2041">
        <v>10</v>
      </c>
      <c r="AQ210" s="566" t="s">
        <v>308</v>
      </c>
      <c r="AR210" s="2042"/>
      <c r="AS210" s="2042"/>
      <c r="AT210" s="2042"/>
      <c r="AU210" s="2042"/>
      <c r="AV210" s="2042"/>
      <c r="AW210" s="2042"/>
      <c r="AX210" s="569">
        <v>163</v>
      </c>
      <c r="AY210" s="2042"/>
      <c r="AZ210" s="2042"/>
      <c r="BA210" s="2042"/>
      <c r="BD210" s="563" t="s">
        <v>308</v>
      </c>
      <c r="BE210" s="2078"/>
      <c r="BF210" s="2078"/>
      <c r="BG210" s="2078"/>
      <c r="BH210" s="2078"/>
      <c r="BI210" s="2078"/>
      <c r="BJ210" s="2078"/>
      <c r="BK210" s="2078"/>
      <c r="BL210" s="2078"/>
      <c r="BM210" s="2078"/>
      <c r="BN210" s="29">
        <v>49.2</v>
      </c>
    </row>
    <row r="211" spans="29:66" ht="48" customHeight="1" thickBot="1">
      <c r="AC211" s="566" t="s">
        <v>310</v>
      </c>
      <c r="AD211" s="2042"/>
      <c r="AE211" s="2042"/>
      <c r="AF211" s="2042"/>
      <c r="AG211" s="2042"/>
      <c r="AH211" s="2042"/>
      <c r="AI211" s="2043"/>
      <c r="AJ211" s="569">
        <v>90</v>
      </c>
      <c r="AK211" s="569">
        <v>37</v>
      </c>
      <c r="AL211" s="569">
        <v>37</v>
      </c>
      <c r="AM211" s="2043"/>
      <c r="AN211" s="2043"/>
      <c r="AQ211" s="566" t="s">
        <v>309</v>
      </c>
      <c r="AR211" s="2041">
        <v>10</v>
      </c>
      <c r="AS211" s="2041">
        <v>13</v>
      </c>
      <c r="AT211" s="2041">
        <v>4</v>
      </c>
      <c r="AU211" s="2041">
        <v>69.5</v>
      </c>
      <c r="AV211" s="2041">
        <v>27</v>
      </c>
      <c r="AW211" s="2041">
        <v>27</v>
      </c>
      <c r="AX211" s="569">
        <v>74</v>
      </c>
      <c r="AY211" s="569">
        <v>22</v>
      </c>
      <c r="AZ211" s="2041">
        <v>5</v>
      </c>
      <c r="BA211" s="2041">
        <v>29.1</v>
      </c>
      <c r="BD211" s="563" t="s">
        <v>309</v>
      </c>
      <c r="BE211" s="2076">
        <v>134</v>
      </c>
      <c r="BF211" s="2076">
        <v>25</v>
      </c>
      <c r="BG211" s="2076">
        <v>25</v>
      </c>
      <c r="BH211" s="2076">
        <v>30</v>
      </c>
      <c r="BI211" s="2076">
        <v>49</v>
      </c>
      <c r="BJ211" s="2076">
        <v>25</v>
      </c>
      <c r="BK211" s="2076">
        <v>1.7999999999999999E-2</v>
      </c>
      <c r="BL211" s="2076">
        <v>2.5000000000000001E-3</v>
      </c>
      <c r="BM211" s="2076">
        <v>3.5000000000000001E-3</v>
      </c>
      <c r="BN211" s="29">
        <v>6.2</v>
      </c>
    </row>
    <row r="212" spans="29:66" ht="48" customHeight="1" thickBot="1">
      <c r="AC212" s="566" t="s">
        <v>311</v>
      </c>
      <c r="AD212" s="569">
        <v>131</v>
      </c>
      <c r="AE212" s="569">
        <v>131</v>
      </c>
      <c r="AF212" s="569">
        <v>123</v>
      </c>
      <c r="AG212" s="569">
        <v>90</v>
      </c>
      <c r="AH212" s="569">
        <v>84</v>
      </c>
      <c r="AI212" s="2043"/>
      <c r="AJ212" s="569">
        <v>98</v>
      </c>
      <c r="AK212" s="569">
        <v>45</v>
      </c>
      <c r="AL212" s="569">
        <v>45</v>
      </c>
      <c r="AM212" s="2042"/>
      <c r="AN212" s="2042"/>
      <c r="AQ212" s="566" t="s">
        <v>310</v>
      </c>
      <c r="AR212" s="2043"/>
      <c r="AS212" s="2042"/>
      <c r="AT212" s="2043"/>
      <c r="AU212" s="2042"/>
      <c r="AV212" s="2042"/>
      <c r="AW212" s="2042"/>
      <c r="AX212" s="569">
        <v>90</v>
      </c>
      <c r="AY212" s="569">
        <v>16</v>
      </c>
      <c r="AZ212" s="2042"/>
      <c r="BA212" s="2042"/>
      <c r="BD212" s="563" t="s">
        <v>310</v>
      </c>
      <c r="BE212" s="2078"/>
      <c r="BF212" s="2078"/>
      <c r="BG212" s="2078"/>
      <c r="BH212" s="2078"/>
      <c r="BI212" s="2077"/>
      <c r="BJ212" s="2077"/>
      <c r="BK212" s="2078"/>
      <c r="BL212" s="2078"/>
      <c r="BM212" s="2077"/>
      <c r="BN212" s="29">
        <v>6.8</v>
      </c>
    </row>
    <row r="213" spans="29:66" ht="48" customHeight="1" thickBot="1">
      <c r="AC213" s="566" t="s">
        <v>312</v>
      </c>
      <c r="AD213" s="2041">
        <v>149</v>
      </c>
      <c r="AE213" s="2041">
        <v>149</v>
      </c>
      <c r="AF213" s="2041">
        <v>135</v>
      </c>
      <c r="AG213" s="2041">
        <v>100</v>
      </c>
      <c r="AH213" s="2041">
        <v>95</v>
      </c>
      <c r="AI213" s="2043"/>
      <c r="AJ213" s="569">
        <v>90</v>
      </c>
      <c r="AK213" s="2041">
        <v>44</v>
      </c>
      <c r="AL213" s="2041">
        <v>44</v>
      </c>
      <c r="AM213" s="2041">
        <v>12</v>
      </c>
      <c r="AN213" s="2041">
        <v>12</v>
      </c>
      <c r="AQ213" s="566" t="s">
        <v>366</v>
      </c>
      <c r="AR213" s="2042"/>
      <c r="AS213" s="569">
        <v>10</v>
      </c>
      <c r="AT213" s="2043"/>
      <c r="AU213" s="569">
        <v>83.5</v>
      </c>
      <c r="AV213" s="2041">
        <v>32</v>
      </c>
      <c r="AW213" s="2041">
        <v>32</v>
      </c>
      <c r="AX213" s="569">
        <v>98</v>
      </c>
      <c r="AY213" s="569">
        <v>20</v>
      </c>
      <c r="AZ213" s="2041">
        <v>6</v>
      </c>
      <c r="BA213" s="2041">
        <v>34.799999999999997</v>
      </c>
      <c r="BD213" s="563" t="s">
        <v>366</v>
      </c>
      <c r="BE213" s="29">
        <v>150</v>
      </c>
      <c r="BF213" s="2076">
        <v>30</v>
      </c>
      <c r="BG213" s="2076">
        <v>30</v>
      </c>
      <c r="BH213" s="29">
        <v>32.5</v>
      </c>
      <c r="BI213" s="2078"/>
      <c r="BJ213" s="2077"/>
      <c r="BK213" s="29">
        <v>2.7E-2</v>
      </c>
      <c r="BL213" s="29">
        <v>3.0000000000000001E-3</v>
      </c>
      <c r="BM213" s="2078"/>
      <c r="BN213" s="29">
        <v>10.1</v>
      </c>
    </row>
    <row r="214" spans="29:66" ht="48" customHeight="1" thickBot="1">
      <c r="AC214" s="566" t="s">
        <v>313</v>
      </c>
      <c r="AD214" s="2043"/>
      <c r="AE214" s="2043"/>
      <c r="AF214" s="2043"/>
      <c r="AG214" s="2042"/>
      <c r="AH214" s="2042"/>
      <c r="AI214" s="2043"/>
      <c r="AJ214" s="569">
        <v>120</v>
      </c>
      <c r="AK214" s="2042"/>
      <c r="AL214" s="2042"/>
      <c r="AM214" s="2043"/>
      <c r="AN214" s="2043"/>
      <c r="AQ214" s="566" t="s">
        <v>312</v>
      </c>
      <c r="AR214" s="2041">
        <v>12</v>
      </c>
      <c r="AS214" s="2041">
        <v>12</v>
      </c>
      <c r="AT214" s="2043"/>
      <c r="AU214" s="2041">
        <v>94.5</v>
      </c>
      <c r="AV214" s="2043"/>
      <c r="AW214" s="2043"/>
      <c r="AX214" s="569">
        <v>90</v>
      </c>
      <c r="AY214" s="2041">
        <v>22</v>
      </c>
      <c r="AZ214" s="2043"/>
      <c r="BA214" s="2043"/>
      <c r="BD214" s="563" t="s">
        <v>312</v>
      </c>
      <c r="BE214" s="29">
        <v>172</v>
      </c>
      <c r="BF214" s="2078"/>
      <c r="BG214" s="2078"/>
      <c r="BH214" s="29">
        <v>38</v>
      </c>
      <c r="BI214" s="29">
        <v>55</v>
      </c>
      <c r="BJ214" s="2078"/>
      <c r="BK214" s="29">
        <v>3.9E-2</v>
      </c>
      <c r="BL214" s="29">
        <v>4.0000000000000001E-3</v>
      </c>
      <c r="BM214" s="29">
        <v>4.4999999999999997E-3</v>
      </c>
      <c r="BN214" s="29">
        <v>11</v>
      </c>
    </row>
    <row r="215" spans="29:66" ht="48" customHeight="1" thickBot="1">
      <c r="AC215" s="566" t="s">
        <v>314</v>
      </c>
      <c r="AD215" s="2043"/>
      <c r="AE215" s="2043"/>
      <c r="AF215" s="2043"/>
      <c r="AG215" s="2041">
        <v>105</v>
      </c>
      <c r="AH215" s="2041">
        <v>100</v>
      </c>
      <c r="AI215" s="2043"/>
      <c r="AJ215" s="569">
        <v>110</v>
      </c>
      <c r="AK215" s="569">
        <v>45</v>
      </c>
      <c r="AL215" s="569">
        <v>45</v>
      </c>
      <c r="AM215" s="2043"/>
      <c r="AN215" s="2043"/>
      <c r="AQ215" s="566" t="s">
        <v>313</v>
      </c>
      <c r="AR215" s="2043"/>
      <c r="AS215" s="2043"/>
      <c r="AT215" s="2043"/>
      <c r="AU215" s="2042"/>
      <c r="AV215" s="2043"/>
      <c r="AW215" s="2043"/>
      <c r="AX215" s="569">
        <v>120</v>
      </c>
      <c r="AY215" s="2042"/>
      <c r="AZ215" s="2043"/>
      <c r="BA215" s="2043"/>
      <c r="BD215" s="2076" t="s">
        <v>313</v>
      </c>
      <c r="BE215" s="2076">
        <v>172</v>
      </c>
      <c r="BF215" s="2076">
        <v>30</v>
      </c>
      <c r="BG215" s="2076">
        <v>30</v>
      </c>
      <c r="BH215" s="2076">
        <v>38</v>
      </c>
      <c r="BI215" s="2076">
        <v>55</v>
      </c>
      <c r="BJ215" s="2076">
        <v>25</v>
      </c>
      <c r="BK215" s="2076">
        <v>3.9E-2</v>
      </c>
      <c r="BL215" s="2076">
        <v>4.0000000000000001E-3</v>
      </c>
      <c r="BM215" s="2076">
        <v>4.4999999999999997E-3</v>
      </c>
      <c r="BN215" s="29"/>
    </row>
    <row r="216" spans="29:66" ht="48" customHeight="1" thickBot="1">
      <c r="AC216" s="566" t="s">
        <v>315</v>
      </c>
      <c r="AD216" s="2042"/>
      <c r="AE216" s="2042"/>
      <c r="AF216" s="2042"/>
      <c r="AG216" s="2042"/>
      <c r="AH216" s="2042"/>
      <c r="AI216" s="2043"/>
      <c r="AJ216" s="569">
        <v>100</v>
      </c>
      <c r="AK216" s="569">
        <v>36</v>
      </c>
      <c r="AL216" s="569">
        <v>36</v>
      </c>
      <c r="AM216" s="2042"/>
      <c r="AN216" s="2043"/>
      <c r="AQ216" s="566" t="s">
        <v>314</v>
      </c>
      <c r="AR216" s="2043"/>
      <c r="AS216" s="2043"/>
      <c r="AT216" s="2043"/>
      <c r="AU216" s="2041">
        <v>99.5</v>
      </c>
      <c r="AV216" s="2043"/>
      <c r="AW216" s="2043"/>
      <c r="AX216" s="569">
        <v>110</v>
      </c>
      <c r="AY216" s="2041">
        <v>30</v>
      </c>
      <c r="AZ216" s="2043"/>
      <c r="BA216" s="2043"/>
      <c r="BD216" s="2078"/>
      <c r="BE216" s="2077"/>
      <c r="BF216" s="2077"/>
      <c r="BG216" s="2077"/>
      <c r="BH216" s="2077"/>
      <c r="BI216" s="2077"/>
      <c r="BJ216" s="2077"/>
      <c r="BK216" s="2078"/>
      <c r="BL216" s="2077"/>
      <c r="BM216" s="2077"/>
      <c r="BN216" s="29">
        <v>14.3</v>
      </c>
    </row>
    <row r="217" spans="29:66" ht="48" customHeight="1" thickBot="1">
      <c r="AC217" s="566" t="s">
        <v>316</v>
      </c>
      <c r="AD217" s="2041">
        <v>168</v>
      </c>
      <c r="AE217" s="2041">
        <v>168</v>
      </c>
      <c r="AF217" s="2041">
        <v>158</v>
      </c>
      <c r="AG217" s="2041">
        <v>109</v>
      </c>
      <c r="AH217" s="2041">
        <v>105</v>
      </c>
      <c r="AI217" s="2043"/>
      <c r="AJ217" s="569">
        <v>110</v>
      </c>
      <c r="AK217" s="2041">
        <v>47</v>
      </c>
      <c r="AL217" s="2041">
        <v>47</v>
      </c>
      <c r="AM217" s="2041">
        <v>14</v>
      </c>
      <c r="AN217" s="2043"/>
      <c r="AQ217" s="566" t="s">
        <v>315</v>
      </c>
      <c r="AR217" s="2042"/>
      <c r="AS217" s="2042"/>
      <c r="AT217" s="2043"/>
      <c r="AU217" s="2042"/>
      <c r="AV217" s="2042"/>
      <c r="AW217" s="2042"/>
      <c r="AX217" s="569">
        <v>100</v>
      </c>
      <c r="AY217" s="2042"/>
      <c r="AZ217" s="2043"/>
      <c r="BA217" s="2042"/>
      <c r="BD217" s="563" t="s">
        <v>314</v>
      </c>
      <c r="BE217" s="2077"/>
      <c r="BF217" s="2077"/>
      <c r="BG217" s="2077"/>
      <c r="BH217" s="2077"/>
      <c r="BI217" s="2077"/>
      <c r="BJ217" s="2077"/>
      <c r="BK217" s="2076">
        <v>2.8000000000000001E-2</v>
      </c>
      <c r="BL217" s="2077"/>
      <c r="BM217" s="2077"/>
      <c r="BN217" s="29">
        <v>13.5</v>
      </c>
    </row>
    <row r="218" spans="29:66" ht="48" customHeight="1" thickBot="1">
      <c r="AC218" s="566" t="s">
        <v>317</v>
      </c>
      <c r="AD218" s="2042"/>
      <c r="AE218" s="2042"/>
      <c r="AF218" s="2042"/>
      <c r="AG218" s="2042"/>
      <c r="AH218" s="2042"/>
      <c r="AI218" s="2042"/>
      <c r="AJ218" s="569">
        <v>140</v>
      </c>
      <c r="AK218" s="2042"/>
      <c r="AL218" s="2042"/>
      <c r="AM218" s="2042"/>
      <c r="AN218" s="2042"/>
      <c r="AQ218" s="566" t="s">
        <v>316</v>
      </c>
      <c r="AR218" s="2041">
        <v>14</v>
      </c>
      <c r="AS218" s="2041">
        <v>14</v>
      </c>
      <c r="AT218" s="2043"/>
      <c r="AU218" s="2041">
        <v>104.4</v>
      </c>
      <c r="AV218" s="2041">
        <v>37</v>
      </c>
      <c r="AW218" s="2041">
        <v>37</v>
      </c>
      <c r="AX218" s="569">
        <v>110</v>
      </c>
      <c r="AY218" s="2041">
        <v>23</v>
      </c>
      <c r="AZ218" s="2043"/>
      <c r="BA218" s="2041">
        <v>39.799999999999997</v>
      </c>
      <c r="BD218" s="563" t="s">
        <v>315</v>
      </c>
      <c r="BE218" s="2078"/>
      <c r="BF218" s="2078"/>
      <c r="BG218" s="2078"/>
      <c r="BH218" s="2078"/>
      <c r="BI218" s="2078"/>
      <c r="BJ218" s="2078"/>
      <c r="BK218" s="2078"/>
      <c r="BL218" s="2078"/>
      <c r="BM218" s="2078"/>
      <c r="BN218" s="29">
        <v>12.5</v>
      </c>
    </row>
    <row r="219" spans="29:66" ht="48" customHeight="1" thickBot="1">
      <c r="AC219" s="566" t="s">
        <v>318</v>
      </c>
      <c r="AD219" s="2041">
        <v>168</v>
      </c>
      <c r="AE219" s="2041">
        <v>168</v>
      </c>
      <c r="AF219" s="2041">
        <v>158</v>
      </c>
      <c r="AG219" s="2041">
        <v>109</v>
      </c>
      <c r="AH219" s="2041">
        <v>105</v>
      </c>
      <c r="AI219" s="2041" t="s">
        <v>271</v>
      </c>
      <c r="AJ219" s="569">
        <v>110</v>
      </c>
      <c r="AK219" s="2041">
        <v>47</v>
      </c>
      <c r="AL219" s="2041">
        <v>47</v>
      </c>
      <c r="AM219" s="2041">
        <v>14</v>
      </c>
      <c r="AN219" s="2041">
        <v>14</v>
      </c>
      <c r="AQ219" s="566" t="s">
        <v>317</v>
      </c>
      <c r="AR219" s="2042"/>
      <c r="AS219" s="2042"/>
      <c r="AT219" s="2042"/>
      <c r="AU219" s="2042"/>
      <c r="AV219" s="2042"/>
      <c r="AW219" s="2042"/>
      <c r="AX219" s="569">
        <v>140</v>
      </c>
      <c r="AY219" s="2042"/>
      <c r="AZ219" s="2042"/>
      <c r="BA219" s="2042"/>
      <c r="BD219" s="563" t="s">
        <v>316</v>
      </c>
      <c r="BE219" s="2076">
        <v>194</v>
      </c>
      <c r="BF219" s="2076">
        <v>35</v>
      </c>
      <c r="BG219" s="2076">
        <v>35</v>
      </c>
      <c r="BH219" s="2076">
        <v>45</v>
      </c>
      <c r="BI219" s="2076">
        <v>59</v>
      </c>
      <c r="BJ219" s="2076">
        <v>28</v>
      </c>
      <c r="BK219" s="2076">
        <v>4.8000000000000001E-2</v>
      </c>
      <c r="BL219" s="2076">
        <v>5.0000000000000001E-3</v>
      </c>
      <c r="BM219" s="2076">
        <v>6.4999999999999997E-3</v>
      </c>
      <c r="BN219" s="29">
        <v>18.7</v>
      </c>
    </row>
    <row r="220" spans="29:66" ht="48" customHeight="1" thickBot="1">
      <c r="AC220" s="566" t="s">
        <v>319</v>
      </c>
      <c r="AD220" s="2043"/>
      <c r="AE220" s="2043"/>
      <c r="AF220" s="2043"/>
      <c r="AG220" s="2042"/>
      <c r="AH220" s="2042"/>
      <c r="AI220" s="2043"/>
      <c r="AJ220" s="569">
        <v>140</v>
      </c>
      <c r="AK220" s="2043"/>
      <c r="AL220" s="2043"/>
      <c r="AM220" s="2043"/>
      <c r="AN220" s="2043"/>
      <c r="AQ220" s="566" t="s">
        <v>318</v>
      </c>
      <c r="AR220" s="569">
        <v>14</v>
      </c>
      <c r="AS220" s="569">
        <v>14</v>
      </c>
      <c r="AT220" s="569">
        <v>4</v>
      </c>
      <c r="AU220" s="569">
        <v>104.4</v>
      </c>
      <c r="AV220" s="569">
        <v>37</v>
      </c>
      <c r="AW220" s="569">
        <v>37</v>
      </c>
      <c r="AX220" s="569">
        <v>110</v>
      </c>
      <c r="AY220" s="569">
        <v>23</v>
      </c>
      <c r="AZ220" s="569">
        <v>6</v>
      </c>
      <c r="BA220" s="569">
        <v>39.799999999999997</v>
      </c>
      <c r="BD220" s="563" t="s">
        <v>317</v>
      </c>
      <c r="BE220" s="2077"/>
      <c r="BF220" s="2077"/>
      <c r="BG220" s="2077"/>
      <c r="BH220" s="2077"/>
      <c r="BI220" s="2077"/>
      <c r="BJ220" s="2077"/>
      <c r="BK220" s="2078"/>
      <c r="BL220" s="2077"/>
      <c r="BM220" s="2077"/>
      <c r="BN220" s="29">
        <v>22.6</v>
      </c>
    </row>
    <row r="221" spans="29:66" ht="48" customHeight="1" thickBot="1">
      <c r="AC221" s="566" t="s">
        <v>320</v>
      </c>
      <c r="AD221" s="2043"/>
      <c r="AE221" s="2043"/>
      <c r="AF221" s="2043"/>
      <c r="AG221" s="2041">
        <v>118</v>
      </c>
      <c r="AH221" s="2041">
        <v>113</v>
      </c>
      <c r="AI221" s="2043"/>
      <c r="AJ221" s="569">
        <v>110</v>
      </c>
      <c r="AK221" s="2043"/>
      <c r="AL221" s="2043"/>
      <c r="AM221" s="2043"/>
      <c r="AN221" s="2043"/>
      <c r="AQ221" s="566" t="s">
        <v>367</v>
      </c>
      <c r="AR221" s="2041">
        <v>14</v>
      </c>
      <c r="AS221" s="2041">
        <v>14</v>
      </c>
      <c r="AT221" s="2041"/>
      <c r="AU221" s="569">
        <v>104.4</v>
      </c>
      <c r="AV221" s="2041">
        <v>37</v>
      </c>
      <c r="AW221" s="2041">
        <v>37</v>
      </c>
      <c r="AX221" s="569">
        <v>140</v>
      </c>
      <c r="AY221" s="2041">
        <v>23</v>
      </c>
      <c r="AZ221" s="2041">
        <v>6</v>
      </c>
      <c r="BA221" s="2041">
        <v>39.799999999999997</v>
      </c>
      <c r="BD221" s="563" t="s">
        <v>318</v>
      </c>
      <c r="BE221" s="2077"/>
      <c r="BF221" s="2077"/>
      <c r="BG221" s="2077"/>
      <c r="BH221" s="2077"/>
      <c r="BI221" s="2077"/>
      <c r="BJ221" s="2077"/>
      <c r="BK221" s="2076">
        <v>3.2000000000000001E-2</v>
      </c>
      <c r="BL221" s="2077"/>
      <c r="BM221" s="2077"/>
      <c r="BN221" s="29">
        <v>18.7</v>
      </c>
    </row>
    <row r="222" spans="29:66" ht="48" customHeight="1" thickBot="1">
      <c r="AC222" s="566" t="s">
        <v>321</v>
      </c>
      <c r="AD222" s="2043"/>
      <c r="AE222" s="2043"/>
      <c r="AF222" s="2043"/>
      <c r="AG222" s="2043"/>
      <c r="AH222" s="2043"/>
      <c r="AI222" s="2043"/>
      <c r="AJ222" s="569">
        <v>140</v>
      </c>
      <c r="AK222" s="2043"/>
      <c r="AL222" s="2043"/>
      <c r="AM222" s="2043"/>
      <c r="AN222" s="2043"/>
      <c r="AQ222" s="566" t="s">
        <v>320</v>
      </c>
      <c r="AR222" s="2043"/>
      <c r="AS222" s="2043"/>
      <c r="AT222" s="2043"/>
      <c r="AU222" s="2041">
        <v>112.4</v>
      </c>
      <c r="AV222" s="2043"/>
      <c r="AW222" s="2043"/>
      <c r="AX222" s="569">
        <v>110</v>
      </c>
      <c r="AY222" s="2043"/>
      <c r="AZ222" s="2043"/>
      <c r="BA222" s="2043"/>
      <c r="BD222" s="563" t="s">
        <v>367</v>
      </c>
      <c r="BE222" s="2077"/>
      <c r="BF222" s="2077"/>
      <c r="BG222" s="2077"/>
      <c r="BH222" s="2077"/>
      <c r="BI222" s="2077"/>
      <c r="BJ222" s="2077"/>
      <c r="BK222" s="2078"/>
      <c r="BL222" s="2077"/>
      <c r="BM222" s="2077"/>
      <c r="BN222" s="29">
        <v>22.6</v>
      </c>
    </row>
    <row r="223" spans="29:66" ht="48" customHeight="1" thickBot="1">
      <c r="AC223" s="566" t="s">
        <v>322</v>
      </c>
      <c r="AD223" s="2043"/>
      <c r="AE223" s="2043"/>
      <c r="AF223" s="2043"/>
      <c r="AG223" s="2043"/>
      <c r="AH223" s="2043"/>
      <c r="AI223" s="2043"/>
      <c r="AJ223" s="569">
        <v>110</v>
      </c>
      <c r="AK223" s="2043"/>
      <c r="AL223" s="2043"/>
      <c r="AM223" s="2043"/>
      <c r="AN223" s="2043"/>
      <c r="AQ223" s="566" t="s">
        <v>321</v>
      </c>
      <c r="AR223" s="2043"/>
      <c r="AS223" s="2043"/>
      <c r="AT223" s="2043"/>
      <c r="AU223" s="2043"/>
      <c r="AV223" s="2043"/>
      <c r="AW223" s="2043"/>
      <c r="AX223" s="569">
        <v>140</v>
      </c>
      <c r="AY223" s="2043"/>
      <c r="AZ223" s="2043"/>
      <c r="BA223" s="2043"/>
      <c r="BD223" s="563" t="s">
        <v>320</v>
      </c>
      <c r="BE223" s="2077"/>
      <c r="BF223" s="2077"/>
      <c r="BG223" s="2077"/>
      <c r="BH223" s="2077"/>
      <c r="BI223" s="2077"/>
      <c r="BJ223" s="2077"/>
      <c r="BK223" s="2076">
        <v>2.4E-2</v>
      </c>
      <c r="BL223" s="2077"/>
      <c r="BM223" s="2077"/>
      <c r="BN223" s="29">
        <v>17</v>
      </c>
    </row>
    <row r="224" spans="29:66" ht="48" customHeight="1" thickBot="1">
      <c r="AC224" s="566" t="s">
        <v>323</v>
      </c>
      <c r="AD224" s="2043"/>
      <c r="AE224" s="2043"/>
      <c r="AF224" s="2043"/>
      <c r="AG224" s="2042"/>
      <c r="AH224" s="2042"/>
      <c r="AI224" s="2043"/>
      <c r="AJ224" s="569">
        <v>140</v>
      </c>
      <c r="AK224" s="2043"/>
      <c r="AL224" s="2043"/>
      <c r="AM224" s="2043"/>
      <c r="AN224" s="2043"/>
      <c r="AQ224" s="566" t="s">
        <v>322</v>
      </c>
      <c r="AR224" s="2043"/>
      <c r="AS224" s="2043"/>
      <c r="AT224" s="2043"/>
      <c r="AU224" s="2043"/>
      <c r="AV224" s="2043"/>
      <c r="AW224" s="2043"/>
      <c r="AX224" s="569">
        <v>110</v>
      </c>
      <c r="AY224" s="2043"/>
      <c r="AZ224" s="2043"/>
      <c r="BA224" s="2043"/>
      <c r="BD224" s="563" t="s">
        <v>321</v>
      </c>
      <c r="BE224" s="2077"/>
      <c r="BF224" s="2077"/>
      <c r="BG224" s="2077"/>
      <c r="BH224" s="2077"/>
      <c r="BI224" s="2077"/>
      <c r="BJ224" s="2077"/>
      <c r="BK224" s="2077"/>
      <c r="BL224" s="2077"/>
      <c r="BM224" s="2077"/>
      <c r="BN224" s="29">
        <v>21</v>
      </c>
    </row>
    <row r="225" spans="29:66" ht="48" customHeight="1" thickBot="1">
      <c r="AC225" s="566" t="s">
        <v>324</v>
      </c>
      <c r="AD225" s="2043"/>
      <c r="AE225" s="2043"/>
      <c r="AF225" s="2043"/>
      <c r="AG225" s="2041">
        <v>109</v>
      </c>
      <c r="AH225" s="2041">
        <v>105</v>
      </c>
      <c r="AI225" s="2043"/>
      <c r="AJ225" s="569">
        <v>110</v>
      </c>
      <c r="AK225" s="2043"/>
      <c r="AL225" s="2043"/>
      <c r="AM225" s="2043"/>
      <c r="AN225" s="2043"/>
      <c r="AQ225" s="566" t="s">
        <v>323</v>
      </c>
      <c r="AR225" s="2043"/>
      <c r="AS225" s="2043"/>
      <c r="AT225" s="2043"/>
      <c r="AU225" s="2042"/>
      <c r="AV225" s="2043"/>
      <c r="AW225" s="2043"/>
      <c r="AX225" s="569">
        <v>140</v>
      </c>
      <c r="AY225" s="2043"/>
      <c r="AZ225" s="2043"/>
      <c r="BA225" s="2043"/>
      <c r="BD225" s="563" t="s">
        <v>322</v>
      </c>
      <c r="BE225" s="2077"/>
      <c r="BF225" s="2077"/>
      <c r="BG225" s="2077"/>
      <c r="BH225" s="2077"/>
      <c r="BI225" s="2077"/>
      <c r="BJ225" s="2077"/>
      <c r="BK225" s="2077"/>
      <c r="BL225" s="2077"/>
      <c r="BM225" s="2077"/>
      <c r="BN225" s="29">
        <v>17</v>
      </c>
    </row>
    <row r="226" spans="29:66" ht="48" customHeight="1" thickBot="1">
      <c r="AC226" s="566" t="s">
        <v>325</v>
      </c>
      <c r="AD226" s="2043"/>
      <c r="AE226" s="2043"/>
      <c r="AF226" s="2043"/>
      <c r="AG226" s="2043"/>
      <c r="AH226" s="2043"/>
      <c r="AI226" s="2043"/>
      <c r="AJ226" s="569">
        <v>140</v>
      </c>
      <c r="AK226" s="2043"/>
      <c r="AL226" s="2043"/>
      <c r="AM226" s="2043"/>
      <c r="AN226" s="2043"/>
      <c r="AQ226" s="566" t="s">
        <v>324</v>
      </c>
      <c r="AR226" s="2043"/>
      <c r="AS226" s="2043"/>
      <c r="AT226" s="2043"/>
      <c r="AU226" s="2041">
        <v>104.4</v>
      </c>
      <c r="AV226" s="2043"/>
      <c r="AW226" s="2043"/>
      <c r="AX226" s="569">
        <v>110</v>
      </c>
      <c r="AY226" s="2043"/>
      <c r="AZ226" s="2043"/>
      <c r="BA226" s="2043"/>
      <c r="BD226" s="563" t="s">
        <v>323</v>
      </c>
      <c r="BE226" s="2077"/>
      <c r="BF226" s="2077"/>
      <c r="BG226" s="2077"/>
      <c r="BH226" s="2077"/>
      <c r="BI226" s="2077"/>
      <c r="BJ226" s="2077"/>
      <c r="BK226" s="2078"/>
      <c r="BL226" s="2077"/>
      <c r="BM226" s="2077"/>
      <c r="BN226" s="29">
        <v>21</v>
      </c>
    </row>
    <row r="227" spans="29:66" ht="48" customHeight="1" thickBot="1">
      <c r="AC227" s="566" t="s">
        <v>326</v>
      </c>
      <c r="AD227" s="2043"/>
      <c r="AE227" s="2043"/>
      <c r="AF227" s="2043"/>
      <c r="AG227" s="2043"/>
      <c r="AH227" s="2043"/>
      <c r="AI227" s="2043"/>
      <c r="AJ227" s="569">
        <v>110</v>
      </c>
      <c r="AK227" s="2043"/>
      <c r="AL227" s="2043"/>
      <c r="AM227" s="2043"/>
      <c r="AN227" s="2043"/>
      <c r="AQ227" s="566" t="s">
        <v>325</v>
      </c>
      <c r="AR227" s="2043"/>
      <c r="AS227" s="2043"/>
      <c r="AT227" s="2043"/>
      <c r="AU227" s="2043"/>
      <c r="AV227" s="2043"/>
      <c r="AW227" s="2043"/>
      <c r="AX227" s="569">
        <v>140</v>
      </c>
      <c r="AY227" s="2043"/>
      <c r="AZ227" s="2043"/>
      <c r="BA227" s="2043"/>
      <c r="BD227" s="563" t="s">
        <v>324</v>
      </c>
      <c r="BE227" s="2077"/>
      <c r="BF227" s="2077"/>
      <c r="BG227" s="2077"/>
      <c r="BH227" s="2077"/>
      <c r="BI227" s="2077"/>
      <c r="BJ227" s="2077"/>
      <c r="BK227" s="2076">
        <v>3.0200000000000001E-2</v>
      </c>
      <c r="BL227" s="2077"/>
      <c r="BM227" s="2077"/>
      <c r="BN227" s="29">
        <v>18.7</v>
      </c>
    </row>
    <row r="228" spans="29:66" ht="48" customHeight="1" thickBot="1">
      <c r="AC228" s="566" t="s">
        <v>327</v>
      </c>
      <c r="AD228" s="2043"/>
      <c r="AE228" s="2043"/>
      <c r="AF228" s="2043"/>
      <c r="AG228" s="2042"/>
      <c r="AH228" s="2042"/>
      <c r="AI228" s="2042"/>
      <c r="AJ228" s="569">
        <v>140</v>
      </c>
      <c r="AK228" s="2042"/>
      <c r="AL228" s="2042"/>
      <c r="AM228" s="2042"/>
      <c r="AN228" s="2042"/>
      <c r="AQ228" s="566" t="s">
        <v>326</v>
      </c>
      <c r="AR228" s="2043"/>
      <c r="AS228" s="2043"/>
      <c r="AT228" s="2043"/>
      <c r="AU228" s="2043"/>
      <c r="AV228" s="2043"/>
      <c r="AW228" s="2043"/>
      <c r="AX228" s="569">
        <v>110</v>
      </c>
      <c r="AY228" s="2043"/>
      <c r="AZ228" s="2043"/>
      <c r="BA228" s="2043"/>
      <c r="BD228" s="563" t="s">
        <v>325</v>
      </c>
      <c r="BE228" s="2077"/>
      <c r="BF228" s="2077"/>
      <c r="BG228" s="2077"/>
      <c r="BH228" s="2077"/>
      <c r="BI228" s="2077"/>
      <c r="BJ228" s="2077"/>
      <c r="BK228" s="2078"/>
      <c r="BL228" s="2077"/>
      <c r="BM228" s="2077"/>
      <c r="BN228" s="29">
        <v>22.6</v>
      </c>
    </row>
    <row r="229" spans="29:66" ht="48" customHeight="1" thickBot="1">
      <c r="AC229" s="566" t="s">
        <v>328</v>
      </c>
      <c r="AD229" s="2043"/>
      <c r="AE229" s="2043"/>
      <c r="AF229" s="2043"/>
      <c r="AG229" s="2041">
        <v>118</v>
      </c>
      <c r="AH229" s="2041">
        <v>113</v>
      </c>
      <c r="AI229" s="2041"/>
      <c r="AJ229" s="569">
        <v>110</v>
      </c>
      <c r="AK229" s="2041">
        <v>47</v>
      </c>
      <c r="AL229" s="2041">
        <v>47</v>
      </c>
      <c r="AM229" s="2041">
        <v>14</v>
      </c>
      <c r="AN229" s="2041">
        <v>14</v>
      </c>
      <c r="AQ229" s="566" t="s">
        <v>327</v>
      </c>
      <c r="AR229" s="2043"/>
      <c r="AS229" s="2043"/>
      <c r="AT229" s="2043"/>
      <c r="AU229" s="2042"/>
      <c r="AV229" s="2043"/>
      <c r="AW229" s="2043"/>
      <c r="AX229" s="569">
        <v>140</v>
      </c>
      <c r="AY229" s="2043"/>
      <c r="AZ229" s="2043"/>
      <c r="BA229" s="2043"/>
      <c r="BD229" s="563" t="s">
        <v>326</v>
      </c>
      <c r="BE229" s="2077"/>
      <c r="BF229" s="2077"/>
      <c r="BG229" s="2077"/>
      <c r="BH229" s="2077"/>
      <c r="BI229" s="2077"/>
      <c r="BJ229" s="2077"/>
      <c r="BK229" s="2076">
        <v>2.4E-2</v>
      </c>
      <c r="BL229" s="2077"/>
      <c r="BM229" s="2077"/>
      <c r="BN229" s="29">
        <v>18.7</v>
      </c>
    </row>
    <row r="230" spans="29:66" ht="48" customHeight="1" thickBot="1">
      <c r="AC230" s="566" t="s">
        <v>329</v>
      </c>
      <c r="AD230" s="2043"/>
      <c r="AE230" s="2043"/>
      <c r="AF230" s="2043"/>
      <c r="AG230" s="2043"/>
      <c r="AH230" s="2043"/>
      <c r="AI230" s="2043"/>
      <c r="AJ230" s="569">
        <v>140</v>
      </c>
      <c r="AK230" s="2043"/>
      <c r="AL230" s="2043"/>
      <c r="AM230" s="2043"/>
      <c r="AN230" s="2043"/>
      <c r="AQ230" s="566" t="s">
        <v>328</v>
      </c>
      <c r="AR230" s="2043"/>
      <c r="AS230" s="2043"/>
      <c r="AT230" s="2043"/>
      <c r="AU230" s="2041">
        <v>112.4</v>
      </c>
      <c r="AV230" s="2043"/>
      <c r="AW230" s="2043"/>
      <c r="AX230" s="569">
        <v>110</v>
      </c>
      <c r="AY230" s="2043"/>
      <c r="AZ230" s="2043"/>
      <c r="BA230" s="2043"/>
      <c r="BD230" s="563" t="s">
        <v>327</v>
      </c>
      <c r="BE230" s="2077"/>
      <c r="BF230" s="2077"/>
      <c r="BG230" s="2077"/>
      <c r="BH230" s="2077"/>
      <c r="BI230" s="2077"/>
      <c r="BJ230" s="2077"/>
      <c r="BK230" s="2077"/>
      <c r="BL230" s="2077"/>
      <c r="BM230" s="2077"/>
      <c r="BN230" s="29">
        <v>22.6</v>
      </c>
    </row>
    <row r="231" spans="29:66" ht="48" customHeight="1" thickBot="1">
      <c r="AC231" s="566" t="s">
        <v>330</v>
      </c>
      <c r="AD231" s="2043"/>
      <c r="AE231" s="2043"/>
      <c r="AF231" s="2043"/>
      <c r="AG231" s="2043"/>
      <c r="AH231" s="2043"/>
      <c r="AI231" s="2043"/>
      <c r="AJ231" s="569">
        <v>110</v>
      </c>
      <c r="AK231" s="2043"/>
      <c r="AL231" s="2043"/>
      <c r="AM231" s="2043"/>
      <c r="AN231" s="2043"/>
      <c r="AQ231" s="566" t="s">
        <v>329</v>
      </c>
      <c r="AR231" s="2043"/>
      <c r="AS231" s="2043"/>
      <c r="AT231" s="2043"/>
      <c r="AU231" s="2043"/>
      <c r="AV231" s="2043"/>
      <c r="AW231" s="2043"/>
      <c r="AX231" s="569">
        <v>140</v>
      </c>
      <c r="AY231" s="2043"/>
      <c r="AZ231" s="2043"/>
      <c r="BA231" s="2043"/>
      <c r="BD231" s="563" t="s">
        <v>328</v>
      </c>
      <c r="BE231" s="2077"/>
      <c r="BF231" s="2077"/>
      <c r="BG231" s="2077"/>
      <c r="BH231" s="2077"/>
      <c r="BI231" s="2077"/>
      <c r="BJ231" s="2077"/>
      <c r="BK231" s="2077"/>
      <c r="BL231" s="2077"/>
      <c r="BM231" s="2077"/>
      <c r="BN231" s="29">
        <v>17</v>
      </c>
    </row>
    <row r="232" spans="29:66" ht="48" customHeight="1" thickBot="1">
      <c r="AC232" s="566" t="s">
        <v>331</v>
      </c>
      <c r="AD232" s="2042"/>
      <c r="AE232" s="2042"/>
      <c r="AF232" s="2042"/>
      <c r="AG232" s="2042"/>
      <c r="AH232" s="2042"/>
      <c r="AI232" s="2042"/>
      <c r="AJ232" s="569">
        <v>140</v>
      </c>
      <c r="AK232" s="2042"/>
      <c r="AL232" s="2042"/>
      <c r="AM232" s="2042"/>
      <c r="AN232" s="2042"/>
      <c r="AQ232" s="566" t="s">
        <v>330</v>
      </c>
      <c r="AR232" s="2043"/>
      <c r="AS232" s="2043"/>
      <c r="AT232" s="2043"/>
      <c r="AU232" s="2043"/>
      <c r="AV232" s="2043"/>
      <c r="AW232" s="2043"/>
      <c r="AX232" s="569">
        <v>110</v>
      </c>
      <c r="AY232" s="2043"/>
      <c r="AZ232" s="2043"/>
      <c r="BA232" s="2043"/>
      <c r="BD232" s="563" t="s">
        <v>329</v>
      </c>
      <c r="BE232" s="2077"/>
      <c r="BF232" s="2077"/>
      <c r="BG232" s="2077"/>
      <c r="BH232" s="2077"/>
      <c r="BI232" s="2077"/>
      <c r="BJ232" s="2077"/>
      <c r="BK232" s="2077"/>
      <c r="BL232" s="2077"/>
      <c r="BM232" s="2077"/>
      <c r="BN232" s="29">
        <v>21</v>
      </c>
    </row>
    <row r="233" spans="29:66" ht="48" customHeight="1" thickBot="1">
      <c r="AQ233" s="566" t="s">
        <v>331</v>
      </c>
      <c r="AR233" s="2042"/>
      <c r="AS233" s="2042"/>
      <c r="AT233" s="2042"/>
      <c r="AU233" s="2042"/>
      <c r="AV233" s="2042"/>
      <c r="AW233" s="2042"/>
      <c r="AX233" s="569">
        <v>140</v>
      </c>
      <c r="AY233" s="2042"/>
      <c r="AZ233" s="2042"/>
      <c r="BA233" s="2042"/>
      <c r="BD233" s="563" t="s">
        <v>330</v>
      </c>
      <c r="BE233" s="2077"/>
      <c r="BF233" s="2077"/>
      <c r="BG233" s="2077"/>
      <c r="BH233" s="2077"/>
      <c r="BI233" s="2077"/>
      <c r="BJ233" s="2077"/>
      <c r="BK233" s="2077"/>
      <c r="BL233" s="2077"/>
      <c r="BM233" s="2077"/>
      <c r="BN233" s="29">
        <v>17</v>
      </c>
    </row>
    <row r="234" spans="29:66" ht="48" customHeight="1" thickBot="1">
      <c r="BD234" s="563" t="s">
        <v>331</v>
      </c>
      <c r="BE234" s="2078"/>
      <c r="BF234" s="2078"/>
      <c r="BG234" s="2078"/>
      <c r="BH234" s="2078"/>
      <c r="BI234" s="2078"/>
      <c r="BJ234" s="2078"/>
      <c r="BK234" s="2078"/>
      <c r="BL234" s="2078"/>
      <c r="BM234" s="2078"/>
      <c r="BN234" s="29">
        <v>21</v>
      </c>
    </row>
    <row r="235" spans="29:66" ht="48" customHeight="1"/>
    <row r="236" spans="29:66" ht="48" customHeight="1"/>
    <row r="237" spans="29:66" ht="48" customHeight="1"/>
    <row r="238" spans="29:66" ht="48" customHeight="1"/>
    <row r="239" spans="29:66" ht="48" customHeight="1"/>
    <row r="240" spans="29:66" ht="48" customHeight="1"/>
    <row r="241" ht="48" customHeight="1"/>
    <row r="242" ht="48" customHeight="1"/>
    <row r="243" ht="48" customHeight="1"/>
    <row r="244" ht="48" customHeight="1"/>
    <row r="245" ht="48" customHeight="1"/>
    <row r="246" ht="48" customHeight="1"/>
    <row r="247" ht="48" customHeight="1"/>
    <row r="248" ht="48" customHeight="1"/>
    <row r="249" ht="48" customHeight="1"/>
    <row r="250" ht="48" customHeight="1"/>
    <row r="251" ht="48" customHeight="1"/>
    <row r="252" ht="48" customHeight="1"/>
    <row r="253" ht="48" customHeight="1"/>
    <row r="254" ht="48" customHeight="1"/>
    <row r="255" ht="48" customHeight="1"/>
    <row r="256" ht="48" customHeight="1"/>
    <row r="257" ht="48" customHeight="1"/>
    <row r="258" ht="48" customHeight="1"/>
    <row r="259" ht="48" customHeight="1"/>
    <row r="260" ht="48" customHeight="1"/>
    <row r="261" ht="48" customHeight="1"/>
    <row r="262" ht="48" customHeight="1"/>
    <row r="263" ht="48" customHeight="1"/>
    <row r="264" ht="48" customHeight="1"/>
    <row r="265" ht="48" customHeight="1"/>
    <row r="266" ht="48" customHeight="1"/>
    <row r="267" ht="48" customHeight="1"/>
    <row r="268" ht="48" customHeight="1"/>
    <row r="269" ht="48" customHeight="1"/>
    <row r="270" ht="48" customHeight="1"/>
    <row r="271" ht="48" customHeight="1"/>
    <row r="272" ht="48" customHeight="1"/>
    <row r="273" ht="48" customHeight="1"/>
    <row r="274" ht="48" customHeight="1"/>
    <row r="275" ht="48" customHeight="1"/>
    <row r="276" ht="48" customHeight="1"/>
    <row r="277" ht="48" customHeight="1"/>
    <row r="278" ht="48" customHeight="1"/>
    <row r="279" ht="48" customHeight="1"/>
    <row r="280" ht="48" customHeight="1"/>
    <row r="281" ht="48" customHeight="1"/>
    <row r="282" ht="48" customHeight="1"/>
    <row r="283" ht="48" customHeight="1"/>
    <row r="284" ht="48" customHeight="1"/>
    <row r="285" ht="48" customHeight="1"/>
    <row r="286" ht="48" customHeight="1"/>
    <row r="287" ht="48" customHeight="1"/>
    <row r="288" ht="48" customHeight="1"/>
    <row r="289" ht="48" customHeight="1"/>
    <row r="290" ht="48" customHeight="1"/>
    <row r="291" ht="48" customHeight="1"/>
    <row r="292" ht="48" customHeight="1"/>
    <row r="293" ht="48" customHeight="1"/>
    <row r="294" ht="48" customHeight="1"/>
    <row r="295" ht="48" customHeight="1"/>
    <row r="296" ht="48" customHeight="1"/>
    <row r="297" ht="48" customHeight="1"/>
    <row r="298" ht="48" customHeight="1"/>
    <row r="299" ht="48" customHeight="1"/>
    <row r="300" ht="48" customHeight="1"/>
    <row r="301" ht="48" customHeight="1"/>
    <row r="302" ht="48" customHeight="1"/>
    <row r="303" ht="48" customHeight="1"/>
    <row r="304" ht="48" customHeight="1"/>
    <row r="305" ht="48" customHeight="1"/>
    <row r="306" ht="48" customHeight="1"/>
    <row r="307" ht="48" customHeight="1"/>
    <row r="308" ht="48" customHeight="1"/>
    <row r="309" ht="48" customHeight="1"/>
    <row r="310" ht="48" customHeight="1"/>
    <row r="311" ht="48" customHeight="1"/>
    <row r="312" ht="48" customHeight="1"/>
    <row r="313" ht="48" customHeight="1"/>
    <row r="314" ht="48" customHeight="1"/>
    <row r="315" ht="48" customHeight="1"/>
    <row r="316" ht="48" customHeight="1"/>
    <row r="317" ht="48" customHeight="1"/>
    <row r="318" ht="48" customHeight="1"/>
    <row r="319" ht="48" customHeight="1"/>
    <row r="320" ht="48" customHeight="1"/>
    <row r="321" ht="48" customHeight="1"/>
    <row r="322" ht="48" customHeight="1"/>
    <row r="323" ht="48" customHeight="1"/>
    <row r="324" ht="48" customHeight="1"/>
    <row r="325" ht="48" customHeight="1"/>
    <row r="326" ht="48" customHeight="1"/>
    <row r="327" ht="48" customHeight="1"/>
    <row r="328" ht="48" customHeight="1"/>
    <row r="329" ht="48" customHeight="1"/>
    <row r="330" ht="48" customHeight="1"/>
    <row r="331" ht="48" customHeight="1"/>
    <row r="332" ht="48" customHeight="1"/>
    <row r="333" ht="48" customHeight="1"/>
    <row r="334" ht="48" customHeight="1"/>
    <row r="335" ht="48" customHeight="1"/>
    <row r="336" ht="48" customHeight="1"/>
    <row r="337" ht="48" customHeight="1"/>
    <row r="338" ht="48" customHeight="1"/>
    <row r="339" ht="48" customHeight="1"/>
    <row r="340" ht="48" customHeight="1"/>
    <row r="341" ht="48" customHeight="1"/>
    <row r="342" ht="48" customHeight="1"/>
    <row r="343" ht="48" customHeight="1"/>
    <row r="344" ht="48" customHeight="1"/>
    <row r="345" ht="48" customHeight="1"/>
    <row r="346" ht="48" customHeight="1"/>
    <row r="347" ht="48" customHeight="1"/>
    <row r="348" ht="48" customHeight="1"/>
    <row r="349" ht="48" customHeight="1"/>
    <row r="350" ht="48" customHeight="1"/>
    <row r="351" ht="48" customHeight="1"/>
    <row r="352" ht="48" customHeight="1"/>
    <row r="353" ht="48" customHeight="1"/>
    <row r="354" ht="48" customHeight="1"/>
    <row r="355" ht="48" customHeight="1"/>
    <row r="356" ht="48" customHeight="1"/>
    <row r="357" ht="48" customHeight="1"/>
    <row r="358" ht="48" customHeight="1"/>
    <row r="359" ht="48" customHeight="1"/>
    <row r="360" ht="48" customHeight="1"/>
    <row r="361" ht="48" customHeight="1"/>
    <row r="362" ht="48" customHeight="1"/>
    <row r="363" ht="48" customHeight="1"/>
    <row r="364" ht="48" customHeight="1"/>
    <row r="365" ht="48" customHeight="1"/>
    <row r="366" ht="48" customHeight="1"/>
    <row r="367" ht="48" customHeight="1"/>
    <row r="368" ht="48" customHeight="1"/>
    <row r="369" ht="48" customHeight="1"/>
    <row r="370" ht="48" customHeight="1"/>
    <row r="371" ht="48" customHeight="1"/>
    <row r="372" ht="48" customHeight="1"/>
    <row r="373" ht="48" customHeight="1"/>
    <row r="374" ht="48" customHeight="1"/>
    <row r="375" ht="48" customHeight="1"/>
    <row r="376" ht="48" customHeight="1"/>
    <row r="377" ht="48" customHeight="1"/>
    <row r="378" ht="48" customHeight="1"/>
    <row r="379" ht="48" customHeight="1"/>
    <row r="380" ht="48" customHeight="1"/>
    <row r="381" ht="48" customHeight="1"/>
    <row r="382" ht="48" customHeight="1"/>
    <row r="383" ht="48" customHeight="1"/>
    <row r="384" ht="48" customHeight="1"/>
    <row r="385" ht="48" customHeight="1"/>
    <row r="386" ht="48" customHeight="1"/>
    <row r="387" ht="48" customHeight="1"/>
    <row r="388" ht="48" customHeight="1"/>
    <row r="389" ht="48" customHeight="1"/>
    <row r="390" ht="48" customHeight="1"/>
    <row r="391" ht="48" customHeight="1"/>
    <row r="392" ht="48" customHeight="1"/>
    <row r="393" ht="48" customHeight="1"/>
    <row r="394" ht="48" customHeight="1"/>
    <row r="395" ht="48" customHeight="1"/>
    <row r="396" ht="48" customHeight="1"/>
    <row r="397" ht="48" customHeight="1"/>
    <row r="398" ht="48" customHeight="1"/>
    <row r="399" ht="48" customHeight="1"/>
    <row r="400" ht="48" customHeight="1"/>
    <row r="401" ht="48" customHeight="1"/>
    <row r="402" ht="48" customHeight="1"/>
    <row r="403" ht="48" customHeight="1"/>
    <row r="404" ht="48" customHeight="1"/>
    <row r="405" ht="48" customHeight="1"/>
    <row r="406" ht="48" customHeight="1"/>
    <row r="407" ht="48" customHeight="1"/>
    <row r="408" ht="48" customHeight="1"/>
    <row r="409" ht="48" customHeight="1"/>
    <row r="410" ht="48" customHeight="1"/>
    <row r="411" ht="48" customHeight="1"/>
    <row r="412" ht="48" customHeight="1"/>
    <row r="413" ht="48" customHeight="1"/>
    <row r="414" ht="48" customHeight="1"/>
    <row r="415" ht="48" customHeight="1"/>
    <row r="416" ht="48" customHeight="1"/>
    <row r="417" ht="48" customHeight="1"/>
    <row r="418" ht="48" customHeight="1"/>
    <row r="419" ht="48" customHeight="1"/>
    <row r="420" ht="48" customHeight="1"/>
    <row r="421" ht="48" customHeight="1"/>
    <row r="422" ht="48" customHeight="1"/>
    <row r="423" ht="48" customHeight="1"/>
    <row r="424" ht="48" customHeight="1"/>
    <row r="425" ht="48" customHeight="1"/>
    <row r="426" ht="48" customHeight="1"/>
    <row r="427" ht="48" customHeight="1"/>
    <row r="428" ht="48" customHeight="1"/>
    <row r="429" ht="48" customHeight="1"/>
    <row r="430" ht="48" customHeight="1"/>
    <row r="431" ht="48" customHeight="1"/>
    <row r="432" ht="48" customHeight="1"/>
    <row r="433" ht="48" customHeight="1"/>
    <row r="434" ht="48" customHeight="1"/>
    <row r="435" ht="48" customHeight="1"/>
    <row r="436" ht="48" customHeight="1"/>
    <row r="437" ht="48" customHeight="1"/>
    <row r="438" ht="48" customHeight="1"/>
    <row r="439" ht="48" customHeight="1"/>
    <row r="440" ht="48" customHeight="1"/>
    <row r="441" ht="48" customHeight="1"/>
    <row r="442" ht="48" customHeight="1"/>
    <row r="443" ht="48" customHeight="1"/>
    <row r="444" ht="48" customHeight="1"/>
    <row r="445" ht="48" customHeight="1"/>
    <row r="446" ht="48" customHeight="1"/>
    <row r="447" ht="48" customHeight="1"/>
    <row r="448" ht="48" customHeight="1"/>
    <row r="449" ht="48" customHeight="1"/>
    <row r="450" ht="48" customHeight="1"/>
    <row r="451" ht="48" customHeight="1"/>
    <row r="452" ht="48" customHeight="1"/>
    <row r="453" ht="48" customHeight="1"/>
    <row r="454" ht="48" customHeight="1"/>
    <row r="455" ht="48" customHeight="1"/>
    <row r="456" ht="48" customHeight="1"/>
    <row r="457" ht="48" customHeight="1"/>
    <row r="458" ht="48" customHeight="1"/>
    <row r="459" ht="48" customHeight="1"/>
    <row r="460" ht="48" customHeight="1"/>
    <row r="461" ht="48" customHeight="1"/>
    <row r="462" ht="48" customHeight="1"/>
    <row r="463" ht="48" customHeight="1"/>
    <row r="464" ht="48" customHeight="1"/>
    <row r="465" ht="48" customHeight="1"/>
    <row r="466" ht="48" customHeight="1"/>
    <row r="467" ht="48" customHeight="1"/>
    <row r="468" ht="48" customHeight="1"/>
    <row r="469" ht="48" customHeight="1"/>
    <row r="470" ht="48" customHeight="1"/>
    <row r="471" ht="48" customHeight="1"/>
    <row r="472" ht="48" customHeight="1"/>
    <row r="473" ht="48" customHeight="1"/>
    <row r="474" ht="48" customHeight="1"/>
    <row r="475" ht="48" customHeight="1"/>
    <row r="476" ht="48" customHeight="1"/>
    <row r="477" ht="48" customHeight="1"/>
    <row r="478" ht="48" customHeight="1"/>
    <row r="479" ht="48" customHeight="1"/>
    <row r="480" ht="48" customHeight="1"/>
    <row r="481" ht="48" customHeight="1"/>
    <row r="482" ht="48" customHeight="1"/>
    <row r="483" ht="48" customHeight="1"/>
    <row r="484" ht="48" customHeight="1"/>
    <row r="485" ht="48" customHeight="1"/>
    <row r="486" ht="48" customHeight="1"/>
    <row r="487" ht="48" customHeight="1"/>
    <row r="488" ht="48" customHeight="1"/>
    <row r="489" ht="48" customHeight="1"/>
    <row r="490" ht="48" customHeight="1"/>
    <row r="491" ht="48" customHeight="1"/>
    <row r="492" ht="48" customHeight="1"/>
    <row r="493" ht="48" customHeight="1"/>
    <row r="494" ht="48" customHeight="1"/>
    <row r="495" ht="48" customHeight="1"/>
    <row r="496" ht="48" customHeight="1"/>
    <row r="497" ht="48" customHeight="1"/>
    <row r="498" ht="48" customHeight="1"/>
    <row r="499" ht="48" customHeight="1"/>
    <row r="500" ht="48" customHeight="1"/>
    <row r="501" ht="48" customHeight="1"/>
    <row r="502" ht="48" customHeight="1"/>
    <row r="503" ht="48" customHeight="1"/>
    <row r="504" ht="48" customHeight="1"/>
    <row r="505" ht="48" customHeight="1"/>
    <row r="506" ht="48" customHeight="1"/>
    <row r="507" ht="48" customHeight="1"/>
    <row r="508" ht="48" customHeight="1"/>
    <row r="509" ht="48" customHeight="1"/>
    <row r="510" ht="48" customHeight="1"/>
    <row r="511" ht="48" customHeight="1"/>
    <row r="512" ht="48" customHeight="1"/>
    <row r="513" ht="48" customHeight="1"/>
    <row r="514" ht="48" customHeight="1"/>
    <row r="515" ht="48" customHeight="1"/>
    <row r="516" ht="48" customHeight="1"/>
    <row r="517" ht="48" customHeight="1"/>
    <row r="518" ht="48" customHeight="1"/>
    <row r="519" ht="48" customHeight="1"/>
    <row r="520" ht="48" customHeight="1"/>
    <row r="521" ht="48" customHeight="1"/>
    <row r="522" ht="48" customHeight="1"/>
    <row r="523" ht="48" customHeight="1"/>
    <row r="524" ht="48" customHeight="1"/>
    <row r="525" ht="48" customHeight="1"/>
    <row r="526" ht="48" customHeight="1"/>
    <row r="527" ht="48" customHeight="1"/>
    <row r="528" ht="48" customHeight="1"/>
    <row r="529" ht="48" customHeight="1"/>
    <row r="530" ht="48" customHeight="1"/>
    <row r="531" ht="48" customHeight="1"/>
    <row r="532" ht="48" customHeight="1"/>
    <row r="533" ht="48" customHeight="1"/>
    <row r="534" ht="48" customHeight="1"/>
    <row r="535" ht="48" customHeight="1"/>
    <row r="536" ht="48" customHeight="1"/>
    <row r="537" ht="48" customHeight="1"/>
    <row r="538" ht="48" customHeight="1"/>
    <row r="539" ht="48" customHeight="1"/>
    <row r="540" ht="48" customHeight="1"/>
    <row r="541" ht="48" customHeight="1"/>
    <row r="542" ht="48" customHeight="1"/>
    <row r="543" ht="48" customHeight="1"/>
    <row r="544" ht="48" customHeight="1"/>
    <row r="545" ht="48" customHeight="1"/>
    <row r="546" ht="48" customHeight="1"/>
    <row r="547" ht="48" customHeight="1"/>
    <row r="548" ht="48" customHeight="1"/>
    <row r="549" ht="48" customHeight="1"/>
    <row r="550" ht="48" customHeight="1"/>
    <row r="551" ht="48" customHeight="1"/>
    <row r="552" ht="48" customHeight="1"/>
    <row r="553" ht="48" customHeight="1"/>
    <row r="554" ht="48" customHeight="1"/>
    <row r="555" ht="48" customHeight="1"/>
    <row r="556" ht="48" customHeight="1"/>
    <row r="557" ht="48" customHeight="1"/>
    <row r="558" ht="48" customHeight="1"/>
    <row r="559" ht="48" customHeight="1"/>
    <row r="560" ht="48" customHeight="1"/>
    <row r="561" ht="48" customHeight="1"/>
    <row r="562" ht="48" customHeight="1"/>
    <row r="563" ht="48" customHeight="1"/>
    <row r="564" ht="48" customHeight="1"/>
    <row r="565" ht="48" customHeight="1"/>
    <row r="566" ht="48" customHeight="1"/>
    <row r="567" ht="48" customHeight="1"/>
    <row r="568" ht="48" customHeight="1"/>
    <row r="569" ht="48" customHeight="1"/>
    <row r="570" ht="48" customHeight="1"/>
    <row r="571" ht="48" customHeight="1"/>
    <row r="572" ht="48" customHeight="1"/>
    <row r="573" ht="48" customHeight="1"/>
    <row r="574" ht="48" customHeight="1"/>
    <row r="575" ht="48" customHeight="1"/>
    <row r="576" ht="48" customHeight="1"/>
    <row r="577" ht="48" customHeight="1"/>
    <row r="578" ht="48" customHeight="1"/>
    <row r="579" ht="48" customHeight="1"/>
    <row r="580" ht="48" customHeight="1"/>
    <row r="581" ht="48" customHeight="1"/>
    <row r="582" ht="48" customHeight="1"/>
    <row r="583" ht="48" customHeight="1"/>
    <row r="584" ht="48" customHeight="1"/>
    <row r="585" ht="48" customHeight="1"/>
    <row r="586" ht="48" customHeight="1"/>
    <row r="587" ht="48" customHeight="1"/>
    <row r="588" ht="48" customHeight="1"/>
    <row r="589" ht="48" customHeight="1"/>
    <row r="590" ht="48" customHeight="1"/>
    <row r="591" ht="48" customHeight="1"/>
    <row r="592" ht="48" customHeight="1"/>
    <row r="593" ht="48" customHeight="1"/>
    <row r="594" ht="48" customHeight="1"/>
    <row r="595" ht="48" customHeight="1"/>
    <row r="596" ht="48" customHeight="1"/>
    <row r="597" ht="48" customHeight="1"/>
    <row r="598" ht="48" customHeight="1"/>
    <row r="599" ht="48" customHeight="1"/>
    <row r="600" ht="48" customHeight="1"/>
    <row r="601" ht="48" customHeight="1"/>
    <row r="602" ht="48" customHeight="1"/>
    <row r="603" ht="48" customHeight="1"/>
    <row r="604" ht="48" customHeight="1"/>
    <row r="605" ht="48" customHeight="1"/>
    <row r="606" ht="48" customHeight="1"/>
    <row r="607" ht="48" customHeight="1"/>
    <row r="608" ht="48" customHeight="1"/>
    <row r="609" ht="48" customHeight="1"/>
    <row r="610" ht="48" customHeight="1"/>
    <row r="611" ht="48" customHeight="1"/>
    <row r="612" ht="48" customHeight="1"/>
    <row r="613" ht="48" customHeight="1"/>
    <row r="614" ht="48" customHeight="1"/>
    <row r="615" ht="48" customHeight="1"/>
    <row r="616" ht="48" customHeight="1"/>
    <row r="617" ht="48" customHeight="1"/>
    <row r="618" ht="48" customHeight="1"/>
    <row r="619" ht="48" customHeight="1"/>
    <row r="620" ht="48" customHeight="1"/>
    <row r="621" ht="48" customHeight="1"/>
    <row r="622" ht="48" customHeight="1"/>
    <row r="623" ht="48" customHeight="1"/>
    <row r="624" ht="48" customHeight="1"/>
    <row r="625" ht="48" customHeight="1"/>
    <row r="626" ht="48" customHeight="1"/>
    <row r="627" ht="48" customHeight="1"/>
    <row r="628" ht="48" customHeight="1"/>
    <row r="629" ht="48" customHeight="1"/>
    <row r="630" ht="48" customHeight="1"/>
    <row r="631" ht="48" customHeight="1"/>
    <row r="632" ht="48" customHeight="1"/>
    <row r="633" ht="48" customHeight="1"/>
    <row r="634" ht="48" customHeight="1"/>
    <row r="635" ht="48" customHeight="1"/>
    <row r="636" ht="48" customHeight="1"/>
    <row r="637" ht="48" customHeight="1"/>
    <row r="638" ht="48" customHeight="1"/>
    <row r="639" ht="48" customHeight="1"/>
    <row r="640" ht="48" customHeight="1"/>
    <row r="641" ht="48" customHeight="1"/>
    <row r="642" ht="48" customHeight="1"/>
    <row r="643" ht="48" customHeight="1"/>
    <row r="644" ht="48" customHeight="1"/>
    <row r="645" ht="48" customHeight="1"/>
    <row r="646" ht="48" customHeight="1"/>
    <row r="647" ht="48" customHeight="1"/>
    <row r="648" ht="48" customHeight="1"/>
    <row r="649" ht="48" customHeight="1"/>
    <row r="650" ht="48" customHeight="1"/>
    <row r="651" ht="48" customHeight="1"/>
    <row r="652" ht="48" customHeight="1"/>
    <row r="653" ht="48" customHeight="1"/>
    <row r="654" ht="48" customHeight="1"/>
    <row r="655" ht="48" customHeight="1"/>
    <row r="656" ht="48" customHeight="1"/>
    <row r="657" ht="48" customHeight="1"/>
    <row r="658" ht="48" customHeight="1"/>
    <row r="659" ht="48" customHeight="1"/>
    <row r="660" ht="48" customHeight="1"/>
    <row r="661" ht="48" customHeight="1"/>
    <row r="662" ht="48" customHeight="1"/>
    <row r="663" ht="48" customHeight="1"/>
    <row r="664" ht="48" customHeight="1"/>
    <row r="665" ht="48" customHeight="1"/>
    <row r="666" ht="48" customHeight="1"/>
    <row r="667" ht="48" customHeight="1"/>
    <row r="668" ht="48" customHeight="1"/>
    <row r="669" ht="48" customHeight="1"/>
    <row r="670" ht="48" customHeight="1"/>
    <row r="671" ht="48" customHeight="1"/>
    <row r="672" ht="48" customHeight="1"/>
    <row r="673" ht="48" customHeight="1"/>
    <row r="674" ht="48" customHeight="1"/>
    <row r="675" ht="48" customHeight="1"/>
    <row r="676" ht="48" customHeight="1"/>
    <row r="677" ht="48" customHeight="1"/>
    <row r="678" ht="48" customHeight="1"/>
    <row r="679" ht="48" customHeight="1"/>
    <row r="680" ht="48" customHeight="1"/>
    <row r="681" ht="48" customHeight="1"/>
    <row r="682" ht="48" customHeight="1"/>
    <row r="683" ht="48" customHeight="1"/>
    <row r="684" ht="48" customHeight="1"/>
    <row r="685" ht="48" customHeight="1"/>
    <row r="686" ht="48" customHeight="1"/>
    <row r="687" ht="48" customHeight="1"/>
    <row r="688" ht="48" customHeight="1"/>
    <row r="689" ht="48" customHeight="1"/>
    <row r="690" ht="48" customHeight="1"/>
    <row r="691" ht="48" customHeight="1"/>
    <row r="692" ht="48" customHeight="1"/>
    <row r="693" ht="48" customHeight="1"/>
    <row r="694" ht="48" customHeight="1"/>
    <row r="695" ht="48" customHeight="1"/>
    <row r="696" ht="48" customHeight="1"/>
    <row r="697" ht="48" customHeight="1"/>
    <row r="698" ht="48" customHeight="1"/>
    <row r="699" ht="48" customHeight="1"/>
    <row r="700" ht="48" customHeight="1"/>
    <row r="701" ht="48" customHeight="1"/>
    <row r="702" ht="48" customHeight="1"/>
    <row r="703" ht="48" customHeight="1"/>
    <row r="704" ht="48" customHeight="1"/>
    <row r="705" ht="48" customHeight="1"/>
    <row r="706" ht="48" customHeight="1"/>
    <row r="707" ht="48" customHeight="1"/>
    <row r="708" ht="48" customHeight="1"/>
    <row r="709" ht="48" customHeight="1"/>
    <row r="710" ht="48" customHeight="1"/>
    <row r="711" ht="48" customHeight="1"/>
    <row r="712" ht="48" customHeight="1"/>
    <row r="713" ht="48" customHeight="1"/>
    <row r="714" ht="48" customHeight="1"/>
    <row r="715" ht="48" customHeight="1"/>
    <row r="716" ht="48" customHeight="1"/>
    <row r="717" ht="48" customHeight="1"/>
    <row r="718" ht="48" customHeight="1"/>
    <row r="719" ht="48" customHeight="1"/>
    <row r="720" ht="48" customHeight="1"/>
    <row r="721" ht="48" customHeight="1"/>
    <row r="722" ht="48" customHeight="1"/>
    <row r="723" ht="48" customHeight="1"/>
    <row r="724" ht="48" customHeight="1"/>
    <row r="725" ht="48" customHeight="1"/>
    <row r="726" ht="48" customHeight="1"/>
    <row r="727" ht="48" customHeight="1"/>
    <row r="728" ht="48" customHeight="1"/>
    <row r="729" ht="48" customHeight="1"/>
    <row r="730" ht="48" customHeight="1"/>
    <row r="731" ht="48" customHeight="1"/>
    <row r="732" ht="48" customHeight="1"/>
    <row r="733" ht="48" customHeight="1"/>
    <row r="734" ht="48" customHeight="1"/>
    <row r="735" ht="48" customHeight="1"/>
    <row r="736" ht="48" customHeight="1"/>
    <row r="737" ht="48" customHeight="1"/>
    <row r="738" ht="48" customHeight="1"/>
    <row r="739" ht="48" customHeight="1"/>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438150</xdr:colOff>
                <xdr:row>26</xdr:row>
                <xdr:rowOff>85725</xdr:rowOff>
              </from>
              <to>
                <xdr:col>13</xdr:col>
                <xdr:colOff>219075</xdr:colOff>
                <xdr:row>32</xdr:row>
                <xdr:rowOff>114300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zoomScale="55" zoomScaleNormal="55" workbookViewId="0">
      <selection activeCell="X32" sqref="X32"/>
    </sheetView>
  </sheetViews>
  <sheetFormatPr defaultRowHeight="24" customHeight="1"/>
  <sheetData>
    <row r="12" spans="30:41" ht="24" customHeight="1">
      <c r="AD12" s="60"/>
      <c r="AE12" s="60"/>
      <c r="AF12" s="60"/>
      <c r="AG12" s="60"/>
      <c r="AH12" s="60"/>
      <c r="AI12" s="60"/>
      <c r="AJ12" s="60"/>
      <c r="AK12" s="60"/>
      <c r="AL12" s="60"/>
      <c r="AM12" s="60"/>
      <c r="AN12" s="60"/>
      <c r="AO12" s="60"/>
    </row>
    <row r="13" spans="30:41" ht="24" customHeight="1">
      <c r="AD13" s="60"/>
      <c r="AE13" s="60"/>
      <c r="AF13" s="60"/>
      <c r="AG13" s="60"/>
      <c r="AH13" s="60"/>
      <c r="AI13" s="60"/>
      <c r="AJ13" s="60"/>
      <c r="AK13" s="60"/>
      <c r="AL13" s="60"/>
      <c r="AM13" s="60"/>
      <c r="AN13" s="60"/>
      <c r="AO13" s="60"/>
    </row>
    <row r="17" spans="10:124" ht="24" customHeight="1">
      <c r="J17" s="58"/>
      <c r="K17" s="58"/>
      <c r="L17" s="58"/>
      <c r="M17" s="58"/>
      <c r="N17" s="58"/>
      <c r="O17" s="58"/>
      <c r="P17" s="58"/>
      <c r="Q17" s="58"/>
      <c r="R17" s="58"/>
      <c r="S17" s="58"/>
      <c r="T17" s="58"/>
      <c r="U17" s="58"/>
      <c r="V17" s="58"/>
      <c r="W17" s="58"/>
      <c r="DL17" s="1287" t="s">
        <v>982</v>
      </c>
      <c r="DM17" s="1287"/>
      <c r="DN17" s="1287"/>
      <c r="DO17" s="1287"/>
      <c r="DP17" s="1287"/>
      <c r="DQ17" s="1287"/>
      <c r="DR17" s="1287"/>
      <c r="DS17" s="1287"/>
      <c r="DT17" s="981"/>
    </row>
    <row r="18" spans="10:124" ht="24" customHeight="1">
      <c r="J18" s="2105"/>
      <c r="K18" s="2105"/>
      <c r="L18" s="2105"/>
      <c r="M18" s="2105"/>
      <c r="N18" s="2105"/>
      <c r="O18" s="2105"/>
      <c r="P18" s="2105"/>
      <c r="Q18" s="2105"/>
      <c r="R18" s="2105"/>
      <c r="S18" s="2105"/>
      <c r="T18" s="2105"/>
      <c r="U18" s="2105"/>
      <c r="V18" s="2105"/>
      <c r="W18" s="1052"/>
      <c r="AC18" s="2093"/>
      <c r="AD18" s="2099"/>
      <c r="AE18" s="2100"/>
      <c r="AF18" s="2100"/>
      <c r="AG18" s="2100"/>
      <c r="AH18" s="2100"/>
      <c r="AI18" s="2100"/>
      <c r="AJ18" s="2100"/>
      <c r="AK18" s="2100"/>
      <c r="AL18" s="2100"/>
      <c r="AM18" s="2100"/>
      <c r="AN18" s="2100"/>
      <c r="AO18" s="2101"/>
      <c r="AP18" s="849"/>
      <c r="AV18" s="849"/>
      <c r="AW18" s="752" t="s">
        <v>779</v>
      </c>
      <c r="AX18" s="753"/>
      <c r="AY18" s="849"/>
      <c r="AZ18" s="752" t="s">
        <v>809</v>
      </c>
      <c r="BA18" s="2087"/>
      <c r="BB18" s="2087"/>
      <c r="BC18" s="2087"/>
      <c r="BD18" s="2087"/>
      <c r="BE18" s="2087"/>
      <c r="BF18" s="2087"/>
      <c r="BG18" s="2087"/>
      <c r="BH18" s="753"/>
      <c r="BI18" s="1052"/>
      <c r="BO18" s="849"/>
      <c r="BP18" s="752" t="s">
        <v>780</v>
      </c>
      <c r="BQ18" s="753"/>
      <c r="BR18" s="849"/>
      <c r="BS18" s="752"/>
      <c r="BT18" s="2087"/>
      <c r="BU18" s="2087"/>
      <c r="BV18" s="2087"/>
      <c r="BW18" s="2087"/>
      <c r="BX18" s="2087"/>
      <c r="BY18" s="2087"/>
      <c r="BZ18" s="2087"/>
      <c r="CA18" s="753"/>
      <c r="CB18" s="1052"/>
      <c r="CI18" s="2093"/>
      <c r="CJ18" s="752"/>
      <c r="CK18" s="2087"/>
      <c r="CL18" s="2087"/>
      <c r="CM18" s="2087"/>
      <c r="CN18" s="2087"/>
      <c r="CO18" s="2087"/>
      <c r="CP18" s="2087"/>
      <c r="CQ18" s="2087"/>
      <c r="CR18" s="2087"/>
      <c r="CS18" s="2087"/>
      <c r="CT18" s="2087"/>
      <c r="CU18" s="753"/>
      <c r="CV18" s="849"/>
      <c r="DL18" s="1287"/>
      <c r="DM18" s="1287"/>
      <c r="DN18" s="1287"/>
      <c r="DO18" s="1287"/>
      <c r="DP18" s="1287"/>
      <c r="DQ18" s="1287"/>
      <c r="DR18" s="1287"/>
      <c r="DS18" s="1287"/>
      <c r="DT18" s="981"/>
    </row>
    <row r="19" spans="10:124" ht="24" customHeight="1" thickBot="1">
      <c r="J19" s="2105"/>
      <c r="K19" s="2105"/>
      <c r="L19" s="2105"/>
      <c r="M19" s="2105"/>
      <c r="N19" s="2105"/>
      <c r="O19" s="2105"/>
      <c r="P19" s="2105"/>
      <c r="Q19" s="2105"/>
      <c r="R19" s="2105"/>
      <c r="S19" s="2105"/>
      <c r="T19" s="2105"/>
      <c r="U19" s="2105"/>
      <c r="V19" s="2105"/>
      <c r="W19" s="1052"/>
      <c r="AC19" s="2095"/>
      <c r="AD19" s="2102"/>
      <c r="AE19" s="2103"/>
      <c r="AF19" s="2103"/>
      <c r="AG19" s="2103"/>
      <c r="AH19" s="2103"/>
      <c r="AI19" s="2103"/>
      <c r="AJ19" s="2103"/>
      <c r="AK19" s="2103"/>
      <c r="AL19" s="2103"/>
      <c r="AM19" s="2103"/>
      <c r="AN19" s="2103"/>
      <c r="AO19" s="2104"/>
      <c r="AP19" s="851"/>
      <c r="AV19" s="876"/>
      <c r="AW19" s="754"/>
      <c r="AX19" s="755"/>
      <c r="AY19" s="876"/>
      <c r="AZ19" s="754"/>
      <c r="BA19" s="2088"/>
      <c r="BB19" s="2088"/>
      <c r="BC19" s="2088"/>
      <c r="BD19" s="2088"/>
      <c r="BE19" s="2088"/>
      <c r="BF19" s="2088"/>
      <c r="BG19" s="2088"/>
      <c r="BH19" s="755"/>
      <c r="BI19" s="1052"/>
      <c r="BO19" s="876"/>
      <c r="BP19" s="754"/>
      <c r="BQ19" s="755"/>
      <c r="BR19" s="876"/>
      <c r="BS19" s="754"/>
      <c r="BT19" s="2088"/>
      <c r="BU19" s="2088"/>
      <c r="BV19" s="2088"/>
      <c r="BW19" s="2088"/>
      <c r="BX19" s="2088"/>
      <c r="BY19" s="2088"/>
      <c r="BZ19" s="2088"/>
      <c r="CA19" s="755"/>
      <c r="CB19" s="1052"/>
      <c r="CI19" s="2095"/>
      <c r="CJ19" s="754"/>
      <c r="CK19" s="2088"/>
      <c r="CL19" s="2088"/>
      <c r="CM19" s="2088"/>
      <c r="CN19" s="2088"/>
      <c r="CO19" s="2088"/>
      <c r="CP19" s="2088"/>
      <c r="CQ19" s="2088"/>
      <c r="CR19" s="2088"/>
      <c r="CS19" s="2088"/>
      <c r="CT19" s="2088"/>
      <c r="CU19" s="755"/>
      <c r="CV19" s="851"/>
      <c r="DL19" s="1287"/>
      <c r="DM19" s="1287"/>
      <c r="DN19" s="1287"/>
      <c r="DO19" s="1287"/>
      <c r="DP19" s="1287"/>
      <c r="DQ19" s="1287"/>
      <c r="DR19" s="1287"/>
      <c r="DS19" s="1287"/>
      <c r="DT19" s="981"/>
    </row>
    <row r="20" spans="10:124" ht="24" customHeight="1">
      <c r="J20" s="140"/>
      <c r="K20" s="1959" t="s">
        <v>812</v>
      </c>
      <c r="L20" s="1960"/>
      <c r="M20" s="1960"/>
      <c r="N20" s="1960"/>
      <c r="O20" s="1960"/>
      <c r="P20" s="1960"/>
      <c r="Q20" s="1960"/>
      <c r="R20" s="1960"/>
      <c r="S20" s="1960"/>
      <c r="T20" s="1960"/>
      <c r="U20" s="1960"/>
      <c r="V20" s="1986"/>
      <c r="W20" s="2090" t="s">
        <v>440</v>
      </c>
      <c r="Y20" s="59"/>
      <c r="Z20" s="59"/>
      <c r="AA20" s="59"/>
      <c r="AB20" s="59"/>
      <c r="AC20" s="140"/>
      <c r="AD20" s="987" t="s">
        <v>811</v>
      </c>
      <c r="AE20" s="988"/>
      <c r="AF20" s="988"/>
      <c r="AG20" s="988"/>
      <c r="AH20" s="988"/>
      <c r="AI20" s="988"/>
      <c r="AJ20" s="988"/>
      <c r="AK20" s="988"/>
      <c r="AL20" s="988"/>
      <c r="AM20" s="988"/>
      <c r="AN20" s="988"/>
      <c r="AO20" s="989"/>
      <c r="AP20" s="2089" t="s">
        <v>440</v>
      </c>
      <c r="AV20" s="140"/>
      <c r="AW20" s="2096"/>
      <c r="AX20" s="2097"/>
      <c r="AY20" s="2097"/>
      <c r="AZ20" s="2097"/>
      <c r="BA20" s="2097"/>
      <c r="BB20" s="2097"/>
      <c r="BC20" s="2097"/>
      <c r="BD20" s="2097"/>
      <c r="BE20" s="2097"/>
      <c r="BF20" s="2097"/>
      <c r="BG20" s="2097"/>
      <c r="BH20" s="2098"/>
      <c r="BI20" s="2090"/>
      <c r="BO20" s="140"/>
      <c r="BP20" s="2096"/>
      <c r="BQ20" s="2097"/>
      <c r="BR20" s="2097"/>
      <c r="BS20" s="2097"/>
      <c r="BT20" s="2097"/>
      <c r="BU20" s="2097"/>
      <c r="BV20" s="2097"/>
      <c r="BW20" s="2097"/>
      <c r="BX20" s="2097"/>
      <c r="BY20" s="2097"/>
      <c r="BZ20" s="2097"/>
      <c r="CA20" s="2098"/>
      <c r="CB20" s="2089"/>
      <c r="CI20" s="140"/>
      <c r="CJ20" s="2096"/>
      <c r="CK20" s="2097"/>
      <c r="CL20" s="2097"/>
      <c r="CM20" s="2097"/>
      <c r="CN20" s="2097"/>
      <c r="CO20" s="2097"/>
      <c r="CP20" s="2097"/>
      <c r="CQ20" s="2097"/>
      <c r="CR20" s="2097"/>
      <c r="CS20" s="2097"/>
      <c r="CT20" s="2097"/>
      <c r="CU20" s="2098"/>
      <c r="CV20" s="2089" t="s">
        <v>440</v>
      </c>
      <c r="DL20" s="1287"/>
      <c r="DM20" s="1287"/>
      <c r="DN20" s="1287"/>
      <c r="DO20" s="1287"/>
      <c r="DP20" s="1287"/>
      <c r="DQ20" s="1287"/>
      <c r="DR20" s="1287"/>
      <c r="DS20" s="1287"/>
      <c r="DT20" s="981"/>
    </row>
    <row r="21" spans="10:124" ht="24" customHeight="1">
      <c r="J21" s="140"/>
      <c r="K21" s="1959"/>
      <c r="L21" s="1960"/>
      <c r="M21" s="1960"/>
      <c r="N21" s="1960"/>
      <c r="O21" s="1960"/>
      <c r="P21" s="1960"/>
      <c r="Q21" s="1960"/>
      <c r="R21" s="1960"/>
      <c r="S21" s="1960"/>
      <c r="T21" s="1960"/>
      <c r="U21" s="1960"/>
      <c r="V21" s="1986"/>
      <c r="W21" s="2090"/>
      <c r="Y21" s="59"/>
      <c r="Z21" s="59"/>
      <c r="AA21" s="59"/>
      <c r="AB21" s="59"/>
      <c r="AC21" s="140"/>
      <c r="AD21" s="990"/>
      <c r="AE21" s="991"/>
      <c r="AF21" s="991"/>
      <c r="AG21" s="991"/>
      <c r="AH21" s="991"/>
      <c r="AI21" s="991"/>
      <c r="AJ21" s="991"/>
      <c r="AK21" s="991"/>
      <c r="AL21" s="991"/>
      <c r="AM21" s="991"/>
      <c r="AN21" s="991"/>
      <c r="AO21" s="992"/>
      <c r="AP21" s="2090"/>
      <c r="AV21" s="140"/>
      <c r="AW21" s="2081"/>
      <c r="AX21" s="2082"/>
      <c r="AY21" s="2082"/>
      <c r="AZ21" s="2082"/>
      <c r="BA21" s="2082"/>
      <c r="BB21" s="2082"/>
      <c r="BC21" s="2082"/>
      <c r="BD21" s="2082"/>
      <c r="BE21" s="2082"/>
      <c r="BF21" s="2082"/>
      <c r="BG21" s="2082"/>
      <c r="BH21" s="2083"/>
      <c r="BI21" s="2090"/>
      <c r="BO21" s="140"/>
      <c r="BP21" s="2081"/>
      <c r="BQ21" s="2082"/>
      <c r="BR21" s="2082"/>
      <c r="BS21" s="2082"/>
      <c r="BT21" s="2082"/>
      <c r="BU21" s="2082"/>
      <c r="BV21" s="2082"/>
      <c r="BW21" s="2082"/>
      <c r="BX21" s="2082"/>
      <c r="BY21" s="2082"/>
      <c r="BZ21" s="2082"/>
      <c r="CA21" s="2083"/>
      <c r="CB21" s="2090"/>
      <c r="CI21" s="140"/>
      <c r="CJ21" s="2081"/>
      <c r="CK21" s="2082"/>
      <c r="CL21" s="2082"/>
      <c r="CM21" s="2082"/>
      <c r="CN21" s="2082"/>
      <c r="CO21" s="2082"/>
      <c r="CP21" s="2082"/>
      <c r="CQ21" s="2082"/>
      <c r="CR21" s="2082"/>
      <c r="CS21" s="2082"/>
      <c r="CT21" s="2082"/>
      <c r="CU21" s="2083"/>
      <c r="CV21" s="2090"/>
      <c r="DL21" s="2107"/>
      <c r="DM21" s="2107"/>
      <c r="DN21" s="2107"/>
      <c r="DO21" s="2107"/>
      <c r="DP21" s="2107"/>
      <c r="DQ21" s="2107"/>
      <c r="DR21" s="2107"/>
      <c r="DS21" s="2107"/>
      <c r="DT21" s="2107"/>
    </row>
    <row r="22" spans="10:124" ht="24" customHeight="1">
      <c r="J22" s="140"/>
      <c r="K22" s="1959"/>
      <c r="L22" s="1960"/>
      <c r="M22" s="1960"/>
      <c r="N22" s="1960"/>
      <c r="O22" s="1960"/>
      <c r="P22" s="1960"/>
      <c r="Q22" s="1960"/>
      <c r="R22" s="1960"/>
      <c r="S22" s="1960"/>
      <c r="T22" s="1960"/>
      <c r="U22" s="1960"/>
      <c r="V22" s="1986"/>
      <c r="W22" s="2091"/>
      <c r="Y22" s="59"/>
      <c r="Z22" s="59"/>
      <c r="AA22" s="59"/>
      <c r="AB22" s="59"/>
      <c r="AC22" s="140"/>
      <c r="AD22" s="993"/>
      <c r="AE22" s="994"/>
      <c r="AF22" s="994"/>
      <c r="AG22" s="994"/>
      <c r="AH22" s="994"/>
      <c r="AI22" s="994"/>
      <c r="AJ22" s="994"/>
      <c r="AK22" s="994"/>
      <c r="AL22" s="994"/>
      <c r="AM22" s="994"/>
      <c r="AN22" s="994"/>
      <c r="AO22" s="995"/>
      <c r="AP22" s="2091"/>
      <c r="AV22" s="140"/>
      <c r="AW22" s="2081"/>
      <c r="AX22" s="2082"/>
      <c r="AY22" s="2082"/>
      <c r="AZ22" s="2082"/>
      <c r="BA22" s="2082"/>
      <c r="BB22" s="2082"/>
      <c r="BC22" s="2082"/>
      <c r="BD22" s="2082"/>
      <c r="BE22" s="2082"/>
      <c r="BF22" s="2082"/>
      <c r="BG22" s="2082"/>
      <c r="BH22" s="2083"/>
      <c r="BI22" s="2091"/>
      <c r="BO22" s="140"/>
      <c r="BP22" s="2081"/>
      <c r="BQ22" s="2082"/>
      <c r="BR22" s="2082"/>
      <c r="BS22" s="2082"/>
      <c r="BT22" s="2082"/>
      <c r="BU22" s="2082"/>
      <c r="BV22" s="2082"/>
      <c r="BW22" s="2082"/>
      <c r="BX22" s="2082"/>
      <c r="BY22" s="2082"/>
      <c r="BZ22" s="2082"/>
      <c r="CA22" s="2083"/>
      <c r="CB22" s="2091"/>
      <c r="CI22" s="140"/>
      <c r="CJ22" s="2081"/>
      <c r="CK22" s="2082"/>
      <c r="CL22" s="2082"/>
      <c r="CM22" s="2082"/>
      <c r="CN22" s="2082"/>
      <c r="CO22" s="2082"/>
      <c r="CP22" s="2082"/>
      <c r="CQ22" s="2082"/>
      <c r="CR22" s="2082"/>
      <c r="CS22" s="2082"/>
      <c r="CT22" s="2082"/>
      <c r="CU22" s="2083"/>
      <c r="CV22" s="2091"/>
      <c r="DL22" s="2107"/>
      <c r="DM22" s="2107"/>
      <c r="DN22" s="2107"/>
      <c r="DO22" s="2107"/>
      <c r="DP22" s="2107"/>
      <c r="DQ22" s="2107"/>
      <c r="DR22" s="2107"/>
      <c r="DS22" s="2107"/>
      <c r="DT22" s="2107"/>
    </row>
    <row r="23" spans="10:124" ht="24" customHeight="1">
      <c r="J23" s="140"/>
      <c r="K23" s="1959"/>
      <c r="L23" s="1960"/>
      <c r="M23" s="1960"/>
      <c r="N23" s="1960"/>
      <c r="O23" s="1960"/>
      <c r="P23" s="1960"/>
      <c r="Q23" s="1960"/>
      <c r="R23" s="1960"/>
      <c r="S23" s="1960"/>
      <c r="T23" s="1960"/>
      <c r="U23" s="1960"/>
      <c r="V23" s="1986"/>
      <c r="W23" s="2092"/>
      <c r="Y23" s="59"/>
      <c r="Z23" s="59"/>
      <c r="AA23" s="59"/>
      <c r="AB23" s="59"/>
      <c r="AC23" s="140"/>
      <c r="AD23" s="145"/>
      <c r="AE23" s="146"/>
      <c r="AF23" s="146"/>
      <c r="AG23" s="146"/>
      <c r="AH23" s="146"/>
      <c r="AI23" s="146"/>
      <c r="AJ23" s="146"/>
      <c r="AK23" s="146"/>
      <c r="AL23" s="146"/>
      <c r="AM23" s="146"/>
      <c r="AN23" s="146"/>
      <c r="AO23" s="147"/>
      <c r="AP23" s="2092"/>
      <c r="AV23" s="140"/>
      <c r="AW23" s="2081"/>
      <c r="AX23" s="2082"/>
      <c r="AY23" s="2082"/>
      <c r="AZ23" s="2082"/>
      <c r="BA23" s="2082"/>
      <c r="BB23" s="2082"/>
      <c r="BC23" s="2082"/>
      <c r="BD23" s="2082"/>
      <c r="BE23" s="2082"/>
      <c r="BF23" s="2082"/>
      <c r="BG23" s="2082"/>
      <c r="BH23" s="2083"/>
      <c r="BI23" s="2092"/>
      <c r="BO23" s="140"/>
      <c r="BP23" s="2081"/>
      <c r="BQ23" s="2082"/>
      <c r="BR23" s="2082"/>
      <c r="BS23" s="2082"/>
      <c r="BT23" s="2082"/>
      <c r="BU23" s="2082"/>
      <c r="BV23" s="2082"/>
      <c r="BW23" s="2082"/>
      <c r="BX23" s="2082"/>
      <c r="BY23" s="2082"/>
      <c r="BZ23" s="2082"/>
      <c r="CA23" s="2083"/>
      <c r="CB23" s="2092"/>
      <c r="CI23" s="140"/>
      <c r="CJ23" s="2081"/>
      <c r="CK23" s="2082"/>
      <c r="CL23" s="2082"/>
      <c r="CM23" s="2082"/>
      <c r="CN23" s="2082"/>
      <c r="CO23" s="2082"/>
      <c r="CP23" s="2082"/>
      <c r="CQ23" s="2082"/>
      <c r="CR23" s="2082"/>
      <c r="CS23" s="2082"/>
      <c r="CT23" s="2082"/>
      <c r="CU23" s="2083"/>
      <c r="CV23" s="2092"/>
      <c r="DL23" s="2107"/>
      <c r="DM23" s="2107"/>
      <c r="DN23" s="2107"/>
      <c r="DO23" s="2107"/>
      <c r="DP23" s="2107"/>
      <c r="DQ23" s="2107"/>
      <c r="DR23" s="2107"/>
      <c r="DS23" s="2107"/>
      <c r="DT23" s="2107"/>
    </row>
    <row r="24" spans="10:124" ht="24" customHeight="1">
      <c r="J24" s="140"/>
      <c r="K24" s="1959"/>
      <c r="L24" s="1960"/>
      <c r="M24" s="1960"/>
      <c r="N24" s="1960"/>
      <c r="O24" s="1960"/>
      <c r="P24" s="1960"/>
      <c r="Q24" s="1960"/>
      <c r="R24" s="1960"/>
      <c r="S24" s="1960"/>
      <c r="T24" s="1960"/>
      <c r="U24" s="1960"/>
      <c r="V24" s="1986"/>
      <c r="W24" s="2092"/>
      <c r="Y24" s="59"/>
      <c r="Z24" s="59"/>
      <c r="AA24" s="59"/>
      <c r="AB24" s="59"/>
      <c r="AC24" s="140"/>
      <c r="AD24" s="148"/>
      <c r="AE24" s="149"/>
      <c r="AF24" s="149"/>
      <c r="AG24" s="149"/>
      <c r="AH24" s="149"/>
      <c r="AI24" s="149"/>
      <c r="AJ24" s="149"/>
      <c r="AK24" s="149"/>
      <c r="AL24" s="149"/>
      <c r="AM24" s="149"/>
      <c r="AN24" s="149"/>
      <c r="AO24" s="150"/>
      <c r="AP24" s="2092"/>
      <c r="AV24" s="140"/>
      <c r="AW24" s="2081"/>
      <c r="AX24" s="2082"/>
      <c r="AY24" s="2082"/>
      <c r="AZ24" s="2082"/>
      <c r="BA24" s="2082"/>
      <c r="BB24" s="2082"/>
      <c r="BC24" s="2082"/>
      <c r="BD24" s="2082"/>
      <c r="BE24" s="2082"/>
      <c r="BF24" s="2082"/>
      <c r="BG24" s="2082"/>
      <c r="BH24" s="2083"/>
      <c r="BI24" s="2092"/>
      <c r="BO24" s="140"/>
      <c r="BP24" s="2081"/>
      <c r="BQ24" s="2082"/>
      <c r="BR24" s="2082"/>
      <c r="BS24" s="2082"/>
      <c r="BT24" s="2082"/>
      <c r="BU24" s="2082"/>
      <c r="BV24" s="2082"/>
      <c r="BW24" s="2082"/>
      <c r="BX24" s="2082"/>
      <c r="BY24" s="2082"/>
      <c r="BZ24" s="2082"/>
      <c r="CA24" s="2083"/>
      <c r="CB24" s="2092"/>
      <c r="CI24" s="140"/>
      <c r="CJ24" s="2081"/>
      <c r="CK24" s="2082"/>
      <c r="CL24" s="2082"/>
      <c r="CM24" s="2082"/>
      <c r="CN24" s="2082"/>
      <c r="CO24" s="2082"/>
      <c r="CP24" s="2082"/>
      <c r="CQ24" s="2082"/>
      <c r="CR24" s="2082"/>
      <c r="CS24" s="2082"/>
      <c r="CT24" s="2082"/>
      <c r="CU24" s="2083"/>
      <c r="CV24" s="2092"/>
      <c r="DL24" s="2107"/>
      <c r="DM24" s="2107"/>
      <c r="DN24" s="2107"/>
      <c r="DO24" s="2107"/>
      <c r="DP24" s="2107"/>
      <c r="DQ24" s="2107"/>
      <c r="DR24" s="2107"/>
      <c r="DS24" s="2107"/>
      <c r="DT24" s="2107"/>
    </row>
    <row r="25" spans="10:124" ht="24" customHeight="1">
      <c r="J25" s="140"/>
      <c r="K25" s="1959"/>
      <c r="L25" s="1960"/>
      <c r="M25" s="1960"/>
      <c r="N25" s="1960"/>
      <c r="O25" s="1960"/>
      <c r="P25" s="1960"/>
      <c r="Q25" s="1960"/>
      <c r="R25" s="1960"/>
      <c r="S25" s="1960"/>
      <c r="T25" s="1960"/>
      <c r="U25" s="1960"/>
      <c r="V25" s="1986"/>
      <c r="W25" s="2092"/>
      <c r="Y25" s="59"/>
      <c r="Z25" s="59"/>
      <c r="AA25" s="59"/>
      <c r="AB25" s="59"/>
      <c r="AC25" s="140"/>
      <c r="AD25" s="2080"/>
      <c r="AE25" s="2080"/>
      <c r="AF25" s="2080"/>
      <c r="AG25" s="2080"/>
      <c r="AH25" s="2080"/>
      <c r="AI25" s="2080"/>
      <c r="AJ25" s="2080"/>
      <c r="AK25" s="2080"/>
      <c r="AL25" s="2080"/>
      <c r="AM25" s="2080"/>
      <c r="AN25" s="2080"/>
      <c r="AO25" s="2080"/>
      <c r="AP25" s="2092"/>
      <c r="AV25" s="140"/>
      <c r="AW25" s="2081"/>
      <c r="AX25" s="2082"/>
      <c r="AY25" s="2082"/>
      <c r="AZ25" s="2082"/>
      <c r="BA25" s="2082"/>
      <c r="BB25" s="2082"/>
      <c r="BC25" s="2082"/>
      <c r="BD25" s="2082"/>
      <c r="BE25" s="2082"/>
      <c r="BF25" s="2082"/>
      <c r="BG25" s="2082"/>
      <c r="BH25" s="2083"/>
      <c r="BI25" s="2092"/>
      <c r="BO25" s="140"/>
      <c r="BP25" s="2081"/>
      <c r="BQ25" s="2082"/>
      <c r="BR25" s="2082"/>
      <c r="BS25" s="2082"/>
      <c r="BT25" s="2082"/>
      <c r="BU25" s="2082"/>
      <c r="BV25" s="2082"/>
      <c r="BW25" s="2082"/>
      <c r="BX25" s="2082"/>
      <c r="BY25" s="2082"/>
      <c r="BZ25" s="2082"/>
      <c r="CA25" s="2083"/>
      <c r="CB25" s="2092"/>
      <c r="CI25" s="140"/>
      <c r="CJ25" s="2081"/>
      <c r="CK25" s="2082"/>
      <c r="CL25" s="2082"/>
      <c r="CM25" s="2082"/>
      <c r="CN25" s="2082"/>
      <c r="CO25" s="2082"/>
      <c r="CP25" s="2082"/>
      <c r="CQ25" s="2082"/>
      <c r="CR25" s="2082"/>
      <c r="CS25" s="2082"/>
      <c r="CT25" s="2082"/>
      <c r="CU25" s="2083"/>
      <c r="CV25" s="2092"/>
      <c r="DL25" s="2107"/>
      <c r="DM25" s="2107"/>
      <c r="DN25" s="2107"/>
      <c r="DO25" s="2107"/>
      <c r="DP25" s="2107"/>
      <c r="DQ25" s="2107"/>
      <c r="DR25" s="2107"/>
      <c r="DS25" s="2107"/>
      <c r="DT25" s="2107"/>
    </row>
    <row r="26" spans="10:124" ht="24" customHeight="1">
      <c r="J26" s="140"/>
      <c r="K26" s="1959"/>
      <c r="L26" s="1960"/>
      <c r="M26" s="1960"/>
      <c r="N26" s="1960"/>
      <c r="O26" s="1960"/>
      <c r="P26" s="1960"/>
      <c r="Q26" s="1960"/>
      <c r="R26" s="1960"/>
      <c r="S26" s="1960"/>
      <c r="T26" s="1960"/>
      <c r="U26" s="1960"/>
      <c r="V26" s="1986"/>
      <c r="W26" s="2092"/>
      <c r="Y26" s="59"/>
      <c r="Z26" s="59"/>
      <c r="AA26" s="59"/>
      <c r="AB26" s="59"/>
      <c r="AC26" s="140"/>
      <c r="AD26" s="2080"/>
      <c r="AE26" s="2080"/>
      <c r="AF26" s="2080"/>
      <c r="AG26" s="2080"/>
      <c r="AH26" s="2080"/>
      <c r="AI26" s="2080"/>
      <c r="AJ26" s="2080"/>
      <c r="AK26" s="2080"/>
      <c r="AL26" s="2080"/>
      <c r="AM26" s="2080"/>
      <c r="AN26" s="2080"/>
      <c r="AO26" s="2080"/>
      <c r="AP26" s="2092"/>
      <c r="AV26" s="140"/>
      <c r="AW26" s="2081"/>
      <c r="AX26" s="2082"/>
      <c r="AY26" s="2082"/>
      <c r="AZ26" s="2082"/>
      <c r="BA26" s="2082"/>
      <c r="BB26" s="2082"/>
      <c r="BC26" s="2082"/>
      <c r="BD26" s="2082"/>
      <c r="BE26" s="2082"/>
      <c r="BF26" s="2082"/>
      <c r="BG26" s="2082"/>
      <c r="BH26" s="2083"/>
      <c r="BI26" s="2092"/>
      <c r="BO26" s="140"/>
      <c r="BP26" s="2081"/>
      <c r="BQ26" s="2082"/>
      <c r="BR26" s="2082"/>
      <c r="BS26" s="2082"/>
      <c r="BT26" s="2082"/>
      <c r="BU26" s="2082"/>
      <c r="BV26" s="2082"/>
      <c r="BW26" s="2082"/>
      <c r="BX26" s="2082"/>
      <c r="BY26" s="2082"/>
      <c r="BZ26" s="2082"/>
      <c r="CA26" s="2083"/>
      <c r="CB26" s="2092"/>
      <c r="CI26" s="140"/>
      <c r="CJ26" s="2081"/>
      <c r="CK26" s="2082"/>
      <c r="CL26" s="2082"/>
      <c r="CM26" s="2082"/>
      <c r="CN26" s="2082"/>
      <c r="CO26" s="2082"/>
      <c r="CP26" s="2082"/>
      <c r="CQ26" s="2082"/>
      <c r="CR26" s="2082"/>
      <c r="CS26" s="2082"/>
      <c r="CT26" s="2082"/>
      <c r="CU26" s="2083"/>
      <c r="CV26" s="2092"/>
      <c r="DL26" s="2107"/>
      <c r="DM26" s="2107"/>
      <c r="DN26" s="2107"/>
      <c r="DO26" s="2107"/>
      <c r="DP26" s="2107"/>
      <c r="DQ26" s="2107"/>
      <c r="DR26" s="2107"/>
      <c r="DS26" s="2107"/>
      <c r="DT26" s="2107"/>
    </row>
    <row r="27" spans="10:124" ht="24" customHeight="1">
      <c r="J27" s="140"/>
      <c r="K27" s="1959"/>
      <c r="L27" s="1960"/>
      <c r="M27" s="1960"/>
      <c r="N27" s="1960"/>
      <c r="O27" s="1960"/>
      <c r="P27" s="1960"/>
      <c r="Q27" s="1960"/>
      <c r="R27" s="1960"/>
      <c r="S27" s="1960"/>
      <c r="T27" s="1960"/>
      <c r="U27" s="1960"/>
      <c r="V27" s="1986"/>
      <c r="W27" s="2092"/>
      <c r="Y27" s="59"/>
      <c r="Z27" s="59"/>
      <c r="AA27" s="59"/>
      <c r="AB27" s="59"/>
      <c r="AC27" s="140"/>
      <c r="AD27" s="2080"/>
      <c r="AE27" s="2080"/>
      <c r="AF27" s="2080"/>
      <c r="AG27" s="2080"/>
      <c r="AH27" s="2080"/>
      <c r="AI27" s="2080"/>
      <c r="AJ27" s="2080"/>
      <c r="AK27" s="2080"/>
      <c r="AL27" s="2080"/>
      <c r="AM27" s="2080"/>
      <c r="AN27" s="2080"/>
      <c r="AO27" s="2080"/>
      <c r="AP27" s="2092"/>
      <c r="AV27" s="140"/>
      <c r="AW27" s="2081"/>
      <c r="AX27" s="2082"/>
      <c r="AY27" s="2082"/>
      <c r="AZ27" s="2082"/>
      <c r="BA27" s="2082"/>
      <c r="BB27" s="2082"/>
      <c r="BC27" s="2082"/>
      <c r="BD27" s="2082"/>
      <c r="BE27" s="2082"/>
      <c r="BF27" s="2082"/>
      <c r="BG27" s="2082"/>
      <c r="BH27" s="2083"/>
      <c r="BI27" s="2092"/>
      <c r="BO27" s="140"/>
      <c r="BP27" s="2081"/>
      <c r="BQ27" s="2082"/>
      <c r="BR27" s="2082"/>
      <c r="BS27" s="2082"/>
      <c r="BT27" s="2082"/>
      <c r="BU27" s="2082"/>
      <c r="BV27" s="2082"/>
      <c r="BW27" s="2082"/>
      <c r="BX27" s="2082"/>
      <c r="BY27" s="2082"/>
      <c r="BZ27" s="2082"/>
      <c r="CA27" s="2083"/>
      <c r="CB27" s="2092"/>
      <c r="CI27" s="140"/>
      <c r="CJ27" s="2081"/>
      <c r="CK27" s="2082"/>
      <c r="CL27" s="2082"/>
      <c r="CM27" s="2082"/>
      <c r="CN27" s="2082"/>
      <c r="CO27" s="2082"/>
      <c r="CP27" s="2082"/>
      <c r="CQ27" s="2082"/>
      <c r="CR27" s="2082"/>
      <c r="CS27" s="2082"/>
      <c r="CT27" s="2082"/>
      <c r="CU27" s="2083"/>
      <c r="CV27" s="2092"/>
      <c r="DL27" s="2107"/>
      <c r="DM27" s="2107"/>
      <c r="DN27" s="2107"/>
      <c r="DO27" s="2107"/>
      <c r="DP27" s="2107"/>
      <c r="DQ27" s="2107"/>
      <c r="DR27" s="2107"/>
      <c r="DS27" s="2107"/>
      <c r="DT27" s="2107"/>
    </row>
    <row r="28" spans="10:124" ht="24" customHeight="1">
      <c r="J28" s="140"/>
      <c r="K28" s="1959"/>
      <c r="L28" s="1960"/>
      <c r="M28" s="1960"/>
      <c r="N28" s="1960"/>
      <c r="O28" s="1960"/>
      <c r="P28" s="1960"/>
      <c r="Q28" s="1960"/>
      <c r="R28" s="1960"/>
      <c r="S28" s="1960"/>
      <c r="T28" s="1960"/>
      <c r="U28" s="1960"/>
      <c r="V28" s="1986"/>
      <c r="W28" s="2092"/>
      <c r="Y28" s="59"/>
      <c r="Z28" s="59"/>
      <c r="AA28" s="59"/>
      <c r="AB28" s="59"/>
      <c r="AC28" s="140"/>
      <c r="AD28" s="2080"/>
      <c r="AE28" s="2080"/>
      <c r="AF28" s="2080"/>
      <c r="AG28" s="2080"/>
      <c r="AH28" s="2080"/>
      <c r="AI28" s="2080"/>
      <c r="AJ28" s="2080"/>
      <c r="AK28" s="2080"/>
      <c r="AL28" s="2080"/>
      <c r="AM28" s="2080"/>
      <c r="AN28" s="2080"/>
      <c r="AO28" s="2080"/>
      <c r="AP28" s="2092"/>
      <c r="AV28" s="140"/>
      <c r="AW28" s="2081"/>
      <c r="AX28" s="2082"/>
      <c r="AY28" s="2082"/>
      <c r="AZ28" s="2082"/>
      <c r="BA28" s="2082"/>
      <c r="BB28" s="2082"/>
      <c r="BC28" s="2082"/>
      <c r="BD28" s="2082"/>
      <c r="BE28" s="2082"/>
      <c r="BF28" s="2082"/>
      <c r="BG28" s="2082"/>
      <c r="BH28" s="2083"/>
      <c r="BI28" s="2092"/>
      <c r="BO28" s="140"/>
      <c r="BP28" s="2081"/>
      <c r="BQ28" s="2082"/>
      <c r="BR28" s="2082"/>
      <c r="BS28" s="2082"/>
      <c r="BT28" s="2082"/>
      <c r="BU28" s="2082"/>
      <c r="BV28" s="2082"/>
      <c r="BW28" s="2082"/>
      <c r="BX28" s="2082"/>
      <c r="BY28" s="2082"/>
      <c r="BZ28" s="2082"/>
      <c r="CA28" s="2083"/>
      <c r="CB28" s="2092"/>
      <c r="CI28" s="140"/>
      <c r="CJ28" s="2081"/>
      <c r="CK28" s="2082"/>
      <c r="CL28" s="2082"/>
      <c r="CM28" s="2082"/>
      <c r="CN28" s="2082"/>
      <c r="CO28" s="2082"/>
      <c r="CP28" s="2082"/>
      <c r="CQ28" s="2082"/>
      <c r="CR28" s="2082"/>
      <c r="CS28" s="2082"/>
      <c r="CT28" s="2082"/>
      <c r="CU28" s="2083"/>
      <c r="CV28" s="2092"/>
      <c r="DL28" s="2107"/>
      <c r="DM28" s="2107"/>
      <c r="DN28" s="2107"/>
      <c r="DO28" s="2107"/>
      <c r="DP28" s="2107"/>
      <c r="DQ28" s="2107"/>
      <c r="DR28" s="2107"/>
      <c r="DS28" s="2107"/>
      <c r="DT28" s="2107"/>
    </row>
    <row r="29" spans="10:124" ht="24" customHeight="1">
      <c r="J29" s="140"/>
      <c r="K29" s="1959"/>
      <c r="L29" s="1960"/>
      <c r="M29" s="1960"/>
      <c r="N29" s="1960"/>
      <c r="O29" s="1960"/>
      <c r="P29" s="1960"/>
      <c r="Q29" s="1960"/>
      <c r="R29" s="1960"/>
      <c r="S29" s="1960"/>
      <c r="T29" s="1960"/>
      <c r="U29" s="1960"/>
      <c r="V29" s="1986"/>
      <c r="W29" s="2092"/>
      <c r="Y29" s="59"/>
      <c r="Z29" s="59"/>
      <c r="AA29" s="59"/>
      <c r="AB29" s="59"/>
      <c r="AC29" s="140"/>
      <c r="AD29" s="2080"/>
      <c r="AE29" s="2080"/>
      <c r="AF29" s="2080"/>
      <c r="AG29" s="2080"/>
      <c r="AH29" s="2080"/>
      <c r="AI29" s="2080"/>
      <c r="AJ29" s="2080"/>
      <c r="AK29" s="2080"/>
      <c r="AL29" s="2080"/>
      <c r="AM29" s="2080"/>
      <c r="AN29" s="2080"/>
      <c r="AO29" s="2080"/>
      <c r="AP29" s="2092"/>
      <c r="AV29" s="140"/>
      <c r="AW29" s="2081"/>
      <c r="AX29" s="2082"/>
      <c r="AY29" s="2082"/>
      <c r="AZ29" s="2082"/>
      <c r="BA29" s="2082"/>
      <c r="BB29" s="2082"/>
      <c r="BC29" s="2082"/>
      <c r="BD29" s="2082"/>
      <c r="BE29" s="2082"/>
      <c r="BF29" s="2082"/>
      <c r="BG29" s="2082"/>
      <c r="BH29" s="2083"/>
      <c r="BI29" s="2092"/>
      <c r="BO29" s="140"/>
      <c r="BP29" s="2081"/>
      <c r="BQ29" s="2082"/>
      <c r="BR29" s="2082"/>
      <c r="BS29" s="2082"/>
      <c r="BT29" s="2082"/>
      <c r="BU29" s="2082"/>
      <c r="BV29" s="2082"/>
      <c r="BW29" s="2082"/>
      <c r="BX29" s="2082"/>
      <c r="BY29" s="2082"/>
      <c r="BZ29" s="2082"/>
      <c r="CA29" s="2083"/>
      <c r="CB29" s="2092"/>
      <c r="CI29" s="140"/>
      <c r="CJ29" s="2081"/>
      <c r="CK29" s="2082"/>
      <c r="CL29" s="2082"/>
      <c r="CM29" s="2082"/>
      <c r="CN29" s="2082"/>
      <c r="CO29" s="2082"/>
      <c r="CP29" s="2082"/>
      <c r="CQ29" s="2082"/>
      <c r="CR29" s="2082"/>
      <c r="CS29" s="2082"/>
      <c r="CT29" s="2082"/>
      <c r="CU29" s="2083"/>
      <c r="CV29" s="2092"/>
      <c r="DL29" s="2107"/>
      <c r="DM29" s="2107"/>
      <c r="DN29" s="2107"/>
      <c r="DO29" s="2107"/>
      <c r="DP29" s="2107"/>
      <c r="DQ29" s="2107"/>
      <c r="DR29" s="2107"/>
      <c r="DS29" s="2107"/>
      <c r="DT29" s="2107"/>
    </row>
    <row r="30" spans="10:124" ht="24" customHeight="1">
      <c r="J30" s="140"/>
      <c r="K30" s="1959"/>
      <c r="L30" s="1960"/>
      <c r="M30" s="1960"/>
      <c r="N30" s="1960"/>
      <c r="O30" s="1960"/>
      <c r="P30" s="1960"/>
      <c r="Q30" s="1960"/>
      <c r="R30" s="1960"/>
      <c r="S30" s="1960"/>
      <c r="T30" s="1960"/>
      <c r="U30" s="1960"/>
      <c r="V30" s="1986"/>
      <c r="W30" s="2092"/>
      <c r="Y30" s="59"/>
      <c r="Z30" s="59"/>
      <c r="AA30" s="59"/>
      <c r="AB30" s="59"/>
      <c r="AC30" s="140"/>
      <c r="AD30" s="2080"/>
      <c r="AE30" s="2080"/>
      <c r="AF30" s="2080"/>
      <c r="AG30" s="2080"/>
      <c r="AH30" s="2080"/>
      <c r="AI30" s="2080"/>
      <c r="AJ30" s="2080"/>
      <c r="AK30" s="2080"/>
      <c r="AL30" s="2080"/>
      <c r="AM30" s="2080"/>
      <c r="AN30" s="2080"/>
      <c r="AO30" s="2080"/>
      <c r="AP30" s="2092"/>
      <c r="AV30" s="140"/>
      <c r="AW30" s="2081"/>
      <c r="AX30" s="2082"/>
      <c r="AY30" s="2082"/>
      <c r="AZ30" s="2082"/>
      <c r="BA30" s="2082"/>
      <c r="BB30" s="2082"/>
      <c r="BC30" s="2082"/>
      <c r="BD30" s="2082"/>
      <c r="BE30" s="2082"/>
      <c r="BF30" s="2082"/>
      <c r="BG30" s="2082"/>
      <c r="BH30" s="2083"/>
      <c r="BI30" s="2092"/>
      <c r="BO30" s="140"/>
      <c r="BP30" s="2081"/>
      <c r="BQ30" s="2082"/>
      <c r="BR30" s="2082"/>
      <c r="BS30" s="2082"/>
      <c r="BT30" s="2082"/>
      <c r="BU30" s="2082"/>
      <c r="BV30" s="2082"/>
      <c r="BW30" s="2082"/>
      <c r="BX30" s="2082"/>
      <c r="BY30" s="2082"/>
      <c r="BZ30" s="2082"/>
      <c r="CA30" s="2083"/>
      <c r="CB30" s="2092"/>
      <c r="CI30" s="140"/>
      <c r="CJ30" s="2081"/>
      <c r="CK30" s="2082"/>
      <c r="CL30" s="2082"/>
      <c r="CM30" s="2082"/>
      <c r="CN30" s="2082"/>
      <c r="CO30" s="2082"/>
      <c r="CP30" s="2082"/>
      <c r="CQ30" s="2082"/>
      <c r="CR30" s="2082"/>
      <c r="CS30" s="2082"/>
      <c r="CT30" s="2082"/>
      <c r="CU30" s="2083"/>
      <c r="CV30" s="2092"/>
      <c r="DL30" s="2107"/>
      <c r="DM30" s="2107"/>
      <c r="DN30" s="2107"/>
      <c r="DO30" s="2107"/>
      <c r="DP30" s="2107"/>
      <c r="DQ30" s="2107"/>
      <c r="DR30" s="2107"/>
      <c r="DS30" s="2107"/>
      <c r="DT30" s="2107"/>
    </row>
    <row r="31" spans="10:124" ht="24" customHeight="1">
      <c r="J31" s="140"/>
      <c r="K31" s="1959"/>
      <c r="L31" s="1960"/>
      <c r="M31" s="1960"/>
      <c r="N31" s="1960"/>
      <c r="O31" s="1960"/>
      <c r="P31" s="1960"/>
      <c r="Q31" s="1960"/>
      <c r="R31" s="1960"/>
      <c r="S31" s="1960"/>
      <c r="T31" s="1960"/>
      <c r="U31" s="1960"/>
      <c r="V31" s="1986"/>
      <c r="W31" s="2092"/>
      <c r="Y31" s="59"/>
      <c r="Z31" s="59"/>
      <c r="AA31" s="59"/>
      <c r="AB31" s="59"/>
      <c r="AC31" s="140"/>
      <c r="AD31" s="2080"/>
      <c r="AE31" s="2080"/>
      <c r="AF31" s="2080"/>
      <c r="AG31" s="2080"/>
      <c r="AH31" s="2080"/>
      <c r="AI31" s="2080"/>
      <c r="AJ31" s="2080"/>
      <c r="AK31" s="2080"/>
      <c r="AL31" s="2080"/>
      <c r="AM31" s="2080"/>
      <c r="AN31" s="2080"/>
      <c r="AO31" s="2080"/>
      <c r="AP31" s="2092"/>
      <c r="AV31" s="140"/>
      <c r="AW31" s="2081"/>
      <c r="AX31" s="2082"/>
      <c r="AY31" s="2082"/>
      <c r="AZ31" s="2082"/>
      <c r="BA31" s="2082"/>
      <c r="BB31" s="2082"/>
      <c r="BC31" s="2082"/>
      <c r="BD31" s="2082"/>
      <c r="BE31" s="2082"/>
      <c r="BF31" s="2082"/>
      <c r="BG31" s="2082"/>
      <c r="BH31" s="2083"/>
      <c r="BI31" s="2092"/>
      <c r="BO31" s="140"/>
      <c r="BP31" s="2081"/>
      <c r="BQ31" s="2082"/>
      <c r="BR31" s="2082"/>
      <c r="BS31" s="2082"/>
      <c r="BT31" s="2082"/>
      <c r="BU31" s="2082"/>
      <c r="BV31" s="2082"/>
      <c r="BW31" s="2082"/>
      <c r="BX31" s="2082"/>
      <c r="BY31" s="2082"/>
      <c r="BZ31" s="2082"/>
      <c r="CA31" s="2083"/>
      <c r="CB31" s="2092"/>
      <c r="CI31" s="140"/>
      <c r="CJ31" s="2081"/>
      <c r="CK31" s="2082"/>
      <c r="CL31" s="2082"/>
      <c r="CM31" s="2082"/>
      <c r="CN31" s="2082"/>
      <c r="CO31" s="2082"/>
      <c r="CP31" s="2082"/>
      <c r="CQ31" s="2082"/>
      <c r="CR31" s="2082"/>
      <c r="CS31" s="2082"/>
      <c r="CT31" s="2082"/>
      <c r="CU31" s="2083"/>
      <c r="CV31" s="2092"/>
    </row>
    <row r="32" spans="10:124" ht="24" customHeight="1">
      <c r="J32" s="140"/>
      <c r="K32" s="1959"/>
      <c r="L32" s="1960"/>
      <c r="M32" s="1960"/>
      <c r="N32" s="1960"/>
      <c r="O32" s="1960"/>
      <c r="P32" s="1960"/>
      <c r="Q32" s="1960"/>
      <c r="R32" s="1960"/>
      <c r="S32" s="1960"/>
      <c r="T32" s="1960"/>
      <c r="U32" s="1960"/>
      <c r="V32" s="1986"/>
      <c r="W32" s="2092"/>
      <c r="Y32" s="59"/>
      <c r="Z32" s="59"/>
      <c r="AA32" s="59"/>
      <c r="AB32" s="59"/>
      <c r="AC32" s="140"/>
      <c r="AD32" s="2080"/>
      <c r="AE32" s="2080"/>
      <c r="AF32" s="2080"/>
      <c r="AG32" s="2080"/>
      <c r="AH32" s="2080"/>
      <c r="AI32" s="2080"/>
      <c r="AJ32" s="2080"/>
      <c r="AK32" s="2080"/>
      <c r="AL32" s="2080"/>
      <c r="AM32" s="2080"/>
      <c r="AN32" s="2080"/>
      <c r="AO32" s="2080"/>
      <c r="AP32" s="2092"/>
      <c r="AV32" s="140"/>
      <c r="AW32" s="2081"/>
      <c r="AX32" s="2082"/>
      <c r="AY32" s="2082"/>
      <c r="AZ32" s="2082"/>
      <c r="BA32" s="2082"/>
      <c r="BB32" s="2082"/>
      <c r="BC32" s="2082"/>
      <c r="BD32" s="2082"/>
      <c r="BE32" s="2082"/>
      <c r="BF32" s="2082"/>
      <c r="BG32" s="2082"/>
      <c r="BH32" s="2083"/>
      <c r="BI32" s="2092"/>
      <c r="BO32" s="140"/>
      <c r="BP32" s="2081"/>
      <c r="BQ32" s="2082"/>
      <c r="BR32" s="2082"/>
      <c r="BS32" s="2082"/>
      <c r="BT32" s="2082"/>
      <c r="BU32" s="2082"/>
      <c r="BV32" s="2082"/>
      <c r="BW32" s="2082"/>
      <c r="BX32" s="2082"/>
      <c r="BY32" s="2082"/>
      <c r="BZ32" s="2082"/>
      <c r="CA32" s="2083"/>
      <c r="CB32" s="2092"/>
      <c r="CI32" s="140"/>
      <c r="CJ32" s="2081"/>
      <c r="CK32" s="2082"/>
      <c r="CL32" s="2082"/>
      <c r="CM32" s="2082"/>
      <c r="CN32" s="2082"/>
      <c r="CO32" s="2082"/>
      <c r="CP32" s="2082"/>
      <c r="CQ32" s="2082"/>
      <c r="CR32" s="2082"/>
      <c r="CS32" s="2082"/>
      <c r="CT32" s="2082"/>
      <c r="CU32" s="2083"/>
      <c r="CV32" s="2092"/>
    </row>
    <row r="33" spans="10:100" ht="24" customHeight="1">
      <c r="J33" s="140"/>
      <c r="K33" s="1959"/>
      <c r="L33" s="1960"/>
      <c r="M33" s="1960"/>
      <c r="N33" s="1960"/>
      <c r="O33" s="1960"/>
      <c r="P33" s="1960"/>
      <c r="Q33" s="1960"/>
      <c r="R33" s="1960"/>
      <c r="S33" s="1960"/>
      <c r="T33" s="1960"/>
      <c r="U33" s="1960"/>
      <c r="V33" s="1986"/>
      <c r="W33" s="2092"/>
      <c r="AC33" s="140"/>
      <c r="AD33" s="2080"/>
      <c r="AE33" s="2080"/>
      <c r="AF33" s="2080"/>
      <c r="AG33" s="2080"/>
      <c r="AH33" s="2080"/>
      <c r="AI33" s="2080"/>
      <c r="AJ33" s="2080"/>
      <c r="AK33" s="2080"/>
      <c r="AL33" s="2080"/>
      <c r="AM33" s="2080"/>
      <c r="AN33" s="2080"/>
      <c r="AO33" s="2080"/>
      <c r="AP33" s="2092"/>
      <c r="AV33" s="140"/>
      <c r="AW33" s="2081"/>
      <c r="AX33" s="2082"/>
      <c r="AY33" s="2082"/>
      <c r="AZ33" s="2082"/>
      <c r="BA33" s="2082"/>
      <c r="BB33" s="2082"/>
      <c r="BC33" s="2082"/>
      <c r="BD33" s="2082"/>
      <c r="BE33" s="2082"/>
      <c r="BF33" s="2082"/>
      <c r="BG33" s="2082"/>
      <c r="BH33" s="2083"/>
      <c r="BI33" s="2092"/>
      <c r="BO33" s="140"/>
      <c r="BP33" s="2081"/>
      <c r="BQ33" s="2082"/>
      <c r="BR33" s="2082"/>
      <c r="BS33" s="2082"/>
      <c r="BT33" s="2082"/>
      <c r="BU33" s="2082"/>
      <c r="BV33" s="2082"/>
      <c r="BW33" s="2082"/>
      <c r="BX33" s="2082"/>
      <c r="BY33" s="2082"/>
      <c r="BZ33" s="2082"/>
      <c r="CA33" s="2083"/>
      <c r="CB33" s="2092"/>
      <c r="CI33" s="140"/>
      <c r="CJ33" s="2081"/>
      <c r="CK33" s="2082"/>
      <c r="CL33" s="2082"/>
      <c r="CM33" s="2082"/>
      <c r="CN33" s="2082"/>
      <c r="CO33" s="2082"/>
      <c r="CP33" s="2082"/>
      <c r="CQ33" s="2082"/>
      <c r="CR33" s="2082"/>
      <c r="CS33" s="2082"/>
      <c r="CT33" s="2082"/>
      <c r="CU33" s="2083"/>
      <c r="CV33" s="2092"/>
    </row>
    <row r="34" spans="10:100" ht="24" customHeight="1">
      <c r="J34" s="140"/>
      <c r="K34" s="1959"/>
      <c r="L34" s="1960"/>
      <c r="M34" s="1960"/>
      <c r="N34" s="1960"/>
      <c r="O34" s="1960"/>
      <c r="P34" s="1960"/>
      <c r="Q34" s="1960"/>
      <c r="R34" s="1960"/>
      <c r="S34" s="1960"/>
      <c r="T34" s="1960"/>
      <c r="U34" s="1960"/>
      <c r="V34" s="1986"/>
      <c r="W34" s="2092"/>
      <c r="AC34" s="140"/>
      <c r="AD34" s="2080"/>
      <c r="AE34" s="2080"/>
      <c r="AF34" s="2080"/>
      <c r="AG34" s="2080"/>
      <c r="AH34" s="2080"/>
      <c r="AI34" s="2080"/>
      <c r="AJ34" s="2080"/>
      <c r="AK34" s="2080"/>
      <c r="AL34" s="2080"/>
      <c r="AM34" s="2080"/>
      <c r="AN34" s="2080"/>
      <c r="AO34" s="2080"/>
      <c r="AP34" s="2092"/>
      <c r="AV34" s="140"/>
      <c r="AW34" s="2081"/>
      <c r="AX34" s="2082"/>
      <c r="AY34" s="2082"/>
      <c r="AZ34" s="2082"/>
      <c r="BA34" s="2082"/>
      <c r="BB34" s="2082"/>
      <c r="BC34" s="2082"/>
      <c r="BD34" s="2082"/>
      <c r="BE34" s="2082"/>
      <c r="BF34" s="2082"/>
      <c r="BG34" s="2082"/>
      <c r="BH34" s="2083"/>
      <c r="BI34" s="2092"/>
      <c r="BO34" s="140"/>
      <c r="BP34" s="2081"/>
      <c r="BQ34" s="2082"/>
      <c r="BR34" s="2082"/>
      <c r="BS34" s="2082"/>
      <c r="BT34" s="2082"/>
      <c r="BU34" s="2082"/>
      <c r="BV34" s="2082"/>
      <c r="BW34" s="2082"/>
      <c r="BX34" s="2082"/>
      <c r="BY34" s="2082"/>
      <c r="BZ34" s="2082"/>
      <c r="CA34" s="2083"/>
      <c r="CB34" s="2092"/>
      <c r="CI34" s="140"/>
      <c r="CJ34" s="2081"/>
      <c r="CK34" s="2082"/>
      <c r="CL34" s="2082"/>
      <c r="CM34" s="2082"/>
      <c r="CN34" s="2082"/>
      <c r="CO34" s="2082"/>
      <c r="CP34" s="2082"/>
      <c r="CQ34" s="2082"/>
      <c r="CR34" s="2082"/>
      <c r="CS34" s="2082"/>
      <c r="CT34" s="2082"/>
      <c r="CU34" s="2083"/>
      <c r="CV34" s="2092"/>
    </row>
    <row r="35" spans="10:100" ht="24" customHeight="1">
      <c r="J35" s="140"/>
      <c r="K35" s="1959"/>
      <c r="L35" s="1960"/>
      <c r="M35" s="1960"/>
      <c r="N35" s="1960"/>
      <c r="O35" s="1960"/>
      <c r="P35" s="1960"/>
      <c r="Q35" s="1960"/>
      <c r="R35" s="1960"/>
      <c r="S35" s="1960"/>
      <c r="T35" s="1960"/>
      <c r="U35" s="1960"/>
      <c r="V35" s="1986"/>
      <c r="W35" s="2092"/>
      <c r="AC35" s="140"/>
      <c r="AD35" s="2080"/>
      <c r="AE35" s="2080"/>
      <c r="AF35" s="2080"/>
      <c r="AG35" s="2080"/>
      <c r="AH35" s="2080"/>
      <c r="AI35" s="2080"/>
      <c r="AJ35" s="2080"/>
      <c r="AK35" s="2080"/>
      <c r="AL35" s="2080"/>
      <c r="AM35" s="2080"/>
      <c r="AN35" s="2080"/>
      <c r="AO35" s="2080"/>
      <c r="AP35" s="2092"/>
      <c r="AV35" s="140"/>
      <c r="AW35" s="2081"/>
      <c r="AX35" s="2082"/>
      <c r="AY35" s="2082"/>
      <c r="AZ35" s="2082"/>
      <c r="BA35" s="2082"/>
      <c r="BB35" s="2082"/>
      <c r="BC35" s="2082"/>
      <c r="BD35" s="2082"/>
      <c r="BE35" s="2082"/>
      <c r="BF35" s="2082"/>
      <c r="BG35" s="2082"/>
      <c r="BH35" s="2083"/>
      <c r="BI35" s="2092"/>
      <c r="BO35" s="140"/>
      <c r="BP35" s="2081"/>
      <c r="BQ35" s="2082"/>
      <c r="BR35" s="2082"/>
      <c r="BS35" s="2082"/>
      <c r="BT35" s="2082"/>
      <c r="BU35" s="2082"/>
      <c r="BV35" s="2082"/>
      <c r="BW35" s="2082"/>
      <c r="BX35" s="2082"/>
      <c r="BY35" s="2082"/>
      <c r="BZ35" s="2082"/>
      <c r="CA35" s="2083"/>
      <c r="CB35" s="2092"/>
      <c r="CI35" s="140"/>
      <c r="CJ35" s="2081"/>
      <c r="CK35" s="2082"/>
      <c r="CL35" s="2082"/>
      <c r="CM35" s="2082"/>
      <c r="CN35" s="2082"/>
      <c r="CO35" s="2082"/>
      <c r="CP35" s="2082"/>
      <c r="CQ35" s="2082"/>
      <c r="CR35" s="2082"/>
      <c r="CS35" s="2082"/>
      <c r="CT35" s="2082"/>
      <c r="CU35" s="2083"/>
      <c r="CV35" s="2092"/>
    </row>
    <row r="36" spans="10:100" ht="24" customHeight="1">
      <c r="J36" s="140"/>
      <c r="K36" s="1959"/>
      <c r="L36" s="1960"/>
      <c r="M36" s="1960"/>
      <c r="N36" s="1960"/>
      <c r="O36" s="1960"/>
      <c r="P36" s="1960"/>
      <c r="Q36" s="1960"/>
      <c r="R36" s="1960"/>
      <c r="S36" s="1960"/>
      <c r="T36" s="1960"/>
      <c r="U36" s="1960"/>
      <c r="V36" s="1986"/>
      <c r="W36" s="2092"/>
      <c r="AC36" s="140"/>
      <c r="AD36" s="2079" t="s">
        <v>963</v>
      </c>
      <c r="AE36" s="2079"/>
      <c r="AF36" s="2079"/>
      <c r="AG36" s="2079"/>
      <c r="AH36" s="2079"/>
      <c r="AI36" s="2079"/>
      <c r="AJ36" s="2079" t="s">
        <v>964</v>
      </c>
      <c r="AK36" s="2079"/>
      <c r="AL36" s="2079"/>
      <c r="AM36" s="2079"/>
      <c r="AN36" s="2079"/>
      <c r="AO36" s="2079"/>
      <c r="AP36" s="2092"/>
      <c r="AR36" s="144"/>
      <c r="AS36" s="144"/>
      <c r="AT36" s="144"/>
      <c r="AV36" s="140"/>
      <c r="AW36" s="2081"/>
      <c r="AX36" s="2082"/>
      <c r="AY36" s="2082"/>
      <c r="AZ36" s="2082"/>
      <c r="BA36" s="2082"/>
      <c r="BB36" s="2082"/>
      <c r="BC36" s="2082"/>
      <c r="BD36" s="2082"/>
      <c r="BE36" s="2082"/>
      <c r="BF36" s="2082"/>
      <c r="BG36" s="2082"/>
      <c r="BH36" s="2083"/>
      <c r="BI36" s="2092"/>
      <c r="BO36" s="140"/>
      <c r="BP36" s="2081"/>
      <c r="BQ36" s="2082"/>
      <c r="BR36" s="2082"/>
      <c r="BS36" s="2082"/>
      <c r="BT36" s="2082"/>
      <c r="BU36" s="2082"/>
      <c r="BV36" s="2082"/>
      <c r="BW36" s="2082"/>
      <c r="BX36" s="2082"/>
      <c r="BY36" s="2082"/>
      <c r="BZ36" s="2082"/>
      <c r="CA36" s="2083"/>
      <c r="CB36" s="2092"/>
      <c r="CI36" s="140"/>
      <c r="CJ36" s="2081"/>
      <c r="CK36" s="2082"/>
      <c r="CL36" s="2082"/>
      <c r="CM36" s="2082"/>
      <c r="CN36" s="2082"/>
      <c r="CO36" s="2082"/>
      <c r="CP36" s="2082"/>
      <c r="CQ36" s="2082"/>
      <c r="CR36" s="2082"/>
      <c r="CS36" s="2082"/>
      <c r="CT36" s="2082"/>
      <c r="CU36" s="2083"/>
      <c r="CV36" s="2092"/>
    </row>
    <row r="37" spans="10:100" ht="24" customHeight="1">
      <c r="J37" s="140"/>
      <c r="K37" s="1959"/>
      <c r="L37" s="1960"/>
      <c r="M37" s="1960"/>
      <c r="N37" s="1960"/>
      <c r="O37" s="1960"/>
      <c r="P37" s="1960"/>
      <c r="Q37" s="1960"/>
      <c r="R37" s="1960"/>
      <c r="S37" s="1960"/>
      <c r="T37" s="1960"/>
      <c r="U37" s="1960"/>
      <c r="V37" s="1986"/>
      <c r="W37" s="2092"/>
      <c r="AC37" s="140"/>
      <c r="AD37" s="2079"/>
      <c r="AE37" s="2079"/>
      <c r="AF37" s="2079"/>
      <c r="AG37" s="2079"/>
      <c r="AH37" s="2079"/>
      <c r="AI37" s="2079"/>
      <c r="AJ37" s="2079"/>
      <c r="AK37" s="2079"/>
      <c r="AL37" s="2079"/>
      <c r="AM37" s="2079"/>
      <c r="AN37" s="2079"/>
      <c r="AO37" s="2079"/>
      <c r="AP37" s="2092"/>
      <c r="AR37" s="144"/>
      <c r="AS37" s="144"/>
      <c r="AT37" s="144"/>
      <c r="AV37" s="140"/>
      <c r="AW37" s="2081"/>
      <c r="AX37" s="2082"/>
      <c r="AY37" s="2082"/>
      <c r="AZ37" s="2082"/>
      <c r="BA37" s="2082"/>
      <c r="BB37" s="2082"/>
      <c r="BC37" s="2082"/>
      <c r="BD37" s="2082"/>
      <c r="BE37" s="2082"/>
      <c r="BF37" s="2082"/>
      <c r="BG37" s="2082"/>
      <c r="BH37" s="2083"/>
      <c r="BI37" s="2092"/>
      <c r="BO37" s="140"/>
      <c r="BP37" s="2081"/>
      <c r="BQ37" s="2082"/>
      <c r="BR37" s="2082"/>
      <c r="BS37" s="2082"/>
      <c r="BT37" s="2082"/>
      <c r="BU37" s="2082"/>
      <c r="BV37" s="2082"/>
      <c r="BW37" s="2082"/>
      <c r="BX37" s="2082"/>
      <c r="BY37" s="2082"/>
      <c r="BZ37" s="2082"/>
      <c r="CA37" s="2083"/>
      <c r="CB37" s="2092"/>
      <c r="CI37" s="140"/>
      <c r="CJ37" s="2081"/>
      <c r="CK37" s="2082"/>
      <c r="CL37" s="2082"/>
      <c r="CM37" s="2082"/>
      <c r="CN37" s="2082"/>
      <c r="CO37" s="2082"/>
      <c r="CP37" s="2082"/>
      <c r="CQ37" s="2082"/>
      <c r="CR37" s="2082"/>
      <c r="CS37" s="2082"/>
      <c r="CT37" s="2082"/>
      <c r="CU37" s="2083"/>
      <c r="CV37" s="2092"/>
    </row>
    <row r="38" spans="10:100" ht="24" customHeight="1">
      <c r="J38" s="140"/>
      <c r="K38" s="1961"/>
      <c r="L38" s="1962"/>
      <c r="M38" s="1962"/>
      <c r="N38" s="1962"/>
      <c r="O38" s="1962"/>
      <c r="P38" s="1962"/>
      <c r="Q38" s="1962"/>
      <c r="R38" s="1962"/>
      <c r="S38" s="1962"/>
      <c r="T38" s="1962"/>
      <c r="U38" s="1962"/>
      <c r="V38" s="1987"/>
      <c r="W38" s="2092"/>
      <c r="AC38" s="140"/>
      <c r="AD38" s="2079"/>
      <c r="AE38" s="2079"/>
      <c r="AF38" s="2079"/>
      <c r="AG38" s="2079"/>
      <c r="AH38" s="2079"/>
      <c r="AI38" s="2079"/>
      <c r="AJ38" s="2079"/>
      <c r="AK38" s="2079"/>
      <c r="AL38" s="2079"/>
      <c r="AM38" s="2079"/>
      <c r="AN38" s="2079"/>
      <c r="AO38" s="2079"/>
      <c r="AP38" s="2092"/>
      <c r="AR38" s="144"/>
      <c r="AS38" s="144"/>
      <c r="AT38" s="144"/>
      <c r="AV38" s="140"/>
      <c r="AW38" s="2081"/>
      <c r="AX38" s="2082"/>
      <c r="AY38" s="2082"/>
      <c r="AZ38" s="2082"/>
      <c r="BA38" s="2082"/>
      <c r="BB38" s="2082"/>
      <c r="BC38" s="2082"/>
      <c r="BD38" s="2082"/>
      <c r="BE38" s="2082"/>
      <c r="BF38" s="2082"/>
      <c r="BG38" s="2082"/>
      <c r="BH38" s="2083"/>
      <c r="BI38" s="2092"/>
      <c r="BO38" s="140"/>
      <c r="BP38" s="2081"/>
      <c r="BQ38" s="2082"/>
      <c r="BR38" s="2082"/>
      <c r="BS38" s="2082"/>
      <c r="BT38" s="2082"/>
      <c r="BU38" s="2082"/>
      <c r="BV38" s="2082"/>
      <c r="BW38" s="2082"/>
      <c r="BX38" s="2082"/>
      <c r="BY38" s="2082"/>
      <c r="BZ38" s="2082"/>
      <c r="CA38" s="2083"/>
      <c r="CB38" s="2092"/>
      <c r="CI38" s="140"/>
      <c r="CJ38" s="2081"/>
      <c r="CK38" s="2082"/>
      <c r="CL38" s="2082"/>
      <c r="CM38" s="2082"/>
      <c r="CN38" s="2082"/>
      <c r="CO38" s="2082"/>
      <c r="CP38" s="2082"/>
      <c r="CQ38" s="2082"/>
      <c r="CR38" s="2082"/>
      <c r="CS38" s="2082"/>
      <c r="CT38" s="2082"/>
      <c r="CU38" s="2083"/>
      <c r="CV38" s="2092"/>
    </row>
    <row r="39" spans="10:100" ht="24" customHeight="1">
      <c r="J39" s="140"/>
      <c r="K39" s="145"/>
      <c r="L39" s="146"/>
      <c r="M39" s="146"/>
      <c r="N39" s="146"/>
      <c r="O39" s="146"/>
      <c r="P39" s="146"/>
      <c r="Q39" s="146"/>
      <c r="R39" s="146"/>
      <c r="S39" s="146"/>
      <c r="T39" s="146"/>
      <c r="U39" s="146"/>
      <c r="V39" s="147"/>
      <c r="W39" s="2092"/>
      <c r="AC39" s="140"/>
      <c r="AD39" s="2079"/>
      <c r="AE39" s="2079"/>
      <c r="AF39" s="2079"/>
      <c r="AG39" s="2079"/>
      <c r="AH39" s="2079"/>
      <c r="AI39" s="2079"/>
      <c r="AJ39" s="2079"/>
      <c r="AK39" s="2079"/>
      <c r="AL39" s="2079"/>
      <c r="AM39" s="2079"/>
      <c r="AN39" s="2079"/>
      <c r="AO39" s="2079"/>
      <c r="AP39" s="2092"/>
      <c r="AR39" s="144"/>
      <c r="AS39" s="144"/>
      <c r="AT39" s="144"/>
      <c r="AV39" s="140"/>
      <c r="AW39" s="2081"/>
      <c r="AX39" s="2082"/>
      <c r="AY39" s="2082"/>
      <c r="AZ39" s="2082"/>
      <c r="BA39" s="2082"/>
      <c r="BB39" s="2082"/>
      <c r="BC39" s="2082"/>
      <c r="BD39" s="2082"/>
      <c r="BE39" s="2082"/>
      <c r="BF39" s="2082"/>
      <c r="BG39" s="2082"/>
      <c r="BH39" s="2083"/>
      <c r="BI39" s="2092"/>
      <c r="BO39" s="140"/>
      <c r="BP39" s="2081"/>
      <c r="BQ39" s="2082"/>
      <c r="BR39" s="2082"/>
      <c r="BS39" s="2082"/>
      <c r="BT39" s="2082"/>
      <c r="BU39" s="2082"/>
      <c r="BV39" s="2082"/>
      <c r="BW39" s="2082"/>
      <c r="BX39" s="2082"/>
      <c r="BY39" s="2082"/>
      <c r="BZ39" s="2082"/>
      <c r="CA39" s="2083"/>
      <c r="CB39" s="2092"/>
      <c r="CI39" s="140"/>
      <c r="CJ39" s="2081"/>
      <c r="CK39" s="2082"/>
      <c r="CL39" s="2082"/>
      <c r="CM39" s="2082"/>
      <c r="CN39" s="2082"/>
      <c r="CO39" s="2082"/>
      <c r="CP39" s="2082"/>
      <c r="CQ39" s="2082"/>
      <c r="CR39" s="2082"/>
      <c r="CS39" s="2082"/>
      <c r="CT39" s="2082"/>
      <c r="CU39" s="2083"/>
      <c r="CV39" s="2092"/>
    </row>
    <row r="40" spans="10:100" ht="24" customHeight="1">
      <c r="J40" s="140"/>
      <c r="K40" s="148"/>
      <c r="L40" s="149"/>
      <c r="M40" s="149"/>
      <c r="N40" s="149"/>
      <c r="O40" s="149"/>
      <c r="P40" s="149"/>
      <c r="Q40" s="149"/>
      <c r="R40" s="149"/>
      <c r="S40" s="149"/>
      <c r="T40" s="149"/>
      <c r="U40" s="149"/>
      <c r="V40" s="150"/>
      <c r="W40" s="2092"/>
      <c r="AC40" s="140"/>
      <c r="AD40" s="2081"/>
      <c r="AE40" s="2082"/>
      <c r="AF40" s="2082"/>
      <c r="AG40" s="2082"/>
      <c r="AH40" s="2082"/>
      <c r="AI40" s="2082"/>
      <c r="AJ40" s="2082"/>
      <c r="AK40" s="2082"/>
      <c r="AL40" s="2082"/>
      <c r="AM40" s="2082"/>
      <c r="AN40" s="2082"/>
      <c r="AO40" s="2083"/>
      <c r="AP40" s="2092"/>
      <c r="AR40" s="144"/>
      <c r="AS40" s="144"/>
      <c r="AT40" s="144"/>
      <c r="AV40" s="140"/>
      <c r="AW40" s="2081"/>
      <c r="AX40" s="2082"/>
      <c r="AY40" s="2082"/>
      <c r="AZ40" s="2082"/>
      <c r="BA40" s="2082"/>
      <c r="BB40" s="2082"/>
      <c r="BC40" s="2082"/>
      <c r="BD40" s="2082"/>
      <c r="BE40" s="2082"/>
      <c r="BF40" s="2082"/>
      <c r="BG40" s="2082"/>
      <c r="BH40" s="2083"/>
      <c r="BI40" s="2092"/>
      <c r="BO40" s="140"/>
      <c r="BP40" s="2081"/>
      <c r="BQ40" s="2082"/>
      <c r="BR40" s="2082"/>
      <c r="BS40" s="2082"/>
      <c r="BT40" s="2082"/>
      <c r="BU40" s="2082"/>
      <c r="BV40" s="2082"/>
      <c r="BW40" s="2082"/>
      <c r="BX40" s="2082"/>
      <c r="BY40" s="2082"/>
      <c r="BZ40" s="2082"/>
      <c r="CA40" s="2083"/>
      <c r="CB40" s="2092"/>
      <c r="CI40" s="140"/>
      <c r="CJ40" s="2081"/>
      <c r="CK40" s="2082"/>
      <c r="CL40" s="2082"/>
      <c r="CM40" s="2082"/>
      <c r="CN40" s="2082"/>
      <c r="CO40" s="2082"/>
      <c r="CP40" s="2082"/>
      <c r="CQ40" s="2082"/>
      <c r="CR40" s="2082"/>
      <c r="CS40" s="2082"/>
      <c r="CT40" s="2082"/>
      <c r="CU40" s="2083"/>
      <c r="CV40" s="2092"/>
    </row>
    <row r="41" spans="10:100" ht="24" customHeight="1">
      <c r="J41" s="140"/>
      <c r="K41" s="1959" t="s">
        <v>790</v>
      </c>
      <c r="L41" s="1960"/>
      <c r="M41" s="1960"/>
      <c r="N41" s="1960"/>
      <c r="O41" s="1960"/>
      <c r="P41" s="1960"/>
      <c r="Q41" s="1960"/>
      <c r="R41" s="1960"/>
      <c r="S41" s="1960"/>
      <c r="T41" s="1960"/>
      <c r="U41" s="1960"/>
      <c r="V41" s="1986"/>
      <c r="W41" s="2092"/>
      <c r="AC41" s="140"/>
      <c r="AD41" s="2081"/>
      <c r="AE41" s="2082"/>
      <c r="AF41" s="2082"/>
      <c r="AG41" s="2082"/>
      <c r="AH41" s="2082"/>
      <c r="AI41" s="2082"/>
      <c r="AJ41" s="2082"/>
      <c r="AK41" s="2082"/>
      <c r="AL41" s="2082"/>
      <c r="AM41" s="2082"/>
      <c r="AN41" s="2082"/>
      <c r="AO41" s="2083"/>
      <c r="AP41" s="2092"/>
      <c r="AR41" s="144"/>
      <c r="AS41" s="144"/>
      <c r="AT41" s="144"/>
      <c r="AV41" s="140"/>
      <c r="AW41" s="2081"/>
      <c r="AX41" s="2082"/>
      <c r="AY41" s="2082"/>
      <c r="AZ41" s="2082"/>
      <c r="BA41" s="2082"/>
      <c r="BB41" s="2082"/>
      <c r="BC41" s="2082"/>
      <c r="BD41" s="2082"/>
      <c r="BE41" s="2082"/>
      <c r="BF41" s="2082"/>
      <c r="BG41" s="2082"/>
      <c r="BH41" s="2083"/>
      <c r="BI41" s="2092"/>
      <c r="BO41" s="140"/>
      <c r="BP41" s="2081"/>
      <c r="BQ41" s="2082"/>
      <c r="BR41" s="2082"/>
      <c r="BS41" s="2082"/>
      <c r="BT41" s="2082"/>
      <c r="BU41" s="2082"/>
      <c r="BV41" s="2082"/>
      <c r="BW41" s="2082"/>
      <c r="BX41" s="2082"/>
      <c r="BY41" s="2082"/>
      <c r="BZ41" s="2082"/>
      <c r="CA41" s="2083"/>
      <c r="CB41" s="2092"/>
      <c r="CI41" s="140"/>
      <c r="CJ41" s="2081"/>
      <c r="CK41" s="2082"/>
      <c r="CL41" s="2082"/>
      <c r="CM41" s="2082"/>
      <c r="CN41" s="2082"/>
      <c r="CO41" s="2082"/>
      <c r="CP41" s="2082"/>
      <c r="CQ41" s="2082"/>
      <c r="CR41" s="2082"/>
      <c r="CS41" s="2082"/>
      <c r="CT41" s="2082"/>
      <c r="CU41" s="2083"/>
      <c r="CV41" s="2092"/>
    </row>
    <row r="42" spans="10:100" ht="24" customHeight="1">
      <c r="J42" s="140"/>
      <c r="K42" s="1959"/>
      <c r="L42" s="1960"/>
      <c r="M42" s="1960"/>
      <c r="N42" s="1960"/>
      <c r="O42" s="1960"/>
      <c r="P42" s="1960"/>
      <c r="Q42" s="1960"/>
      <c r="R42" s="1960"/>
      <c r="S42" s="1960"/>
      <c r="T42" s="1960"/>
      <c r="U42" s="1960"/>
      <c r="V42" s="1986"/>
      <c r="W42" s="2092"/>
      <c r="AC42" s="140"/>
      <c r="AD42" s="2081"/>
      <c r="AE42" s="2082"/>
      <c r="AF42" s="2082"/>
      <c r="AG42" s="2082"/>
      <c r="AH42" s="2082"/>
      <c r="AI42" s="2082"/>
      <c r="AJ42" s="2082"/>
      <c r="AK42" s="2082"/>
      <c r="AL42" s="2082"/>
      <c r="AM42" s="2082"/>
      <c r="AN42" s="2082"/>
      <c r="AO42" s="2083"/>
      <c r="AP42" s="2092"/>
      <c r="AR42" s="144"/>
      <c r="AS42" s="144"/>
      <c r="AT42" s="144"/>
      <c r="AV42" s="140"/>
      <c r="AW42" s="2081"/>
      <c r="AX42" s="2082"/>
      <c r="AY42" s="2082"/>
      <c r="AZ42" s="2082"/>
      <c r="BA42" s="2082"/>
      <c r="BB42" s="2082"/>
      <c r="BC42" s="2082"/>
      <c r="BD42" s="2082"/>
      <c r="BE42" s="2082"/>
      <c r="BF42" s="2082"/>
      <c r="BG42" s="2082"/>
      <c r="BH42" s="2083"/>
      <c r="BI42" s="2092"/>
      <c r="BO42" s="140"/>
      <c r="BP42" s="2081"/>
      <c r="BQ42" s="2082"/>
      <c r="BR42" s="2082"/>
      <c r="BS42" s="2082"/>
      <c r="BT42" s="2082"/>
      <c r="BU42" s="2082"/>
      <c r="BV42" s="2082"/>
      <c r="BW42" s="2082"/>
      <c r="BX42" s="2082"/>
      <c r="BY42" s="2082"/>
      <c r="BZ42" s="2082"/>
      <c r="CA42" s="2083"/>
      <c r="CB42" s="2092"/>
      <c r="CI42" s="140"/>
      <c r="CJ42" s="2081"/>
      <c r="CK42" s="2082"/>
      <c r="CL42" s="2082"/>
      <c r="CM42" s="2082"/>
      <c r="CN42" s="2082"/>
      <c r="CO42" s="2082"/>
      <c r="CP42" s="2082"/>
      <c r="CQ42" s="2082"/>
      <c r="CR42" s="2082"/>
      <c r="CS42" s="2082"/>
      <c r="CT42" s="2082"/>
      <c r="CU42" s="2083"/>
      <c r="CV42" s="2092"/>
    </row>
    <row r="43" spans="10:100" ht="24" customHeight="1">
      <c r="J43" s="140"/>
      <c r="K43" s="1959"/>
      <c r="L43" s="1960"/>
      <c r="M43" s="1960"/>
      <c r="N43" s="1960"/>
      <c r="O43" s="1960"/>
      <c r="P43" s="1960"/>
      <c r="Q43" s="1960"/>
      <c r="R43" s="1960"/>
      <c r="S43" s="1960"/>
      <c r="T43" s="1960"/>
      <c r="U43" s="1960"/>
      <c r="V43" s="1986"/>
      <c r="W43" s="2092"/>
      <c r="AC43" s="140"/>
      <c r="AD43" s="2081"/>
      <c r="AE43" s="2082"/>
      <c r="AF43" s="2082"/>
      <c r="AG43" s="2082"/>
      <c r="AH43" s="2082"/>
      <c r="AI43" s="2082"/>
      <c r="AJ43" s="2082"/>
      <c r="AK43" s="2082"/>
      <c r="AL43" s="2082"/>
      <c r="AM43" s="2082"/>
      <c r="AN43" s="2082"/>
      <c r="AO43" s="2083"/>
      <c r="AP43" s="2092"/>
      <c r="AV43" s="140"/>
      <c r="AW43" s="2081"/>
      <c r="AX43" s="2082"/>
      <c r="AY43" s="2082"/>
      <c r="AZ43" s="2082"/>
      <c r="BA43" s="2082"/>
      <c r="BB43" s="2082"/>
      <c r="BC43" s="2082"/>
      <c r="BD43" s="2082"/>
      <c r="BE43" s="2082"/>
      <c r="BF43" s="2082"/>
      <c r="BG43" s="2082"/>
      <c r="BH43" s="2083"/>
      <c r="BI43" s="2092"/>
      <c r="BO43" s="140"/>
      <c r="BP43" s="2081"/>
      <c r="BQ43" s="2082"/>
      <c r="BR43" s="2082"/>
      <c r="BS43" s="2082"/>
      <c r="BT43" s="2082"/>
      <c r="BU43" s="2082"/>
      <c r="BV43" s="2082"/>
      <c r="BW43" s="2082"/>
      <c r="BX43" s="2082"/>
      <c r="BY43" s="2082"/>
      <c r="BZ43" s="2082"/>
      <c r="CA43" s="2083"/>
      <c r="CB43" s="2092"/>
      <c r="CI43" s="140"/>
      <c r="CJ43" s="2081"/>
      <c r="CK43" s="2082"/>
      <c r="CL43" s="2082"/>
      <c r="CM43" s="2082"/>
      <c r="CN43" s="2082"/>
      <c r="CO43" s="2082"/>
      <c r="CP43" s="2082"/>
      <c r="CQ43" s="2082"/>
      <c r="CR43" s="2082"/>
      <c r="CS43" s="2082"/>
      <c r="CT43" s="2082"/>
      <c r="CU43" s="2083"/>
      <c r="CV43" s="2092"/>
    </row>
    <row r="44" spans="10:100" ht="24" customHeight="1">
      <c r="J44" s="140"/>
      <c r="K44" s="1959"/>
      <c r="L44" s="1960"/>
      <c r="M44" s="1960"/>
      <c r="N44" s="1960"/>
      <c r="O44" s="1960"/>
      <c r="P44" s="1960"/>
      <c r="Q44" s="1960"/>
      <c r="R44" s="1960"/>
      <c r="S44" s="1960"/>
      <c r="T44" s="1960"/>
      <c r="U44" s="1960"/>
      <c r="V44" s="1986"/>
      <c r="W44" s="2092"/>
      <c r="AC44" s="140"/>
      <c r="AD44" s="2081"/>
      <c r="AE44" s="2082"/>
      <c r="AF44" s="2082"/>
      <c r="AG44" s="2082"/>
      <c r="AH44" s="2082"/>
      <c r="AI44" s="2082"/>
      <c r="AJ44" s="2082"/>
      <c r="AK44" s="2082"/>
      <c r="AL44" s="2082"/>
      <c r="AM44" s="2082"/>
      <c r="AN44" s="2082"/>
      <c r="AO44" s="2083"/>
      <c r="AP44" s="2092"/>
      <c r="AV44" s="140"/>
      <c r="AW44" s="2081"/>
      <c r="AX44" s="2082"/>
      <c r="AY44" s="2082"/>
      <c r="AZ44" s="2082"/>
      <c r="BA44" s="2082"/>
      <c r="BB44" s="2082"/>
      <c r="BC44" s="2082"/>
      <c r="BD44" s="2082"/>
      <c r="BE44" s="2082"/>
      <c r="BF44" s="2082"/>
      <c r="BG44" s="2082"/>
      <c r="BH44" s="2083"/>
      <c r="BI44" s="2092"/>
      <c r="BO44" s="140"/>
      <c r="BP44" s="2081"/>
      <c r="BQ44" s="2082"/>
      <c r="BR44" s="2082"/>
      <c r="BS44" s="2082"/>
      <c r="BT44" s="2082"/>
      <c r="BU44" s="2082"/>
      <c r="BV44" s="2082"/>
      <c r="BW44" s="2082"/>
      <c r="BX44" s="2082"/>
      <c r="BY44" s="2082"/>
      <c r="BZ44" s="2082"/>
      <c r="CA44" s="2083"/>
      <c r="CB44" s="2092"/>
      <c r="CI44" s="140"/>
      <c r="CJ44" s="2081"/>
      <c r="CK44" s="2082"/>
      <c r="CL44" s="2082"/>
      <c r="CM44" s="2082"/>
      <c r="CN44" s="2082"/>
      <c r="CO44" s="2082"/>
      <c r="CP44" s="2082"/>
      <c r="CQ44" s="2082"/>
      <c r="CR44" s="2082"/>
      <c r="CS44" s="2082"/>
      <c r="CT44" s="2082"/>
      <c r="CU44" s="2083"/>
      <c r="CV44" s="2092"/>
    </row>
    <row r="45" spans="10:100" ht="24" customHeight="1">
      <c r="J45" s="140"/>
      <c r="K45" s="1959"/>
      <c r="L45" s="1960"/>
      <c r="M45" s="1960"/>
      <c r="N45" s="1960"/>
      <c r="O45" s="1960"/>
      <c r="P45" s="1960"/>
      <c r="Q45" s="1960"/>
      <c r="R45" s="1960"/>
      <c r="S45" s="1960"/>
      <c r="T45" s="1960"/>
      <c r="U45" s="1960"/>
      <c r="V45" s="1986"/>
      <c r="W45" s="2092"/>
      <c r="AC45" s="140"/>
      <c r="AD45" s="2081"/>
      <c r="AE45" s="2082"/>
      <c r="AF45" s="2082"/>
      <c r="AG45" s="2082"/>
      <c r="AH45" s="2082"/>
      <c r="AI45" s="2082"/>
      <c r="AJ45" s="2082"/>
      <c r="AK45" s="2082"/>
      <c r="AL45" s="2082"/>
      <c r="AM45" s="2082"/>
      <c r="AN45" s="2082"/>
      <c r="AO45" s="2083"/>
      <c r="AP45" s="2092"/>
      <c r="AV45" s="140"/>
      <c r="AW45" s="2081"/>
      <c r="AX45" s="2082"/>
      <c r="AY45" s="2082"/>
      <c r="AZ45" s="2082"/>
      <c r="BA45" s="2082"/>
      <c r="BB45" s="2082"/>
      <c r="BC45" s="2082"/>
      <c r="BD45" s="2082"/>
      <c r="BE45" s="2082"/>
      <c r="BF45" s="2082"/>
      <c r="BG45" s="2082"/>
      <c r="BH45" s="2083"/>
      <c r="BI45" s="2092"/>
      <c r="BO45" s="140"/>
      <c r="BP45" s="2081"/>
      <c r="BQ45" s="2082"/>
      <c r="BR45" s="2082"/>
      <c r="BS45" s="2082"/>
      <c r="BT45" s="2082"/>
      <c r="BU45" s="2082"/>
      <c r="BV45" s="2082"/>
      <c r="BW45" s="2082"/>
      <c r="BX45" s="2082"/>
      <c r="BY45" s="2082"/>
      <c r="BZ45" s="2082"/>
      <c r="CA45" s="2083"/>
      <c r="CB45" s="2092"/>
      <c r="CI45" s="140"/>
      <c r="CJ45" s="2081"/>
      <c r="CK45" s="2082"/>
      <c r="CL45" s="2082"/>
      <c r="CM45" s="2082"/>
      <c r="CN45" s="2082"/>
      <c r="CO45" s="2082"/>
      <c r="CP45" s="2082"/>
      <c r="CQ45" s="2082"/>
      <c r="CR45" s="2082"/>
      <c r="CS45" s="2082"/>
      <c r="CT45" s="2082"/>
      <c r="CU45" s="2083"/>
      <c r="CV45" s="2092"/>
    </row>
    <row r="46" spans="10:100" ht="24" customHeight="1">
      <c r="J46" s="140"/>
      <c r="K46" s="1959"/>
      <c r="L46" s="1960"/>
      <c r="M46" s="1960"/>
      <c r="N46" s="1960"/>
      <c r="O46" s="1960"/>
      <c r="P46" s="1960"/>
      <c r="Q46" s="1960"/>
      <c r="R46" s="1960"/>
      <c r="S46" s="1960"/>
      <c r="T46" s="1960"/>
      <c r="U46" s="1960"/>
      <c r="V46" s="1986"/>
      <c r="W46" s="2092"/>
      <c r="AC46" s="140"/>
      <c r="AD46" s="2081"/>
      <c r="AE46" s="2082"/>
      <c r="AF46" s="2082"/>
      <c r="AG46" s="2082"/>
      <c r="AH46" s="2082"/>
      <c r="AI46" s="2082"/>
      <c r="AJ46" s="2082"/>
      <c r="AK46" s="2082"/>
      <c r="AL46" s="2082"/>
      <c r="AM46" s="2082"/>
      <c r="AN46" s="2082"/>
      <c r="AO46" s="2083"/>
      <c r="AP46" s="2092"/>
      <c r="AV46" s="140"/>
      <c r="AW46" s="2081"/>
      <c r="AX46" s="2082"/>
      <c r="AY46" s="2082"/>
      <c r="AZ46" s="2082"/>
      <c r="BA46" s="2082"/>
      <c r="BB46" s="2082"/>
      <c r="BC46" s="2082"/>
      <c r="BD46" s="2082"/>
      <c r="BE46" s="2082"/>
      <c r="BF46" s="2082"/>
      <c r="BG46" s="2082"/>
      <c r="BH46" s="2083"/>
      <c r="BI46" s="2092"/>
      <c r="BO46" s="140"/>
      <c r="BP46" s="2081"/>
      <c r="BQ46" s="2082"/>
      <c r="BR46" s="2082"/>
      <c r="BS46" s="2082"/>
      <c r="BT46" s="2082"/>
      <c r="BU46" s="2082"/>
      <c r="BV46" s="2082"/>
      <c r="BW46" s="2082"/>
      <c r="BX46" s="2082"/>
      <c r="BY46" s="2082"/>
      <c r="BZ46" s="2082"/>
      <c r="CA46" s="2083"/>
      <c r="CB46" s="2092"/>
      <c r="CI46" s="140"/>
      <c r="CJ46" s="2081"/>
      <c r="CK46" s="2082"/>
      <c r="CL46" s="2082"/>
      <c r="CM46" s="2082"/>
      <c r="CN46" s="2082"/>
      <c r="CO46" s="2082"/>
      <c r="CP46" s="2082"/>
      <c r="CQ46" s="2082"/>
      <c r="CR46" s="2082"/>
      <c r="CS46" s="2082"/>
      <c r="CT46" s="2082"/>
      <c r="CU46" s="2083"/>
      <c r="CV46" s="2092"/>
    </row>
    <row r="47" spans="10:100" ht="24" customHeight="1">
      <c r="J47" s="140"/>
      <c r="K47" s="1959"/>
      <c r="L47" s="1960"/>
      <c r="M47" s="1960"/>
      <c r="N47" s="1960"/>
      <c r="O47" s="1960"/>
      <c r="P47" s="1960"/>
      <c r="Q47" s="1960"/>
      <c r="R47" s="1960"/>
      <c r="S47" s="1960"/>
      <c r="T47" s="1960"/>
      <c r="U47" s="1960"/>
      <c r="V47" s="1986"/>
      <c r="W47" s="2092"/>
      <c r="AC47" s="140"/>
      <c r="AD47" s="2081"/>
      <c r="AE47" s="2082"/>
      <c r="AF47" s="2082"/>
      <c r="AG47" s="2082"/>
      <c r="AH47" s="2082"/>
      <c r="AI47" s="2082"/>
      <c r="AJ47" s="2082"/>
      <c r="AK47" s="2082"/>
      <c r="AL47" s="2082"/>
      <c r="AM47" s="2082"/>
      <c r="AN47" s="2082"/>
      <c r="AO47" s="2083"/>
      <c r="AP47" s="2092"/>
      <c r="AV47" s="140"/>
      <c r="AW47" s="2081"/>
      <c r="AX47" s="2082"/>
      <c r="AY47" s="2082"/>
      <c r="AZ47" s="2082"/>
      <c r="BA47" s="2082"/>
      <c r="BB47" s="2082"/>
      <c r="BC47" s="2082"/>
      <c r="BD47" s="2082"/>
      <c r="BE47" s="2082"/>
      <c r="BF47" s="2082"/>
      <c r="BG47" s="2082"/>
      <c r="BH47" s="2083"/>
      <c r="BI47" s="2092"/>
      <c r="BO47" s="140"/>
      <c r="BP47" s="2081"/>
      <c r="BQ47" s="2082"/>
      <c r="BR47" s="2082"/>
      <c r="BS47" s="2082"/>
      <c r="BT47" s="2082"/>
      <c r="BU47" s="2082"/>
      <c r="BV47" s="2082"/>
      <c r="BW47" s="2082"/>
      <c r="BX47" s="2082"/>
      <c r="BY47" s="2082"/>
      <c r="BZ47" s="2082"/>
      <c r="CA47" s="2083"/>
      <c r="CB47" s="2092"/>
      <c r="CI47" s="140"/>
      <c r="CJ47" s="2081"/>
      <c r="CK47" s="2082"/>
      <c r="CL47" s="2082"/>
      <c r="CM47" s="2082"/>
      <c r="CN47" s="2082"/>
      <c r="CO47" s="2082"/>
      <c r="CP47" s="2082"/>
      <c r="CQ47" s="2082"/>
      <c r="CR47" s="2082"/>
      <c r="CS47" s="2082"/>
      <c r="CT47" s="2082"/>
      <c r="CU47" s="2083"/>
      <c r="CV47" s="2092"/>
    </row>
    <row r="48" spans="10:100" ht="24" customHeight="1">
      <c r="J48" s="140"/>
      <c r="K48" s="1959"/>
      <c r="L48" s="1960"/>
      <c r="M48" s="1960"/>
      <c r="N48" s="1960"/>
      <c r="O48" s="1960"/>
      <c r="P48" s="1960"/>
      <c r="Q48" s="1960"/>
      <c r="R48" s="1960"/>
      <c r="S48" s="1960"/>
      <c r="T48" s="1960"/>
      <c r="U48" s="1960"/>
      <c r="V48" s="1986"/>
      <c r="W48" s="2092"/>
      <c r="AC48" s="140"/>
      <c r="AD48" s="2081"/>
      <c r="AE48" s="2082"/>
      <c r="AF48" s="2082"/>
      <c r="AG48" s="2082"/>
      <c r="AH48" s="2082"/>
      <c r="AI48" s="2082"/>
      <c r="AJ48" s="2082"/>
      <c r="AK48" s="2082"/>
      <c r="AL48" s="2082"/>
      <c r="AM48" s="2082"/>
      <c r="AN48" s="2082"/>
      <c r="AO48" s="2083"/>
      <c r="AP48" s="2092"/>
      <c r="AV48" s="140"/>
      <c r="AW48" s="2081"/>
      <c r="AX48" s="2082"/>
      <c r="AY48" s="2082"/>
      <c r="AZ48" s="2082"/>
      <c r="BA48" s="2082"/>
      <c r="BB48" s="2082"/>
      <c r="BC48" s="2082"/>
      <c r="BD48" s="2082"/>
      <c r="BE48" s="2082"/>
      <c r="BF48" s="2082"/>
      <c r="BG48" s="2082"/>
      <c r="BH48" s="2083"/>
      <c r="BI48" s="2092"/>
      <c r="BO48" s="140"/>
      <c r="BP48" s="2081"/>
      <c r="BQ48" s="2082"/>
      <c r="BR48" s="2082"/>
      <c r="BS48" s="2082"/>
      <c r="BT48" s="2082"/>
      <c r="BU48" s="2082"/>
      <c r="BV48" s="2082"/>
      <c r="BW48" s="2082"/>
      <c r="BX48" s="2082"/>
      <c r="BY48" s="2082"/>
      <c r="BZ48" s="2082"/>
      <c r="CA48" s="2083"/>
      <c r="CB48" s="2092"/>
      <c r="CI48" s="140"/>
      <c r="CJ48" s="2081"/>
      <c r="CK48" s="2082"/>
      <c r="CL48" s="2082"/>
      <c r="CM48" s="2082"/>
      <c r="CN48" s="2082"/>
      <c r="CO48" s="2082"/>
      <c r="CP48" s="2082"/>
      <c r="CQ48" s="2082"/>
      <c r="CR48" s="2082"/>
      <c r="CS48" s="2082"/>
      <c r="CT48" s="2082"/>
      <c r="CU48" s="2083"/>
      <c r="CV48" s="2092"/>
    </row>
    <row r="49" spans="7:126" ht="24" customHeight="1">
      <c r="J49" s="140"/>
      <c r="K49" s="1959"/>
      <c r="L49" s="1960"/>
      <c r="M49" s="1960"/>
      <c r="N49" s="1960"/>
      <c r="O49" s="1960"/>
      <c r="P49" s="1960"/>
      <c r="Q49" s="1960"/>
      <c r="R49" s="1960"/>
      <c r="S49" s="1960"/>
      <c r="T49" s="1960"/>
      <c r="U49" s="1960"/>
      <c r="V49" s="1986"/>
      <c r="W49" s="2106"/>
      <c r="AC49" s="140"/>
      <c r="AD49" s="2081"/>
      <c r="AE49" s="2082"/>
      <c r="AF49" s="2082"/>
      <c r="AG49" s="2082"/>
      <c r="AH49" s="2082"/>
      <c r="AI49" s="2082"/>
      <c r="AJ49" s="2082"/>
      <c r="AK49" s="2082"/>
      <c r="AL49" s="2082"/>
      <c r="AM49" s="2082"/>
      <c r="AN49" s="2082"/>
      <c r="AO49" s="2083"/>
      <c r="AP49" s="2092"/>
      <c r="AV49" s="140"/>
      <c r="AW49" s="2081"/>
      <c r="AX49" s="2082"/>
      <c r="AY49" s="2082"/>
      <c r="AZ49" s="2082"/>
      <c r="BA49" s="2082"/>
      <c r="BB49" s="2082"/>
      <c r="BC49" s="2082"/>
      <c r="BD49" s="2082"/>
      <c r="BE49" s="2082"/>
      <c r="BF49" s="2082"/>
      <c r="BG49" s="2082"/>
      <c r="BH49" s="2083"/>
      <c r="BI49" s="2092"/>
      <c r="BO49" s="140"/>
      <c r="BP49" s="2081"/>
      <c r="BQ49" s="2082"/>
      <c r="BR49" s="2082"/>
      <c r="BS49" s="2082"/>
      <c r="BT49" s="2082"/>
      <c r="BU49" s="2082"/>
      <c r="BV49" s="2082"/>
      <c r="BW49" s="2082"/>
      <c r="BX49" s="2082"/>
      <c r="BY49" s="2082"/>
      <c r="BZ49" s="2082"/>
      <c r="CA49" s="2083"/>
      <c r="CB49" s="2092"/>
      <c r="CI49" s="140"/>
      <c r="CJ49" s="2081"/>
      <c r="CK49" s="2082"/>
      <c r="CL49" s="2082"/>
      <c r="CM49" s="2082"/>
      <c r="CN49" s="2082"/>
      <c r="CO49" s="2082"/>
      <c r="CP49" s="2082"/>
      <c r="CQ49" s="2082"/>
      <c r="CR49" s="2082"/>
      <c r="CS49" s="2082"/>
      <c r="CT49" s="2082"/>
      <c r="CU49" s="2083"/>
      <c r="CV49" s="2092"/>
    </row>
    <row r="50" spans="7:126" ht="24" customHeight="1">
      <c r="J50" s="140"/>
      <c r="K50" s="1959"/>
      <c r="L50" s="1960"/>
      <c r="M50" s="1960"/>
      <c r="N50" s="1960"/>
      <c r="O50" s="1960"/>
      <c r="P50" s="1960"/>
      <c r="Q50" s="1960"/>
      <c r="R50" s="1960"/>
      <c r="S50" s="1960"/>
      <c r="T50" s="1960"/>
      <c r="U50" s="1960"/>
      <c r="V50" s="1986"/>
      <c r="W50" s="849"/>
      <c r="AC50" s="140"/>
      <c r="AD50" s="2081"/>
      <c r="AE50" s="2082"/>
      <c r="AF50" s="2082"/>
      <c r="AG50" s="2082"/>
      <c r="AH50" s="2082"/>
      <c r="AI50" s="2082"/>
      <c r="AJ50" s="2082"/>
      <c r="AK50" s="2082"/>
      <c r="AL50" s="2082"/>
      <c r="AM50" s="2082"/>
      <c r="AN50" s="2082"/>
      <c r="AO50" s="2083"/>
      <c r="AP50" s="849"/>
      <c r="AV50" s="140"/>
      <c r="AW50" s="2081"/>
      <c r="AX50" s="2082"/>
      <c r="AY50" s="2082"/>
      <c r="AZ50" s="2082"/>
      <c r="BA50" s="2082"/>
      <c r="BB50" s="2082"/>
      <c r="BC50" s="2082"/>
      <c r="BD50" s="2082"/>
      <c r="BE50" s="2082"/>
      <c r="BF50" s="2082"/>
      <c r="BG50" s="2082"/>
      <c r="BH50" s="2083"/>
      <c r="BI50" s="849"/>
      <c r="BO50" s="140"/>
      <c r="BP50" s="2081"/>
      <c r="BQ50" s="2082"/>
      <c r="BR50" s="2082"/>
      <c r="BS50" s="2082"/>
      <c r="BT50" s="2082"/>
      <c r="BU50" s="2082"/>
      <c r="BV50" s="2082"/>
      <c r="BW50" s="2082"/>
      <c r="BX50" s="2082"/>
      <c r="BY50" s="2082"/>
      <c r="BZ50" s="2082"/>
      <c r="CA50" s="2083"/>
      <c r="CB50" s="849"/>
      <c r="CI50" s="140"/>
      <c r="CJ50" s="2081"/>
      <c r="CK50" s="2082"/>
      <c r="CL50" s="2082"/>
      <c r="CM50" s="2082"/>
      <c r="CN50" s="2082"/>
      <c r="CO50" s="2082"/>
      <c r="CP50" s="2082"/>
      <c r="CQ50" s="2082"/>
      <c r="CR50" s="2082"/>
      <c r="CS50" s="2082"/>
      <c r="CT50" s="2082"/>
      <c r="CU50" s="2083"/>
      <c r="CV50" s="849"/>
    </row>
    <row r="51" spans="7:126" ht="24" customHeight="1">
      <c r="G51" s="58"/>
      <c r="H51" s="58"/>
      <c r="I51" s="58"/>
      <c r="J51" s="140"/>
      <c r="K51" s="1961"/>
      <c r="L51" s="1962"/>
      <c r="M51" s="1962"/>
      <c r="N51" s="1962"/>
      <c r="O51" s="1962"/>
      <c r="P51" s="1962"/>
      <c r="Q51" s="1962"/>
      <c r="R51" s="1962"/>
      <c r="S51" s="1962"/>
      <c r="T51" s="1962"/>
      <c r="U51" s="1962"/>
      <c r="V51" s="1987"/>
      <c r="W51" s="850"/>
      <c r="AC51" s="140"/>
      <c r="AD51" s="2084"/>
      <c r="AE51" s="2085"/>
      <c r="AF51" s="2085"/>
      <c r="AG51" s="2085"/>
      <c r="AH51" s="2085"/>
      <c r="AI51" s="2085"/>
      <c r="AJ51" s="2085"/>
      <c r="AK51" s="2085"/>
      <c r="AL51" s="2085"/>
      <c r="AM51" s="2085"/>
      <c r="AN51" s="2085"/>
      <c r="AO51" s="2086"/>
      <c r="AP51" s="850"/>
      <c r="AV51" s="140"/>
      <c r="AW51" s="2084"/>
      <c r="AX51" s="2085"/>
      <c r="AY51" s="2085"/>
      <c r="AZ51" s="2085"/>
      <c r="BA51" s="2085"/>
      <c r="BB51" s="2085"/>
      <c r="BC51" s="2085"/>
      <c r="BD51" s="2085"/>
      <c r="BE51" s="2085"/>
      <c r="BF51" s="2085"/>
      <c r="BG51" s="2085"/>
      <c r="BH51" s="2086"/>
      <c r="BI51" s="850"/>
      <c r="BO51" s="140"/>
      <c r="BP51" s="2084"/>
      <c r="BQ51" s="2085"/>
      <c r="BR51" s="2085"/>
      <c r="BS51" s="2085"/>
      <c r="BT51" s="2085"/>
      <c r="BU51" s="2085"/>
      <c r="BV51" s="2085"/>
      <c r="BW51" s="2085"/>
      <c r="BX51" s="2085"/>
      <c r="BY51" s="2085"/>
      <c r="BZ51" s="2085"/>
      <c r="CA51" s="2086"/>
      <c r="CB51" s="850"/>
      <c r="CI51" s="140"/>
      <c r="CJ51" s="2084"/>
      <c r="CK51" s="2085"/>
      <c r="CL51" s="2085"/>
      <c r="CM51" s="2085"/>
      <c r="CN51" s="2085"/>
      <c r="CO51" s="2085"/>
      <c r="CP51" s="2085"/>
      <c r="CQ51" s="2085"/>
      <c r="CR51" s="2085"/>
      <c r="CS51" s="2085"/>
      <c r="CT51" s="2085"/>
      <c r="CU51" s="2086"/>
      <c r="CV51" s="850"/>
    </row>
    <row r="52" spans="7:126" ht="24" customHeight="1">
      <c r="G52" s="58"/>
      <c r="H52" s="58"/>
      <c r="I52" s="58"/>
      <c r="J52" s="140"/>
      <c r="K52" s="2093"/>
      <c r="L52" s="2093"/>
      <c r="M52" s="2093"/>
      <c r="N52" s="2093"/>
      <c r="O52" s="2093"/>
      <c r="P52" s="2093"/>
      <c r="Q52" s="2093"/>
      <c r="R52" s="2093"/>
      <c r="S52" s="2093"/>
      <c r="T52" s="2093"/>
      <c r="U52" s="2093"/>
      <c r="V52" s="2093"/>
      <c r="W52" s="850"/>
      <c r="AC52" s="140"/>
      <c r="AD52" s="2093"/>
      <c r="AE52" s="2093"/>
      <c r="AF52" s="2093"/>
      <c r="AG52" s="2093"/>
      <c r="AH52" s="2093"/>
      <c r="AI52" s="2093"/>
      <c r="AJ52" s="2093"/>
      <c r="AK52" s="2093"/>
      <c r="AL52" s="2093"/>
      <c r="AM52" s="2093"/>
      <c r="AN52" s="2093"/>
      <c r="AO52" s="2093"/>
      <c r="AP52" s="850"/>
      <c r="AV52" s="140"/>
      <c r="AW52" s="2093"/>
      <c r="AX52" s="2093"/>
      <c r="AY52" s="2093"/>
      <c r="AZ52" s="2093"/>
      <c r="BA52" s="2093"/>
      <c r="BB52" s="2093"/>
      <c r="BC52" s="2093"/>
      <c r="BD52" s="2093"/>
      <c r="BE52" s="2093"/>
      <c r="BF52" s="2093"/>
      <c r="BG52" s="2093"/>
      <c r="BH52" s="2093"/>
      <c r="BI52" s="850"/>
      <c r="BO52" s="140"/>
      <c r="BP52" s="2093"/>
      <c r="BQ52" s="2093"/>
      <c r="BR52" s="2093"/>
      <c r="BS52" s="2093"/>
      <c r="BT52" s="2093"/>
      <c r="BU52" s="2093"/>
      <c r="BV52" s="2093"/>
      <c r="BW52" s="2093"/>
      <c r="BX52" s="2093"/>
      <c r="BY52" s="2093"/>
      <c r="BZ52" s="2093"/>
      <c r="CA52" s="2093"/>
      <c r="CB52" s="850"/>
      <c r="CI52" s="140"/>
      <c r="CJ52" s="2093"/>
      <c r="CK52" s="2093"/>
      <c r="CL52" s="2093"/>
      <c r="CM52" s="2093"/>
      <c r="CN52" s="2093"/>
      <c r="CO52" s="2093"/>
      <c r="CP52" s="2093"/>
      <c r="CQ52" s="2093"/>
      <c r="CR52" s="2093"/>
      <c r="CS52" s="2093"/>
      <c r="CT52" s="2093"/>
      <c r="CU52" s="2093"/>
      <c r="CV52" s="850"/>
    </row>
    <row r="53" spans="7:126" ht="24" customHeight="1" thickBot="1">
      <c r="G53" s="58"/>
      <c r="H53" s="58"/>
      <c r="I53" s="58"/>
      <c r="J53" s="141"/>
      <c r="K53" s="2094"/>
      <c r="L53" s="2094"/>
      <c r="M53" s="2094"/>
      <c r="N53" s="2094"/>
      <c r="O53" s="2094"/>
      <c r="P53" s="2094"/>
      <c r="Q53" s="2094"/>
      <c r="R53" s="2094"/>
      <c r="S53" s="2094"/>
      <c r="T53" s="2094"/>
      <c r="U53" s="2094"/>
      <c r="V53" s="2094"/>
      <c r="W53" s="851"/>
      <c r="AC53" s="141"/>
      <c r="AD53" s="2094"/>
      <c r="AE53" s="2094"/>
      <c r="AF53" s="2094"/>
      <c r="AG53" s="2094"/>
      <c r="AH53" s="2094"/>
      <c r="AI53" s="2094"/>
      <c r="AJ53" s="2094"/>
      <c r="AK53" s="2094"/>
      <c r="AL53" s="2094"/>
      <c r="AM53" s="2094"/>
      <c r="AN53" s="2094"/>
      <c r="AO53" s="2094"/>
      <c r="AP53" s="851"/>
      <c r="AV53" s="141"/>
      <c r="AW53" s="2094"/>
      <c r="AX53" s="2094"/>
      <c r="AY53" s="2094"/>
      <c r="AZ53" s="2094"/>
      <c r="BA53" s="2094"/>
      <c r="BB53" s="2094"/>
      <c r="BC53" s="2094"/>
      <c r="BD53" s="2094"/>
      <c r="BE53" s="2094"/>
      <c r="BF53" s="2094"/>
      <c r="BG53" s="2094"/>
      <c r="BH53" s="2094"/>
      <c r="BI53" s="851"/>
      <c r="BO53" s="141"/>
      <c r="BP53" s="2094"/>
      <c r="BQ53" s="2094"/>
      <c r="BR53" s="2094"/>
      <c r="BS53" s="2094"/>
      <c r="BT53" s="2094"/>
      <c r="BU53" s="2094"/>
      <c r="BV53" s="2094"/>
      <c r="BW53" s="2094"/>
      <c r="BX53" s="2094"/>
      <c r="BY53" s="2094"/>
      <c r="BZ53" s="2094"/>
      <c r="CA53" s="2094"/>
      <c r="CB53" s="851"/>
      <c r="CI53" s="141"/>
      <c r="CJ53" s="2094"/>
      <c r="CK53" s="2094"/>
      <c r="CL53" s="2094"/>
      <c r="CM53" s="2094"/>
      <c r="CN53" s="2094"/>
      <c r="CO53" s="2094"/>
      <c r="CP53" s="2094"/>
      <c r="CQ53" s="2094"/>
      <c r="CR53" s="2094"/>
      <c r="CS53" s="2094"/>
      <c r="CT53" s="2094"/>
      <c r="CU53" s="2094"/>
      <c r="CV53" s="851"/>
    </row>
    <row r="57" spans="7:126" ht="24" customHeight="1">
      <c r="J57" s="2093"/>
      <c r="K57" s="752"/>
      <c r="L57" s="2087"/>
      <c r="M57" s="2087"/>
      <c r="N57" s="2087"/>
      <c r="O57" s="2087"/>
      <c r="P57" s="2087"/>
      <c r="Q57" s="2087"/>
      <c r="R57" s="2087"/>
      <c r="S57" s="2087"/>
      <c r="T57" s="2087"/>
      <c r="U57" s="2087"/>
      <c r="V57" s="753"/>
      <c r="W57" s="849"/>
      <c r="AC57" s="2093"/>
      <c r="AD57" s="752"/>
      <c r="AE57" s="2087"/>
      <c r="AF57" s="2087"/>
      <c r="AG57" s="2087"/>
      <c r="AH57" s="2087"/>
      <c r="AI57" s="2087"/>
      <c r="AJ57" s="2087"/>
      <c r="AK57" s="2087"/>
      <c r="AL57" s="2087"/>
      <c r="AM57" s="2087"/>
      <c r="AN57" s="2087"/>
      <c r="AO57" s="753"/>
      <c r="AP57" s="849"/>
      <c r="AV57" s="2093"/>
      <c r="AW57" s="752"/>
      <c r="AX57" s="2087"/>
      <c r="AY57" s="2087"/>
      <c r="AZ57" s="2087"/>
      <c r="BA57" s="2087"/>
      <c r="BB57" s="2087"/>
      <c r="BC57" s="2087"/>
      <c r="BD57" s="2087"/>
      <c r="BE57" s="2087"/>
      <c r="BF57" s="2087"/>
      <c r="BG57" s="2087"/>
      <c r="BH57" s="753"/>
      <c r="BI57" s="849"/>
      <c r="BO57" s="2093"/>
      <c r="BP57" s="752"/>
      <c r="BQ57" s="2087"/>
      <c r="BR57" s="2087"/>
      <c r="BS57" s="2087"/>
      <c r="BT57" s="2087"/>
      <c r="BU57" s="2087"/>
      <c r="BV57" s="2087"/>
      <c r="BW57" s="2087"/>
      <c r="BX57" s="2087"/>
      <c r="BY57" s="2087"/>
      <c r="BZ57" s="2087"/>
      <c r="CA57" s="753"/>
      <c r="CB57" s="849"/>
      <c r="CI57" s="2093"/>
      <c r="CJ57" s="752"/>
      <c r="CK57" s="2087"/>
      <c r="CL57" s="2087"/>
      <c r="CM57" s="2087"/>
      <c r="CN57" s="2087"/>
      <c r="CO57" s="2087"/>
      <c r="CP57" s="2087"/>
      <c r="CQ57" s="2087"/>
      <c r="CR57" s="2087"/>
      <c r="CS57" s="2087"/>
      <c r="CT57" s="2087"/>
      <c r="CU57" s="753"/>
      <c r="CV57" s="849"/>
    </row>
    <row r="58" spans="7:126" ht="24" customHeight="1" thickBot="1">
      <c r="J58" s="2095"/>
      <c r="K58" s="754"/>
      <c r="L58" s="2088"/>
      <c r="M58" s="2088"/>
      <c r="N58" s="2088"/>
      <c r="O58" s="2088"/>
      <c r="P58" s="2088"/>
      <c r="Q58" s="2088"/>
      <c r="R58" s="2088"/>
      <c r="S58" s="2088"/>
      <c r="T58" s="2088"/>
      <c r="U58" s="2088"/>
      <c r="V58" s="755"/>
      <c r="W58" s="851"/>
      <c r="AC58" s="2095"/>
      <c r="AD58" s="754"/>
      <c r="AE58" s="2088"/>
      <c r="AF58" s="2088"/>
      <c r="AG58" s="2088"/>
      <c r="AH58" s="2088"/>
      <c r="AI58" s="2088"/>
      <c r="AJ58" s="2088"/>
      <c r="AK58" s="2088"/>
      <c r="AL58" s="2088"/>
      <c r="AM58" s="2088"/>
      <c r="AN58" s="2088"/>
      <c r="AO58" s="755"/>
      <c r="AP58" s="851"/>
      <c r="AV58" s="2095"/>
      <c r="AW58" s="754"/>
      <c r="AX58" s="2088"/>
      <c r="AY58" s="2088"/>
      <c r="AZ58" s="2088"/>
      <c r="BA58" s="2088"/>
      <c r="BB58" s="2088"/>
      <c r="BC58" s="2088"/>
      <c r="BD58" s="2088"/>
      <c r="BE58" s="2088"/>
      <c r="BF58" s="2088"/>
      <c r="BG58" s="2088"/>
      <c r="BH58" s="755"/>
      <c r="BI58" s="851"/>
      <c r="BO58" s="2095"/>
      <c r="BP58" s="754"/>
      <c r="BQ58" s="2088"/>
      <c r="BR58" s="2088"/>
      <c r="BS58" s="2088"/>
      <c r="BT58" s="2088"/>
      <c r="BU58" s="2088"/>
      <c r="BV58" s="2088"/>
      <c r="BW58" s="2088"/>
      <c r="BX58" s="2088"/>
      <c r="BY58" s="2088"/>
      <c r="BZ58" s="2088"/>
      <c r="CA58" s="755"/>
      <c r="CB58" s="851"/>
      <c r="CI58" s="2095"/>
      <c r="CJ58" s="754"/>
      <c r="CK58" s="2088"/>
      <c r="CL58" s="2088"/>
      <c r="CM58" s="2088"/>
      <c r="CN58" s="2088"/>
      <c r="CO58" s="2088"/>
      <c r="CP58" s="2088"/>
      <c r="CQ58" s="2088"/>
      <c r="CR58" s="2088"/>
      <c r="CS58" s="2088"/>
      <c r="CT58" s="2088"/>
      <c r="CU58" s="755"/>
      <c r="CV58" s="851"/>
      <c r="DM58" s="1287" t="s">
        <v>785</v>
      </c>
      <c r="DN58" s="1287"/>
      <c r="DO58" s="1287"/>
      <c r="DP58" s="1287"/>
      <c r="DQ58" s="1287"/>
      <c r="DR58" s="1287"/>
      <c r="DS58" s="1287"/>
      <c r="DT58" s="1287"/>
      <c r="DU58" s="1287"/>
      <c r="DV58" s="981"/>
    </row>
    <row r="59" spans="7:126" ht="24" customHeight="1">
      <c r="J59" s="140"/>
      <c r="K59" s="2096"/>
      <c r="L59" s="2097"/>
      <c r="M59" s="2097"/>
      <c r="N59" s="2097"/>
      <c r="O59" s="2097"/>
      <c r="P59" s="2097"/>
      <c r="Q59" s="2097"/>
      <c r="R59" s="2097"/>
      <c r="S59" s="2097"/>
      <c r="T59" s="2097"/>
      <c r="U59" s="2097"/>
      <c r="V59" s="2098"/>
      <c r="W59" s="2089" t="s">
        <v>440</v>
      </c>
      <c r="AC59" s="140"/>
      <c r="AD59" s="2096"/>
      <c r="AE59" s="2097"/>
      <c r="AF59" s="2097"/>
      <c r="AG59" s="2097"/>
      <c r="AH59" s="2097"/>
      <c r="AI59" s="2097"/>
      <c r="AJ59" s="2097"/>
      <c r="AK59" s="2097"/>
      <c r="AL59" s="2097"/>
      <c r="AM59" s="2097"/>
      <c r="AN59" s="2097"/>
      <c r="AO59" s="2098"/>
      <c r="AP59" s="2089" t="s">
        <v>440</v>
      </c>
      <c r="AV59" s="140"/>
      <c r="AW59" s="2096"/>
      <c r="AX59" s="2097"/>
      <c r="AY59" s="2097"/>
      <c r="AZ59" s="2097"/>
      <c r="BA59" s="2097"/>
      <c r="BB59" s="2097"/>
      <c r="BC59" s="2097"/>
      <c r="BD59" s="2097"/>
      <c r="BE59" s="2097"/>
      <c r="BF59" s="2097"/>
      <c r="BG59" s="2097"/>
      <c r="BH59" s="2098"/>
      <c r="BI59" s="2089" t="s">
        <v>440</v>
      </c>
      <c r="BO59" s="140"/>
      <c r="BP59" s="2096"/>
      <c r="BQ59" s="2097"/>
      <c r="BR59" s="2097"/>
      <c r="BS59" s="2097"/>
      <c r="BT59" s="2097"/>
      <c r="BU59" s="2097"/>
      <c r="BV59" s="2097"/>
      <c r="BW59" s="2097"/>
      <c r="BX59" s="2097"/>
      <c r="BY59" s="2097"/>
      <c r="BZ59" s="2097"/>
      <c r="CA59" s="2098"/>
      <c r="CB59" s="2089" t="s">
        <v>440</v>
      </c>
      <c r="CI59" s="140"/>
      <c r="CJ59" s="2096"/>
      <c r="CK59" s="2097"/>
      <c r="CL59" s="2097"/>
      <c r="CM59" s="2097"/>
      <c r="CN59" s="2097"/>
      <c r="CO59" s="2097"/>
      <c r="CP59" s="2097"/>
      <c r="CQ59" s="2097"/>
      <c r="CR59" s="2097"/>
      <c r="CS59" s="2097"/>
      <c r="CT59" s="2097"/>
      <c r="CU59" s="2098"/>
      <c r="CV59" s="2089" t="s">
        <v>440</v>
      </c>
      <c r="DM59" s="1287"/>
      <c r="DN59" s="1287"/>
      <c r="DO59" s="1287"/>
      <c r="DP59" s="1287"/>
      <c r="DQ59" s="1287"/>
      <c r="DR59" s="1287"/>
      <c r="DS59" s="1287"/>
      <c r="DT59" s="1287"/>
      <c r="DU59" s="1287"/>
      <c r="DV59" s="981"/>
    </row>
    <row r="60" spans="7:126" ht="24" customHeight="1">
      <c r="J60" s="140"/>
      <c r="K60" s="2081"/>
      <c r="L60" s="2082"/>
      <c r="M60" s="2082"/>
      <c r="N60" s="2082"/>
      <c r="O60" s="2082"/>
      <c r="P60" s="2082"/>
      <c r="Q60" s="2082"/>
      <c r="R60" s="2082"/>
      <c r="S60" s="2082"/>
      <c r="T60" s="2082"/>
      <c r="U60" s="2082"/>
      <c r="V60" s="2083"/>
      <c r="W60" s="2090"/>
      <c r="AC60" s="140"/>
      <c r="AD60" s="2081"/>
      <c r="AE60" s="2082"/>
      <c r="AF60" s="2082"/>
      <c r="AG60" s="2082"/>
      <c r="AH60" s="2082"/>
      <c r="AI60" s="2082"/>
      <c r="AJ60" s="2082"/>
      <c r="AK60" s="2082"/>
      <c r="AL60" s="2082"/>
      <c r="AM60" s="2082"/>
      <c r="AN60" s="2082"/>
      <c r="AO60" s="2083"/>
      <c r="AP60" s="2090"/>
      <c r="AV60" s="140"/>
      <c r="AW60" s="2081"/>
      <c r="AX60" s="2082"/>
      <c r="AY60" s="2082"/>
      <c r="AZ60" s="2082"/>
      <c r="BA60" s="2082"/>
      <c r="BB60" s="2082"/>
      <c r="BC60" s="2082"/>
      <c r="BD60" s="2082"/>
      <c r="BE60" s="2082"/>
      <c r="BF60" s="2082"/>
      <c r="BG60" s="2082"/>
      <c r="BH60" s="2083"/>
      <c r="BI60" s="2090"/>
      <c r="BO60" s="140"/>
      <c r="BP60" s="2081"/>
      <c r="BQ60" s="2082"/>
      <c r="BR60" s="2082"/>
      <c r="BS60" s="2082"/>
      <c r="BT60" s="2082"/>
      <c r="BU60" s="2082"/>
      <c r="BV60" s="2082"/>
      <c r="BW60" s="2082"/>
      <c r="BX60" s="2082"/>
      <c r="BY60" s="2082"/>
      <c r="BZ60" s="2082"/>
      <c r="CA60" s="2083"/>
      <c r="CB60" s="2090"/>
      <c r="CI60" s="140"/>
      <c r="CJ60" s="2081"/>
      <c r="CK60" s="2082"/>
      <c r="CL60" s="2082"/>
      <c r="CM60" s="2082"/>
      <c r="CN60" s="2082"/>
      <c r="CO60" s="2082"/>
      <c r="CP60" s="2082"/>
      <c r="CQ60" s="2082"/>
      <c r="CR60" s="2082"/>
      <c r="CS60" s="2082"/>
      <c r="CT60" s="2082"/>
      <c r="CU60" s="2083"/>
      <c r="CV60" s="2090"/>
      <c r="DM60" s="1527"/>
      <c r="DN60" s="1527"/>
      <c r="DO60" s="1527"/>
      <c r="DP60" s="1527"/>
      <c r="DQ60" s="1527"/>
      <c r="DR60" s="1527"/>
      <c r="DS60" s="1527"/>
      <c r="DT60" s="1527"/>
      <c r="DU60" s="1527"/>
      <c r="DV60" s="1527"/>
    </row>
    <row r="61" spans="7:126" ht="24" customHeight="1">
      <c r="J61" s="140"/>
      <c r="K61" s="2081"/>
      <c r="L61" s="2082"/>
      <c r="M61" s="2082"/>
      <c r="N61" s="2082"/>
      <c r="O61" s="2082"/>
      <c r="P61" s="2082"/>
      <c r="Q61" s="2082"/>
      <c r="R61" s="2082"/>
      <c r="S61" s="2082"/>
      <c r="T61" s="2082"/>
      <c r="U61" s="2082"/>
      <c r="V61" s="2083"/>
      <c r="W61" s="2091"/>
      <c r="AC61" s="140"/>
      <c r="AD61" s="2081"/>
      <c r="AE61" s="2082"/>
      <c r="AF61" s="2082"/>
      <c r="AG61" s="2082"/>
      <c r="AH61" s="2082"/>
      <c r="AI61" s="2082"/>
      <c r="AJ61" s="2082"/>
      <c r="AK61" s="2082"/>
      <c r="AL61" s="2082"/>
      <c r="AM61" s="2082"/>
      <c r="AN61" s="2082"/>
      <c r="AO61" s="2083"/>
      <c r="AP61" s="2091"/>
      <c r="AV61" s="140"/>
      <c r="AW61" s="2081"/>
      <c r="AX61" s="2082"/>
      <c r="AY61" s="2082"/>
      <c r="AZ61" s="2082"/>
      <c r="BA61" s="2082"/>
      <c r="BB61" s="2082"/>
      <c r="BC61" s="2082"/>
      <c r="BD61" s="2082"/>
      <c r="BE61" s="2082"/>
      <c r="BF61" s="2082"/>
      <c r="BG61" s="2082"/>
      <c r="BH61" s="2083"/>
      <c r="BI61" s="2091"/>
      <c r="BO61" s="140"/>
      <c r="BP61" s="2081"/>
      <c r="BQ61" s="2082"/>
      <c r="BR61" s="2082"/>
      <c r="BS61" s="2082"/>
      <c r="BT61" s="2082"/>
      <c r="BU61" s="2082"/>
      <c r="BV61" s="2082"/>
      <c r="BW61" s="2082"/>
      <c r="BX61" s="2082"/>
      <c r="BY61" s="2082"/>
      <c r="BZ61" s="2082"/>
      <c r="CA61" s="2083"/>
      <c r="CB61" s="2091"/>
      <c r="CI61" s="140"/>
      <c r="CJ61" s="2081"/>
      <c r="CK61" s="2082"/>
      <c r="CL61" s="2082"/>
      <c r="CM61" s="2082"/>
      <c r="CN61" s="2082"/>
      <c r="CO61" s="2082"/>
      <c r="CP61" s="2082"/>
      <c r="CQ61" s="2082"/>
      <c r="CR61" s="2082"/>
      <c r="CS61" s="2082"/>
      <c r="CT61" s="2082"/>
      <c r="CU61" s="2083"/>
      <c r="CV61" s="2091"/>
      <c r="DM61" s="1527"/>
      <c r="DN61" s="1527"/>
      <c r="DO61" s="1527"/>
      <c r="DP61" s="1527"/>
      <c r="DQ61" s="1527"/>
      <c r="DR61" s="1527"/>
      <c r="DS61" s="1527"/>
      <c r="DT61" s="1527"/>
      <c r="DU61" s="1527"/>
      <c r="DV61" s="1527"/>
    </row>
    <row r="62" spans="7:126" ht="24" customHeight="1">
      <c r="J62" s="140"/>
      <c r="K62" s="2081"/>
      <c r="L62" s="2082"/>
      <c r="M62" s="2082"/>
      <c r="N62" s="2082"/>
      <c r="O62" s="2082"/>
      <c r="P62" s="2082"/>
      <c r="Q62" s="2082"/>
      <c r="R62" s="2082"/>
      <c r="S62" s="2082"/>
      <c r="T62" s="2082"/>
      <c r="U62" s="2082"/>
      <c r="V62" s="2083"/>
      <c r="W62" s="2092"/>
      <c r="AC62" s="140"/>
      <c r="AD62" s="2081"/>
      <c r="AE62" s="2082"/>
      <c r="AF62" s="2082"/>
      <c r="AG62" s="2082"/>
      <c r="AH62" s="2082"/>
      <c r="AI62" s="2082"/>
      <c r="AJ62" s="2082"/>
      <c r="AK62" s="2082"/>
      <c r="AL62" s="2082"/>
      <c r="AM62" s="2082"/>
      <c r="AN62" s="2082"/>
      <c r="AO62" s="2083"/>
      <c r="AP62" s="2092"/>
      <c r="AV62" s="140"/>
      <c r="AW62" s="2081"/>
      <c r="AX62" s="2082"/>
      <c r="AY62" s="2082"/>
      <c r="AZ62" s="2082"/>
      <c r="BA62" s="2082"/>
      <c r="BB62" s="2082"/>
      <c r="BC62" s="2082"/>
      <c r="BD62" s="2082"/>
      <c r="BE62" s="2082"/>
      <c r="BF62" s="2082"/>
      <c r="BG62" s="2082"/>
      <c r="BH62" s="2083"/>
      <c r="BI62" s="2092"/>
      <c r="BO62" s="140"/>
      <c r="BP62" s="2081"/>
      <c r="BQ62" s="2082"/>
      <c r="BR62" s="2082"/>
      <c r="BS62" s="2082"/>
      <c r="BT62" s="2082"/>
      <c r="BU62" s="2082"/>
      <c r="BV62" s="2082"/>
      <c r="BW62" s="2082"/>
      <c r="BX62" s="2082"/>
      <c r="BY62" s="2082"/>
      <c r="BZ62" s="2082"/>
      <c r="CA62" s="2083"/>
      <c r="CB62" s="2092"/>
      <c r="CI62" s="140"/>
      <c r="CJ62" s="2081"/>
      <c r="CK62" s="2082"/>
      <c r="CL62" s="2082"/>
      <c r="CM62" s="2082"/>
      <c r="CN62" s="2082"/>
      <c r="CO62" s="2082"/>
      <c r="CP62" s="2082"/>
      <c r="CQ62" s="2082"/>
      <c r="CR62" s="2082"/>
      <c r="CS62" s="2082"/>
      <c r="CT62" s="2082"/>
      <c r="CU62" s="2083"/>
      <c r="CV62" s="2092"/>
      <c r="DM62" s="1527"/>
      <c r="DN62" s="1527"/>
      <c r="DO62" s="1527"/>
      <c r="DP62" s="1527"/>
      <c r="DQ62" s="1527"/>
      <c r="DR62" s="1527"/>
      <c r="DS62" s="1527"/>
      <c r="DT62" s="1527"/>
      <c r="DU62" s="1527"/>
      <c r="DV62" s="1527"/>
    </row>
    <row r="63" spans="7:126" ht="24" customHeight="1">
      <c r="J63" s="140"/>
      <c r="K63" s="2081"/>
      <c r="L63" s="2082"/>
      <c r="M63" s="2082"/>
      <c r="N63" s="2082"/>
      <c r="O63" s="2082"/>
      <c r="P63" s="2082"/>
      <c r="Q63" s="2082"/>
      <c r="R63" s="2082"/>
      <c r="S63" s="2082"/>
      <c r="T63" s="2082"/>
      <c r="U63" s="2082"/>
      <c r="V63" s="2083"/>
      <c r="W63" s="2092"/>
      <c r="AC63" s="140"/>
      <c r="AD63" s="2081"/>
      <c r="AE63" s="2082"/>
      <c r="AF63" s="2082"/>
      <c r="AG63" s="2082"/>
      <c r="AH63" s="2082"/>
      <c r="AI63" s="2082"/>
      <c r="AJ63" s="2082"/>
      <c r="AK63" s="2082"/>
      <c r="AL63" s="2082"/>
      <c r="AM63" s="2082"/>
      <c r="AN63" s="2082"/>
      <c r="AO63" s="2083"/>
      <c r="AP63" s="2092"/>
      <c r="AV63" s="140"/>
      <c r="AW63" s="2081"/>
      <c r="AX63" s="2082"/>
      <c r="AY63" s="2082"/>
      <c r="AZ63" s="2082"/>
      <c r="BA63" s="2082"/>
      <c r="BB63" s="2082"/>
      <c r="BC63" s="2082"/>
      <c r="BD63" s="2082"/>
      <c r="BE63" s="2082"/>
      <c r="BF63" s="2082"/>
      <c r="BG63" s="2082"/>
      <c r="BH63" s="2083"/>
      <c r="BI63" s="2092"/>
      <c r="BO63" s="140"/>
      <c r="BP63" s="2081"/>
      <c r="BQ63" s="2082"/>
      <c r="BR63" s="2082"/>
      <c r="BS63" s="2082"/>
      <c r="BT63" s="2082"/>
      <c r="BU63" s="2082"/>
      <c r="BV63" s="2082"/>
      <c r="BW63" s="2082"/>
      <c r="BX63" s="2082"/>
      <c r="BY63" s="2082"/>
      <c r="BZ63" s="2082"/>
      <c r="CA63" s="2083"/>
      <c r="CB63" s="2092"/>
      <c r="CI63" s="140"/>
      <c r="CJ63" s="2081"/>
      <c r="CK63" s="2082"/>
      <c r="CL63" s="2082"/>
      <c r="CM63" s="2082"/>
      <c r="CN63" s="2082"/>
      <c r="CO63" s="2082"/>
      <c r="CP63" s="2082"/>
      <c r="CQ63" s="2082"/>
      <c r="CR63" s="2082"/>
      <c r="CS63" s="2082"/>
      <c r="CT63" s="2082"/>
      <c r="CU63" s="2083"/>
      <c r="CV63" s="2092"/>
      <c r="DM63" s="1527"/>
      <c r="DN63" s="1527"/>
      <c r="DO63" s="1527"/>
      <c r="DP63" s="1527"/>
      <c r="DQ63" s="1527"/>
      <c r="DR63" s="1527"/>
      <c r="DS63" s="1527"/>
      <c r="DT63" s="1527"/>
      <c r="DU63" s="1527"/>
      <c r="DV63" s="1527"/>
    </row>
    <row r="64" spans="7:126" ht="24" customHeight="1">
      <c r="J64" s="140"/>
      <c r="K64" s="2081"/>
      <c r="L64" s="2082"/>
      <c r="M64" s="2082"/>
      <c r="N64" s="2082"/>
      <c r="O64" s="2082"/>
      <c r="P64" s="2082"/>
      <c r="Q64" s="2082"/>
      <c r="R64" s="2082"/>
      <c r="S64" s="2082"/>
      <c r="T64" s="2082"/>
      <c r="U64" s="2082"/>
      <c r="V64" s="2083"/>
      <c r="W64" s="2092"/>
      <c r="AC64" s="140"/>
      <c r="AD64" s="2081"/>
      <c r="AE64" s="2082"/>
      <c r="AF64" s="2082"/>
      <c r="AG64" s="2082"/>
      <c r="AH64" s="2082"/>
      <c r="AI64" s="2082"/>
      <c r="AJ64" s="2082"/>
      <c r="AK64" s="2082"/>
      <c r="AL64" s="2082"/>
      <c r="AM64" s="2082"/>
      <c r="AN64" s="2082"/>
      <c r="AO64" s="2083"/>
      <c r="AP64" s="2092"/>
      <c r="AV64" s="140"/>
      <c r="AW64" s="2081"/>
      <c r="AX64" s="2082"/>
      <c r="AY64" s="2082"/>
      <c r="AZ64" s="2082"/>
      <c r="BA64" s="2082"/>
      <c r="BB64" s="2082"/>
      <c r="BC64" s="2082"/>
      <c r="BD64" s="2082"/>
      <c r="BE64" s="2082"/>
      <c r="BF64" s="2082"/>
      <c r="BG64" s="2082"/>
      <c r="BH64" s="2083"/>
      <c r="BI64" s="2092"/>
      <c r="BO64" s="140"/>
      <c r="BP64" s="2081"/>
      <c r="BQ64" s="2082"/>
      <c r="BR64" s="2082"/>
      <c r="BS64" s="2082"/>
      <c r="BT64" s="2082"/>
      <c r="BU64" s="2082"/>
      <c r="BV64" s="2082"/>
      <c r="BW64" s="2082"/>
      <c r="BX64" s="2082"/>
      <c r="BY64" s="2082"/>
      <c r="BZ64" s="2082"/>
      <c r="CA64" s="2083"/>
      <c r="CB64" s="2092"/>
      <c r="CI64" s="140"/>
      <c r="CJ64" s="2081"/>
      <c r="CK64" s="2082"/>
      <c r="CL64" s="2082"/>
      <c r="CM64" s="2082"/>
      <c r="CN64" s="2082"/>
      <c r="CO64" s="2082"/>
      <c r="CP64" s="2082"/>
      <c r="CQ64" s="2082"/>
      <c r="CR64" s="2082"/>
      <c r="CS64" s="2082"/>
      <c r="CT64" s="2082"/>
      <c r="CU64" s="2083"/>
      <c r="CV64" s="2092"/>
      <c r="DM64" s="1527"/>
      <c r="DN64" s="1527"/>
      <c r="DO64" s="1527"/>
      <c r="DP64" s="1527"/>
      <c r="DQ64" s="1527"/>
      <c r="DR64" s="1527"/>
      <c r="DS64" s="1527"/>
      <c r="DT64" s="1527"/>
      <c r="DU64" s="1527"/>
      <c r="DV64" s="1527"/>
    </row>
    <row r="65" spans="7:126" ht="24" customHeight="1">
      <c r="J65" s="140"/>
      <c r="K65" s="2081"/>
      <c r="L65" s="2082"/>
      <c r="M65" s="2082"/>
      <c r="N65" s="2082"/>
      <c r="O65" s="2082"/>
      <c r="P65" s="2082"/>
      <c r="Q65" s="2082"/>
      <c r="R65" s="2082"/>
      <c r="S65" s="2082"/>
      <c r="T65" s="2082"/>
      <c r="U65" s="2082"/>
      <c r="V65" s="2083"/>
      <c r="W65" s="2092"/>
      <c r="AC65" s="140"/>
      <c r="AD65" s="2081"/>
      <c r="AE65" s="2082"/>
      <c r="AF65" s="2082"/>
      <c r="AG65" s="2082"/>
      <c r="AH65" s="2082"/>
      <c r="AI65" s="2082"/>
      <c r="AJ65" s="2082"/>
      <c r="AK65" s="2082"/>
      <c r="AL65" s="2082"/>
      <c r="AM65" s="2082"/>
      <c r="AN65" s="2082"/>
      <c r="AO65" s="2083"/>
      <c r="AP65" s="2092"/>
      <c r="AV65" s="140"/>
      <c r="AW65" s="2081"/>
      <c r="AX65" s="2082"/>
      <c r="AY65" s="2082"/>
      <c r="AZ65" s="2082"/>
      <c r="BA65" s="2082"/>
      <c r="BB65" s="2082"/>
      <c r="BC65" s="2082"/>
      <c r="BD65" s="2082"/>
      <c r="BE65" s="2082"/>
      <c r="BF65" s="2082"/>
      <c r="BG65" s="2082"/>
      <c r="BH65" s="2083"/>
      <c r="BI65" s="2092"/>
      <c r="BO65" s="140"/>
      <c r="BP65" s="2081"/>
      <c r="BQ65" s="2082"/>
      <c r="BR65" s="2082"/>
      <c r="BS65" s="2082"/>
      <c r="BT65" s="2082"/>
      <c r="BU65" s="2082"/>
      <c r="BV65" s="2082"/>
      <c r="BW65" s="2082"/>
      <c r="BX65" s="2082"/>
      <c r="BY65" s="2082"/>
      <c r="BZ65" s="2082"/>
      <c r="CA65" s="2083"/>
      <c r="CB65" s="2092"/>
      <c r="CI65" s="140"/>
      <c r="CJ65" s="2081"/>
      <c r="CK65" s="2082"/>
      <c r="CL65" s="2082"/>
      <c r="CM65" s="2082"/>
      <c r="CN65" s="2082"/>
      <c r="CO65" s="2082"/>
      <c r="CP65" s="2082"/>
      <c r="CQ65" s="2082"/>
      <c r="CR65" s="2082"/>
      <c r="CS65" s="2082"/>
      <c r="CT65" s="2082"/>
      <c r="CU65" s="2083"/>
      <c r="CV65" s="2092"/>
      <c r="DM65" s="1527"/>
      <c r="DN65" s="1527"/>
      <c r="DO65" s="1527"/>
      <c r="DP65" s="1527"/>
      <c r="DQ65" s="1527"/>
      <c r="DR65" s="1527"/>
      <c r="DS65" s="1527"/>
      <c r="DT65" s="1527"/>
      <c r="DU65" s="1527"/>
      <c r="DV65" s="1527"/>
    </row>
    <row r="66" spans="7:126" ht="24" customHeight="1">
      <c r="J66" s="140"/>
      <c r="K66" s="2081"/>
      <c r="L66" s="2082"/>
      <c r="M66" s="2082"/>
      <c r="N66" s="2082"/>
      <c r="O66" s="2082"/>
      <c r="P66" s="2082"/>
      <c r="Q66" s="2082"/>
      <c r="R66" s="2082"/>
      <c r="S66" s="2082"/>
      <c r="T66" s="2082"/>
      <c r="U66" s="2082"/>
      <c r="V66" s="2083"/>
      <c r="W66" s="2092"/>
      <c r="AC66" s="140"/>
      <c r="AD66" s="2081"/>
      <c r="AE66" s="2082"/>
      <c r="AF66" s="2082"/>
      <c r="AG66" s="2082"/>
      <c r="AH66" s="2082"/>
      <c r="AI66" s="2082"/>
      <c r="AJ66" s="2082"/>
      <c r="AK66" s="2082"/>
      <c r="AL66" s="2082"/>
      <c r="AM66" s="2082"/>
      <c r="AN66" s="2082"/>
      <c r="AO66" s="2083"/>
      <c r="AP66" s="2092"/>
      <c r="AV66" s="140"/>
      <c r="AW66" s="2081"/>
      <c r="AX66" s="2082"/>
      <c r="AY66" s="2082"/>
      <c r="AZ66" s="2082"/>
      <c r="BA66" s="2082"/>
      <c r="BB66" s="2082"/>
      <c r="BC66" s="2082"/>
      <c r="BD66" s="2082"/>
      <c r="BE66" s="2082"/>
      <c r="BF66" s="2082"/>
      <c r="BG66" s="2082"/>
      <c r="BH66" s="2083"/>
      <c r="BI66" s="2092"/>
      <c r="BO66" s="140"/>
      <c r="BP66" s="2081"/>
      <c r="BQ66" s="2082"/>
      <c r="BR66" s="2082"/>
      <c r="BS66" s="2082"/>
      <c r="BT66" s="2082"/>
      <c r="BU66" s="2082"/>
      <c r="BV66" s="2082"/>
      <c r="BW66" s="2082"/>
      <c r="BX66" s="2082"/>
      <c r="BY66" s="2082"/>
      <c r="BZ66" s="2082"/>
      <c r="CA66" s="2083"/>
      <c r="CB66" s="2092"/>
      <c r="CI66" s="140"/>
      <c r="CJ66" s="2081"/>
      <c r="CK66" s="2082"/>
      <c r="CL66" s="2082"/>
      <c r="CM66" s="2082"/>
      <c r="CN66" s="2082"/>
      <c r="CO66" s="2082"/>
      <c r="CP66" s="2082"/>
      <c r="CQ66" s="2082"/>
      <c r="CR66" s="2082"/>
      <c r="CS66" s="2082"/>
      <c r="CT66" s="2082"/>
      <c r="CU66" s="2083"/>
      <c r="CV66" s="2092"/>
      <c r="DM66" s="1527"/>
      <c r="DN66" s="1527"/>
      <c r="DO66" s="1527"/>
      <c r="DP66" s="1527"/>
      <c r="DQ66" s="1527"/>
      <c r="DR66" s="1527"/>
      <c r="DS66" s="1527"/>
      <c r="DT66" s="1527"/>
      <c r="DU66" s="1527"/>
      <c r="DV66" s="1527"/>
    </row>
    <row r="67" spans="7:126" ht="24" customHeight="1">
      <c r="J67" s="140"/>
      <c r="K67" s="2081"/>
      <c r="L67" s="2082"/>
      <c r="M67" s="2082"/>
      <c r="N67" s="2082"/>
      <c r="O67" s="2082"/>
      <c r="P67" s="2082"/>
      <c r="Q67" s="2082"/>
      <c r="R67" s="2082"/>
      <c r="S67" s="2082"/>
      <c r="T67" s="2082"/>
      <c r="U67" s="2082"/>
      <c r="V67" s="2083"/>
      <c r="W67" s="2092"/>
      <c r="AC67" s="140"/>
      <c r="AD67" s="2081"/>
      <c r="AE67" s="2082"/>
      <c r="AF67" s="2082"/>
      <c r="AG67" s="2082"/>
      <c r="AH67" s="2082"/>
      <c r="AI67" s="2082"/>
      <c r="AJ67" s="2082"/>
      <c r="AK67" s="2082"/>
      <c r="AL67" s="2082"/>
      <c r="AM67" s="2082"/>
      <c r="AN67" s="2082"/>
      <c r="AO67" s="2083"/>
      <c r="AP67" s="2092"/>
      <c r="AV67" s="140"/>
      <c r="AW67" s="2081"/>
      <c r="AX67" s="2082"/>
      <c r="AY67" s="2082"/>
      <c r="AZ67" s="2082"/>
      <c r="BA67" s="2082"/>
      <c r="BB67" s="2082"/>
      <c r="BC67" s="2082"/>
      <c r="BD67" s="2082"/>
      <c r="BE67" s="2082"/>
      <c r="BF67" s="2082"/>
      <c r="BG67" s="2082"/>
      <c r="BH67" s="2083"/>
      <c r="BI67" s="2092"/>
      <c r="BO67" s="140"/>
      <c r="BP67" s="2081"/>
      <c r="BQ67" s="2082"/>
      <c r="BR67" s="2082"/>
      <c r="BS67" s="2082"/>
      <c r="BT67" s="2082"/>
      <c r="BU67" s="2082"/>
      <c r="BV67" s="2082"/>
      <c r="BW67" s="2082"/>
      <c r="BX67" s="2082"/>
      <c r="BY67" s="2082"/>
      <c r="BZ67" s="2082"/>
      <c r="CA67" s="2083"/>
      <c r="CB67" s="2092"/>
      <c r="CI67" s="140"/>
      <c r="CJ67" s="2081"/>
      <c r="CK67" s="2082"/>
      <c r="CL67" s="2082"/>
      <c r="CM67" s="2082"/>
      <c r="CN67" s="2082"/>
      <c r="CO67" s="2082"/>
      <c r="CP67" s="2082"/>
      <c r="CQ67" s="2082"/>
      <c r="CR67" s="2082"/>
      <c r="CS67" s="2082"/>
      <c r="CT67" s="2082"/>
      <c r="CU67" s="2083"/>
      <c r="CV67" s="2092"/>
      <c r="DM67" s="1527"/>
      <c r="DN67" s="1527"/>
      <c r="DO67" s="1527"/>
      <c r="DP67" s="1527"/>
      <c r="DQ67" s="1527"/>
      <c r="DR67" s="1527"/>
      <c r="DS67" s="1527"/>
      <c r="DT67" s="1527"/>
      <c r="DU67" s="1527"/>
      <c r="DV67" s="1527"/>
    </row>
    <row r="68" spans="7:126" ht="24" customHeight="1">
      <c r="J68" s="140"/>
      <c r="K68" s="2081"/>
      <c r="L68" s="2082"/>
      <c r="M68" s="2082"/>
      <c r="N68" s="2082"/>
      <c r="O68" s="2082"/>
      <c r="P68" s="2082"/>
      <c r="Q68" s="2082"/>
      <c r="R68" s="2082"/>
      <c r="S68" s="2082"/>
      <c r="T68" s="2082"/>
      <c r="U68" s="2082"/>
      <c r="V68" s="2083"/>
      <c r="W68" s="2092"/>
      <c r="AC68" s="140"/>
      <c r="AD68" s="2081"/>
      <c r="AE68" s="2082"/>
      <c r="AF68" s="2082"/>
      <c r="AG68" s="2082"/>
      <c r="AH68" s="2082"/>
      <c r="AI68" s="2082"/>
      <c r="AJ68" s="2082"/>
      <c r="AK68" s="2082"/>
      <c r="AL68" s="2082"/>
      <c r="AM68" s="2082"/>
      <c r="AN68" s="2082"/>
      <c r="AO68" s="2083"/>
      <c r="AP68" s="2092"/>
      <c r="AV68" s="140"/>
      <c r="AW68" s="2081"/>
      <c r="AX68" s="2082"/>
      <c r="AY68" s="2082"/>
      <c r="AZ68" s="2082"/>
      <c r="BA68" s="2082"/>
      <c r="BB68" s="2082"/>
      <c r="BC68" s="2082"/>
      <c r="BD68" s="2082"/>
      <c r="BE68" s="2082"/>
      <c r="BF68" s="2082"/>
      <c r="BG68" s="2082"/>
      <c r="BH68" s="2083"/>
      <c r="BI68" s="2092"/>
      <c r="BO68" s="140"/>
      <c r="BP68" s="2081"/>
      <c r="BQ68" s="2082"/>
      <c r="BR68" s="2082"/>
      <c r="BS68" s="2082"/>
      <c r="BT68" s="2082"/>
      <c r="BU68" s="2082"/>
      <c r="BV68" s="2082"/>
      <c r="BW68" s="2082"/>
      <c r="BX68" s="2082"/>
      <c r="BY68" s="2082"/>
      <c r="BZ68" s="2082"/>
      <c r="CA68" s="2083"/>
      <c r="CB68" s="2092"/>
      <c r="CI68" s="140"/>
      <c r="CJ68" s="2081"/>
      <c r="CK68" s="2082"/>
      <c r="CL68" s="2082"/>
      <c r="CM68" s="2082"/>
      <c r="CN68" s="2082"/>
      <c r="CO68" s="2082"/>
      <c r="CP68" s="2082"/>
      <c r="CQ68" s="2082"/>
      <c r="CR68" s="2082"/>
      <c r="CS68" s="2082"/>
      <c r="CT68" s="2082"/>
      <c r="CU68" s="2083"/>
      <c r="CV68" s="2092"/>
      <c r="DM68" s="1527"/>
      <c r="DN68" s="1527"/>
      <c r="DO68" s="1527"/>
      <c r="DP68" s="1527"/>
      <c r="DQ68" s="1527"/>
      <c r="DR68" s="1527"/>
      <c r="DS68" s="1527"/>
      <c r="DT68" s="1527"/>
      <c r="DU68" s="1527"/>
      <c r="DV68" s="1527"/>
    </row>
    <row r="69" spans="7:126" ht="24" customHeight="1">
      <c r="J69" s="140"/>
      <c r="K69" s="2081"/>
      <c r="L69" s="2082"/>
      <c r="M69" s="2082"/>
      <c r="N69" s="2082"/>
      <c r="O69" s="2082"/>
      <c r="P69" s="2082"/>
      <c r="Q69" s="2082"/>
      <c r="R69" s="2082"/>
      <c r="S69" s="2082"/>
      <c r="T69" s="2082"/>
      <c r="U69" s="2082"/>
      <c r="V69" s="2083"/>
      <c r="W69" s="2092"/>
      <c r="AC69" s="140"/>
      <c r="AD69" s="2081"/>
      <c r="AE69" s="2082"/>
      <c r="AF69" s="2082"/>
      <c r="AG69" s="2082"/>
      <c r="AH69" s="2082"/>
      <c r="AI69" s="2082"/>
      <c r="AJ69" s="2082"/>
      <c r="AK69" s="2082"/>
      <c r="AL69" s="2082"/>
      <c r="AM69" s="2082"/>
      <c r="AN69" s="2082"/>
      <c r="AO69" s="2083"/>
      <c r="AP69" s="2092"/>
      <c r="AV69" s="140"/>
      <c r="AW69" s="2081"/>
      <c r="AX69" s="2082"/>
      <c r="AY69" s="2082"/>
      <c r="AZ69" s="2082"/>
      <c r="BA69" s="2082"/>
      <c r="BB69" s="2082"/>
      <c r="BC69" s="2082"/>
      <c r="BD69" s="2082"/>
      <c r="BE69" s="2082"/>
      <c r="BF69" s="2082"/>
      <c r="BG69" s="2082"/>
      <c r="BH69" s="2083"/>
      <c r="BI69" s="2092"/>
      <c r="BO69" s="140"/>
      <c r="BP69" s="2081"/>
      <c r="BQ69" s="2082"/>
      <c r="BR69" s="2082"/>
      <c r="BS69" s="2082"/>
      <c r="BT69" s="2082"/>
      <c r="BU69" s="2082"/>
      <c r="BV69" s="2082"/>
      <c r="BW69" s="2082"/>
      <c r="BX69" s="2082"/>
      <c r="BY69" s="2082"/>
      <c r="BZ69" s="2082"/>
      <c r="CA69" s="2083"/>
      <c r="CB69" s="2092"/>
      <c r="CI69" s="140"/>
      <c r="CJ69" s="2081"/>
      <c r="CK69" s="2082"/>
      <c r="CL69" s="2082"/>
      <c r="CM69" s="2082"/>
      <c r="CN69" s="2082"/>
      <c r="CO69" s="2082"/>
      <c r="CP69" s="2082"/>
      <c r="CQ69" s="2082"/>
      <c r="CR69" s="2082"/>
      <c r="CS69" s="2082"/>
      <c r="CT69" s="2082"/>
      <c r="CU69" s="2083"/>
      <c r="CV69" s="2092"/>
      <c r="DM69" s="1527"/>
      <c r="DN69" s="1527"/>
      <c r="DO69" s="1527"/>
      <c r="DP69" s="1527"/>
      <c r="DQ69" s="1527"/>
      <c r="DR69" s="1527"/>
      <c r="DS69" s="1527"/>
      <c r="DT69" s="1527"/>
      <c r="DU69" s="1527"/>
      <c r="DV69" s="1527"/>
    </row>
    <row r="70" spans="7:126" ht="24" customHeight="1">
      <c r="J70" s="140"/>
      <c r="K70" s="2081"/>
      <c r="L70" s="2082"/>
      <c r="M70" s="2082"/>
      <c r="N70" s="2082"/>
      <c r="O70" s="2082"/>
      <c r="P70" s="2082"/>
      <c r="Q70" s="2082"/>
      <c r="R70" s="2082"/>
      <c r="S70" s="2082"/>
      <c r="T70" s="2082"/>
      <c r="U70" s="2082"/>
      <c r="V70" s="2083"/>
      <c r="W70" s="2092"/>
      <c r="AC70" s="140"/>
      <c r="AD70" s="2081"/>
      <c r="AE70" s="2082"/>
      <c r="AF70" s="2082"/>
      <c r="AG70" s="2082"/>
      <c r="AH70" s="2082"/>
      <c r="AI70" s="2082"/>
      <c r="AJ70" s="2082"/>
      <c r="AK70" s="2082"/>
      <c r="AL70" s="2082"/>
      <c r="AM70" s="2082"/>
      <c r="AN70" s="2082"/>
      <c r="AO70" s="2083"/>
      <c r="AP70" s="2092"/>
      <c r="AV70" s="140"/>
      <c r="AW70" s="2081"/>
      <c r="AX70" s="2082"/>
      <c r="AY70" s="2082"/>
      <c r="AZ70" s="2082"/>
      <c r="BA70" s="2082"/>
      <c r="BB70" s="2082"/>
      <c r="BC70" s="2082"/>
      <c r="BD70" s="2082"/>
      <c r="BE70" s="2082"/>
      <c r="BF70" s="2082"/>
      <c r="BG70" s="2082"/>
      <c r="BH70" s="2083"/>
      <c r="BI70" s="2092"/>
      <c r="BO70" s="140"/>
      <c r="BP70" s="2081"/>
      <c r="BQ70" s="2082"/>
      <c r="BR70" s="2082"/>
      <c r="BS70" s="2082"/>
      <c r="BT70" s="2082"/>
      <c r="BU70" s="2082"/>
      <c r="BV70" s="2082"/>
      <c r="BW70" s="2082"/>
      <c r="BX70" s="2082"/>
      <c r="BY70" s="2082"/>
      <c r="BZ70" s="2082"/>
      <c r="CA70" s="2083"/>
      <c r="CB70" s="2092"/>
      <c r="CI70" s="140"/>
      <c r="CJ70" s="2081"/>
      <c r="CK70" s="2082"/>
      <c r="CL70" s="2082"/>
      <c r="CM70" s="2082"/>
      <c r="CN70" s="2082"/>
      <c r="CO70" s="2082"/>
      <c r="CP70" s="2082"/>
      <c r="CQ70" s="2082"/>
      <c r="CR70" s="2082"/>
      <c r="CS70" s="2082"/>
      <c r="CT70" s="2082"/>
      <c r="CU70" s="2083"/>
      <c r="CV70" s="2092"/>
      <c r="DM70" s="1527"/>
      <c r="DN70" s="1527"/>
      <c r="DO70" s="1527"/>
      <c r="DP70" s="1527"/>
      <c r="DQ70" s="1527"/>
      <c r="DR70" s="1527"/>
      <c r="DS70" s="1527"/>
      <c r="DT70" s="1527"/>
      <c r="DU70" s="1527"/>
      <c r="DV70" s="1527"/>
    </row>
    <row r="71" spans="7:126" ht="24" customHeight="1">
      <c r="J71" s="140"/>
      <c r="K71" s="2081"/>
      <c r="L71" s="2082"/>
      <c r="M71" s="2082"/>
      <c r="N71" s="2082"/>
      <c r="O71" s="2082"/>
      <c r="P71" s="2082"/>
      <c r="Q71" s="2082"/>
      <c r="R71" s="2082"/>
      <c r="S71" s="2082"/>
      <c r="T71" s="2082"/>
      <c r="U71" s="2082"/>
      <c r="V71" s="2083"/>
      <c r="W71" s="2092"/>
      <c r="AC71" s="140"/>
      <c r="AD71" s="2081"/>
      <c r="AE71" s="2082"/>
      <c r="AF71" s="2082"/>
      <c r="AG71" s="2082"/>
      <c r="AH71" s="2082"/>
      <c r="AI71" s="2082"/>
      <c r="AJ71" s="2082"/>
      <c r="AK71" s="2082"/>
      <c r="AL71" s="2082"/>
      <c r="AM71" s="2082"/>
      <c r="AN71" s="2082"/>
      <c r="AO71" s="2083"/>
      <c r="AP71" s="2092"/>
      <c r="AV71" s="140"/>
      <c r="AW71" s="2081"/>
      <c r="AX71" s="2082"/>
      <c r="AY71" s="2082"/>
      <c r="AZ71" s="2082"/>
      <c r="BA71" s="2082"/>
      <c r="BB71" s="2082"/>
      <c r="BC71" s="2082"/>
      <c r="BD71" s="2082"/>
      <c r="BE71" s="2082"/>
      <c r="BF71" s="2082"/>
      <c r="BG71" s="2082"/>
      <c r="BH71" s="2083"/>
      <c r="BI71" s="2092"/>
      <c r="BO71" s="140"/>
      <c r="BP71" s="2081"/>
      <c r="BQ71" s="2082"/>
      <c r="BR71" s="2082"/>
      <c r="BS71" s="2082"/>
      <c r="BT71" s="2082"/>
      <c r="BU71" s="2082"/>
      <c r="BV71" s="2082"/>
      <c r="BW71" s="2082"/>
      <c r="BX71" s="2082"/>
      <c r="BY71" s="2082"/>
      <c r="BZ71" s="2082"/>
      <c r="CA71" s="2083"/>
      <c r="CB71" s="2092"/>
      <c r="CI71" s="140"/>
      <c r="CJ71" s="2081"/>
      <c r="CK71" s="2082"/>
      <c r="CL71" s="2082"/>
      <c r="CM71" s="2082"/>
      <c r="CN71" s="2082"/>
      <c r="CO71" s="2082"/>
      <c r="CP71" s="2082"/>
      <c r="CQ71" s="2082"/>
      <c r="CR71" s="2082"/>
      <c r="CS71" s="2082"/>
      <c r="CT71" s="2082"/>
      <c r="CU71" s="2083"/>
      <c r="CV71" s="2092"/>
      <c r="DM71" s="1527"/>
      <c r="DN71" s="1527"/>
      <c r="DO71" s="1527"/>
      <c r="DP71" s="1527"/>
      <c r="DQ71" s="1527"/>
      <c r="DR71" s="1527"/>
      <c r="DS71" s="1527"/>
      <c r="DT71" s="1527"/>
      <c r="DU71" s="1527"/>
      <c r="DV71" s="1527"/>
    </row>
    <row r="72" spans="7:126" ht="24" customHeight="1">
      <c r="J72" s="140"/>
      <c r="K72" s="2081"/>
      <c r="L72" s="2082"/>
      <c r="M72" s="2082"/>
      <c r="N72" s="2082"/>
      <c r="O72" s="2082"/>
      <c r="P72" s="2082"/>
      <c r="Q72" s="2082"/>
      <c r="R72" s="2082"/>
      <c r="S72" s="2082"/>
      <c r="T72" s="2082"/>
      <c r="U72" s="2082"/>
      <c r="V72" s="2083"/>
      <c r="W72" s="2092"/>
      <c r="AC72" s="140"/>
      <c r="AD72" s="2081"/>
      <c r="AE72" s="2082"/>
      <c r="AF72" s="2082"/>
      <c r="AG72" s="2082"/>
      <c r="AH72" s="2082"/>
      <c r="AI72" s="2082"/>
      <c r="AJ72" s="2082"/>
      <c r="AK72" s="2082"/>
      <c r="AL72" s="2082"/>
      <c r="AM72" s="2082"/>
      <c r="AN72" s="2082"/>
      <c r="AO72" s="2083"/>
      <c r="AP72" s="2092"/>
      <c r="AV72" s="140"/>
      <c r="AW72" s="2081"/>
      <c r="AX72" s="2082"/>
      <c r="AY72" s="2082"/>
      <c r="AZ72" s="2082"/>
      <c r="BA72" s="2082"/>
      <c r="BB72" s="2082"/>
      <c r="BC72" s="2082"/>
      <c r="BD72" s="2082"/>
      <c r="BE72" s="2082"/>
      <c r="BF72" s="2082"/>
      <c r="BG72" s="2082"/>
      <c r="BH72" s="2083"/>
      <c r="BI72" s="2092"/>
      <c r="BO72" s="140"/>
      <c r="BP72" s="2081"/>
      <c r="BQ72" s="2082"/>
      <c r="BR72" s="2082"/>
      <c r="BS72" s="2082"/>
      <c r="BT72" s="2082"/>
      <c r="BU72" s="2082"/>
      <c r="BV72" s="2082"/>
      <c r="BW72" s="2082"/>
      <c r="BX72" s="2082"/>
      <c r="BY72" s="2082"/>
      <c r="BZ72" s="2082"/>
      <c r="CA72" s="2083"/>
      <c r="CB72" s="2092"/>
      <c r="CI72" s="140"/>
      <c r="CJ72" s="2081"/>
      <c r="CK72" s="2082"/>
      <c r="CL72" s="2082"/>
      <c r="CM72" s="2082"/>
      <c r="CN72" s="2082"/>
      <c r="CO72" s="2082"/>
      <c r="CP72" s="2082"/>
      <c r="CQ72" s="2082"/>
      <c r="CR72" s="2082"/>
      <c r="CS72" s="2082"/>
      <c r="CT72" s="2082"/>
      <c r="CU72" s="2083"/>
      <c r="CV72" s="2092"/>
      <c r="DM72" s="1527"/>
      <c r="DN72" s="1527"/>
      <c r="DO72" s="1527"/>
      <c r="DP72" s="1527"/>
      <c r="DQ72" s="1527"/>
      <c r="DR72" s="1527"/>
      <c r="DS72" s="1527"/>
      <c r="DT72" s="1527"/>
      <c r="DU72" s="1527"/>
      <c r="DV72" s="1527"/>
    </row>
    <row r="73" spans="7:126" ht="24" customHeight="1">
      <c r="J73" s="140"/>
      <c r="K73" s="2081"/>
      <c r="L73" s="2082"/>
      <c r="M73" s="2082"/>
      <c r="N73" s="2082"/>
      <c r="O73" s="2082"/>
      <c r="P73" s="2082"/>
      <c r="Q73" s="2082"/>
      <c r="R73" s="2082"/>
      <c r="S73" s="2082"/>
      <c r="T73" s="2082"/>
      <c r="U73" s="2082"/>
      <c r="V73" s="2083"/>
      <c r="W73" s="2092"/>
      <c r="AC73" s="140"/>
      <c r="AD73" s="2081"/>
      <c r="AE73" s="2082"/>
      <c r="AF73" s="2082"/>
      <c r="AG73" s="2082"/>
      <c r="AH73" s="2082"/>
      <c r="AI73" s="2082"/>
      <c r="AJ73" s="2082"/>
      <c r="AK73" s="2082"/>
      <c r="AL73" s="2082"/>
      <c r="AM73" s="2082"/>
      <c r="AN73" s="2082"/>
      <c r="AO73" s="2083"/>
      <c r="AP73" s="2092"/>
      <c r="AV73" s="140"/>
      <c r="AW73" s="2081"/>
      <c r="AX73" s="2082"/>
      <c r="AY73" s="2082"/>
      <c r="AZ73" s="2082"/>
      <c r="BA73" s="2082"/>
      <c r="BB73" s="2082"/>
      <c r="BC73" s="2082"/>
      <c r="BD73" s="2082"/>
      <c r="BE73" s="2082"/>
      <c r="BF73" s="2082"/>
      <c r="BG73" s="2082"/>
      <c r="BH73" s="2083"/>
      <c r="BI73" s="2092"/>
      <c r="BO73" s="140"/>
      <c r="BP73" s="2081"/>
      <c r="BQ73" s="2082"/>
      <c r="BR73" s="2082"/>
      <c r="BS73" s="2082"/>
      <c r="BT73" s="2082"/>
      <c r="BU73" s="2082"/>
      <c r="BV73" s="2082"/>
      <c r="BW73" s="2082"/>
      <c r="BX73" s="2082"/>
      <c r="BY73" s="2082"/>
      <c r="BZ73" s="2082"/>
      <c r="CA73" s="2083"/>
      <c r="CB73" s="2092"/>
      <c r="CI73" s="140"/>
      <c r="CJ73" s="2081"/>
      <c r="CK73" s="2082"/>
      <c r="CL73" s="2082"/>
      <c r="CM73" s="2082"/>
      <c r="CN73" s="2082"/>
      <c r="CO73" s="2082"/>
      <c r="CP73" s="2082"/>
      <c r="CQ73" s="2082"/>
      <c r="CR73" s="2082"/>
      <c r="CS73" s="2082"/>
      <c r="CT73" s="2082"/>
      <c r="CU73" s="2083"/>
      <c r="CV73" s="2092"/>
      <c r="DM73" s="1527"/>
      <c r="DN73" s="1527"/>
      <c r="DO73" s="1527"/>
      <c r="DP73" s="1527"/>
      <c r="DQ73" s="1527"/>
      <c r="DR73" s="1527"/>
      <c r="DS73" s="1527"/>
      <c r="DT73" s="1527"/>
      <c r="DU73" s="1527"/>
      <c r="DV73" s="1527"/>
    </row>
    <row r="74" spans="7:126" ht="24" customHeight="1">
      <c r="G74" s="60"/>
      <c r="H74" s="60"/>
      <c r="I74" s="60"/>
      <c r="J74" s="140"/>
      <c r="K74" s="2081"/>
      <c r="L74" s="2082"/>
      <c r="M74" s="2082"/>
      <c r="N74" s="2082"/>
      <c r="O74" s="2082"/>
      <c r="P74" s="2082"/>
      <c r="Q74" s="2082"/>
      <c r="R74" s="2082"/>
      <c r="S74" s="2082"/>
      <c r="T74" s="2082"/>
      <c r="U74" s="2082"/>
      <c r="V74" s="2083"/>
      <c r="W74" s="2092"/>
      <c r="AC74" s="140"/>
      <c r="AD74" s="2081"/>
      <c r="AE74" s="2082"/>
      <c r="AF74" s="2082"/>
      <c r="AG74" s="2082"/>
      <c r="AH74" s="2082"/>
      <c r="AI74" s="2082"/>
      <c r="AJ74" s="2082"/>
      <c r="AK74" s="2082"/>
      <c r="AL74" s="2082"/>
      <c r="AM74" s="2082"/>
      <c r="AN74" s="2082"/>
      <c r="AO74" s="2083"/>
      <c r="AP74" s="2092"/>
      <c r="AV74" s="140"/>
      <c r="AW74" s="2081"/>
      <c r="AX74" s="2082"/>
      <c r="AY74" s="2082"/>
      <c r="AZ74" s="2082"/>
      <c r="BA74" s="2082"/>
      <c r="BB74" s="2082"/>
      <c r="BC74" s="2082"/>
      <c r="BD74" s="2082"/>
      <c r="BE74" s="2082"/>
      <c r="BF74" s="2082"/>
      <c r="BG74" s="2082"/>
      <c r="BH74" s="2083"/>
      <c r="BI74" s="2092"/>
      <c r="BO74" s="140"/>
      <c r="BP74" s="2081"/>
      <c r="BQ74" s="2082"/>
      <c r="BR74" s="2082"/>
      <c r="BS74" s="2082"/>
      <c r="BT74" s="2082"/>
      <c r="BU74" s="2082"/>
      <c r="BV74" s="2082"/>
      <c r="BW74" s="2082"/>
      <c r="BX74" s="2082"/>
      <c r="BY74" s="2082"/>
      <c r="BZ74" s="2082"/>
      <c r="CA74" s="2083"/>
      <c r="CB74" s="2092"/>
      <c r="CI74" s="140"/>
      <c r="CJ74" s="2081"/>
      <c r="CK74" s="2082"/>
      <c r="CL74" s="2082"/>
      <c r="CM74" s="2082"/>
      <c r="CN74" s="2082"/>
      <c r="CO74" s="2082"/>
      <c r="CP74" s="2082"/>
      <c r="CQ74" s="2082"/>
      <c r="CR74" s="2082"/>
      <c r="CS74" s="2082"/>
      <c r="CT74" s="2082"/>
      <c r="CU74" s="2083"/>
      <c r="CV74" s="2092"/>
      <c r="DM74" s="1527"/>
      <c r="DN74" s="1527"/>
      <c r="DO74" s="1527"/>
      <c r="DP74" s="1527"/>
      <c r="DQ74" s="1527"/>
      <c r="DR74" s="1527"/>
      <c r="DS74" s="1527"/>
      <c r="DT74" s="1527"/>
      <c r="DU74" s="1527"/>
      <c r="DV74" s="1527"/>
    </row>
    <row r="75" spans="7:126" ht="24" customHeight="1">
      <c r="G75" s="60"/>
      <c r="H75" s="60"/>
      <c r="I75" s="60"/>
      <c r="J75" s="140"/>
      <c r="K75" s="2081"/>
      <c r="L75" s="2082"/>
      <c r="M75" s="2082"/>
      <c r="N75" s="2082"/>
      <c r="O75" s="2082"/>
      <c r="P75" s="2082"/>
      <c r="Q75" s="2082"/>
      <c r="R75" s="2082"/>
      <c r="S75" s="2082"/>
      <c r="T75" s="2082"/>
      <c r="U75" s="2082"/>
      <c r="V75" s="2083"/>
      <c r="W75" s="2092"/>
      <c r="AC75" s="140"/>
      <c r="AD75" s="2081"/>
      <c r="AE75" s="2082"/>
      <c r="AF75" s="2082"/>
      <c r="AG75" s="2082"/>
      <c r="AH75" s="2082"/>
      <c r="AI75" s="2082"/>
      <c r="AJ75" s="2082"/>
      <c r="AK75" s="2082"/>
      <c r="AL75" s="2082"/>
      <c r="AM75" s="2082"/>
      <c r="AN75" s="2082"/>
      <c r="AO75" s="2083"/>
      <c r="AP75" s="2092"/>
      <c r="AV75" s="140"/>
      <c r="AW75" s="2081"/>
      <c r="AX75" s="2082"/>
      <c r="AY75" s="2082"/>
      <c r="AZ75" s="2082"/>
      <c r="BA75" s="2082"/>
      <c r="BB75" s="2082"/>
      <c r="BC75" s="2082"/>
      <c r="BD75" s="2082"/>
      <c r="BE75" s="2082"/>
      <c r="BF75" s="2082"/>
      <c r="BG75" s="2082"/>
      <c r="BH75" s="2083"/>
      <c r="BI75" s="2092"/>
      <c r="BO75" s="140"/>
      <c r="BP75" s="2081"/>
      <c r="BQ75" s="2082"/>
      <c r="BR75" s="2082"/>
      <c r="BS75" s="2082"/>
      <c r="BT75" s="2082"/>
      <c r="BU75" s="2082"/>
      <c r="BV75" s="2082"/>
      <c r="BW75" s="2082"/>
      <c r="BX75" s="2082"/>
      <c r="BY75" s="2082"/>
      <c r="BZ75" s="2082"/>
      <c r="CA75" s="2083"/>
      <c r="CB75" s="2092"/>
      <c r="CI75" s="140"/>
      <c r="CJ75" s="2081"/>
      <c r="CK75" s="2082"/>
      <c r="CL75" s="2082"/>
      <c r="CM75" s="2082"/>
      <c r="CN75" s="2082"/>
      <c r="CO75" s="2082"/>
      <c r="CP75" s="2082"/>
      <c r="CQ75" s="2082"/>
      <c r="CR75" s="2082"/>
      <c r="CS75" s="2082"/>
      <c r="CT75" s="2082"/>
      <c r="CU75" s="2083"/>
      <c r="CV75" s="2092"/>
      <c r="DM75" s="1527"/>
      <c r="DN75" s="1527"/>
      <c r="DO75" s="1527"/>
      <c r="DP75" s="1527"/>
      <c r="DQ75" s="1527"/>
      <c r="DR75" s="1527"/>
      <c r="DS75" s="1527"/>
      <c r="DT75" s="1527"/>
      <c r="DU75" s="1527"/>
      <c r="DV75" s="1527"/>
    </row>
    <row r="76" spans="7:126" ht="24" customHeight="1">
      <c r="G76" s="60"/>
      <c r="H76" s="60"/>
      <c r="I76" s="60"/>
      <c r="J76" s="140"/>
      <c r="K76" s="2081"/>
      <c r="L76" s="2082"/>
      <c r="M76" s="2082"/>
      <c r="N76" s="2082"/>
      <c r="O76" s="2082"/>
      <c r="P76" s="2082"/>
      <c r="Q76" s="2082"/>
      <c r="R76" s="2082"/>
      <c r="S76" s="2082"/>
      <c r="T76" s="2082"/>
      <c r="U76" s="2082"/>
      <c r="V76" s="2083"/>
      <c r="W76" s="2092"/>
      <c r="AC76" s="140"/>
      <c r="AD76" s="2081"/>
      <c r="AE76" s="2082"/>
      <c r="AF76" s="2082"/>
      <c r="AG76" s="2082"/>
      <c r="AH76" s="2082"/>
      <c r="AI76" s="2082"/>
      <c r="AJ76" s="2082"/>
      <c r="AK76" s="2082"/>
      <c r="AL76" s="2082"/>
      <c r="AM76" s="2082"/>
      <c r="AN76" s="2082"/>
      <c r="AO76" s="2083"/>
      <c r="AP76" s="2092"/>
      <c r="AV76" s="140"/>
      <c r="AW76" s="2081"/>
      <c r="AX76" s="2082"/>
      <c r="AY76" s="2082"/>
      <c r="AZ76" s="2082"/>
      <c r="BA76" s="2082"/>
      <c r="BB76" s="2082"/>
      <c r="BC76" s="2082"/>
      <c r="BD76" s="2082"/>
      <c r="BE76" s="2082"/>
      <c r="BF76" s="2082"/>
      <c r="BG76" s="2082"/>
      <c r="BH76" s="2083"/>
      <c r="BI76" s="2092"/>
      <c r="BO76" s="140"/>
      <c r="BP76" s="2081"/>
      <c r="BQ76" s="2082"/>
      <c r="BR76" s="2082"/>
      <c r="BS76" s="2082"/>
      <c r="BT76" s="2082"/>
      <c r="BU76" s="2082"/>
      <c r="BV76" s="2082"/>
      <c r="BW76" s="2082"/>
      <c r="BX76" s="2082"/>
      <c r="BY76" s="2082"/>
      <c r="BZ76" s="2082"/>
      <c r="CA76" s="2083"/>
      <c r="CB76" s="2092"/>
      <c r="CI76" s="140"/>
      <c r="CJ76" s="2081"/>
      <c r="CK76" s="2082"/>
      <c r="CL76" s="2082"/>
      <c r="CM76" s="2082"/>
      <c r="CN76" s="2082"/>
      <c r="CO76" s="2082"/>
      <c r="CP76" s="2082"/>
      <c r="CQ76" s="2082"/>
      <c r="CR76" s="2082"/>
      <c r="CS76" s="2082"/>
      <c r="CT76" s="2082"/>
      <c r="CU76" s="2083"/>
      <c r="CV76" s="2092"/>
      <c r="DM76" s="1527"/>
      <c r="DN76" s="1527"/>
      <c r="DO76" s="1527"/>
      <c r="DP76" s="1527"/>
      <c r="DQ76" s="1527"/>
      <c r="DR76" s="1527"/>
      <c r="DS76" s="1527"/>
      <c r="DT76" s="1527"/>
      <c r="DU76" s="1527"/>
      <c r="DV76" s="1527"/>
    </row>
    <row r="77" spans="7:126" ht="24" customHeight="1">
      <c r="G77" s="60"/>
      <c r="H77" s="60"/>
      <c r="I77" s="60"/>
      <c r="J77" s="140"/>
      <c r="K77" s="2081"/>
      <c r="L77" s="2082"/>
      <c r="M77" s="2082"/>
      <c r="N77" s="2082"/>
      <c r="O77" s="2082"/>
      <c r="P77" s="2082"/>
      <c r="Q77" s="2082"/>
      <c r="R77" s="2082"/>
      <c r="S77" s="2082"/>
      <c r="T77" s="2082"/>
      <c r="U77" s="2082"/>
      <c r="V77" s="2083"/>
      <c r="W77" s="2092"/>
      <c r="AC77" s="140"/>
      <c r="AD77" s="2081"/>
      <c r="AE77" s="2082"/>
      <c r="AF77" s="2082"/>
      <c r="AG77" s="2082"/>
      <c r="AH77" s="2082"/>
      <c r="AI77" s="2082"/>
      <c r="AJ77" s="2082"/>
      <c r="AK77" s="2082"/>
      <c r="AL77" s="2082"/>
      <c r="AM77" s="2082"/>
      <c r="AN77" s="2082"/>
      <c r="AO77" s="2083"/>
      <c r="AP77" s="2092"/>
      <c r="AV77" s="140"/>
      <c r="AW77" s="2081"/>
      <c r="AX77" s="2082"/>
      <c r="AY77" s="2082"/>
      <c r="AZ77" s="2082"/>
      <c r="BA77" s="2082"/>
      <c r="BB77" s="2082"/>
      <c r="BC77" s="2082"/>
      <c r="BD77" s="2082"/>
      <c r="BE77" s="2082"/>
      <c r="BF77" s="2082"/>
      <c r="BG77" s="2082"/>
      <c r="BH77" s="2083"/>
      <c r="BI77" s="2092"/>
      <c r="BO77" s="140"/>
      <c r="BP77" s="2081"/>
      <c r="BQ77" s="2082"/>
      <c r="BR77" s="2082"/>
      <c r="BS77" s="2082"/>
      <c r="BT77" s="2082"/>
      <c r="BU77" s="2082"/>
      <c r="BV77" s="2082"/>
      <c r="BW77" s="2082"/>
      <c r="BX77" s="2082"/>
      <c r="BY77" s="2082"/>
      <c r="BZ77" s="2082"/>
      <c r="CA77" s="2083"/>
      <c r="CB77" s="2092"/>
      <c r="CI77" s="140"/>
      <c r="CJ77" s="2081"/>
      <c r="CK77" s="2082"/>
      <c r="CL77" s="2082"/>
      <c r="CM77" s="2082"/>
      <c r="CN77" s="2082"/>
      <c r="CO77" s="2082"/>
      <c r="CP77" s="2082"/>
      <c r="CQ77" s="2082"/>
      <c r="CR77" s="2082"/>
      <c r="CS77" s="2082"/>
      <c r="CT77" s="2082"/>
      <c r="CU77" s="2083"/>
      <c r="CV77" s="2092"/>
      <c r="DM77" s="1527"/>
      <c r="DN77" s="1527"/>
      <c r="DO77" s="1527"/>
      <c r="DP77" s="1527"/>
      <c r="DQ77" s="1527"/>
      <c r="DR77" s="1527"/>
      <c r="DS77" s="1527"/>
      <c r="DT77" s="1527"/>
      <c r="DU77" s="1527"/>
      <c r="DV77" s="1527"/>
    </row>
    <row r="78" spans="7:126" ht="24" customHeight="1">
      <c r="G78" s="60"/>
      <c r="H78" s="60"/>
      <c r="I78" s="60"/>
      <c r="J78" s="140"/>
      <c r="K78" s="2081"/>
      <c r="L78" s="2082"/>
      <c r="M78" s="2082"/>
      <c r="N78" s="2082"/>
      <c r="O78" s="2082"/>
      <c r="P78" s="2082"/>
      <c r="Q78" s="2082"/>
      <c r="R78" s="2082"/>
      <c r="S78" s="2082"/>
      <c r="T78" s="2082"/>
      <c r="U78" s="2082"/>
      <c r="V78" s="2083"/>
      <c r="W78" s="2092"/>
      <c r="AC78" s="140"/>
      <c r="AD78" s="2081"/>
      <c r="AE78" s="2082"/>
      <c r="AF78" s="2082"/>
      <c r="AG78" s="2082"/>
      <c r="AH78" s="2082"/>
      <c r="AI78" s="2082"/>
      <c r="AJ78" s="2082"/>
      <c r="AK78" s="2082"/>
      <c r="AL78" s="2082"/>
      <c r="AM78" s="2082"/>
      <c r="AN78" s="2082"/>
      <c r="AO78" s="2083"/>
      <c r="AP78" s="2092"/>
      <c r="AV78" s="140"/>
      <c r="AW78" s="2081"/>
      <c r="AX78" s="2082"/>
      <c r="AY78" s="2082"/>
      <c r="AZ78" s="2082"/>
      <c r="BA78" s="2082"/>
      <c r="BB78" s="2082"/>
      <c r="BC78" s="2082"/>
      <c r="BD78" s="2082"/>
      <c r="BE78" s="2082"/>
      <c r="BF78" s="2082"/>
      <c r="BG78" s="2082"/>
      <c r="BH78" s="2083"/>
      <c r="BI78" s="2092"/>
      <c r="BO78" s="140"/>
      <c r="BP78" s="2081"/>
      <c r="BQ78" s="2082"/>
      <c r="BR78" s="2082"/>
      <c r="BS78" s="2082"/>
      <c r="BT78" s="2082"/>
      <c r="BU78" s="2082"/>
      <c r="BV78" s="2082"/>
      <c r="BW78" s="2082"/>
      <c r="BX78" s="2082"/>
      <c r="BY78" s="2082"/>
      <c r="BZ78" s="2082"/>
      <c r="CA78" s="2083"/>
      <c r="CB78" s="2092"/>
      <c r="CI78" s="140"/>
      <c r="CJ78" s="2081"/>
      <c r="CK78" s="2082"/>
      <c r="CL78" s="2082"/>
      <c r="CM78" s="2082"/>
      <c r="CN78" s="2082"/>
      <c r="CO78" s="2082"/>
      <c r="CP78" s="2082"/>
      <c r="CQ78" s="2082"/>
      <c r="CR78" s="2082"/>
      <c r="CS78" s="2082"/>
      <c r="CT78" s="2082"/>
      <c r="CU78" s="2083"/>
      <c r="CV78" s="2092"/>
      <c r="DM78" s="1527"/>
      <c r="DN78" s="1527"/>
      <c r="DO78" s="1527"/>
      <c r="DP78" s="1527"/>
      <c r="DQ78" s="1527"/>
      <c r="DR78" s="1527"/>
      <c r="DS78" s="1527"/>
      <c r="DT78" s="1527"/>
      <c r="DU78" s="1527"/>
      <c r="DV78" s="1527"/>
    </row>
    <row r="79" spans="7:126" ht="24" customHeight="1">
      <c r="G79" s="60"/>
      <c r="H79" s="60"/>
      <c r="I79" s="60"/>
      <c r="J79" s="140"/>
      <c r="K79" s="2081"/>
      <c r="L79" s="2082"/>
      <c r="M79" s="2082"/>
      <c r="N79" s="2082"/>
      <c r="O79" s="2082"/>
      <c r="P79" s="2082"/>
      <c r="Q79" s="2082"/>
      <c r="R79" s="2082"/>
      <c r="S79" s="2082"/>
      <c r="T79" s="2082"/>
      <c r="U79" s="2082"/>
      <c r="V79" s="2083"/>
      <c r="W79" s="2092"/>
      <c r="AC79" s="140"/>
      <c r="AD79" s="2081"/>
      <c r="AE79" s="2082"/>
      <c r="AF79" s="2082"/>
      <c r="AG79" s="2082"/>
      <c r="AH79" s="2082"/>
      <c r="AI79" s="2082"/>
      <c r="AJ79" s="2082"/>
      <c r="AK79" s="2082"/>
      <c r="AL79" s="2082"/>
      <c r="AM79" s="2082"/>
      <c r="AN79" s="2082"/>
      <c r="AO79" s="2083"/>
      <c r="AP79" s="2092"/>
      <c r="AV79" s="140"/>
      <c r="AW79" s="2081"/>
      <c r="AX79" s="2082"/>
      <c r="AY79" s="2082"/>
      <c r="AZ79" s="2082"/>
      <c r="BA79" s="2082"/>
      <c r="BB79" s="2082"/>
      <c r="BC79" s="2082"/>
      <c r="BD79" s="2082"/>
      <c r="BE79" s="2082"/>
      <c r="BF79" s="2082"/>
      <c r="BG79" s="2082"/>
      <c r="BH79" s="2083"/>
      <c r="BI79" s="2092"/>
      <c r="BO79" s="140"/>
      <c r="BP79" s="2081"/>
      <c r="BQ79" s="2082"/>
      <c r="BR79" s="2082"/>
      <c r="BS79" s="2082"/>
      <c r="BT79" s="2082"/>
      <c r="BU79" s="2082"/>
      <c r="BV79" s="2082"/>
      <c r="BW79" s="2082"/>
      <c r="BX79" s="2082"/>
      <c r="BY79" s="2082"/>
      <c r="BZ79" s="2082"/>
      <c r="CA79" s="2083"/>
      <c r="CB79" s="2092"/>
      <c r="CI79" s="140"/>
      <c r="CJ79" s="2081"/>
      <c r="CK79" s="2082"/>
      <c r="CL79" s="2082"/>
      <c r="CM79" s="2082"/>
      <c r="CN79" s="2082"/>
      <c r="CO79" s="2082"/>
      <c r="CP79" s="2082"/>
      <c r="CQ79" s="2082"/>
      <c r="CR79" s="2082"/>
      <c r="CS79" s="2082"/>
      <c r="CT79" s="2082"/>
      <c r="CU79" s="2083"/>
      <c r="CV79" s="2092"/>
      <c r="DM79" s="1527"/>
      <c r="DN79" s="1527"/>
      <c r="DO79" s="1527"/>
      <c r="DP79" s="1527"/>
      <c r="DQ79" s="1527"/>
      <c r="DR79" s="1527"/>
      <c r="DS79" s="1527"/>
      <c r="DT79" s="1527"/>
      <c r="DU79" s="1527"/>
      <c r="DV79" s="1527"/>
    </row>
    <row r="80" spans="7:126" ht="24" customHeight="1">
      <c r="J80" s="140"/>
      <c r="K80" s="2081"/>
      <c r="L80" s="2082"/>
      <c r="M80" s="2082"/>
      <c r="N80" s="2082"/>
      <c r="O80" s="2082"/>
      <c r="P80" s="2082"/>
      <c r="Q80" s="2082"/>
      <c r="R80" s="2082"/>
      <c r="S80" s="2082"/>
      <c r="T80" s="2082"/>
      <c r="U80" s="2082"/>
      <c r="V80" s="2083"/>
      <c r="W80" s="2092"/>
      <c r="AC80" s="140"/>
      <c r="AD80" s="2081"/>
      <c r="AE80" s="2082"/>
      <c r="AF80" s="2082"/>
      <c r="AG80" s="2082"/>
      <c r="AH80" s="2082"/>
      <c r="AI80" s="2082"/>
      <c r="AJ80" s="2082"/>
      <c r="AK80" s="2082"/>
      <c r="AL80" s="2082"/>
      <c r="AM80" s="2082"/>
      <c r="AN80" s="2082"/>
      <c r="AO80" s="2083"/>
      <c r="AP80" s="2092"/>
      <c r="AV80" s="140"/>
      <c r="AW80" s="2081"/>
      <c r="AX80" s="2082"/>
      <c r="AY80" s="2082"/>
      <c r="AZ80" s="2082"/>
      <c r="BA80" s="2082"/>
      <c r="BB80" s="2082"/>
      <c r="BC80" s="2082"/>
      <c r="BD80" s="2082"/>
      <c r="BE80" s="2082"/>
      <c r="BF80" s="2082"/>
      <c r="BG80" s="2082"/>
      <c r="BH80" s="2083"/>
      <c r="BI80" s="2092"/>
      <c r="BO80" s="140"/>
      <c r="BP80" s="2081"/>
      <c r="BQ80" s="2082"/>
      <c r="BR80" s="2082"/>
      <c r="BS80" s="2082"/>
      <c r="BT80" s="2082"/>
      <c r="BU80" s="2082"/>
      <c r="BV80" s="2082"/>
      <c r="BW80" s="2082"/>
      <c r="BX80" s="2082"/>
      <c r="BY80" s="2082"/>
      <c r="BZ80" s="2082"/>
      <c r="CA80" s="2083"/>
      <c r="CB80" s="2092"/>
      <c r="CI80" s="140"/>
      <c r="CJ80" s="2081"/>
      <c r="CK80" s="2082"/>
      <c r="CL80" s="2082"/>
      <c r="CM80" s="2082"/>
      <c r="CN80" s="2082"/>
      <c r="CO80" s="2082"/>
      <c r="CP80" s="2082"/>
      <c r="CQ80" s="2082"/>
      <c r="CR80" s="2082"/>
      <c r="CS80" s="2082"/>
      <c r="CT80" s="2082"/>
      <c r="CU80" s="2083"/>
      <c r="CV80" s="2092"/>
      <c r="DM80" s="1527"/>
      <c r="DN80" s="1527"/>
      <c r="DO80" s="1527"/>
      <c r="DP80" s="1527"/>
      <c r="DQ80" s="1527"/>
      <c r="DR80" s="1527"/>
      <c r="DS80" s="1527"/>
      <c r="DT80" s="1527"/>
      <c r="DU80" s="1527"/>
      <c r="DV80" s="1527"/>
    </row>
    <row r="81" spans="10:126" ht="24" customHeight="1">
      <c r="J81" s="140"/>
      <c r="K81" s="2081"/>
      <c r="L81" s="2082"/>
      <c r="M81" s="2082"/>
      <c r="N81" s="2082"/>
      <c r="O81" s="2082"/>
      <c r="P81" s="2082"/>
      <c r="Q81" s="2082"/>
      <c r="R81" s="2082"/>
      <c r="S81" s="2082"/>
      <c r="T81" s="2082"/>
      <c r="U81" s="2082"/>
      <c r="V81" s="2083"/>
      <c r="W81" s="2092"/>
      <c r="AC81" s="140"/>
      <c r="AD81" s="2081"/>
      <c r="AE81" s="2082"/>
      <c r="AF81" s="2082"/>
      <c r="AG81" s="2082"/>
      <c r="AH81" s="2082"/>
      <c r="AI81" s="2082"/>
      <c r="AJ81" s="2082"/>
      <c r="AK81" s="2082"/>
      <c r="AL81" s="2082"/>
      <c r="AM81" s="2082"/>
      <c r="AN81" s="2082"/>
      <c r="AO81" s="2083"/>
      <c r="AP81" s="2092"/>
      <c r="AV81" s="140"/>
      <c r="AW81" s="2081"/>
      <c r="AX81" s="2082"/>
      <c r="AY81" s="2082"/>
      <c r="AZ81" s="2082"/>
      <c r="BA81" s="2082"/>
      <c r="BB81" s="2082"/>
      <c r="BC81" s="2082"/>
      <c r="BD81" s="2082"/>
      <c r="BE81" s="2082"/>
      <c r="BF81" s="2082"/>
      <c r="BG81" s="2082"/>
      <c r="BH81" s="2083"/>
      <c r="BI81" s="2092"/>
      <c r="BO81" s="140"/>
      <c r="BP81" s="2081"/>
      <c r="BQ81" s="2082"/>
      <c r="BR81" s="2082"/>
      <c r="BS81" s="2082"/>
      <c r="BT81" s="2082"/>
      <c r="BU81" s="2082"/>
      <c r="BV81" s="2082"/>
      <c r="BW81" s="2082"/>
      <c r="BX81" s="2082"/>
      <c r="BY81" s="2082"/>
      <c r="BZ81" s="2082"/>
      <c r="CA81" s="2083"/>
      <c r="CB81" s="2092"/>
      <c r="CI81" s="140"/>
      <c r="CJ81" s="2081"/>
      <c r="CK81" s="2082"/>
      <c r="CL81" s="2082"/>
      <c r="CM81" s="2082"/>
      <c r="CN81" s="2082"/>
      <c r="CO81" s="2082"/>
      <c r="CP81" s="2082"/>
      <c r="CQ81" s="2082"/>
      <c r="CR81" s="2082"/>
      <c r="CS81" s="2082"/>
      <c r="CT81" s="2082"/>
      <c r="CU81" s="2083"/>
      <c r="CV81" s="2092"/>
      <c r="DM81" s="1527"/>
      <c r="DN81" s="1527"/>
      <c r="DO81" s="1527"/>
      <c r="DP81" s="1527"/>
      <c r="DQ81" s="1527"/>
      <c r="DR81" s="1527"/>
      <c r="DS81" s="1527"/>
      <c r="DT81" s="1527"/>
      <c r="DU81" s="1527"/>
      <c r="DV81" s="1527"/>
    </row>
    <row r="82" spans="10:126" ht="24" customHeight="1">
      <c r="J82" s="140"/>
      <c r="K82" s="2081"/>
      <c r="L82" s="2082"/>
      <c r="M82" s="2082"/>
      <c r="N82" s="2082"/>
      <c r="O82" s="2082"/>
      <c r="P82" s="2082"/>
      <c r="Q82" s="2082"/>
      <c r="R82" s="2082"/>
      <c r="S82" s="2082"/>
      <c r="T82" s="2082"/>
      <c r="U82" s="2082"/>
      <c r="V82" s="2083"/>
      <c r="W82" s="2092"/>
      <c r="AC82" s="140"/>
      <c r="AD82" s="2081"/>
      <c r="AE82" s="2082"/>
      <c r="AF82" s="2082"/>
      <c r="AG82" s="2082"/>
      <c r="AH82" s="2082"/>
      <c r="AI82" s="2082"/>
      <c r="AJ82" s="2082"/>
      <c r="AK82" s="2082"/>
      <c r="AL82" s="2082"/>
      <c r="AM82" s="2082"/>
      <c r="AN82" s="2082"/>
      <c r="AO82" s="2083"/>
      <c r="AP82" s="2092"/>
      <c r="AV82" s="140"/>
      <c r="AW82" s="2081"/>
      <c r="AX82" s="2082"/>
      <c r="AY82" s="2082"/>
      <c r="AZ82" s="2082"/>
      <c r="BA82" s="2082"/>
      <c r="BB82" s="2082"/>
      <c r="BC82" s="2082"/>
      <c r="BD82" s="2082"/>
      <c r="BE82" s="2082"/>
      <c r="BF82" s="2082"/>
      <c r="BG82" s="2082"/>
      <c r="BH82" s="2083"/>
      <c r="BI82" s="2092"/>
      <c r="BO82" s="140"/>
      <c r="BP82" s="2081"/>
      <c r="BQ82" s="2082"/>
      <c r="BR82" s="2082"/>
      <c r="BS82" s="2082"/>
      <c r="BT82" s="2082"/>
      <c r="BU82" s="2082"/>
      <c r="BV82" s="2082"/>
      <c r="BW82" s="2082"/>
      <c r="BX82" s="2082"/>
      <c r="BY82" s="2082"/>
      <c r="BZ82" s="2082"/>
      <c r="CA82" s="2083"/>
      <c r="CB82" s="2092"/>
      <c r="CI82" s="140"/>
      <c r="CJ82" s="2081"/>
      <c r="CK82" s="2082"/>
      <c r="CL82" s="2082"/>
      <c r="CM82" s="2082"/>
      <c r="CN82" s="2082"/>
      <c r="CO82" s="2082"/>
      <c r="CP82" s="2082"/>
      <c r="CQ82" s="2082"/>
      <c r="CR82" s="2082"/>
      <c r="CS82" s="2082"/>
      <c r="CT82" s="2082"/>
      <c r="CU82" s="2083"/>
      <c r="CV82" s="2092"/>
      <c r="DM82" s="1527"/>
      <c r="DN82" s="1527"/>
      <c r="DO82" s="1527"/>
      <c r="DP82" s="1527"/>
      <c r="DQ82" s="1527"/>
      <c r="DR82" s="1527"/>
      <c r="DS82" s="1527"/>
      <c r="DT82" s="1527"/>
      <c r="DU82" s="1527"/>
      <c r="DV82" s="1527"/>
    </row>
    <row r="83" spans="10:126" ht="24" customHeight="1">
      <c r="J83" s="140"/>
      <c r="K83" s="2081"/>
      <c r="L83" s="2082"/>
      <c r="M83" s="2082"/>
      <c r="N83" s="2082"/>
      <c r="O83" s="2082"/>
      <c r="P83" s="2082"/>
      <c r="Q83" s="2082"/>
      <c r="R83" s="2082"/>
      <c r="S83" s="2082"/>
      <c r="T83" s="2082"/>
      <c r="U83" s="2082"/>
      <c r="V83" s="2083"/>
      <c r="W83" s="2092"/>
      <c r="AC83" s="140"/>
      <c r="AD83" s="2081"/>
      <c r="AE83" s="2082"/>
      <c r="AF83" s="2082"/>
      <c r="AG83" s="2082"/>
      <c r="AH83" s="2082"/>
      <c r="AI83" s="2082"/>
      <c r="AJ83" s="2082"/>
      <c r="AK83" s="2082"/>
      <c r="AL83" s="2082"/>
      <c r="AM83" s="2082"/>
      <c r="AN83" s="2082"/>
      <c r="AO83" s="2083"/>
      <c r="AP83" s="2092"/>
      <c r="AV83" s="140"/>
      <c r="AW83" s="2081"/>
      <c r="AX83" s="2082"/>
      <c r="AY83" s="2082"/>
      <c r="AZ83" s="2082"/>
      <c r="BA83" s="2082"/>
      <c r="BB83" s="2082"/>
      <c r="BC83" s="2082"/>
      <c r="BD83" s="2082"/>
      <c r="BE83" s="2082"/>
      <c r="BF83" s="2082"/>
      <c r="BG83" s="2082"/>
      <c r="BH83" s="2083"/>
      <c r="BI83" s="2092"/>
      <c r="BO83" s="140"/>
      <c r="BP83" s="2081"/>
      <c r="BQ83" s="2082"/>
      <c r="BR83" s="2082"/>
      <c r="BS83" s="2082"/>
      <c r="BT83" s="2082"/>
      <c r="BU83" s="2082"/>
      <c r="BV83" s="2082"/>
      <c r="BW83" s="2082"/>
      <c r="BX83" s="2082"/>
      <c r="BY83" s="2082"/>
      <c r="BZ83" s="2082"/>
      <c r="CA83" s="2083"/>
      <c r="CB83" s="2092"/>
      <c r="CI83" s="140"/>
      <c r="CJ83" s="2081"/>
      <c r="CK83" s="2082"/>
      <c r="CL83" s="2082"/>
      <c r="CM83" s="2082"/>
      <c r="CN83" s="2082"/>
      <c r="CO83" s="2082"/>
      <c r="CP83" s="2082"/>
      <c r="CQ83" s="2082"/>
      <c r="CR83" s="2082"/>
      <c r="CS83" s="2082"/>
      <c r="CT83" s="2082"/>
      <c r="CU83" s="2083"/>
      <c r="CV83" s="2092"/>
      <c r="DM83" s="1527"/>
      <c r="DN83" s="1527"/>
      <c r="DO83" s="1527"/>
      <c r="DP83" s="1527"/>
      <c r="DQ83" s="1527"/>
      <c r="DR83" s="1527"/>
      <c r="DS83" s="1527"/>
      <c r="DT83" s="1527"/>
      <c r="DU83" s="1527"/>
      <c r="DV83" s="1527"/>
    </row>
    <row r="84" spans="10:126" ht="24" customHeight="1">
      <c r="J84" s="140"/>
      <c r="K84" s="2081"/>
      <c r="L84" s="2082"/>
      <c r="M84" s="2082"/>
      <c r="N84" s="2082"/>
      <c r="O84" s="2082"/>
      <c r="P84" s="2082"/>
      <c r="Q84" s="2082"/>
      <c r="R84" s="2082"/>
      <c r="S84" s="2082"/>
      <c r="T84" s="2082"/>
      <c r="U84" s="2082"/>
      <c r="V84" s="2083"/>
      <c r="W84" s="2092"/>
      <c r="AC84" s="140"/>
      <c r="AD84" s="2081"/>
      <c r="AE84" s="2082"/>
      <c r="AF84" s="2082"/>
      <c r="AG84" s="2082"/>
      <c r="AH84" s="2082"/>
      <c r="AI84" s="2082"/>
      <c r="AJ84" s="2082"/>
      <c r="AK84" s="2082"/>
      <c r="AL84" s="2082"/>
      <c r="AM84" s="2082"/>
      <c r="AN84" s="2082"/>
      <c r="AO84" s="2083"/>
      <c r="AP84" s="2092"/>
      <c r="AV84" s="140"/>
      <c r="AW84" s="2081"/>
      <c r="AX84" s="2082"/>
      <c r="AY84" s="2082"/>
      <c r="AZ84" s="2082"/>
      <c r="BA84" s="2082"/>
      <c r="BB84" s="2082"/>
      <c r="BC84" s="2082"/>
      <c r="BD84" s="2082"/>
      <c r="BE84" s="2082"/>
      <c r="BF84" s="2082"/>
      <c r="BG84" s="2082"/>
      <c r="BH84" s="2083"/>
      <c r="BI84" s="2092"/>
      <c r="BO84" s="140"/>
      <c r="BP84" s="2081"/>
      <c r="BQ84" s="2082"/>
      <c r="BR84" s="2082"/>
      <c r="BS84" s="2082"/>
      <c r="BT84" s="2082"/>
      <c r="BU84" s="2082"/>
      <c r="BV84" s="2082"/>
      <c r="BW84" s="2082"/>
      <c r="BX84" s="2082"/>
      <c r="BY84" s="2082"/>
      <c r="BZ84" s="2082"/>
      <c r="CA84" s="2083"/>
      <c r="CB84" s="2092"/>
      <c r="CI84" s="140"/>
      <c r="CJ84" s="2081"/>
      <c r="CK84" s="2082"/>
      <c r="CL84" s="2082"/>
      <c r="CM84" s="2082"/>
      <c r="CN84" s="2082"/>
      <c r="CO84" s="2082"/>
      <c r="CP84" s="2082"/>
      <c r="CQ84" s="2082"/>
      <c r="CR84" s="2082"/>
      <c r="CS84" s="2082"/>
      <c r="CT84" s="2082"/>
      <c r="CU84" s="2083"/>
      <c r="CV84" s="2092"/>
    </row>
    <row r="85" spans="10:126" ht="24" customHeight="1">
      <c r="J85" s="140"/>
      <c r="K85" s="2081"/>
      <c r="L85" s="2082"/>
      <c r="M85" s="2082"/>
      <c r="N85" s="2082"/>
      <c r="O85" s="2082"/>
      <c r="P85" s="2082"/>
      <c r="Q85" s="2082"/>
      <c r="R85" s="2082"/>
      <c r="S85" s="2082"/>
      <c r="T85" s="2082"/>
      <c r="U85" s="2082"/>
      <c r="V85" s="2083"/>
      <c r="W85" s="2092"/>
      <c r="AC85" s="140"/>
      <c r="AD85" s="2081"/>
      <c r="AE85" s="2082"/>
      <c r="AF85" s="2082"/>
      <c r="AG85" s="2082"/>
      <c r="AH85" s="2082"/>
      <c r="AI85" s="2082"/>
      <c r="AJ85" s="2082"/>
      <c r="AK85" s="2082"/>
      <c r="AL85" s="2082"/>
      <c r="AM85" s="2082"/>
      <c r="AN85" s="2082"/>
      <c r="AO85" s="2083"/>
      <c r="AP85" s="2092"/>
      <c r="AV85" s="140"/>
      <c r="AW85" s="2081"/>
      <c r="AX85" s="2082"/>
      <c r="AY85" s="2082"/>
      <c r="AZ85" s="2082"/>
      <c r="BA85" s="2082"/>
      <c r="BB85" s="2082"/>
      <c r="BC85" s="2082"/>
      <c r="BD85" s="2082"/>
      <c r="BE85" s="2082"/>
      <c r="BF85" s="2082"/>
      <c r="BG85" s="2082"/>
      <c r="BH85" s="2083"/>
      <c r="BI85" s="2092"/>
      <c r="BO85" s="140"/>
      <c r="BP85" s="2081"/>
      <c r="BQ85" s="2082"/>
      <c r="BR85" s="2082"/>
      <c r="BS85" s="2082"/>
      <c r="BT85" s="2082"/>
      <c r="BU85" s="2082"/>
      <c r="BV85" s="2082"/>
      <c r="BW85" s="2082"/>
      <c r="BX85" s="2082"/>
      <c r="BY85" s="2082"/>
      <c r="BZ85" s="2082"/>
      <c r="CA85" s="2083"/>
      <c r="CB85" s="2092"/>
      <c r="CI85" s="140"/>
      <c r="CJ85" s="2081"/>
      <c r="CK85" s="2082"/>
      <c r="CL85" s="2082"/>
      <c r="CM85" s="2082"/>
      <c r="CN85" s="2082"/>
      <c r="CO85" s="2082"/>
      <c r="CP85" s="2082"/>
      <c r="CQ85" s="2082"/>
      <c r="CR85" s="2082"/>
      <c r="CS85" s="2082"/>
      <c r="CT85" s="2082"/>
      <c r="CU85" s="2083"/>
      <c r="CV85" s="2092"/>
    </row>
    <row r="86" spans="10:126" ht="24" customHeight="1">
      <c r="J86" s="140"/>
      <c r="K86" s="2081"/>
      <c r="L86" s="2082"/>
      <c r="M86" s="2082"/>
      <c r="N86" s="2082"/>
      <c r="O86" s="2082"/>
      <c r="P86" s="2082"/>
      <c r="Q86" s="2082"/>
      <c r="R86" s="2082"/>
      <c r="S86" s="2082"/>
      <c r="T86" s="2082"/>
      <c r="U86" s="2082"/>
      <c r="V86" s="2083"/>
      <c r="W86" s="2092"/>
      <c r="AC86" s="140"/>
      <c r="AD86" s="2081"/>
      <c r="AE86" s="2082"/>
      <c r="AF86" s="2082"/>
      <c r="AG86" s="2082"/>
      <c r="AH86" s="2082"/>
      <c r="AI86" s="2082"/>
      <c r="AJ86" s="2082"/>
      <c r="AK86" s="2082"/>
      <c r="AL86" s="2082"/>
      <c r="AM86" s="2082"/>
      <c r="AN86" s="2082"/>
      <c r="AO86" s="2083"/>
      <c r="AP86" s="2092"/>
      <c r="AV86" s="140"/>
      <c r="AW86" s="2081"/>
      <c r="AX86" s="2082"/>
      <c r="AY86" s="2082"/>
      <c r="AZ86" s="2082"/>
      <c r="BA86" s="2082"/>
      <c r="BB86" s="2082"/>
      <c r="BC86" s="2082"/>
      <c r="BD86" s="2082"/>
      <c r="BE86" s="2082"/>
      <c r="BF86" s="2082"/>
      <c r="BG86" s="2082"/>
      <c r="BH86" s="2083"/>
      <c r="BI86" s="2092"/>
      <c r="BO86" s="140"/>
      <c r="BP86" s="2081"/>
      <c r="BQ86" s="2082"/>
      <c r="BR86" s="2082"/>
      <c r="BS86" s="2082"/>
      <c r="BT86" s="2082"/>
      <c r="BU86" s="2082"/>
      <c r="BV86" s="2082"/>
      <c r="BW86" s="2082"/>
      <c r="BX86" s="2082"/>
      <c r="BY86" s="2082"/>
      <c r="BZ86" s="2082"/>
      <c r="CA86" s="2083"/>
      <c r="CB86" s="2092"/>
      <c r="CI86" s="140"/>
      <c r="CJ86" s="2081"/>
      <c r="CK86" s="2082"/>
      <c r="CL86" s="2082"/>
      <c r="CM86" s="2082"/>
      <c r="CN86" s="2082"/>
      <c r="CO86" s="2082"/>
      <c r="CP86" s="2082"/>
      <c r="CQ86" s="2082"/>
      <c r="CR86" s="2082"/>
      <c r="CS86" s="2082"/>
      <c r="CT86" s="2082"/>
      <c r="CU86" s="2083"/>
      <c r="CV86" s="2092"/>
    </row>
    <row r="87" spans="10:126" ht="24" customHeight="1">
      <c r="J87" s="140"/>
      <c r="K87" s="2081"/>
      <c r="L87" s="2082"/>
      <c r="M87" s="2082"/>
      <c r="N87" s="2082"/>
      <c r="O87" s="2082"/>
      <c r="P87" s="2082"/>
      <c r="Q87" s="2082"/>
      <c r="R87" s="2082"/>
      <c r="S87" s="2082"/>
      <c r="T87" s="2082"/>
      <c r="U87" s="2082"/>
      <c r="V87" s="2083"/>
      <c r="W87" s="2092"/>
      <c r="AC87" s="140"/>
      <c r="AD87" s="2081"/>
      <c r="AE87" s="2082"/>
      <c r="AF87" s="2082"/>
      <c r="AG87" s="2082"/>
      <c r="AH87" s="2082"/>
      <c r="AI87" s="2082"/>
      <c r="AJ87" s="2082"/>
      <c r="AK87" s="2082"/>
      <c r="AL87" s="2082"/>
      <c r="AM87" s="2082"/>
      <c r="AN87" s="2082"/>
      <c r="AO87" s="2083"/>
      <c r="AP87" s="2092"/>
      <c r="AV87" s="140"/>
      <c r="AW87" s="2081"/>
      <c r="AX87" s="2082"/>
      <c r="AY87" s="2082"/>
      <c r="AZ87" s="2082"/>
      <c r="BA87" s="2082"/>
      <c r="BB87" s="2082"/>
      <c r="BC87" s="2082"/>
      <c r="BD87" s="2082"/>
      <c r="BE87" s="2082"/>
      <c r="BF87" s="2082"/>
      <c r="BG87" s="2082"/>
      <c r="BH87" s="2083"/>
      <c r="BI87" s="2092"/>
      <c r="BO87" s="140"/>
      <c r="BP87" s="2081"/>
      <c r="BQ87" s="2082"/>
      <c r="BR87" s="2082"/>
      <c r="BS87" s="2082"/>
      <c r="BT87" s="2082"/>
      <c r="BU87" s="2082"/>
      <c r="BV87" s="2082"/>
      <c r="BW87" s="2082"/>
      <c r="BX87" s="2082"/>
      <c r="BY87" s="2082"/>
      <c r="BZ87" s="2082"/>
      <c r="CA87" s="2083"/>
      <c r="CB87" s="2092"/>
      <c r="CI87" s="140"/>
      <c r="CJ87" s="2081"/>
      <c r="CK87" s="2082"/>
      <c r="CL87" s="2082"/>
      <c r="CM87" s="2082"/>
      <c r="CN87" s="2082"/>
      <c r="CO87" s="2082"/>
      <c r="CP87" s="2082"/>
      <c r="CQ87" s="2082"/>
      <c r="CR87" s="2082"/>
      <c r="CS87" s="2082"/>
      <c r="CT87" s="2082"/>
      <c r="CU87" s="2083"/>
      <c r="CV87" s="2092"/>
    </row>
    <row r="88" spans="10:126" ht="24" customHeight="1">
      <c r="J88" s="140"/>
      <c r="K88" s="2081"/>
      <c r="L88" s="2082"/>
      <c r="M88" s="2082"/>
      <c r="N88" s="2082"/>
      <c r="O88" s="2082"/>
      <c r="P88" s="2082"/>
      <c r="Q88" s="2082"/>
      <c r="R88" s="2082"/>
      <c r="S88" s="2082"/>
      <c r="T88" s="2082"/>
      <c r="U88" s="2082"/>
      <c r="V88" s="2083"/>
      <c r="W88" s="2092"/>
      <c r="AC88" s="140"/>
      <c r="AD88" s="2081"/>
      <c r="AE88" s="2082"/>
      <c r="AF88" s="2082"/>
      <c r="AG88" s="2082"/>
      <c r="AH88" s="2082"/>
      <c r="AI88" s="2082"/>
      <c r="AJ88" s="2082"/>
      <c r="AK88" s="2082"/>
      <c r="AL88" s="2082"/>
      <c r="AM88" s="2082"/>
      <c r="AN88" s="2082"/>
      <c r="AO88" s="2083"/>
      <c r="AP88" s="2092"/>
      <c r="AV88" s="140"/>
      <c r="AW88" s="2081"/>
      <c r="AX88" s="2082"/>
      <c r="AY88" s="2082"/>
      <c r="AZ88" s="2082"/>
      <c r="BA88" s="2082"/>
      <c r="BB88" s="2082"/>
      <c r="BC88" s="2082"/>
      <c r="BD88" s="2082"/>
      <c r="BE88" s="2082"/>
      <c r="BF88" s="2082"/>
      <c r="BG88" s="2082"/>
      <c r="BH88" s="2083"/>
      <c r="BI88" s="2092"/>
      <c r="BO88" s="140"/>
      <c r="BP88" s="2081"/>
      <c r="BQ88" s="2082"/>
      <c r="BR88" s="2082"/>
      <c r="BS88" s="2082"/>
      <c r="BT88" s="2082"/>
      <c r="BU88" s="2082"/>
      <c r="BV88" s="2082"/>
      <c r="BW88" s="2082"/>
      <c r="BX88" s="2082"/>
      <c r="BY88" s="2082"/>
      <c r="BZ88" s="2082"/>
      <c r="CA88" s="2083"/>
      <c r="CB88" s="2092"/>
      <c r="CI88" s="140"/>
      <c r="CJ88" s="2081"/>
      <c r="CK88" s="2082"/>
      <c r="CL88" s="2082"/>
      <c r="CM88" s="2082"/>
      <c r="CN88" s="2082"/>
      <c r="CO88" s="2082"/>
      <c r="CP88" s="2082"/>
      <c r="CQ88" s="2082"/>
      <c r="CR88" s="2082"/>
      <c r="CS88" s="2082"/>
      <c r="CT88" s="2082"/>
      <c r="CU88" s="2083"/>
      <c r="CV88" s="2092"/>
    </row>
    <row r="89" spans="10:126" ht="24" customHeight="1">
      <c r="J89" s="140"/>
      <c r="K89" s="2081"/>
      <c r="L89" s="2082"/>
      <c r="M89" s="2082"/>
      <c r="N89" s="2082"/>
      <c r="O89" s="2082"/>
      <c r="P89" s="2082"/>
      <c r="Q89" s="2082"/>
      <c r="R89" s="2082"/>
      <c r="S89" s="2082"/>
      <c r="T89" s="2082"/>
      <c r="U89" s="2082"/>
      <c r="V89" s="2083"/>
      <c r="W89" s="849"/>
      <c r="AC89" s="140"/>
      <c r="AD89" s="2081"/>
      <c r="AE89" s="2082"/>
      <c r="AF89" s="2082"/>
      <c r="AG89" s="2082"/>
      <c r="AH89" s="2082"/>
      <c r="AI89" s="2082"/>
      <c r="AJ89" s="2082"/>
      <c r="AK89" s="2082"/>
      <c r="AL89" s="2082"/>
      <c r="AM89" s="2082"/>
      <c r="AN89" s="2082"/>
      <c r="AO89" s="2083"/>
      <c r="AP89" s="849"/>
      <c r="AV89" s="140"/>
      <c r="AW89" s="2081"/>
      <c r="AX89" s="2082"/>
      <c r="AY89" s="2082"/>
      <c r="AZ89" s="2082"/>
      <c r="BA89" s="2082"/>
      <c r="BB89" s="2082"/>
      <c r="BC89" s="2082"/>
      <c r="BD89" s="2082"/>
      <c r="BE89" s="2082"/>
      <c r="BF89" s="2082"/>
      <c r="BG89" s="2082"/>
      <c r="BH89" s="2083"/>
      <c r="BI89" s="849"/>
      <c r="BO89" s="140"/>
      <c r="BP89" s="2081"/>
      <c r="BQ89" s="2082"/>
      <c r="BR89" s="2082"/>
      <c r="BS89" s="2082"/>
      <c r="BT89" s="2082"/>
      <c r="BU89" s="2082"/>
      <c r="BV89" s="2082"/>
      <c r="BW89" s="2082"/>
      <c r="BX89" s="2082"/>
      <c r="BY89" s="2082"/>
      <c r="BZ89" s="2082"/>
      <c r="CA89" s="2083"/>
      <c r="CB89" s="849"/>
      <c r="CI89" s="140"/>
      <c r="CJ89" s="2081"/>
      <c r="CK89" s="2082"/>
      <c r="CL89" s="2082"/>
      <c r="CM89" s="2082"/>
      <c r="CN89" s="2082"/>
      <c r="CO89" s="2082"/>
      <c r="CP89" s="2082"/>
      <c r="CQ89" s="2082"/>
      <c r="CR89" s="2082"/>
      <c r="CS89" s="2082"/>
      <c r="CT89" s="2082"/>
      <c r="CU89" s="2083"/>
      <c r="CV89" s="849"/>
    </row>
    <row r="90" spans="10:126" ht="24" customHeight="1">
      <c r="J90" s="140"/>
      <c r="K90" s="2084"/>
      <c r="L90" s="2085"/>
      <c r="M90" s="2085"/>
      <c r="N90" s="2085"/>
      <c r="O90" s="2085"/>
      <c r="P90" s="2085"/>
      <c r="Q90" s="2085"/>
      <c r="R90" s="2085"/>
      <c r="S90" s="2085"/>
      <c r="T90" s="2085"/>
      <c r="U90" s="2085"/>
      <c r="V90" s="2086"/>
      <c r="W90" s="850"/>
      <c r="AC90" s="140"/>
      <c r="AD90" s="2084"/>
      <c r="AE90" s="2085"/>
      <c r="AF90" s="2085"/>
      <c r="AG90" s="2085"/>
      <c r="AH90" s="2085"/>
      <c r="AI90" s="2085"/>
      <c r="AJ90" s="2085"/>
      <c r="AK90" s="2085"/>
      <c r="AL90" s="2085"/>
      <c r="AM90" s="2085"/>
      <c r="AN90" s="2085"/>
      <c r="AO90" s="2086"/>
      <c r="AP90" s="850"/>
      <c r="AV90" s="140"/>
      <c r="AW90" s="2084"/>
      <c r="AX90" s="2085"/>
      <c r="AY90" s="2085"/>
      <c r="AZ90" s="2085"/>
      <c r="BA90" s="2085"/>
      <c r="BB90" s="2085"/>
      <c r="BC90" s="2085"/>
      <c r="BD90" s="2085"/>
      <c r="BE90" s="2085"/>
      <c r="BF90" s="2085"/>
      <c r="BG90" s="2085"/>
      <c r="BH90" s="2086"/>
      <c r="BI90" s="850"/>
      <c r="BO90" s="140"/>
      <c r="BP90" s="2084"/>
      <c r="BQ90" s="2085"/>
      <c r="BR90" s="2085"/>
      <c r="BS90" s="2085"/>
      <c r="BT90" s="2085"/>
      <c r="BU90" s="2085"/>
      <c r="BV90" s="2085"/>
      <c r="BW90" s="2085"/>
      <c r="BX90" s="2085"/>
      <c r="BY90" s="2085"/>
      <c r="BZ90" s="2085"/>
      <c r="CA90" s="2086"/>
      <c r="CB90" s="850"/>
      <c r="CI90" s="140"/>
      <c r="CJ90" s="2084"/>
      <c r="CK90" s="2085"/>
      <c r="CL90" s="2085"/>
      <c r="CM90" s="2085"/>
      <c r="CN90" s="2085"/>
      <c r="CO90" s="2085"/>
      <c r="CP90" s="2085"/>
      <c r="CQ90" s="2085"/>
      <c r="CR90" s="2085"/>
      <c r="CS90" s="2085"/>
      <c r="CT90" s="2085"/>
      <c r="CU90" s="2086"/>
      <c r="CV90" s="850"/>
    </row>
    <row r="91" spans="10:126" ht="24" customHeight="1">
      <c r="J91" s="140"/>
      <c r="K91" s="2093"/>
      <c r="L91" s="2093"/>
      <c r="M91" s="2093"/>
      <c r="N91" s="2093"/>
      <c r="O91" s="2093"/>
      <c r="P91" s="2093"/>
      <c r="Q91" s="2093"/>
      <c r="R91" s="2093"/>
      <c r="S91" s="2093"/>
      <c r="T91" s="2093"/>
      <c r="U91" s="2093"/>
      <c r="V91" s="2093"/>
      <c r="W91" s="850"/>
      <c r="AC91" s="140"/>
      <c r="AD91" s="2093"/>
      <c r="AE91" s="2093"/>
      <c r="AF91" s="2093"/>
      <c r="AG91" s="2093"/>
      <c r="AH91" s="2093"/>
      <c r="AI91" s="2093"/>
      <c r="AJ91" s="2093"/>
      <c r="AK91" s="2093"/>
      <c r="AL91" s="2093"/>
      <c r="AM91" s="2093"/>
      <c r="AN91" s="2093"/>
      <c r="AO91" s="2093"/>
      <c r="AP91" s="850"/>
      <c r="AV91" s="140"/>
      <c r="AW91" s="2093"/>
      <c r="AX91" s="2093"/>
      <c r="AY91" s="2093"/>
      <c r="AZ91" s="2093"/>
      <c r="BA91" s="2093"/>
      <c r="BB91" s="2093"/>
      <c r="BC91" s="2093"/>
      <c r="BD91" s="2093"/>
      <c r="BE91" s="2093"/>
      <c r="BF91" s="2093"/>
      <c r="BG91" s="2093"/>
      <c r="BH91" s="2093"/>
      <c r="BI91" s="850"/>
      <c r="BO91" s="140"/>
      <c r="BP91" s="2093"/>
      <c r="BQ91" s="2093"/>
      <c r="BR91" s="2093"/>
      <c r="BS91" s="2093"/>
      <c r="BT91" s="2093"/>
      <c r="BU91" s="2093"/>
      <c r="BV91" s="2093"/>
      <c r="BW91" s="2093"/>
      <c r="BX91" s="2093"/>
      <c r="BY91" s="2093"/>
      <c r="BZ91" s="2093"/>
      <c r="CA91" s="2093"/>
      <c r="CB91" s="850"/>
      <c r="CI91" s="140"/>
      <c r="CJ91" s="2093"/>
      <c r="CK91" s="2093"/>
      <c r="CL91" s="2093"/>
      <c r="CM91" s="2093"/>
      <c r="CN91" s="2093"/>
      <c r="CO91" s="2093"/>
      <c r="CP91" s="2093"/>
      <c r="CQ91" s="2093"/>
      <c r="CR91" s="2093"/>
      <c r="CS91" s="2093"/>
      <c r="CT91" s="2093"/>
      <c r="CU91" s="2093"/>
      <c r="CV91" s="850"/>
    </row>
    <row r="92" spans="10:126" ht="24" customHeight="1" thickBot="1">
      <c r="J92" s="141"/>
      <c r="K92" s="2094"/>
      <c r="L92" s="2094"/>
      <c r="M92" s="2094"/>
      <c r="N92" s="2094"/>
      <c r="O92" s="2094"/>
      <c r="P92" s="2094"/>
      <c r="Q92" s="2094"/>
      <c r="R92" s="2094"/>
      <c r="S92" s="2094"/>
      <c r="T92" s="2094"/>
      <c r="U92" s="2094"/>
      <c r="V92" s="2094"/>
      <c r="W92" s="851"/>
      <c r="AC92" s="141"/>
      <c r="AD92" s="2094"/>
      <c r="AE92" s="2094"/>
      <c r="AF92" s="2094"/>
      <c r="AG92" s="2094"/>
      <c r="AH92" s="2094"/>
      <c r="AI92" s="2094"/>
      <c r="AJ92" s="2094"/>
      <c r="AK92" s="2094"/>
      <c r="AL92" s="2094"/>
      <c r="AM92" s="2094"/>
      <c r="AN92" s="2094"/>
      <c r="AO92" s="2094"/>
      <c r="AP92" s="851"/>
      <c r="AV92" s="141"/>
      <c r="AW92" s="2094"/>
      <c r="AX92" s="2094"/>
      <c r="AY92" s="2094"/>
      <c r="AZ92" s="2094"/>
      <c r="BA92" s="2094"/>
      <c r="BB92" s="2094"/>
      <c r="BC92" s="2094"/>
      <c r="BD92" s="2094"/>
      <c r="BE92" s="2094"/>
      <c r="BF92" s="2094"/>
      <c r="BG92" s="2094"/>
      <c r="BH92" s="2094"/>
      <c r="BI92" s="851"/>
      <c r="BO92" s="141"/>
      <c r="BP92" s="2094"/>
      <c r="BQ92" s="2094"/>
      <c r="BR92" s="2094"/>
      <c r="BS92" s="2094"/>
      <c r="BT92" s="2094"/>
      <c r="BU92" s="2094"/>
      <c r="BV92" s="2094"/>
      <c r="BW92" s="2094"/>
      <c r="BX92" s="2094"/>
      <c r="BY92" s="2094"/>
      <c r="BZ92" s="2094"/>
      <c r="CA92" s="2094"/>
      <c r="CB92" s="851"/>
      <c r="CI92" s="141"/>
      <c r="CJ92" s="2094"/>
      <c r="CK92" s="2094"/>
      <c r="CL92" s="2094"/>
      <c r="CM92" s="2094"/>
      <c r="CN92" s="2094"/>
      <c r="CO92" s="2094"/>
      <c r="CP92" s="2094"/>
      <c r="CQ92" s="2094"/>
      <c r="CR92" s="2094"/>
      <c r="CS92" s="2094"/>
      <c r="CT92" s="2094"/>
      <c r="CU92" s="2094"/>
      <c r="CV92" s="851"/>
    </row>
    <row r="95" spans="10:126" ht="24" customHeight="1">
      <c r="J95" s="2093"/>
      <c r="K95" s="752"/>
      <c r="L95" s="2087"/>
      <c r="M95" s="2087"/>
      <c r="N95" s="2087"/>
      <c r="O95" s="2087"/>
      <c r="P95" s="2087"/>
      <c r="Q95" s="2087"/>
      <c r="R95" s="2087"/>
      <c r="S95" s="2087"/>
      <c r="T95" s="2087"/>
      <c r="U95" s="2087"/>
      <c r="V95" s="753"/>
      <c r="W95" s="849"/>
      <c r="AC95" s="2093"/>
      <c r="AD95" s="752"/>
      <c r="AE95" s="2087"/>
      <c r="AF95" s="2087"/>
      <c r="AG95" s="2087"/>
      <c r="AH95" s="2087"/>
      <c r="AI95" s="2087"/>
      <c r="AJ95" s="2087"/>
      <c r="AK95" s="2087"/>
      <c r="AL95" s="2087"/>
      <c r="AM95" s="2087"/>
      <c r="AN95" s="2087"/>
      <c r="AO95" s="753"/>
      <c r="AP95" s="849"/>
      <c r="AV95" s="2093"/>
      <c r="AW95" s="752"/>
      <c r="AX95" s="2087"/>
      <c r="AY95" s="2087"/>
      <c r="AZ95" s="2087"/>
      <c r="BA95" s="2087"/>
      <c r="BB95" s="2087"/>
      <c r="BC95" s="2087"/>
      <c r="BD95" s="2087"/>
      <c r="BE95" s="2087"/>
      <c r="BF95" s="2087"/>
      <c r="BG95" s="2087"/>
      <c r="BH95" s="753"/>
      <c r="BI95" s="849"/>
      <c r="BO95" s="849"/>
      <c r="BP95" s="752" t="s">
        <v>775</v>
      </c>
      <c r="BQ95" s="753"/>
      <c r="BR95" s="849"/>
      <c r="BS95" s="752" t="s">
        <v>805</v>
      </c>
      <c r="BT95" s="2087"/>
      <c r="BU95" s="2087"/>
      <c r="BV95" s="2087"/>
      <c r="BW95" s="2087"/>
      <c r="BX95" s="2087"/>
      <c r="BY95" s="2087"/>
      <c r="BZ95" s="2087"/>
      <c r="CA95" s="753"/>
      <c r="CB95" s="849"/>
      <c r="CI95" s="849"/>
      <c r="CJ95" s="752" t="s">
        <v>774</v>
      </c>
      <c r="CK95" s="753"/>
      <c r="CL95" s="849"/>
      <c r="CM95" s="156" t="s">
        <v>787</v>
      </c>
      <c r="CN95" s="152"/>
      <c r="CO95" s="152"/>
      <c r="CP95" s="152"/>
      <c r="CQ95" s="152"/>
      <c r="CR95" s="152"/>
      <c r="CS95" s="152"/>
      <c r="CT95" s="152"/>
      <c r="CU95" s="153"/>
      <c r="CV95" s="849"/>
    </row>
    <row r="96" spans="10:126" ht="24" customHeight="1" thickBot="1">
      <c r="J96" s="2095"/>
      <c r="K96" s="754"/>
      <c r="L96" s="2088"/>
      <c r="M96" s="2088"/>
      <c r="N96" s="2088"/>
      <c r="O96" s="2088"/>
      <c r="P96" s="2088"/>
      <c r="Q96" s="2088"/>
      <c r="R96" s="2088"/>
      <c r="S96" s="2088"/>
      <c r="T96" s="2088"/>
      <c r="U96" s="2088"/>
      <c r="V96" s="755"/>
      <c r="W96" s="851"/>
      <c r="AC96" s="2095"/>
      <c r="AD96" s="754"/>
      <c r="AE96" s="2088"/>
      <c r="AF96" s="2088"/>
      <c r="AG96" s="2088"/>
      <c r="AH96" s="2088"/>
      <c r="AI96" s="2088"/>
      <c r="AJ96" s="2088"/>
      <c r="AK96" s="2088"/>
      <c r="AL96" s="2088"/>
      <c r="AM96" s="2088"/>
      <c r="AN96" s="2088"/>
      <c r="AO96" s="755"/>
      <c r="AP96" s="851"/>
      <c r="AV96" s="2095"/>
      <c r="AW96" s="754"/>
      <c r="AX96" s="2088"/>
      <c r="AY96" s="2088"/>
      <c r="AZ96" s="2088"/>
      <c r="BA96" s="2088"/>
      <c r="BB96" s="2088"/>
      <c r="BC96" s="2088"/>
      <c r="BD96" s="2088"/>
      <c r="BE96" s="2088"/>
      <c r="BF96" s="2088"/>
      <c r="BG96" s="2088"/>
      <c r="BH96" s="755"/>
      <c r="BI96" s="851"/>
      <c r="BO96" s="876"/>
      <c r="BP96" s="754"/>
      <c r="BQ96" s="755"/>
      <c r="BR96" s="876"/>
      <c r="BS96" s="754"/>
      <c r="BT96" s="2088"/>
      <c r="BU96" s="2088"/>
      <c r="BV96" s="2088"/>
      <c r="BW96" s="2088"/>
      <c r="BX96" s="2088"/>
      <c r="BY96" s="2088"/>
      <c r="BZ96" s="2088"/>
      <c r="CA96" s="755"/>
      <c r="CB96" s="851"/>
      <c r="CI96" s="876"/>
      <c r="CJ96" s="754"/>
      <c r="CK96" s="755"/>
      <c r="CL96" s="876"/>
      <c r="CM96" s="154"/>
      <c r="CN96" s="154"/>
      <c r="CO96" s="154"/>
      <c r="CP96" s="154"/>
      <c r="CQ96" s="154"/>
      <c r="CR96" s="154"/>
      <c r="CS96" s="154"/>
      <c r="CT96" s="154"/>
      <c r="CU96" s="155"/>
      <c r="CV96" s="851"/>
    </row>
    <row r="97" spans="10:100" ht="24" customHeight="1">
      <c r="J97" s="140"/>
      <c r="K97" s="2096"/>
      <c r="L97" s="2097"/>
      <c r="M97" s="2097"/>
      <c r="N97" s="2097"/>
      <c r="O97" s="2097"/>
      <c r="P97" s="2097"/>
      <c r="Q97" s="2097"/>
      <c r="R97" s="2097"/>
      <c r="S97" s="2097"/>
      <c r="T97" s="2097"/>
      <c r="U97" s="2097"/>
      <c r="V97" s="2098"/>
      <c r="W97" s="2089" t="s">
        <v>440</v>
      </c>
      <c r="AC97" s="140"/>
      <c r="AD97" s="2096"/>
      <c r="AE97" s="2097"/>
      <c r="AF97" s="2097"/>
      <c r="AG97" s="2097"/>
      <c r="AH97" s="2097"/>
      <c r="AI97" s="2097"/>
      <c r="AJ97" s="2097"/>
      <c r="AK97" s="2097"/>
      <c r="AL97" s="2097"/>
      <c r="AM97" s="2097"/>
      <c r="AN97" s="2097"/>
      <c r="AO97" s="2098"/>
      <c r="AP97" s="2089" t="s">
        <v>440</v>
      </c>
      <c r="AV97" s="140"/>
      <c r="AW97" s="2096"/>
      <c r="AX97" s="2097"/>
      <c r="AY97" s="2097"/>
      <c r="AZ97" s="2097"/>
      <c r="BA97" s="2097"/>
      <c r="BB97" s="2097"/>
      <c r="BC97" s="2097"/>
      <c r="BD97" s="2097"/>
      <c r="BE97" s="2097"/>
      <c r="BF97" s="2097"/>
      <c r="BG97" s="2097"/>
      <c r="BH97" s="2098"/>
      <c r="BI97" s="2089" t="s">
        <v>440</v>
      </c>
      <c r="BO97" s="140"/>
      <c r="BP97" s="2096"/>
      <c r="BQ97" s="2097"/>
      <c r="BR97" s="2097"/>
      <c r="BS97" s="2097"/>
      <c r="BT97" s="2097"/>
      <c r="BU97" s="2097"/>
      <c r="BV97" s="2097"/>
      <c r="BW97" s="2097"/>
      <c r="BX97" s="2097"/>
      <c r="BY97" s="2097"/>
      <c r="BZ97" s="2097"/>
      <c r="CA97" s="2098"/>
      <c r="CB97" s="2089" t="s">
        <v>440</v>
      </c>
      <c r="CI97" s="140"/>
      <c r="CJ97" s="2096"/>
      <c r="CK97" s="2097"/>
      <c r="CL97" s="2097"/>
      <c r="CM97" s="2097"/>
      <c r="CN97" s="2097"/>
      <c r="CO97" s="2097"/>
      <c r="CP97" s="2097"/>
      <c r="CQ97" s="2097"/>
      <c r="CR97" s="2097"/>
      <c r="CS97" s="2097"/>
      <c r="CT97" s="2097"/>
      <c r="CU97" s="2098"/>
      <c r="CV97" s="2089" t="s">
        <v>440</v>
      </c>
    </row>
    <row r="98" spans="10:100" ht="24" customHeight="1">
      <c r="J98" s="140"/>
      <c r="K98" s="2081"/>
      <c r="L98" s="2082"/>
      <c r="M98" s="2082"/>
      <c r="N98" s="2082"/>
      <c r="O98" s="2082"/>
      <c r="P98" s="2082"/>
      <c r="Q98" s="2082"/>
      <c r="R98" s="2082"/>
      <c r="S98" s="2082"/>
      <c r="T98" s="2082"/>
      <c r="U98" s="2082"/>
      <c r="V98" s="2083"/>
      <c r="W98" s="2090"/>
      <c r="AC98" s="140"/>
      <c r="AD98" s="2081"/>
      <c r="AE98" s="2082"/>
      <c r="AF98" s="2082"/>
      <c r="AG98" s="2082"/>
      <c r="AH98" s="2082"/>
      <c r="AI98" s="2082"/>
      <c r="AJ98" s="2082"/>
      <c r="AK98" s="2082"/>
      <c r="AL98" s="2082"/>
      <c r="AM98" s="2082"/>
      <c r="AN98" s="2082"/>
      <c r="AO98" s="2083"/>
      <c r="AP98" s="2090"/>
      <c r="AV98" s="140"/>
      <c r="AW98" s="2081"/>
      <c r="AX98" s="2082"/>
      <c r="AY98" s="2082"/>
      <c r="AZ98" s="2082"/>
      <c r="BA98" s="2082"/>
      <c r="BB98" s="2082"/>
      <c r="BC98" s="2082"/>
      <c r="BD98" s="2082"/>
      <c r="BE98" s="2082"/>
      <c r="BF98" s="2082"/>
      <c r="BG98" s="2082"/>
      <c r="BH98" s="2083"/>
      <c r="BI98" s="2090"/>
      <c r="BO98" s="140"/>
      <c r="BP98" s="2081"/>
      <c r="BQ98" s="2082"/>
      <c r="BR98" s="2082"/>
      <c r="BS98" s="2082"/>
      <c r="BT98" s="2082"/>
      <c r="BU98" s="2082"/>
      <c r="BV98" s="2082"/>
      <c r="BW98" s="2082"/>
      <c r="BX98" s="2082"/>
      <c r="BY98" s="2082"/>
      <c r="BZ98" s="2082"/>
      <c r="CA98" s="2083"/>
      <c r="CB98" s="2090"/>
      <c r="CI98" s="140"/>
      <c r="CJ98" s="2081"/>
      <c r="CK98" s="2082"/>
      <c r="CL98" s="2082"/>
      <c r="CM98" s="2082"/>
      <c r="CN98" s="2082"/>
      <c r="CO98" s="2082"/>
      <c r="CP98" s="2082"/>
      <c r="CQ98" s="2082"/>
      <c r="CR98" s="2082"/>
      <c r="CS98" s="2082"/>
      <c r="CT98" s="2082"/>
      <c r="CU98" s="2083"/>
      <c r="CV98" s="2090"/>
    </row>
    <row r="99" spans="10:100" ht="24" customHeight="1">
      <c r="J99" s="140"/>
      <c r="K99" s="2081"/>
      <c r="L99" s="2082"/>
      <c r="M99" s="2082"/>
      <c r="N99" s="2082"/>
      <c r="O99" s="2082"/>
      <c r="P99" s="2082"/>
      <c r="Q99" s="2082"/>
      <c r="R99" s="2082"/>
      <c r="S99" s="2082"/>
      <c r="T99" s="2082"/>
      <c r="U99" s="2082"/>
      <c r="V99" s="2083"/>
      <c r="W99" s="2091"/>
      <c r="AC99" s="140"/>
      <c r="AD99" s="2081"/>
      <c r="AE99" s="2082"/>
      <c r="AF99" s="2082"/>
      <c r="AG99" s="2082"/>
      <c r="AH99" s="2082"/>
      <c r="AI99" s="2082"/>
      <c r="AJ99" s="2082"/>
      <c r="AK99" s="2082"/>
      <c r="AL99" s="2082"/>
      <c r="AM99" s="2082"/>
      <c r="AN99" s="2082"/>
      <c r="AO99" s="2083"/>
      <c r="AP99" s="2091"/>
      <c r="AV99" s="140"/>
      <c r="AW99" s="2081"/>
      <c r="AX99" s="2082"/>
      <c r="AY99" s="2082"/>
      <c r="AZ99" s="2082"/>
      <c r="BA99" s="2082"/>
      <c r="BB99" s="2082"/>
      <c r="BC99" s="2082"/>
      <c r="BD99" s="2082"/>
      <c r="BE99" s="2082"/>
      <c r="BF99" s="2082"/>
      <c r="BG99" s="2082"/>
      <c r="BH99" s="2083"/>
      <c r="BI99" s="2091"/>
      <c r="BO99" s="140"/>
      <c r="BP99" s="2081"/>
      <c r="BQ99" s="2082"/>
      <c r="BR99" s="2082"/>
      <c r="BS99" s="2082"/>
      <c r="BT99" s="2082"/>
      <c r="BU99" s="2082"/>
      <c r="BV99" s="2082"/>
      <c r="BW99" s="2082"/>
      <c r="BX99" s="2082"/>
      <c r="BY99" s="2082"/>
      <c r="BZ99" s="2082"/>
      <c r="CA99" s="2083"/>
      <c r="CB99" s="2091"/>
      <c r="CI99" s="140"/>
      <c r="CJ99" s="2081"/>
      <c r="CK99" s="2082"/>
      <c r="CL99" s="2082"/>
      <c r="CM99" s="2082"/>
      <c r="CN99" s="2082"/>
      <c r="CO99" s="2082"/>
      <c r="CP99" s="2082"/>
      <c r="CQ99" s="2082"/>
      <c r="CR99" s="2082"/>
      <c r="CS99" s="2082"/>
      <c r="CT99" s="2082"/>
      <c r="CU99" s="2083"/>
      <c r="CV99" s="2091"/>
    </row>
    <row r="100" spans="10:100" ht="24" customHeight="1">
      <c r="J100" s="140"/>
      <c r="K100" s="2081"/>
      <c r="L100" s="2082"/>
      <c r="M100" s="2082"/>
      <c r="N100" s="2082"/>
      <c r="O100" s="2082"/>
      <c r="P100" s="2082"/>
      <c r="Q100" s="2082"/>
      <c r="R100" s="2082"/>
      <c r="S100" s="2082"/>
      <c r="T100" s="2082"/>
      <c r="U100" s="2082"/>
      <c r="V100" s="2083"/>
      <c r="W100" s="2092"/>
      <c r="AC100" s="140"/>
      <c r="AD100" s="2081"/>
      <c r="AE100" s="2082"/>
      <c r="AF100" s="2082"/>
      <c r="AG100" s="2082"/>
      <c r="AH100" s="2082"/>
      <c r="AI100" s="2082"/>
      <c r="AJ100" s="2082"/>
      <c r="AK100" s="2082"/>
      <c r="AL100" s="2082"/>
      <c r="AM100" s="2082"/>
      <c r="AN100" s="2082"/>
      <c r="AO100" s="2083"/>
      <c r="AP100" s="2092"/>
      <c r="AV100" s="140"/>
      <c r="AW100" s="2081"/>
      <c r="AX100" s="2082"/>
      <c r="AY100" s="2082"/>
      <c r="AZ100" s="2082"/>
      <c r="BA100" s="2082"/>
      <c r="BB100" s="2082"/>
      <c r="BC100" s="2082"/>
      <c r="BD100" s="2082"/>
      <c r="BE100" s="2082"/>
      <c r="BF100" s="2082"/>
      <c r="BG100" s="2082"/>
      <c r="BH100" s="2083"/>
      <c r="BI100" s="2092"/>
      <c r="BO100" s="140"/>
      <c r="BP100" s="2081"/>
      <c r="BQ100" s="2082"/>
      <c r="BR100" s="2082"/>
      <c r="BS100" s="2082"/>
      <c r="BT100" s="2082"/>
      <c r="BU100" s="2082"/>
      <c r="BV100" s="2082"/>
      <c r="BW100" s="2082"/>
      <c r="BX100" s="2082"/>
      <c r="BY100" s="2082"/>
      <c r="BZ100" s="2082"/>
      <c r="CA100" s="2083"/>
      <c r="CB100" s="2092"/>
      <c r="CI100" s="140"/>
      <c r="CJ100" s="2081"/>
      <c r="CK100" s="2082"/>
      <c r="CL100" s="2082"/>
      <c r="CM100" s="2082"/>
      <c r="CN100" s="2082"/>
      <c r="CO100" s="2082"/>
      <c r="CP100" s="2082"/>
      <c r="CQ100" s="2082"/>
      <c r="CR100" s="2082"/>
      <c r="CS100" s="2082"/>
      <c r="CT100" s="2082"/>
      <c r="CU100" s="2083"/>
      <c r="CV100" s="2092"/>
    </row>
    <row r="101" spans="10:100" ht="24" customHeight="1">
      <c r="J101" s="140"/>
      <c r="K101" s="2081"/>
      <c r="L101" s="2082"/>
      <c r="M101" s="2082"/>
      <c r="N101" s="2082"/>
      <c r="O101" s="2082"/>
      <c r="P101" s="2082"/>
      <c r="Q101" s="2082"/>
      <c r="R101" s="2082"/>
      <c r="S101" s="2082"/>
      <c r="T101" s="2082"/>
      <c r="U101" s="2082"/>
      <c r="V101" s="2083"/>
      <c r="W101" s="2092"/>
      <c r="AC101" s="140"/>
      <c r="AD101" s="2081"/>
      <c r="AE101" s="2082"/>
      <c r="AF101" s="2082"/>
      <c r="AG101" s="2082"/>
      <c r="AH101" s="2082"/>
      <c r="AI101" s="2082"/>
      <c r="AJ101" s="2082"/>
      <c r="AK101" s="2082"/>
      <c r="AL101" s="2082"/>
      <c r="AM101" s="2082"/>
      <c r="AN101" s="2082"/>
      <c r="AO101" s="2083"/>
      <c r="AP101" s="2092"/>
      <c r="AV101" s="140"/>
      <c r="AW101" s="2081"/>
      <c r="AX101" s="2082"/>
      <c r="AY101" s="2082"/>
      <c r="AZ101" s="2082"/>
      <c r="BA101" s="2082"/>
      <c r="BB101" s="2082"/>
      <c r="BC101" s="2082"/>
      <c r="BD101" s="2082"/>
      <c r="BE101" s="2082"/>
      <c r="BF101" s="2082"/>
      <c r="BG101" s="2082"/>
      <c r="BH101" s="2083"/>
      <c r="BI101" s="2092"/>
      <c r="BO101" s="140"/>
      <c r="BP101" s="2081"/>
      <c r="BQ101" s="2082"/>
      <c r="BR101" s="2082"/>
      <c r="BS101" s="2082"/>
      <c r="BT101" s="2082"/>
      <c r="BU101" s="2082"/>
      <c r="BV101" s="2082"/>
      <c r="BW101" s="2082"/>
      <c r="BX101" s="2082"/>
      <c r="BY101" s="2082"/>
      <c r="BZ101" s="2082"/>
      <c r="CA101" s="2083"/>
      <c r="CB101" s="2092"/>
      <c r="CI101" s="140"/>
      <c r="CJ101" s="2081"/>
      <c r="CK101" s="2082"/>
      <c r="CL101" s="2082"/>
      <c r="CM101" s="2082"/>
      <c r="CN101" s="2082"/>
      <c r="CO101" s="2082"/>
      <c r="CP101" s="2082"/>
      <c r="CQ101" s="2082"/>
      <c r="CR101" s="2082"/>
      <c r="CS101" s="2082"/>
      <c r="CT101" s="2082"/>
      <c r="CU101" s="2083"/>
      <c r="CV101" s="2092"/>
    </row>
    <row r="102" spans="10:100" ht="24" customHeight="1">
      <c r="J102" s="140"/>
      <c r="K102" s="2081"/>
      <c r="L102" s="2082"/>
      <c r="M102" s="2082"/>
      <c r="N102" s="2082"/>
      <c r="O102" s="2082"/>
      <c r="P102" s="2082"/>
      <c r="Q102" s="2082"/>
      <c r="R102" s="2082"/>
      <c r="S102" s="2082"/>
      <c r="T102" s="2082"/>
      <c r="U102" s="2082"/>
      <c r="V102" s="2083"/>
      <c r="W102" s="2092"/>
      <c r="AC102" s="140"/>
      <c r="AD102" s="2081"/>
      <c r="AE102" s="2082"/>
      <c r="AF102" s="2082"/>
      <c r="AG102" s="2082"/>
      <c r="AH102" s="2082"/>
      <c r="AI102" s="2082"/>
      <c r="AJ102" s="2082"/>
      <c r="AK102" s="2082"/>
      <c r="AL102" s="2082"/>
      <c r="AM102" s="2082"/>
      <c r="AN102" s="2082"/>
      <c r="AO102" s="2083"/>
      <c r="AP102" s="2092"/>
      <c r="AV102" s="140"/>
      <c r="AW102" s="2081"/>
      <c r="AX102" s="2082"/>
      <c r="AY102" s="2082"/>
      <c r="AZ102" s="2082"/>
      <c r="BA102" s="2082"/>
      <c r="BB102" s="2082"/>
      <c r="BC102" s="2082"/>
      <c r="BD102" s="2082"/>
      <c r="BE102" s="2082"/>
      <c r="BF102" s="2082"/>
      <c r="BG102" s="2082"/>
      <c r="BH102" s="2083"/>
      <c r="BI102" s="2092"/>
      <c r="BO102" s="140"/>
      <c r="BP102" s="2081"/>
      <c r="BQ102" s="2082"/>
      <c r="BR102" s="2082"/>
      <c r="BS102" s="2082"/>
      <c r="BT102" s="2082"/>
      <c r="BU102" s="2082"/>
      <c r="BV102" s="2082"/>
      <c r="BW102" s="2082"/>
      <c r="BX102" s="2082"/>
      <c r="BY102" s="2082"/>
      <c r="BZ102" s="2082"/>
      <c r="CA102" s="2083"/>
      <c r="CB102" s="2092"/>
      <c r="CI102" s="140"/>
      <c r="CJ102" s="2081"/>
      <c r="CK102" s="2082"/>
      <c r="CL102" s="2082"/>
      <c r="CM102" s="2082"/>
      <c r="CN102" s="2082"/>
      <c r="CO102" s="2082"/>
      <c r="CP102" s="2082"/>
      <c r="CQ102" s="2082"/>
      <c r="CR102" s="2082"/>
      <c r="CS102" s="2082"/>
      <c r="CT102" s="2082"/>
      <c r="CU102" s="2083"/>
      <c r="CV102" s="2092"/>
    </row>
    <row r="103" spans="10:100" ht="24" customHeight="1">
      <c r="J103" s="140"/>
      <c r="K103" s="2081"/>
      <c r="L103" s="2082"/>
      <c r="M103" s="2082"/>
      <c r="N103" s="2082"/>
      <c r="O103" s="2082"/>
      <c r="P103" s="2082"/>
      <c r="Q103" s="2082"/>
      <c r="R103" s="2082"/>
      <c r="S103" s="2082"/>
      <c r="T103" s="2082"/>
      <c r="U103" s="2082"/>
      <c r="V103" s="2083"/>
      <c r="W103" s="2092"/>
      <c r="AC103" s="140"/>
      <c r="AD103" s="2081"/>
      <c r="AE103" s="2082"/>
      <c r="AF103" s="2082"/>
      <c r="AG103" s="2082"/>
      <c r="AH103" s="2082"/>
      <c r="AI103" s="2082"/>
      <c r="AJ103" s="2082"/>
      <c r="AK103" s="2082"/>
      <c r="AL103" s="2082"/>
      <c r="AM103" s="2082"/>
      <c r="AN103" s="2082"/>
      <c r="AO103" s="2083"/>
      <c r="AP103" s="2092"/>
      <c r="AV103" s="140"/>
      <c r="AW103" s="2081"/>
      <c r="AX103" s="2082"/>
      <c r="AY103" s="2082"/>
      <c r="AZ103" s="2082"/>
      <c r="BA103" s="2082"/>
      <c r="BB103" s="2082"/>
      <c r="BC103" s="2082"/>
      <c r="BD103" s="2082"/>
      <c r="BE103" s="2082"/>
      <c r="BF103" s="2082"/>
      <c r="BG103" s="2082"/>
      <c r="BH103" s="2083"/>
      <c r="BI103" s="2092"/>
      <c r="BO103" s="140"/>
      <c r="BP103" s="2081"/>
      <c r="BQ103" s="2082"/>
      <c r="BR103" s="2082"/>
      <c r="BS103" s="2082"/>
      <c r="BT103" s="2082"/>
      <c r="BU103" s="2082"/>
      <c r="BV103" s="2082"/>
      <c r="BW103" s="2082"/>
      <c r="BX103" s="2082"/>
      <c r="BY103" s="2082"/>
      <c r="BZ103" s="2082"/>
      <c r="CA103" s="2083"/>
      <c r="CB103" s="2092"/>
      <c r="CI103" s="140"/>
      <c r="CJ103" s="2081"/>
      <c r="CK103" s="2082"/>
      <c r="CL103" s="2082"/>
      <c r="CM103" s="2082"/>
      <c r="CN103" s="2082"/>
      <c r="CO103" s="2082"/>
      <c r="CP103" s="2082"/>
      <c r="CQ103" s="2082"/>
      <c r="CR103" s="2082"/>
      <c r="CS103" s="2082"/>
      <c r="CT103" s="2082"/>
      <c r="CU103" s="2083"/>
      <c r="CV103" s="2092"/>
    </row>
    <row r="104" spans="10:100" ht="24" customHeight="1">
      <c r="J104" s="140"/>
      <c r="K104" s="2081"/>
      <c r="L104" s="2082"/>
      <c r="M104" s="2082"/>
      <c r="N104" s="2082"/>
      <c r="O104" s="2082"/>
      <c r="P104" s="2082"/>
      <c r="Q104" s="2082"/>
      <c r="R104" s="2082"/>
      <c r="S104" s="2082"/>
      <c r="T104" s="2082"/>
      <c r="U104" s="2082"/>
      <c r="V104" s="2083"/>
      <c r="W104" s="2092"/>
      <c r="AC104" s="140"/>
      <c r="AD104" s="2081"/>
      <c r="AE104" s="2082"/>
      <c r="AF104" s="2082"/>
      <c r="AG104" s="2082"/>
      <c r="AH104" s="2082"/>
      <c r="AI104" s="2082"/>
      <c r="AJ104" s="2082"/>
      <c r="AK104" s="2082"/>
      <c r="AL104" s="2082"/>
      <c r="AM104" s="2082"/>
      <c r="AN104" s="2082"/>
      <c r="AO104" s="2083"/>
      <c r="AP104" s="2092"/>
      <c r="AV104" s="140"/>
      <c r="AW104" s="2081"/>
      <c r="AX104" s="2082"/>
      <c r="AY104" s="2082"/>
      <c r="AZ104" s="2082"/>
      <c r="BA104" s="2082"/>
      <c r="BB104" s="2082"/>
      <c r="BC104" s="2082"/>
      <c r="BD104" s="2082"/>
      <c r="BE104" s="2082"/>
      <c r="BF104" s="2082"/>
      <c r="BG104" s="2082"/>
      <c r="BH104" s="2083"/>
      <c r="BI104" s="2092"/>
      <c r="BO104" s="140"/>
      <c r="BP104" s="2081"/>
      <c r="BQ104" s="2082"/>
      <c r="BR104" s="2082"/>
      <c r="BS104" s="2082"/>
      <c r="BT104" s="2082"/>
      <c r="BU104" s="2082"/>
      <c r="BV104" s="2082"/>
      <c r="BW104" s="2082"/>
      <c r="BX104" s="2082"/>
      <c r="BY104" s="2082"/>
      <c r="BZ104" s="2082"/>
      <c r="CA104" s="2083"/>
      <c r="CB104" s="2092"/>
      <c r="CI104" s="140"/>
      <c r="CJ104" s="2081"/>
      <c r="CK104" s="2082"/>
      <c r="CL104" s="2082"/>
      <c r="CM104" s="2082"/>
      <c r="CN104" s="2082"/>
      <c r="CO104" s="2082"/>
      <c r="CP104" s="2082"/>
      <c r="CQ104" s="2082"/>
      <c r="CR104" s="2082"/>
      <c r="CS104" s="2082"/>
      <c r="CT104" s="2082"/>
      <c r="CU104" s="2083"/>
      <c r="CV104" s="2092"/>
    </row>
    <row r="105" spans="10:100" ht="24" customHeight="1">
      <c r="J105" s="140"/>
      <c r="K105" s="2081"/>
      <c r="L105" s="2082"/>
      <c r="M105" s="2082"/>
      <c r="N105" s="2082"/>
      <c r="O105" s="2082"/>
      <c r="P105" s="2082"/>
      <c r="Q105" s="2082"/>
      <c r="R105" s="2082"/>
      <c r="S105" s="2082"/>
      <c r="T105" s="2082"/>
      <c r="U105" s="2082"/>
      <c r="V105" s="2083"/>
      <c r="W105" s="2092"/>
      <c r="AC105" s="140"/>
      <c r="AD105" s="2081"/>
      <c r="AE105" s="2082"/>
      <c r="AF105" s="2082"/>
      <c r="AG105" s="2082"/>
      <c r="AH105" s="2082"/>
      <c r="AI105" s="2082"/>
      <c r="AJ105" s="2082"/>
      <c r="AK105" s="2082"/>
      <c r="AL105" s="2082"/>
      <c r="AM105" s="2082"/>
      <c r="AN105" s="2082"/>
      <c r="AO105" s="2083"/>
      <c r="AP105" s="2092"/>
      <c r="AV105" s="140"/>
      <c r="AW105" s="2081"/>
      <c r="AX105" s="2082"/>
      <c r="AY105" s="2082"/>
      <c r="AZ105" s="2082"/>
      <c r="BA105" s="2082"/>
      <c r="BB105" s="2082"/>
      <c r="BC105" s="2082"/>
      <c r="BD105" s="2082"/>
      <c r="BE105" s="2082"/>
      <c r="BF105" s="2082"/>
      <c r="BG105" s="2082"/>
      <c r="BH105" s="2083"/>
      <c r="BI105" s="2092"/>
      <c r="BO105" s="140"/>
      <c r="BP105" s="2081"/>
      <c r="BQ105" s="2082"/>
      <c r="BR105" s="2082"/>
      <c r="BS105" s="2082"/>
      <c r="BT105" s="2082"/>
      <c r="BU105" s="2082"/>
      <c r="BV105" s="2082"/>
      <c r="BW105" s="2082"/>
      <c r="BX105" s="2082"/>
      <c r="BY105" s="2082"/>
      <c r="BZ105" s="2082"/>
      <c r="CA105" s="2083"/>
      <c r="CB105" s="2092"/>
      <c r="CI105" s="140"/>
      <c r="CJ105" s="2081"/>
      <c r="CK105" s="2082"/>
      <c r="CL105" s="2082"/>
      <c r="CM105" s="2082"/>
      <c r="CN105" s="2082"/>
      <c r="CO105" s="2082"/>
      <c r="CP105" s="2082"/>
      <c r="CQ105" s="2082"/>
      <c r="CR105" s="2082"/>
      <c r="CS105" s="2082"/>
      <c r="CT105" s="2082"/>
      <c r="CU105" s="2083"/>
      <c r="CV105" s="2092"/>
    </row>
    <row r="106" spans="10:100" ht="24" customHeight="1">
      <c r="J106" s="140"/>
      <c r="K106" s="2081"/>
      <c r="L106" s="2082"/>
      <c r="M106" s="2082"/>
      <c r="N106" s="2082"/>
      <c r="O106" s="2082"/>
      <c r="P106" s="2082"/>
      <c r="Q106" s="2082"/>
      <c r="R106" s="2082"/>
      <c r="S106" s="2082"/>
      <c r="T106" s="2082"/>
      <c r="U106" s="2082"/>
      <c r="V106" s="2083"/>
      <c r="W106" s="2092"/>
      <c r="AC106" s="140"/>
      <c r="AD106" s="2081"/>
      <c r="AE106" s="2082"/>
      <c r="AF106" s="2082"/>
      <c r="AG106" s="2082"/>
      <c r="AH106" s="2082"/>
      <c r="AI106" s="2082"/>
      <c r="AJ106" s="2082"/>
      <c r="AK106" s="2082"/>
      <c r="AL106" s="2082"/>
      <c r="AM106" s="2082"/>
      <c r="AN106" s="2082"/>
      <c r="AO106" s="2083"/>
      <c r="AP106" s="2092"/>
      <c r="AV106" s="140"/>
      <c r="AW106" s="2081"/>
      <c r="AX106" s="2082"/>
      <c r="AY106" s="2082"/>
      <c r="AZ106" s="2082"/>
      <c r="BA106" s="2082"/>
      <c r="BB106" s="2082"/>
      <c r="BC106" s="2082"/>
      <c r="BD106" s="2082"/>
      <c r="BE106" s="2082"/>
      <c r="BF106" s="2082"/>
      <c r="BG106" s="2082"/>
      <c r="BH106" s="2083"/>
      <c r="BI106" s="2092"/>
      <c r="BO106" s="140"/>
      <c r="BP106" s="2081"/>
      <c r="BQ106" s="2082"/>
      <c r="BR106" s="2082"/>
      <c r="BS106" s="2082"/>
      <c r="BT106" s="2082"/>
      <c r="BU106" s="2082"/>
      <c r="BV106" s="2082"/>
      <c r="BW106" s="2082"/>
      <c r="BX106" s="2082"/>
      <c r="BY106" s="2082"/>
      <c r="BZ106" s="2082"/>
      <c r="CA106" s="2083"/>
      <c r="CB106" s="2092"/>
      <c r="CI106" s="140"/>
      <c r="CJ106" s="2081"/>
      <c r="CK106" s="2082"/>
      <c r="CL106" s="2082"/>
      <c r="CM106" s="2082"/>
      <c r="CN106" s="2082"/>
      <c r="CO106" s="2082"/>
      <c r="CP106" s="2082"/>
      <c r="CQ106" s="2082"/>
      <c r="CR106" s="2082"/>
      <c r="CS106" s="2082"/>
      <c r="CT106" s="2082"/>
      <c r="CU106" s="2083"/>
      <c r="CV106" s="2092"/>
    </row>
    <row r="107" spans="10:100" ht="24" customHeight="1">
      <c r="J107" s="140"/>
      <c r="K107" s="2081"/>
      <c r="L107" s="2082"/>
      <c r="M107" s="2082"/>
      <c r="N107" s="2082"/>
      <c r="O107" s="2082"/>
      <c r="P107" s="2082"/>
      <c r="Q107" s="2082"/>
      <c r="R107" s="2082"/>
      <c r="S107" s="2082"/>
      <c r="T107" s="2082"/>
      <c r="U107" s="2082"/>
      <c r="V107" s="2083"/>
      <c r="W107" s="2092"/>
      <c r="AC107" s="140"/>
      <c r="AD107" s="2081"/>
      <c r="AE107" s="2082"/>
      <c r="AF107" s="2082"/>
      <c r="AG107" s="2082"/>
      <c r="AH107" s="2082"/>
      <c r="AI107" s="2082"/>
      <c r="AJ107" s="2082"/>
      <c r="AK107" s="2082"/>
      <c r="AL107" s="2082"/>
      <c r="AM107" s="2082"/>
      <c r="AN107" s="2082"/>
      <c r="AO107" s="2083"/>
      <c r="AP107" s="2092"/>
      <c r="AV107" s="140"/>
      <c r="AW107" s="2081"/>
      <c r="AX107" s="2082"/>
      <c r="AY107" s="2082"/>
      <c r="AZ107" s="2082"/>
      <c r="BA107" s="2082"/>
      <c r="BB107" s="2082"/>
      <c r="BC107" s="2082"/>
      <c r="BD107" s="2082"/>
      <c r="BE107" s="2082"/>
      <c r="BF107" s="2082"/>
      <c r="BG107" s="2082"/>
      <c r="BH107" s="2083"/>
      <c r="BI107" s="2092"/>
      <c r="BO107" s="140"/>
      <c r="BP107" s="2081"/>
      <c r="BQ107" s="2082"/>
      <c r="BR107" s="2082"/>
      <c r="BS107" s="2082"/>
      <c r="BT107" s="2082"/>
      <c r="BU107" s="2082"/>
      <c r="BV107" s="2082"/>
      <c r="BW107" s="2082"/>
      <c r="BX107" s="2082"/>
      <c r="BY107" s="2082"/>
      <c r="BZ107" s="2082"/>
      <c r="CA107" s="2083"/>
      <c r="CB107" s="2092"/>
      <c r="CI107" s="140"/>
      <c r="CJ107" s="2081"/>
      <c r="CK107" s="2082"/>
      <c r="CL107" s="2082"/>
      <c r="CM107" s="2082"/>
      <c r="CN107" s="2082"/>
      <c r="CO107" s="2082"/>
      <c r="CP107" s="2082"/>
      <c r="CQ107" s="2082"/>
      <c r="CR107" s="2082"/>
      <c r="CS107" s="2082"/>
      <c r="CT107" s="2082"/>
      <c r="CU107" s="2083"/>
      <c r="CV107" s="2092"/>
    </row>
    <row r="108" spans="10:100" ht="24" customHeight="1">
      <c r="J108" s="140"/>
      <c r="K108" s="2081"/>
      <c r="L108" s="2082"/>
      <c r="M108" s="2082"/>
      <c r="N108" s="2082"/>
      <c r="O108" s="2082"/>
      <c r="P108" s="2082"/>
      <c r="Q108" s="2082"/>
      <c r="R108" s="2082"/>
      <c r="S108" s="2082"/>
      <c r="T108" s="2082"/>
      <c r="U108" s="2082"/>
      <c r="V108" s="2083"/>
      <c r="W108" s="2092"/>
      <c r="AC108" s="140"/>
      <c r="AD108" s="2081"/>
      <c r="AE108" s="2082"/>
      <c r="AF108" s="2082"/>
      <c r="AG108" s="2082"/>
      <c r="AH108" s="2082"/>
      <c r="AI108" s="2082"/>
      <c r="AJ108" s="2082"/>
      <c r="AK108" s="2082"/>
      <c r="AL108" s="2082"/>
      <c r="AM108" s="2082"/>
      <c r="AN108" s="2082"/>
      <c r="AO108" s="2083"/>
      <c r="AP108" s="2092"/>
      <c r="AV108" s="140"/>
      <c r="AW108" s="2081"/>
      <c r="AX108" s="2082"/>
      <c r="AY108" s="2082"/>
      <c r="AZ108" s="2082"/>
      <c r="BA108" s="2082"/>
      <c r="BB108" s="2082"/>
      <c r="BC108" s="2082"/>
      <c r="BD108" s="2082"/>
      <c r="BE108" s="2082"/>
      <c r="BF108" s="2082"/>
      <c r="BG108" s="2082"/>
      <c r="BH108" s="2083"/>
      <c r="BI108" s="2092"/>
      <c r="BO108" s="140"/>
      <c r="BP108" s="2081"/>
      <c r="BQ108" s="2082"/>
      <c r="BR108" s="2082"/>
      <c r="BS108" s="2082"/>
      <c r="BT108" s="2082"/>
      <c r="BU108" s="2082"/>
      <c r="BV108" s="2082"/>
      <c r="BW108" s="2082"/>
      <c r="BX108" s="2082"/>
      <c r="BY108" s="2082"/>
      <c r="BZ108" s="2082"/>
      <c r="CA108" s="2083"/>
      <c r="CB108" s="2092"/>
      <c r="CI108" s="140"/>
      <c r="CJ108" s="2081"/>
      <c r="CK108" s="2082"/>
      <c r="CL108" s="2082"/>
      <c r="CM108" s="2082"/>
      <c r="CN108" s="2082"/>
      <c r="CO108" s="2082"/>
      <c r="CP108" s="2082"/>
      <c r="CQ108" s="2082"/>
      <c r="CR108" s="2082"/>
      <c r="CS108" s="2082"/>
      <c r="CT108" s="2082"/>
      <c r="CU108" s="2083"/>
      <c r="CV108" s="2092"/>
    </row>
    <row r="109" spans="10:100" ht="24" customHeight="1">
      <c r="J109" s="140"/>
      <c r="K109" s="2081"/>
      <c r="L109" s="2082"/>
      <c r="M109" s="2082"/>
      <c r="N109" s="2082"/>
      <c r="O109" s="2082"/>
      <c r="P109" s="2082"/>
      <c r="Q109" s="2082"/>
      <c r="R109" s="2082"/>
      <c r="S109" s="2082"/>
      <c r="T109" s="2082"/>
      <c r="U109" s="2082"/>
      <c r="V109" s="2083"/>
      <c r="W109" s="2092"/>
      <c r="AC109" s="140"/>
      <c r="AD109" s="2081"/>
      <c r="AE109" s="2082"/>
      <c r="AF109" s="2082"/>
      <c r="AG109" s="2082"/>
      <c r="AH109" s="2082"/>
      <c r="AI109" s="2082"/>
      <c r="AJ109" s="2082"/>
      <c r="AK109" s="2082"/>
      <c r="AL109" s="2082"/>
      <c r="AM109" s="2082"/>
      <c r="AN109" s="2082"/>
      <c r="AO109" s="2083"/>
      <c r="AP109" s="2092"/>
      <c r="AV109" s="140"/>
      <c r="AW109" s="2081"/>
      <c r="AX109" s="2082"/>
      <c r="AY109" s="2082"/>
      <c r="AZ109" s="2082"/>
      <c r="BA109" s="2082"/>
      <c r="BB109" s="2082"/>
      <c r="BC109" s="2082"/>
      <c r="BD109" s="2082"/>
      <c r="BE109" s="2082"/>
      <c r="BF109" s="2082"/>
      <c r="BG109" s="2082"/>
      <c r="BH109" s="2083"/>
      <c r="BI109" s="2092"/>
      <c r="BO109" s="140"/>
      <c r="BP109" s="2081"/>
      <c r="BQ109" s="2082"/>
      <c r="BR109" s="2082"/>
      <c r="BS109" s="2082"/>
      <c r="BT109" s="2082"/>
      <c r="BU109" s="2082"/>
      <c r="BV109" s="2082"/>
      <c r="BW109" s="2082"/>
      <c r="BX109" s="2082"/>
      <c r="BY109" s="2082"/>
      <c r="BZ109" s="2082"/>
      <c r="CA109" s="2083"/>
      <c r="CB109" s="2092"/>
      <c r="CI109" s="140"/>
      <c r="CJ109" s="2081"/>
      <c r="CK109" s="2082"/>
      <c r="CL109" s="2082"/>
      <c r="CM109" s="2082"/>
      <c r="CN109" s="2082"/>
      <c r="CO109" s="2082"/>
      <c r="CP109" s="2082"/>
      <c r="CQ109" s="2082"/>
      <c r="CR109" s="2082"/>
      <c r="CS109" s="2082"/>
      <c r="CT109" s="2082"/>
      <c r="CU109" s="2083"/>
      <c r="CV109" s="2092"/>
    </row>
    <row r="110" spans="10:100" ht="24" customHeight="1">
      <c r="J110" s="140"/>
      <c r="K110" s="2081"/>
      <c r="L110" s="2082"/>
      <c r="M110" s="2082"/>
      <c r="N110" s="2082"/>
      <c r="O110" s="2082"/>
      <c r="P110" s="2082"/>
      <c r="Q110" s="2082"/>
      <c r="R110" s="2082"/>
      <c r="S110" s="2082"/>
      <c r="T110" s="2082"/>
      <c r="U110" s="2082"/>
      <c r="V110" s="2083"/>
      <c r="W110" s="2092"/>
      <c r="AC110" s="140"/>
      <c r="AD110" s="2081"/>
      <c r="AE110" s="2082"/>
      <c r="AF110" s="2082"/>
      <c r="AG110" s="2082"/>
      <c r="AH110" s="2082"/>
      <c r="AI110" s="2082"/>
      <c r="AJ110" s="2082"/>
      <c r="AK110" s="2082"/>
      <c r="AL110" s="2082"/>
      <c r="AM110" s="2082"/>
      <c r="AN110" s="2082"/>
      <c r="AO110" s="2083"/>
      <c r="AP110" s="2092"/>
      <c r="AV110" s="140"/>
      <c r="AW110" s="2081"/>
      <c r="AX110" s="2082"/>
      <c r="AY110" s="2082"/>
      <c r="AZ110" s="2082"/>
      <c r="BA110" s="2082"/>
      <c r="BB110" s="2082"/>
      <c r="BC110" s="2082"/>
      <c r="BD110" s="2082"/>
      <c r="BE110" s="2082"/>
      <c r="BF110" s="2082"/>
      <c r="BG110" s="2082"/>
      <c r="BH110" s="2083"/>
      <c r="BI110" s="2092"/>
      <c r="BO110" s="140"/>
      <c r="BP110" s="2081"/>
      <c r="BQ110" s="2082"/>
      <c r="BR110" s="2082"/>
      <c r="BS110" s="2082"/>
      <c r="BT110" s="2082"/>
      <c r="BU110" s="2082"/>
      <c r="BV110" s="2082"/>
      <c r="BW110" s="2082"/>
      <c r="BX110" s="2082"/>
      <c r="BY110" s="2082"/>
      <c r="BZ110" s="2082"/>
      <c r="CA110" s="2083"/>
      <c r="CB110" s="2092"/>
      <c r="CI110" s="140"/>
      <c r="CJ110" s="2081"/>
      <c r="CK110" s="2082"/>
      <c r="CL110" s="2082"/>
      <c r="CM110" s="2082"/>
      <c r="CN110" s="2082"/>
      <c r="CO110" s="2082"/>
      <c r="CP110" s="2082"/>
      <c r="CQ110" s="2082"/>
      <c r="CR110" s="2082"/>
      <c r="CS110" s="2082"/>
      <c r="CT110" s="2082"/>
      <c r="CU110" s="2083"/>
      <c r="CV110" s="2092"/>
    </row>
    <row r="111" spans="10:100" ht="24" customHeight="1">
      <c r="J111" s="140"/>
      <c r="K111" s="2081"/>
      <c r="L111" s="2082"/>
      <c r="M111" s="2082"/>
      <c r="N111" s="2082"/>
      <c r="O111" s="2082"/>
      <c r="P111" s="2082"/>
      <c r="Q111" s="2082"/>
      <c r="R111" s="2082"/>
      <c r="S111" s="2082"/>
      <c r="T111" s="2082"/>
      <c r="U111" s="2082"/>
      <c r="V111" s="2083"/>
      <c r="W111" s="2092"/>
      <c r="AC111" s="140"/>
      <c r="AD111" s="2081"/>
      <c r="AE111" s="2082"/>
      <c r="AF111" s="2082"/>
      <c r="AG111" s="2082"/>
      <c r="AH111" s="2082"/>
      <c r="AI111" s="2082"/>
      <c r="AJ111" s="2082"/>
      <c r="AK111" s="2082"/>
      <c r="AL111" s="2082"/>
      <c r="AM111" s="2082"/>
      <c r="AN111" s="2082"/>
      <c r="AO111" s="2083"/>
      <c r="AP111" s="2092"/>
      <c r="AV111" s="140"/>
      <c r="AW111" s="2081"/>
      <c r="AX111" s="2082"/>
      <c r="AY111" s="2082"/>
      <c r="AZ111" s="2082"/>
      <c r="BA111" s="2082"/>
      <c r="BB111" s="2082"/>
      <c r="BC111" s="2082"/>
      <c r="BD111" s="2082"/>
      <c r="BE111" s="2082"/>
      <c r="BF111" s="2082"/>
      <c r="BG111" s="2082"/>
      <c r="BH111" s="2083"/>
      <c r="BI111" s="2092"/>
      <c r="BO111" s="140"/>
      <c r="BP111" s="2081"/>
      <c r="BQ111" s="2082"/>
      <c r="BR111" s="2082"/>
      <c r="BS111" s="2082"/>
      <c r="BT111" s="2082"/>
      <c r="BU111" s="2082"/>
      <c r="BV111" s="2082"/>
      <c r="BW111" s="2082"/>
      <c r="BX111" s="2082"/>
      <c r="BY111" s="2082"/>
      <c r="BZ111" s="2082"/>
      <c r="CA111" s="2083"/>
      <c r="CB111" s="2092"/>
      <c r="CI111" s="140"/>
      <c r="CJ111" s="2081"/>
      <c r="CK111" s="2082"/>
      <c r="CL111" s="2082"/>
      <c r="CM111" s="2082"/>
      <c r="CN111" s="2082"/>
      <c r="CO111" s="2082"/>
      <c r="CP111" s="2082"/>
      <c r="CQ111" s="2082"/>
      <c r="CR111" s="2082"/>
      <c r="CS111" s="2082"/>
      <c r="CT111" s="2082"/>
      <c r="CU111" s="2083"/>
      <c r="CV111" s="2092"/>
    </row>
    <row r="112" spans="10:100" ht="24" customHeight="1">
      <c r="J112" s="140"/>
      <c r="K112" s="2081"/>
      <c r="L112" s="2082"/>
      <c r="M112" s="2082"/>
      <c r="N112" s="2082"/>
      <c r="O112" s="2082"/>
      <c r="P112" s="2082"/>
      <c r="Q112" s="2082"/>
      <c r="R112" s="2082"/>
      <c r="S112" s="2082"/>
      <c r="T112" s="2082"/>
      <c r="U112" s="2082"/>
      <c r="V112" s="2083"/>
      <c r="W112" s="2092"/>
      <c r="AC112" s="140"/>
      <c r="AD112" s="2081"/>
      <c r="AE112" s="2082"/>
      <c r="AF112" s="2082"/>
      <c r="AG112" s="2082"/>
      <c r="AH112" s="2082"/>
      <c r="AI112" s="2082"/>
      <c r="AJ112" s="2082"/>
      <c r="AK112" s="2082"/>
      <c r="AL112" s="2082"/>
      <c r="AM112" s="2082"/>
      <c r="AN112" s="2082"/>
      <c r="AO112" s="2083"/>
      <c r="AP112" s="2092"/>
      <c r="AV112" s="140"/>
      <c r="AW112" s="2081"/>
      <c r="AX112" s="2082"/>
      <c r="AY112" s="2082"/>
      <c r="AZ112" s="2082"/>
      <c r="BA112" s="2082"/>
      <c r="BB112" s="2082"/>
      <c r="BC112" s="2082"/>
      <c r="BD112" s="2082"/>
      <c r="BE112" s="2082"/>
      <c r="BF112" s="2082"/>
      <c r="BG112" s="2082"/>
      <c r="BH112" s="2083"/>
      <c r="BI112" s="2092"/>
      <c r="BO112" s="140"/>
      <c r="BP112" s="2081"/>
      <c r="BQ112" s="2082"/>
      <c r="BR112" s="2082"/>
      <c r="BS112" s="2082"/>
      <c r="BT112" s="2082"/>
      <c r="BU112" s="2082"/>
      <c r="BV112" s="2082"/>
      <c r="BW112" s="2082"/>
      <c r="BX112" s="2082"/>
      <c r="BY112" s="2082"/>
      <c r="BZ112" s="2082"/>
      <c r="CA112" s="2083"/>
      <c r="CB112" s="2092"/>
      <c r="CI112" s="140"/>
      <c r="CJ112" s="2081"/>
      <c r="CK112" s="2082"/>
      <c r="CL112" s="2082"/>
      <c r="CM112" s="2082"/>
      <c r="CN112" s="2082"/>
      <c r="CO112" s="2082"/>
      <c r="CP112" s="2082"/>
      <c r="CQ112" s="2082"/>
      <c r="CR112" s="2082"/>
      <c r="CS112" s="2082"/>
      <c r="CT112" s="2082"/>
      <c r="CU112" s="2083"/>
      <c r="CV112" s="2092"/>
    </row>
    <row r="113" spans="10:100" ht="24" customHeight="1">
      <c r="J113" s="140"/>
      <c r="K113" s="2081"/>
      <c r="L113" s="2082"/>
      <c r="M113" s="2082"/>
      <c r="N113" s="2082"/>
      <c r="O113" s="2082"/>
      <c r="P113" s="2082"/>
      <c r="Q113" s="2082"/>
      <c r="R113" s="2082"/>
      <c r="S113" s="2082"/>
      <c r="T113" s="2082"/>
      <c r="U113" s="2082"/>
      <c r="V113" s="2083"/>
      <c r="W113" s="2092"/>
      <c r="AC113" s="140"/>
      <c r="AD113" s="2081"/>
      <c r="AE113" s="2082"/>
      <c r="AF113" s="2082"/>
      <c r="AG113" s="2082"/>
      <c r="AH113" s="2082"/>
      <c r="AI113" s="2082"/>
      <c r="AJ113" s="2082"/>
      <c r="AK113" s="2082"/>
      <c r="AL113" s="2082"/>
      <c r="AM113" s="2082"/>
      <c r="AN113" s="2082"/>
      <c r="AO113" s="2083"/>
      <c r="AP113" s="2092"/>
      <c r="AV113" s="140"/>
      <c r="AW113" s="2081"/>
      <c r="AX113" s="2082"/>
      <c r="AY113" s="2082"/>
      <c r="AZ113" s="2082"/>
      <c r="BA113" s="2082"/>
      <c r="BB113" s="2082"/>
      <c r="BC113" s="2082"/>
      <c r="BD113" s="2082"/>
      <c r="BE113" s="2082"/>
      <c r="BF113" s="2082"/>
      <c r="BG113" s="2082"/>
      <c r="BH113" s="2083"/>
      <c r="BI113" s="2092"/>
      <c r="BO113" s="140"/>
      <c r="BP113" s="2081"/>
      <c r="BQ113" s="2082"/>
      <c r="BR113" s="2082"/>
      <c r="BS113" s="2082"/>
      <c r="BT113" s="2082"/>
      <c r="BU113" s="2082"/>
      <c r="BV113" s="2082"/>
      <c r="BW113" s="2082"/>
      <c r="BX113" s="2082"/>
      <c r="BY113" s="2082"/>
      <c r="BZ113" s="2082"/>
      <c r="CA113" s="2083"/>
      <c r="CB113" s="2092"/>
      <c r="CI113" s="140"/>
      <c r="CJ113" s="2081"/>
      <c r="CK113" s="2082"/>
      <c r="CL113" s="2082"/>
      <c r="CM113" s="2082"/>
      <c r="CN113" s="2082"/>
      <c r="CO113" s="2082"/>
      <c r="CP113" s="2082"/>
      <c r="CQ113" s="2082"/>
      <c r="CR113" s="2082"/>
      <c r="CS113" s="2082"/>
      <c r="CT113" s="2082"/>
      <c r="CU113" s="2083"/>
      <c r="CV113" s="2092"/>
    </row>
    <row r="114" spans="10:100" ht="24" customHeight="1">
      <c r="J114" s="140"/>
      <c r="K114" s="2081"/>
      <c r="L114" s="2082"/>
      <c r="M114" s="2082"/>
      <c r="N114" s="2082"/>
      <c r="O114" s="2082"/>
      <c r="P114" s="2082"/>
      <c r="Q114" s="2082"/>
      <c r="R114" s="2082"/>
      <c r="S114" s="2082"/>
      <c r="T114" s="2082"/>
      <c r="U114" s="2082"/>
      <c r="V114" s="2083"/>
      <c r="W114" s="2092"/>
      <c r="AC114" s="140"/>
      <c r="AD114" s="2081"/>
      <c r="AE114" s="2082"/>
      <c r="AF114" s="2082"/>
      <c r="AG114" s="2082"/>
      <c r="AH114" s="2082"/>
      <c r="AI114" s="2082"/>
      <c r="AJ114" s="2082"/>
      <c r="AK114" s="2082"/>
      <c r="AL114" s="2082"/>
      <c r="AM114" s="2082"/>
      <c r="AN114" s="2082"/>
      <c r="AO114" s="2083"/>
      <c r="AP114" s="2092"/>
      <c r="AV114" s="140"/>
      <c r="AW114" s="2081"/>
      <c r="AX114" s="2082"/>
      <c r="AY114" s="2082"/>
      <c r="AZ114" s="2082"/>
      <c r="BA114" s="2082"/>
      <c r="BB114" s="2082"/>
      <c r="BC114" s="2082"/>
      <c r="BD114" s="2082"/>
      <c r="BE114" s="2082"/>
      <c r="BF114" s="2082"/>
      <c r="BG114" s="2082"/>
      <c r="BH114" s="2083"/>
      <c r="BI114" s="2092"/>
      <c r="BO114" s="140"/>
      <c r="BP114" s="2081"/>
      <c r="BQ114" s="2082"/>
      <c r="BR114" s="2082"/>
      <c r="BS114" s="2082"/>
      <c r="BT114" s="2082"/>
      <c r="BU114" s="2082"/>
      <c r="BV114" s="2082"/>
      <c r="BW114" s="2082"/>
      <c r="BX114" s="2082"/>
      <c r="BY114" s="2082"/>
      <c r="BZ114" s="2082"/>
      <c r="CA114" s="2083"/>
      <c r="CB114" s="2092"/>
      <c r="CI114" s="140"/>
      <c r="CJ114" s="2081"/>
      <c r="CK114" s="2082"/>
      <c r="CL114" s="2082"/>
      <c r="CM114" s="2082"/>
      <c r="CN114" s="2082"/>
      <c r="CO114" s="2082"/>
      <c r="CP114" s="2082"/>
      <c r="CQ114" s="2082"/>
      <c r="CR114" s="2082"/>
      <c r="CS114" s="2082"/>
      <c r="CT114" s="2082"/>
      <c r="CU114" s="2083"/>
      <c r="CV114" s="2092"/>
    </row>
    <row r="115" spans="10:100" ht="24" customHeight="1">
      <c r="J115" s="140"/>
      <c r="K115" s="2081"/>
      <c r="L115" s="2082"/>
      <c r="M115" s="2082"/>
      <c r="N115" s="2082"/>
      <c r="O115" s="2082"/>
      <c r="P115" s="2082"/>
      <c r="Q115" s="2082"/>
      <c r="R115" s="2082"/>
      <c r="S115" s="2082"/>
      <c r="T115" s="2082"/>
      <c r="U115" s="2082"/>
      <c r="V115" s="2083"/>
      <c r="W115" s="2092"/>
      <c r="AC115" s="140"/>
      <c r="AD115" s="2081"/>
      <c r="AE115" s="2082"/>
      <c r="AF115" s="2082"/>
      <c r="AG115" s="2082"/>
      <c r="AH115" s="2082"/>
      <c r="AI115" s="2082"/>
      <c r="AJ115" s="2082"/>
      <c r="AK115" s="2082"/>
      <c r="AL115" s="2082"/>
      <c r="AM115" s="2082"/>
      <c r="AN115" s="2082"/>
      <c r="AO115" s="2083"/>
      <c r="AP115" s="2092"/>
      <c r="AV115" s="140"/>
      <c r="AW115" s="2081"/>
      <c r="AX115" s="2082"/>
      <c r="AY115" s="2082"/>
      <c r="AZ115" s="2082"/>
      <c r="BA115" s="2082"/>
      <c r="BB115" s="2082"/>
      <c r="BC115" s="2082"/>
      <c r="BD115" s="2082"/>
      <c r="BE115" s="2082"/>
      <c r="BF115" s="2082"/>
      <c r="BG115" s="2082"/>
      <c r="BH115" s="2083"/>
      <c r="BI115" s="2092"/>
      <c r="BO115" s="140"/>
      <c r="BP115" s="2081"/>
      <c r="BQ115" s="2082"/>
      <c r="BR115" s="2082"/>
      <c r="BS115" s="2082"/>
      <c r="BT115" s="2082"/>
      <c r="BU115" s="2082"/>
      <c r="BV115" s="2082"/>
      <c r="BW115" s="2082"/>
      <c r="BX115" s="2082"/>
      <c r="BY115" s="2082"/>
      <c r="BZ115" s="2082"/>
      <c r="CA115" s="2083"/>
      <c r="CB115" s="2092"/>
      <c r="CI115" s="140"/>
      <c r="CJ115" s="2081"/>
      <c r="CK115" s="2082"/>
      <c r="CL115" s="2082"/>
      <c r="CM115" s="2082"/>
      <c r="CN115" s="2082"/>
      <c r="CO115" s="2082"/>
      <c r="CP115" s="2082"/>
      <c r="CQ115" s="2082"/>
      <c r="CR115" s="2082"/>
      <c r="CS115" s="2082"/>
      <c r="CT115" s="2082"/>
      <c r="CU115" s="2083"/>
      <c r="CV115" s="2092"/>
    </row>
    <row r="116" spans="10:100" ht="24" customHeight="1">
      <c r="J116" s="140"/>
      <c r="K116" s="2081"/>
      <c r="L116" s="2082"/>
      <c r="M116" s="2082"/>
      <c r="N116" s="2082"/>
      <c r="O116" s="2082"/>
      <c r="P116" s="2082"/>
      <c r="Q116" s="2082"/>
      <c r="R116" s="2082"/>
      <c r="S116" s="2082"/>
      <c r="T116" s="2082"/>
      <c r="U116" s="2082"/>
      <c r="V116" s="2083"/>
      <c r="W116" s="2092"/>
      <c r="AC116" s="140"/>
      <c r="AD116" s="2081"/>
      <c r="AE116" s="2082"/>
      <c r="AF116" s="2082"/>
      <c r="AG116" s="2082"/>
      <c r="AH116" s="2082"/>
      <c r="AI116" s="2082"/>
      <c r="AJ116" s="2082"/>
      <c r="AK116" s="2082"/>
      <c r="AL116" s="2082"/>
      <c r="AM116" s="2082"/>
      <c r="AN116" s="2082"/>
      <c r="AO116" s="2083"/>
      <c r="AP116" s="2092"/>
      <c r="AV116" s="140"/>
      <c r="AW116" s="2081"/>
      <c r="AX116" s="2082"/>
      <c r="AY116" s="2082"/>
      <c r="AZ116" s="2082"/>
      <c r="BA116" s="2082"/>
      <c r="BB116" s="2082"/>
      <c r="BC116" s="2082"/>
      <c r="BD116" s="2082"/>
      <c r="BE116" s="2082"/>
      <c r="BF116" s="2082"/>
      <c r="BG116" s="2082"/>
      <c r="BH116" s="2083"/>
      <c r="BI116" s="2092"/>
      <c r="BO116" s="140"/>
      <c r="BP116" s="2081"/>
      <c r="BQ116" s="2082"/>
      <c r="BR116" s="2082"/>
      <c r="BS116" s="2082"/>
      <c r="BT116" s="2082"/>
      <c r="BU116" s="2082"/>
      <c r="BV116" s="2082"/>
      <c r="BW116" s="2082"/>
      <c r="BX116" s="2082"/>
      <c r="BY116" s="2082"/>
      <c r="BZ116" s="2082"/>
      <c r="CA116" s="2083"/>
      <c r="CB116" s="2092"/>
      <c r="CI116" s="140"/>
      <c r="CJ116" s="2081"/>
      <c r="CK116" s="2082"/>
      <c r="CL116" s="2082"/>
      <c r="CM116" s="2082"/>
      <c r="CN116" s="2082"/>
      <c r="CO116" s="2082"/>
      <c r="CP116" s="2082"/>
      <c r="CQ116" s="2082"/>
      <c r="CR116" s="2082"/>
      <c r="CS116" s="2082"/>
      <c r="CT116" s="2082"/>
      <c r="CU116" s="2083"/>
      <c r="CV116" s="2092"/>
    </row>
    <row r="117" spans="10:100" ht="24" customHeight="1">
      <c r="J117" s="140"/>
      <c r="K117" s="2081"/>
      <c r="L117" s="2082"/>
      <c r="M117" s="2082"/>
      <c r="N117" s="2082"/>
      <c r="O117" s="2082"/>
      <c r="P117" s="2082"/>
      <c r="Q117" s="2082"/>
      <c r="R117" s="2082"/>
      <c r="S117" s="2082"/>
      <c r="T117" s="2082"/>
      <c r="U117" s="2082"/>
      <c r="V117" s="2083"/>
      <c r="W117" s="2092"/>
      <c r="AC117" s="140"/>
      <c r="AD117" s="2081"/>
      <c r="AE117" s="2082"/>
      <c r="AF117" s="2082"/>
      <c r="AG117" s="2082"/>
      <c r="AH117" s="2082"/>
      <c r="AI117" s="2082"/>
      <c r="AJ117" s="2082"/>
      <c r="AK117" s="2082"/>
      <c r="AL117" s="2082"/>
      <c r="AM117" s="2082"/>
      <c r="AN117" s="2082"/>
      <c r="AO117" s="2083"/>
      <c r="AP117" s="2092"/>
      <c r="AV117" s="140"/>
      <c r="AW117" s="2081"/>
      <c r="AX117" s="2082"/>
      <c r="AY117" s="2082"/>
      <c r="AZ117" s="2082"/>
      <c r="BA117" s="2082"/>
      <c r="BB117" s="2082"/>
      <c r="BC117" s="2082"/>
      <c r="BD117" s="2082"/>
      <c r="BE117" s="2082"/>
      <c r="BF117" s="2082"/>
      <c r="BG117" s="2082"/>
      <c r="BH117" s="2083"/>
      <c r="BI117" s="2092"/>
      <c r="BO117" s="140"/>
      <c r="BP117" s="2081"/>
      <c r="BQ117" s="2082"/>
      <c r="BR117" s="2082"/>
      <c r="BS117" s="2082"/>
      <c r="BT117" s="2082"/>
      <c r="BU117" s="2082"/>
      <c r="BV117" s="2082"/>
      <c r="BW117" s="2082"/>
      <c r="BX117" s="2082"/>
      <c r="BY117" s="2082"/>
      <c r="BZ117" s="2082"/>
      <c r="CA117" s="2083"/>
      <c r="CB117" s="2092"/>
      <c r="CI117" s="140"/>
      <c r="CJ117" s="2081"/>
      <c r="CK117" s="2082"/>
      <c r="CL117" s="2082"/>
      <c r="CM117" s="2082"/>
      <c r="CN117" s="2082"/>
      <c r="CO117" s="2082"/>
      <c r="CP117" s="2082"/>
      <c r="CQ117" s="2082"/>
      <c r="CR117" s="2082"/>
      <c r="CS117" s="2082"/>
      <c r="CT117" s="2082"/>
      <c r="CU117" s="2083"/>
      <c r="CV117" s="2092"/>
    </row>
    <row r="118" spans="10:100" ht="24" customHeight="1">
      <c r="J118" s="140"/>
      <c r="K118" s="2081"/>
      <c r="L118" s="2082"/>
      <c r="M118" s="2082"/>
      <c r="N118" s="2082"/>
      <c r="O118" s="2082"/>
      <c r="P118" s="2082"/>
      <c r="Q118" s="2082"/>
      <c r="R118" s="2082"/>
      <c r="S118" s="2082"/>
      <c r="T118" s="2082"/>
      <c r="U118" s="2082"/>
      <c r="V118" s="2083"/>
      <c r="W118" s="2092"/>
      <c r="AC118" s="140"/>
      <c r="AD118" s="2081"/>
      <c r="AE118" s="2082"/>
      <c r="AF118" s="2082"/>
      <c r="AG118" s="2082"/>
      <c r="AH118" s="2082"/>
      <c r="AI118" s="2082"/>
      <c r="AJ118" s="2082"/>
      <c r="AK118" s="2082"/>
      <c r="AL118" s="2082"/>
      <c r="AM118" s="2082"/>
      <c r="AN118" s="2082"/>
      <c r="AO118" s="2083"/>
      <c r="AP118" s="2092"/>
      <c r="AV118" s="140"/>
      <c r="AW118" s="2081"/>
      <c r="AX118" s="2082"/>
      <c r="AY118" s="2082"/>
      <c r="AZ118" s="2082"/>
      <c r="BA118" s="2082"/>
      <c r="BB118" s="2082"/>
      <c r="BC118" s="2082"/>
      <c r="BD118" s="2082"/>
      <c r="BE118" s="2082"/>
      <c r="BF118" s="2082"/>
      <c r="BG118" s="2082"/>
      <c r="BH118" s="2083"/>
      <c r="BI118" s="2092"/>
      <c r="BO118" s="140"/>
      <c r="BP118" s="2081"/>
      <c r="BQ118" s="2082"/>
      <c r="BR118" s="2082"/>
      <c r="BS118" s="2082"/>
      <c r="BT118" s="2082"/>
      <c r="BU118" s="2082"/>
      <c r="BV118" s="2082"/>
      <c r="BW118" s="2082"/>
      <c r="BX118" s="2082"/>
      <c r="BY118" s="2082"/>
      <c r="BZ118" s="2082"/>
      <c r="CA118" s="2083"/>
      <c r="CB118" s="2092"/>
      <c r="CI118" s="140"/>
      <c r="CJ118" s="2081"/>
      <c r="CK118" s="2082"/>
      <c r="CL118" s="2082"/>
      <c r="CM118" s="2082"/>
      <c r="CN118" s="2082"/>
      <c r="CO118" s="2082"/>
      <c r="CP118" s="2082"/>
      <c r="CQ118" s="2082"/>
      <c r="CR118" s="2082"/>
      <c r="CS118" s="2082"/>
      <c r="CT118" s="2082"/>
      <c r="CU118" s="2083"/>
      <c r="CV118" s="2092"/>
    </row>
    <row r="119" spans="10:100" ht="24" customHeight="1">
      <c r="J119" s="140"/>
      <c r="K119" s="2081"/>
      <c r="L119" s="2082"/>
      <c r="M119" s="2082"/>
      <c r="N119" s="2082"/>
      <c r="O119" s="2082"/>
      <c r="P119" s="2082"/>
      <c r="Q119" s="2082"/>
      <c r="R119" s="2082"/>
      <c r="S119" s="2082"/>
      <c r="T119" s="2082"/>
      <c r="U119" s="2082"/>
      <c r="V119" s="2083"/>
      <c r="W119" s="2092"/>
      <c r="AC119" s="140"/>
      <c r="AD119" s="2081"/>
      <c r="AE119" s="2082"/>
      <c r="AF119" s="2082"/>
      <c r="AG119" s="2082"/>
      <c r="AH119" s="2082"/>
      <c r="AI119" s="2082"/>
      <c r="AJ119" s="2082"/>
      <c r="AK119" s="2082"/>
      <c r="AL119" s="2082"/>
      <c r="AM119" s="2082"/>
      <c r="AN119" s="2082"/>
      <c r="AO119" s="2083"/>
      <c r="AP119" s="2092"/>
      <c r="AV119" s="140"/>
      <c r="AW119" s="2081"/>
      <c r="AX119" s="2082"/>
      <c r="AY119" s="2082"/>
      <c r="AZ119" s="2082"/>
      <c r="BA119" s="2082"/>
      <c r="BB119" s="2082"/>
      <c r="BC119" s="2082"/>
      <c r="BD119" s="2082"/>
      <c r="BE119" s="2082"/>
      <c r="BF119" s="2082"/>
      <c r="BG119" s="2082"/>
      <c r="BH119" s="2083"/>
      <c r="BI119" s="2092"/>
      <c r="BO119" s="140"/>
      <c r="BP119" s="2081"/>
      <c r="BQ119" s="2082"/>
      <c r="BR119" s="2082"/>
      <c r="BS119" s="2082"/>
      <c r="BT119" s="2082"/>
      <c r="BU119" s="2082"/>
      <c r="BV119" s="2082"/>
      <c r="BW119" s="2082"/>
      <c r="BX119" s="2082"/>
      <c r="BY119" s="2082"/>
      <c r="BZ119" s="2082"/>
      <c r="CA119" s="2083"/>
      <c r="CB119" s="2092"/>
      <c r="CI119" s="140"/>
      <c r="CJ119" s="2081"/>
      <c r="CK119" s="2082"/>
      <c r="CL119" s="2082"/>
      <c r="CM119" s="2082"/>
      <c r="CN119" s="2082"/>
      <c r="CO119" s="2082"/>
      <c r="CP119" s="2082"/>
      <c r="CQ119" s="2082"/>
      <c r="CR119" s="2082"/>
      <c r="CS119" s="2082"/>
      <c r="CT119" s="2082"/>
      <c r="CU119" s="2083"/>
      <c r="CV119" s="2092"/>
    </row>
    <row r="120" spans="10:100" ht="24" customHeight="1">
      <c r="J120" s="140"/>
      <c r="K120" s="2081"/>
      <c r="L120" s="2082"/>
      <c r="M120" s="2082"/>
      <c r="N120" s="2082"/>
      <c r="O120" s="2082"/>
      <c r="P120" s="2082"/>
      <c r="Q120" s="2082"/>
      <c r="R120" s="2082"/>
      <c r="S120" s="2082"/>
      <c r="T120" s="2082"/>
      <c r="U120" s="2082"/>
      <c r="V120" s="2083"/>
      <c r="W120" s="2092"/>
      <c r="AC120" s="140"/>
      <c r="AD120" s="2081"/>
      <c r="AE120" s="2082"/>
      <c r="AF120" s="2082"/>
      <c r="AG120" s="2082"/>
      <c r="AH120" s="2082"/>
      <c r="AI120" s="2082"/>
      <c r="AJ120" s="2082"/>
      <c r="AK120" s="2082"/>
      <c r="AL120" s="2082"/>
      <c r="AM120" s="2082"/>
      <c r="AN120" s="2082"/>
      <c r="AO120" s="2083"/>
      <c r="AP120" s="2092"/>
      <c r="AV120" s="140"/>
      <c r="AW120" s="2081"/>
      <c r="AX120" s="2082"/>
      <c r="AY120" s="2082"/>
      <c r="AZ120" s="2082"/>
      <c r="BA120" s="2082"/>
      <c r="BB120" s="2082"/>
      <c r="BC120" s="2082"/>
      <c r="BD120" s="2082"/>
      <c r="BE120" s="2082"/>
      <c r="BF120" s="2082"/>
      <c r="BG120" s="2082"/>
      <c r="BH120" s="2083"/>
      <c r="BI120" s="2092"/>
      <c r="BO120" s="140"/>
      <c r="BP120" s="2081"/>
      <c r="BQ120" s="2082"/>
      <c r="BR120" s="2082"/>
      <c r="BS120" s="2082"/>
      <c r="BT120" s="2082"/>
      <c r="BU120" s="2082"/>
      <c r="BV120" s="2082"/>
      <c r="BW120" s="2082"/>
      <c r="BX120" s="2082"/>
      <c r="BY120" s="2082"/>
      <c r="BZ120" s="2082"/>
      <c r="CA120" s="2083"/>
      <c r="CB120" s="2092"/>
      <c r="CI120" s="140"/>
      <c r="CJ120" s="2081"/>
      <c r="CK120" s="2082"/>
      <c r="CL120" s="2082"/>
      <c r="CM120" s="2082"/>
      <c r="CN120" s="2082"/>
      <c r="CO120" s="2082"/>
      <c r="CP120" s="2082"/>
      <c r="CQ120" s="2082"/>
      <c r="CR120" s="2082"/>
      <c r="CS120" s="2082"/>
      <c r="CT120" s="2082"/>
      <c r="CU120" s="2083"/>
      <c r="CV120" s="2092"/>
    </row>
    <row r="121" spans="10:100" ht="24" customHeight="1">
      <c r="J121" s="140"/>
      <c r="K121" s="2081"/>
      <c r="L121" s="2082"/>
      <c r="M121" s="2082"/>
      <c r="N121" s="2082"/>
      <c r="O121" s="2082"/>
      <c r="P121" s="2082"/>
      <c r="Q121" s="2082"/>
      <c r="R121" s="2082"/>
      <c r="S121" s="2082"/>
      <c r="T121" s="2082"/>
      <c r="U121" s="2082"/>
      <c r="V121" s="2083"/>
      <c r="W121" s="2092"/>
      <c r="AC121" s="140"/>
      <c r="AD121" s="2081"/>
      <c r="AE121" s="2082"/>
      <c r="AF121" s="2082"/>
      <c r="AG121" s="2082"/>
      <c r="AH121" s="2082"/>
      <c r="AI121" s="2082"/>
      <c r="AJ121" s="2082"/>
      <c r="AK121" s="2082"/>
      <c r="AL121" s="2082"/>
      <c r="AM121" s="2082"/>
      <c r="AN121" s="2082"/>
      <c r="AO121" s="2083"/>
      <c r="AP121" s="2092"/>
      <c r="AV121" s="140"/>
      <c r="AW121" s="2081"/>
      <c r="AX121" s="2082"/>
      <c r="AY121" s="2082"/>
      <c r="AZ121" s="2082"/>
      <c r="BA121" s="2082"/>
      <c r="BB121" s="2082"/>
      <c r="BC121" s="2082"/>
      <c r="BD121" s="2082"/>
      <c r="BE121" s="2082"/>
      <c r="BF121" s="2082"/>
      <c r="BG121" s="2082"/>
      <c r="BH121" s="2083"/>
      <c r="BI121" s="2092"/>
      <c r="BO121" s="140"/>
      <c r="BP121" s="2081"/>
      <c r="BQ121" s="2082"/>
      <c r="BR121" s="2082"/>
      <c r="BS121" s="2082"/>
      <c r="BT121" s="2082"/>
      <c r="BU121" s="2082"/>
      <c r="BV121" s="2082"/>
      <c r="BW121" s="2082"/>
      <c r="BX121" s="2082"/>
      <c r="BY121" s="2082"/>
      <c r="BZ121" s="2082"/>
      <c r="CA121" s="2083"/>
      <c r="CB121" s="2092"/>
      <c r="CI121" s="140"/>
      <c r="CJ121" s="2081"/>
      <c r="CK121" s="2082"/>
      <c r="CL121" s="2082"/>
      <c r="CM121" s="2082"/>
      <c r="CN121" s="2082"/>
      <c r="CO121" s="2082"/>
      <c r="CP121" s="2082"/>
      <c r="CQ121" s="2082"/>
      <c r="CR121" s="2082"/>
      <c r="CS121" s="2082"/>
      <c r="CT121" s="2082"/>
      <c r="CU121" s="2083"/>
      <c r="CV121" s="2092"/>
    </row>
    <row r="122" spans="10:100" ht="24" customHeight="1">
      <c r="J122" s="140"/>
      <c r="K122" s="2081"/>
      <c r="L122" s="2082"/>
      <c r="M122" s="2082"/>
      <c r="N122" s="2082"/>
      <c r="O122" s="2082"/>
      <c r="P122" s="2082"/>
      <c r="Q122" s="2082"/>
      <c r="R122" s="2082"/>
      <c r="S122" s="2082"/>
      <c r="T122" s="2082"/>
      <c r="U122" s="2082"/>
      <c r="V122" s="2083"/>
      <c r="W122" s="2092"/>
      <c r="AC122" s="140"/>
      <c r="AD122" s="2081"/>
      <c r="AE122" s="2082"/>
      <c r="AF122" s="2082"/>
      <c r="AG122" s="2082"/>
      <c r="AH122" s="2082"/>
      <c r="AI122" s="2082"/>
      <c r="AJ122" s="2082"/>
      <c r="AK122" s="2082"/>
      <c r="AL122" s="2082"/>
      <c r="AM122" s="2082"/>
      <c r="AN122" s="2082"/>
      <c r="AO122" s="2083"/>
      <c r="AP122" s="2092"/>
      <c r="AV122" s="140"/>
      <c r="AW122" s="2081"/>
      <c r="AX122" s="2082"/>
      <c r="AY122" s="2082"/>
      <c r="AZ122" s="2082"/>
      <c r="BA122" s="2082"/>
      <c r="BB122" s="2082"/>
      <c r="BC122" s="2082"/>
      <c r="BD122" s="2082"/>
      <c r="BE122" s="2082"/>
      <c r="BF122" s="2082"/>
      <c r="BG122" s="2082"/>
      <c r="BH122" s="2083"/>
      <c r="BI122" s="2092"/>
      <c r="BO122" s="140"/>
      <c r="BP122" s="2081"/>
      <c r="BQ122" s="2082"/>
      <c r="BR122" s="2082"/>
      <c r="BS122" s="2082"/>
      <c r="BT122" s="2082"/>
      <c r="BU122" s="2082"/>
      <c r="BV122" s="2082"/>
      <c r="BW122" s="2082"/>
      <c r="BX122" s="2082"/>
      <c r="BY122" s="2082"/>
      <c r="BZ122" s="2082"/>
      <c r="CA122" s="2083"/>
      <c r="CB122" s="2092"/>
      <c r="CI122" s="140"/>
      <c r="CJ122" s="2081"/>
      <c r="CK122" s="2082"/>
      <c r="CL122" s="2082"/>
      <c r="CM122" s="2082"/>
      <c r="CN122" s="2082"/>
      <c r="CO122" s="2082"/>
      <c r="CP122" s="2082"/>
      <c r="CQ122" s="2082"/>
      <c r="CR122" s="2082"/>
      <c r="CS122" s="2082"/>
      <c r="CT122" s="2082"/>
      <c r="CU122" s="2083"/>
      <c r="CV122" s="2092"/>
    </row>
    <row r="123" spans="10:100" ht="24" customHeight="1">
      <c r="J123" s="140"/>
      <c r="K123" s="2081"/>
      <c r="L123" s="2082"/>
      <c r="M123" s="2082"/>
      <c r="N123" s="2082"/>
      <c r="O123" s="2082"/>
      <c r="P123" s="2082"/>
      <c r="Q123" s="2082"/>
      <c r="R123" s="2082"/>
      <c r="S123" s="2082"/>
      <c r="T123" s="2082"/>
      <c r="U123" s="2082"/>
      <c r="V123" s="2083"/>
      <c r="W123" s="2092"/>
      <c r="AC123" s="140"/>
      <c r="AD123" s="2081"/>
      <c r="AE123" s="2082"/>
      <c r="AF123" s="2082"/>
      <c r="AG123" s="2082"/>
      <c r="AH123" s="2082"/>
      <c r="AI123" s="2082"/>
      <c r="AJ123" s="2082"/>
      <c r="AK123" s="2082"/>
      <c r="AL123" s="2082"/>
      <c r="AM123" s="2082"/>
      <c r="AN123" s="2082"/>
      <c r="AO123" s="2083"/>
      <c r="AP123" s="2092"/>
      <c r="AV123" s="140"/>
      <c r="AW123" s="2081"/>
      <c r="AX123" s="2082"/>
      <c r="AY123" s="2082"/>
      <c r="AZ123" s="2082"/>
      <c r="BA123" s="2082"/>
      <c r="BB123" s="2082"/>
      <c r="BC123" s="2082"/>
      <c r="BD123" s="2082"/>
      <c r="BE123" s="2082"/>
      <c r="BF123" s="2082"/>
      <c r="BG123" s="2082"/>
      <c r="BH123" s="2083"/>
      <c r="BI123" s="2092"/>
      <c r="BO123" s="140"/>
      <c r="BP123" s="2081"/>
      <c r="BQ123" s="2082"/>
      <c r="BR123" s="2082"/>
      <c r="BS123" s="2082"/>
      <c r="BT123" s="2082"/>
      <c r="BU123" s="2082"/>
      <c r="BV123" s="2082"/>
      <c r="BW123" s="2082"/>
      <c r="BX123" s="2082"/>
      <c r="BY123" s="2082"/>
      <c r="BZ123" s="2082"/>
      <c r="CA123" s="2083"/>
      <c r="CB123" s="2092"/>
      <c r="CI123" s="140"/>
      <c r="CJ123" s="2081"/>
      <c r="CK123" s="2082"/>
      <c r="CL123" s="2082"/>
      <c r="CM123" s="2082"/>
      <c r="CN123" s="2082"/>
      <c r="CO123" s="2082"/>
      <c r="CP123" s="2082"/>
      <c r="CQ123" s="2082"/>
      <c r="CR123" s="2082"/>
      <c r="CS123" s="2082"/>
      <c r="CT123" s="2082"/>
      <c r="CU123" s="2083"/>
      <c r="CV123" s="2092"/>
    </row>
    <row r="124" spans="10:100" ht="24" customHeight="1">
      <c r="J124" s="140"/>
      <c r="K124" s="2081"/>
      <c r="L124" s="2082"/>
      <c r="M124" s="2082"/>
      <c r="N124" s="2082"/>
      <c r="O124" s="2082"/>
      <c r="P124" s="2082"/>
      <c r="Q124" s="2082"/>
      <c r="R124" s="2082"/>
      <c r="S124" s="2082"/>
      <c r="T124" s="2082"/>
      <c r="U124" s="2082"/>
      <c r="V124" s="2083"/>
      <c r="W124" s="2092"/>
      <c r="AC124" s="140"/>
      <c r="AD124" s="2081"/>
      <c r="AE124" s="2082"/>
      <c r="AF124" s="2082"/>
      <c r="AG124" s="2082"/>
      <c r="AH124" s="2082"/>
      <c r="AI124" s="2082"/>
      <c r="AJ124" s="2082"/>
      <c r="AK124" s="2082"/>
      <c r="AL124" s="2082"/>
      <c r="AM124" s="2082"/>
      <c r="AN124" s="2082"/>
      <c r="AO124" s="2083"/>
      <c r="AP124" s="2092"/>
      <c r="AV124" s="140"/>
      <c r="AW124" s="2081"/>
      <c r="AX124" s="2082"/>
      <c r="AY124" s="2082"/>
      <c r="AZ124" s="2082"/>
      <c r="BA124" s="2082"/>
      <c r="BB124" s="2082"/>
      <c r="BC124" s="2082"/>
      <c r="BD124" s="2082"/>
      <c r="BE124" s="2082"/>
      <c r="BF124" s="2082"/>
      <c r="BG124" s="2082"/>
      <c r="BH124" s="2083"/>
      <c r="BI124" s="2092"/>
      <c r="BO124" s="140"/>
      <c r="BP124" s="2081"/>
      <c r="BQ124" s="2082"/>
      <c r="BR124" s="2082"/>
      <c r="BS124" s="2082"/>
      <c r="BT124" s="2082"/>
      <c r="BU124" s="2082"/>
      <c r="BV124" s="2082"/>
      <c r="BW124" s="2082"/>
      <c r="BX124" s="2082"/>
      <c r="BY124" s="2082"/>
      <c r="BZ124" s="2082"/>
      <c r="CA124" s="2083"/>
      <c r="CB124" s="2092"/>
      <c r="CI124" s="140"/>
      <c r="CJ124" s="2081"/>
      <c r="CK124" s="2082"/>
      <c r="CL124" s="2082"/>
      <c r="CM124" s="2082"/>
      <c r="CN124" s="2082"/>
      <c r="CO124" s="2082"/>
      <c r="CP124" s="2082"/>
      <c r="CQ124" s="2082"/>
      <c r="CR124" s="2082"/>
      <c r="CS124" s="2082"/>
      <c r="CT124" s="2082"/>
      <c r="CU124" s="2083"/>
      <c r="CV124" s="2092"/>
    </row>
    <row r="125" spans="10:100" ht="24" customHeight="1">
      <c r="J125" s="140"/>
      <c r="K125" s="2081"/>
      <c r="L125" s="2082"/>
      <c r="M125" s="2082"/>
      <c r="N125" s="2082"/>
      <c r="O125" s="2082"/>
      <c r="P125" s="2082"/>
      <c r="Q125" s="2082"/>
      <c r="R125" s="2082"/>
      <c r="S125" s="2082"/>
      <c r="T125" s="2082"/>
      <c r="U125" s="2082"/>
      <c r="V125" s="2083"/>
      <c r="W125" s="2092"/>
      <c r="AC125" s="140"/>
      <c r="AD125" s="2081"/>
      <c r="AE125" s="2082"/>
      <c r="AF125" s="2082"/>
      <c r="AG125" s="2082"/>
      <c r="AH125" s="2082"/>
      <c r="AI125" s="2082"/>
      <c r="AJ125" s="2082"/>
      <c r="AK125" s="2082"/>
      <c r="AL125" s="2082"/>
      <c r="AM125" s="2082"/>
      <c r="AN125" s="2082"/>
      <c r="AO125" s="2083"/>
      <c r="AP125" s="2092"/>
      <c r="AV125" s="140"/>
      <c r="AW125" s="2081"/>
      <c r="AX125" s="2082"/>
      <c r="AY125" s="2082"/>
      <c r="AZ125" s="2082"/>
      <c r="BA125" s="2082"/>
      <c r="BB125" s="2082"/>
      <c r="BC125" s="2082"/>
      <c r="BD125" s="2082"/>
      <c r="BE125" s="2082"/>
      <c r="BF125" s="2082"/>
      <c r="BG125" s="2082"/>
      <c r="BH125" s="2083"/>
      <c r="BI125" s="2092"/>
      <c r="BO125" s="140"/>
      <c r="BP125" s="2081"/>
      <c r="BQ125" s="2082"/>
      <c r="BR125" s="2082"/>
      <c r="BS125" s="2082"/>
      <c r="BT125" s="2082"/>
      <c r="BU125" s="2082"/>
      <c r="BV125" s="2082"/>
      <c r="BW125" s="2082"/>
      <c r="BX125" s="2082"/>
      <c r="BY125" s="2082"/>
      <c r="BZ125" s="2082"/>
      <c r="CA125" s="2083"/>
      <c r="CB125" s="2092"/>
      <c r="CI125" s="140"/>
      <c r="CJ125" s="2081"/>
      <c r="CK125" s="2082"/>
      <c r="CL125" s="2082"/>
      <c r="CM125" s="2082"/>
      <c r="CN125" s="2082"/>
      <c r="CO125" s="2082"/>
      <c r="CP125" s="2082"/>
      <c r="CQ125" s="2082"/>
      <c r="CR125" s="2082"/>
      <c r="CS125" s="2082"/>
      <c r="CT125" s="2082"/>
      <c r="CU125" s="2083"/>
      <c r="CV125" s="2092"/>
    </row>
    <row r="126" spans="10:100" ht="24" customHeight="1" thickBot="1">
      <c r="J126" s="140"/>
      <c r="K126" s="2081"/>
      <c r="L126" s="2082"/>
      <c r="M126" s="2082"/>
      <c r="N126" s="2082"/>
      <c r="O126" s="2082"/>
      <c r="P126" s="2082"/>
      <c r="Q126" s="2082"/>
      <c r="R126" s="2082"/>
      <c r="S126" s="2082"/>
      <c r="T126" s="2082"/>
      <c r="U126" s="2082"/>
      <c r="V126" s="2083"/>
      <c r="W126" s="2092"/>
      <c r="AC126" s="140"/>
      <c r="AD126" s="2081"/>
      <c r="AE126" s="2082"/>
      <c r="AF126" s="2082"/>
      <c r="AG126" s="2082"/>
      <c r="AH126" s="2082"/>
      <c r="AI126" s="2082"/>
      <c r="AJ126" s="2082"/>
      <c r="AK126" s="2082"/>
      <c r="AL126" s="2082"/>
      <c r="AM126" s="2082"/>
      <c r="AN126" s="2082"/>
      <c r="AO126" s="2083"/>
      <c r="AP126" s="2092"/>
      <c r="AV126" s="140"/>
      <c r="AW126" s="2081"/>
      <c r="AX126" s="2082"/>
      <c r="AY126" s="2082"/>
      <c r="AZ126" s="2082"/>
      <c r="BA126" s="2082"/>
      <c r="BB126" s="2082"/>
      <c r="BC126" s="2082"/>
      <c r="BD126" s="2082"/>
      <c r="BE126" s="2082"/>
      <c r="BF126" s="2082"/>
      <c r="BG126" s="2082"/>
      <c r="BH126" s="2083"/>
      <c r="BI126" s="2092"/>
      <c r="BO126" s="140"/>
      <c r="BP126" s="2081"/>
      <c r="BQ126" s="2082"/>
      <c r="BR126" s="2082"/>
      <c r="BS126" s="2082"/>
      <c r="BT126" s="2082"/>
      <c r="BU126" s="2082"/>
      <c r="BV126" s="2082"/>
      <c r="BW126" s="2082"/>
      <c r="BX126" s="2082"/>
      <c r="BY126" s="2082"/>
      <c r="BZ126" s="2082"/>
      <c r="CA126" s="2083"/>
      <c r="CB126" s="2092"/>
      <c r="CI126" s="140"/>
      <c r="CJ126" s="2081"/>
      <c r="CK126" s="2082"/>
      <c r="CL126" s="2082"/>
      <c r="CM126" s="2082"/>
      <c r="CN126" s="2082"/>
      <c r="CO126" s="2082"/>
      <c r="CP126" s="2082"/>
      <c r="CQ126" s="2082"/>
      <c r="CR126" s="2082"/>
      <c r="CS126" s="2082"/>
      <c r="CT126" s="2082"/>
      <c r="CU126" s="2083"/>
      <c r="CV126" s="2092"/>
    </row>
    <row r="127" spans="10:100" ht="24" customHeight="1">
      <c r="J127" s="140"/>
      <c r="K127" s="2081"/>
      <c r="L127" s="2082"/>
      <c r="M127" s="2082"/>
      <c r="N127" s="2082"/>
      <c r="O127" s="2082"/>
      <c r="P127" s="2082"/>
      <c r="Q127" s="2082"/>
      <c r="R127" s="2082"/>
      <c r="S127" s="2082"/>
      <c r="T127" s="2082"/>
      <c r="U127" s="2082"/>
      <c r="V127" s="2083"/>
      <c r="W127" s="120"/>
      <c r="AC127" s="140"/>
      <c r="AD127" s="2081"/>
      <c r="AE127" s="2082"/>
      <c r="AF127" s="2082"/>
      <c r="AG127" s="2082"/>
      <c r="AH127" s="2082"/>
      <c r="AI127" s="2082"/>
      <c r="AJ127" s="2082"/>
      <c r="AK127" s="2082"/>
      <c r="AL127" s="2082"/>
      <c r="AM127" s="2082"/>
      <c r="AN127" s="2082"/>
      <c r="AO127" s="2083"/>
      <c r="AP127" s="849"/>
      <c r="AV127" s="140"/>
      <c r="AW127" s="2081"/>
      <c r="AX127" s="2082"/>
      <c r="AY127" s="2082"/>
      <c r="AZ127" s="2082"/>
      <c r="BA127" s="2082"/>
      <c r="BB127" s="2082"/>
      <c r="BC127" s="2082"/>
      <c r="BD127" s="2082"/>
      <c r="BE127" s="2082"/>
      <c r="BF127" s="2082"/>
      <c r="BG127" s="2082"/>
      <c r="BH127" s="2083"/>
      <c r="BI127" s="849"/>
      <c r="BO127" s="140"/>
      <c r="BP127" s="2081"/>
      <c r="BQ127" s="2082"/>
      <c r="BR127" s="2082"/>
      <c r="BS127" s="2082"/>
      <c r="BT127" s="2082"/>
      <c r="BU127" s="2082"/>
      <c r="BV127" s="2082"/>
      <c r="BW127" s="2082"/>
      <c r="BX127" s="2082"/>
      <c r="BY127" s="2082"/>
      <c r="BZ127" s="2082"/>
      <c r="CA127" s="2083"/>
      <c r="CB127" s="849"/>
      <c r="CI127" s="140"/>
      <c r="CJ127" s="2081"/>
      <c r="CK127" s="2082"/>
      <c r="CL127" s="2082"/>
      <c r="CM127" s="2082"/>
      <c r="CN127" s="2082"/>
      <c r="CO127" s="2082"/>
      <c r="CP127" s="2082"/>
      <c r="CQ127" s="2082"/>
      <c r="CR127" s="2082"/>
      <c r="CS127" s="2082"/>
      <c r="CT127" s="2082"/>
      <c r="CU127" s="2083"/>
      <c r="CV127" s="849"/>
    </row>
    <row r="128" spans="10:100" ht="24" customHeight="1">
      <c r="J128" s="140"/>
      <c r="K128" s="2084"/>
      <c r="L128" s="2085"/>
      <c r="M128" s="2085"/>
      <c r="N128" s="2085"/>
      <c r="O128" s="2085"/>
      <c r="P128" s="2085"/>
      <c r="Q128" s="2085"/>
      <c r="R128" s="2085"/>
      <c r="S128" s="2085"/>
      <c r="T128" s="2085"/>
      <c r="U128" s="2085"/>
      <c r="V128" s="2086"/>
      <c r="W128" s="121"/>
      <c r="AC128" s="140"/>
      <c r="AD128" s="2084"/>
      <c r="AE128" s="2085"/>
      <c r="AF128" s="2085"/>
      <c r="AG128" s="2085"/>
      <c r="AH128" s="2085"/>
      <c r="AI128" s="2085"/>
      <c r="AJ128" s="2085"/>
      <c r="AK128" s="2085"/>
      <c r="AL128" s="2085"/>
      <c r="AM128" s="2085"/>
      <c r="AN128" s="2085"/>
      <c r="AO128" s="2086"/>
      <c r="AP128" s="850"/>
      <c r="AV128" s="140"/>
      <c r="AW128" s="2084"/>
      <c r="AX128" s="2085"/>
      <c r="AY128" s="2085"/>
      <c r="AZ128" s="2085"/>
      <c r="BA128" s="2085"/>
      <c r="BB128" s="2085"/>
      <c r="BC128" s="2085"/>
      <c r="BD128" s="2085"/>
      <c r="BE128" s="2085"/>
      <c r="BF128" s="2085"/>
      <c r="BG128" s="2085"/>
      <c r="BH128" s="2086"/>
      <c r="BI128" s="850"/>
      <c r="BO128" s="140"/>
      <c r="BP128" s="2084"/>
      <c r="BQ128" s="2085"/>
      <c r="BR128" s="2085"/>
      <c r="BS128" s="2085"/>
      <c r="BT128" s="2085"/>
      <c r="BU128" s="2085"/>
      <c r="BV128" s="2085"/>
      <c r="BW128" s="2085"/>
      <c r="BX128" s="2085"/>
      <c r="BY128" s="2085"/>
      <c r="BZ128" s="2085"/>
      <c r="CA128" s="2086"/>
      <c r="CB128" s="850"/>
      <c r="CI128" s="140"/>
      <c r="CJ128" s="2084"/>
      <c r="CK128" s="2085"/>
      <c r="CL128" s="2085"/>
      <c r="CM128" s="2085"/>
      <c r="CN128" s="2085"/>
      <c r="CO128" s="2085"/>
      <c r="CP128" s="2085"/>
      <c r="CQ128" s="2085"/>
      <c r="CR128" s="2085"/>
      <c r="CS128" s="2085"/>
      <c r="CT128" s="2085"/>
      <c r="CU128" s="2086"/>
      <c r="CV128" s="850"/>
    </row>
    <row r="129" spans="10:100" ht="24" customHeight="1">
      <c r="J129" s="140"/>
      <c r="K129" s="2093"/>
      <c r="L129" s="2093"/>
      <c r="M129" s="2093"/>
      <c r="N129" s="2093"/>
      <c r="O129" s="2093"/>
      <c r="P129" s="2093"/>
      <c r="Q129" s="2093"/>
      <c r="R129" s="2093"/>
      <c r="S129" s="2093"/>
      <c r="T129" s="2093"/>
      <c r="U129" s="2093"/>
      <c r="V129" s="2093"/>
      <c r="W129" s="121"/>
      <c r="AC129" s="140"/>
      <c r="AD129" s="2093"/>
      <c r="AE129" s="2093"/>
      <c r="AF129" s="2093"/>
      <c r="AG129" s="2093"/>
      <c r="AH129" s="2093"/>
      <c r="AI129" s="2093"/>
      <c r="AJ129" s="2093"/>
      <c r="AK129" s="2093"/>
      <c r="AL129" s="2093"/>
      <c r="AM129" s="2093"/>
      <c r="AN129" s="2093"/>
      <c r="AO129" s="2093"/>
      <c r="AP129" s="850"/>
      <c r="AV129" s="140"/>
      <c r="AW129" s="2093"/>
      <c r="AX129" s="2093"/>
      <c r="AY129" s="2093"/>
      <c r="AZ129" s="2093"/>
      <c r="BA129" s="2093"/>
      <c r="BB129" s="2093"/>
      <c r="BC129" s="2093"/>
      <c r="BD129" s="2093"/>
      <c r="BE129" s="2093"/>
      <c r="BF129" s="2093"/>
      <c r="BG129" s="2093"/>
      <c r="BH129" s="2093"/>
      <c r="BI129" s="850"/>
      <c r="BO129" s="140"/>
      <c r="BP129" s="2093"/>
      <c r="BQ129" s="2093"/>
      <c r="BR129" s="2093"/>
      <c r="BS129" s="2093"/>
      <c r="BT129" s="2093"/>
      <c r="BU129" s="2093"/>
      <c r="BV129" s="2093"/>
      <c r="BW129" s="2093"/>
      <c r="BX129" s="2093"/>
      <c r="BY129" s="2093"/>
      <c r="BZ129" s="2093"/>
      <c r="CA129" s="2093"/>
      <c r="CB129" s="850"/>
      <c r="CI129" s="140"/>
      <c r="CJ129" s="2093"/>
      <c r="CK129" s="2093"/>
      <c r="CL129" s="2093"/>
      <c r="CM129" s="2093"/>
      <c r="CN129" s="2093"/>
      <c r="CO129" s="2093"/>
      <c r="CP129" s="2093"/>
      <c r="CQ129" s="2093"/>
      <c r="CR129" s="2093"/>
      <c r="CS129" s="2093"/>
      <c r="CT129" s="2093"/>
      <c r="CU129" s="2093"/>
      <c r="CV129" s="850"/>
    </row>
    <row r="130" spans="10:100" ht="24" customHeight="1" thickBot="1">
      <c r="J130" s="141"/>
      <c r="K130" s="2094"/>
      <c r="L130" s="2094"/>
      <c r="M130" s="2094"/>
      <c r="N130" s="2094"/>
      <c r="O130" s="2094"/>
      <c r="P130" s="2094"/>
      <c r="Q130" s="2094"/>
      <c r="R130" s="2094"/>
      <c r="S130" s="2094"/>
      <c r="T130" s="2094"/>
      <c r="U130" s="2094"/>
      <c r="V130" s="2094"/>
      <c r="W130" s="122"/>
      <c r="AC130" s="141"/>
      <c r="AD130" s="2094"/>
      <c r="AE130" s="2094"/>
      <c r="AF130" s="2094"/>
      <c r="AG130" s="2094"/>
      <c r="AH130" s="2094"/>
      <c r="AI130" s="2094"/>
      <c r="AJ130" s="2094"/>
      <c r="AK130" s="2094"/>
      <c r="AL130" s="2094"/>
      <c r="AM130" s="2094"/>
      <c r="AN130" s="2094"/>
      <c r="AO130" s="2094"/>
      <c r="AP130" s="851"/>
      <c r="AV130" s="141"/>
      <c r="AW130" s="2094"/>
      <c r="AX130" s="2094"/>
      <c r="AY130" s="2094"/>
      <c r="AZ130" s="2094"/>
      <c r="BA130" s="2094"/>
      <c r="BB130" s="2094"/>
      <c r="BC130" s="2094"/>
      <c r="BD130" s="2094"/>
      <c r="BE130" s="2094"/>
      <c r="BF130" s="2094"/>
      <c r="BG130" s="2094"/>
      <c r="BH130" s="2094"/>
      <c r="BI130" s="851"/>
      <c r="BO130" s="141"/>
      <c r="BP130" s="2094"/>
      <c r="BQ130" s="2094"/>
      <c r="BR130" s="2094"/>
      <c r="BS130" s="2094"/>
      <c r="BT130" s="2094"/>
      <c r="BU130" s="2094"/>
      <c r="BV130" s="2094"/>
      <c r="BW130" s="2094"/>
      <c r="BX130" s="2094"/>
      <c r="BY130" s="2094"/>
      <c r="BZ130" s="2094"/>
      <c r="CA130" s="2094"/>
      <c r="CB130" s="851"/>
      <c r="CI130" s="141"/>
      <c r="CJ130" s="2094"/>
      <c r="CK130" s="2094"/>
      <c r="CL130" s="2094"/>
      <c r="CM130" s="2094"/>
      <c r="CN130" s="2094"/>
      <c r="CO130" s="2094"/>
      <c r="CP130" s="2094"/>
      <c r="CQ130" s="2094"/>
      <c r="CR130" s="2094"/>
      <c r="CS130" s="2094"/>
      <c r="CT130" s="2094"/>
      <c r="CU130" s="2094"/>
      <c r="CV130" s="851"/>
    </row>
    <row r="134" spans="10:100" ht="24" customHeight="1">
      <c r="J134" s="2093"/>
      <c r="K134" s="752" t="s">
        <v>815</v>
      </c>
      <c r="L134" s="2087"/>
      <c r="M134" s="2087"/>
      <c r="N134" s="2087"/>
      <c r="O134" s="2087"/>
      <c r="P134" s="2087"/>
      <c r="Q134" s="2087"/>
      <c r="R134" s="2087"/>
      <c r="S134" s="2087"/>
      <c r="T134" s="2087"/>
      <c r="U134" s="2087"/>
      <c r="V134" s="753"/>
      <c r="W134" s="849"/>
      <c r="AC134" s="2093"/>
      <c r="AD134" s="752" t="s">
        <v>814</v>
      </c>
      <c r="AE134" s="2087"/>
      <c r="AF134" s="2087"/>
      <c r="AG134" s="2087"/>
      <c r="AH134" s="2087"/>
      <c r="AI134" s="2087"/>
      <c r="AJ134" s="2087"/>
      <c r="AK134" s="2087"/>
      <c r="AL134" s="2087"/>
      <c r="AM134" s="2087"/>
      <c r="AN134" s="2087"/>
      <c r="AO134" s="753"/>
      <c r="AP134" s="849"/>
      <c r="AV134" s="2093"/>
      <c r="AW134" s="752"/>
      <c r="AX134" s="2087"/>
      <c r="AY134" s="2087"/>
      <c r="AZ134" s="2087"/>
      <c r="BA134" s="2087"/>
      <c r="BB134" s="2087"/>
      <c r="BC134" s="2087"/>
      <c r="BD134" s="2087"/>
      <c r="BE134" s="2087"/>
      <c r="BF134" s="2087"/>
      <c r="BG134" s="2087"/>
      <c r="BH134" s="753"/>
      <c r="BI134" s="849"/>
      <c r="BO134" s="2093"/>
      <c r="BP134" s="752"/>
      <c r="BQ134" s="2087"/>
      <c r="BR134" s="2087"/>
      <c r="BS134" s="2087"/>
      <c r="BT134" s="2087"/>
      <c r="BU134" s="2087"/>
      <c r="BV134" s="2087"/>
      <c r="BW134" s="2087"/>
      <c r="BX134" s="2087"/>
      <c r="BY134" s="2087"/>
      <c r="BZ134" s="2087"/>
      <c r="CA134" s="753"/>
      <c r="CB134" s="849"/>
      <c r="CI134" s="2093"/>
      <c r="CJ134" s="752"/>
      <c r="CK134" s="2087"/>
      <c r="CL134" s="2087"/>
      <c r="CM134" s="2087"/>
      <c r="CN134" s="2087"/>
      <c r="CO134" s="2087"/>
      <c r="CP134" s="2087"/>
      <c r="CQ134" s="2087"/>
      <c r="CR134" s="2087"/>
      <c r="CS134" s="2087"/>
      <c r="CT134" s="2087"/>
      <c r="CU134" s="753"/>
      <c r="CV134" s="849"/>
    </row>
    <row r="135" spans="10:100" ht="24" customHeight="1" thickBot="1">
      <c r="J135" s="2095"/>
      <c r="K135" s="754"/>
      <c r="L135" s="2088"/>
      <c r="M135" s="2088"/>
      <c r="N135" s="2088"/>
      <c r="O135" s="2088"/>
      <c r="P135" s="2088"/>
      <c r="Q135" s="2088"/>
      <c r="R135" s="2088"/>
      <c r="S135" s="2088"/>
      <c r="T135" s="2088"/>
      <c r="U135" s="2088"/>
      <c r="V135" s="755"/>
      <c r="W135" s="851"/>
      <c r="AC135" s="2095"/>
      <c r="AD135" s="754"/>
      <c r="AE135" s="2088"/>
      <c r="AF135" s="2088"/>
      <c r="AG135" s="2088"/>
      <c r="AH135" s="2088"/>
      <c r="AI135" s="2088"/>
      <c r="AJ135" s="2088"/>
      <c r="AK135" s="2088"/>
      <c r="AL135" s="2088"/>
      <c r="AM135" s="2088"/>
      <c r="AN135" s="2088"/>
      <c r="AO135" s="755"/>
      <c r="AP135" s="851"/>
      <c r="AV135" s="2095"/>
      <c r="AW135" s="754"/>
      <c r="AX135" s="2088"/>
      <c r="AY135" s="2088"/>
      <c r="AZ135" s="2088"/>
      <c r="BA135" s="2088"/>
      <c r="BB135" s="2088"/>
      <c r="BC135" s="2088"/>
      <c r="BD135" s="2088"/>
      <c r="BE135" s="2088"/>
      <c r="BF135" s="2088"/>
      <c r="BG135" s="2088"/>
      <c r="BH135" s="755"/>
      <c r="BI135" s="851"/>
      <c r="BO135" s="2095"/>
      <c r="BP135" s="754"/>
      <c r="BQ135" s="2088"/>
      <c r="BR135" s="2088"/>
      <c r="BS135" s="2088"/>
      <c r="BT135" s="2088"/>
      <c r="BU135" s="2088"/>
      <c r="BV135" s="2088"/>
      <c r="BW135" s="2088"/>
      <c r="BX135" s="2088"/>
      <c r="BY135" s="2088"/>
      <c r="BZ135" s="2088"/>
      <c r="CA135" s="755"/>
      <c r="CB135" s="851"/>
      <c r="CI135" s="2095"/>
      <c r="CJ135" s="754"/>
      <c r="CK135" s="2088"/>
      <c r="CL135" s="2088"/>
      <c r="CM135" s="2088"/>
      <c r="CN135" s="2088"/>
      <c r="CO135" s="2088"/>
      <c r="CP135" s="2088"/>
      <c r="CQ135" s="2088"/>
      <c r="CR135" s="2088"/>
      <c r="CS135" s="2088"/>
      <c r="CT135" s="2088"/>
      <c r="CU135" s="755"/>
      <c r="CV135" s="851"/>
    </row>
    <row r="136" spans="10:100" ht="24" customHeight="1">
      <c r="J136" s="140"/>
      <c r="K136" s="2096"/>
      <c r="L136" s="2097"/>
      <c r="M136" s="2097"/>
      <c r="N136" s="2097"/>
      <c r="O136" s="2097"/>
      <c r="P136" s="2097"/>
      <c r="Q136" s="2097"/>
      <c r="R136" s="2097"/>
      <c r="S136" s="2097"/>
      <c r="T136" s="2097"/>
      <c r="U136" s="2097"/>
      <c r="V136" s="2098"/>
      <c r="W136" s="2089" t="s">
        <v>440</v>
      </c>
      <c r="AC136" s="140"/>
      <c r="AD136" s="2096"/>
      <c r="AE136" s="2097"/>
      <c r="AF136" s="2097"/>
      <c r="AG136" s="2097"/>
      <c r="AH136" s="2097"/>
      <c r="AI136" s="2097"/>
      <c r="AJ136" s="2097"/>
      <c r="AK136" s="2097"/>
      <c r="AL136" s="2097"/>
      <c r="AM136" s="2097"/>
      <c r="AN136" s="2097"/>
      <c r="AO136" s="2098"/>
      <c r="AP136" s="2089" t="s">
        <v>440</v>
      </c>
      <c r="AV136" s="140"/>
      <c r="AW136" s="2096"/>
      <c r="AX136" s="2097"/>
      <c r="AY136" s="2097"/>
      <c r="AZ136" s="2097"/>
      <c r="BA136" s="2097"/>
      <c r="BB136" s="2097"/>
      <c r="BC136" s="2097"/>
      <c r="BD136" s="2097"/>
      <c r="BE136" s="2097"/>
      <c r="BF136" s="2097"/>
      <c r="BG136" s="2097"/>
      <c r="BH136" s="2098"/>
      <c r="BI136" s="2089" t="s">
        <v>440</v>
      </c>
      <c r="BO136" s="140"/>
      <c r="BP136" s="2096"/>
      <c r="BQ136" s="2097"/>
      <c r="BR136" s="2097"/>
      <c r="BS136" s="2097"/>
      <c r="BT136" s="2097"/>
      <c r="BU136" s="2097"/>
      <c r="BV136" s="2097"/>
      <c r="BW136" s="2097"/>
      <c r="BX136" s="2097"/>
      <c r="BY136" s="2097"/>
      <c r="BZ136" s="2097"/>
      <c r="CA136" s="2098"/>
      <c r="CB136" s="2089" t="s">
        <v>440</v>
      </c>
      <c r="CI136" s="140"/>
      <c r="CJ136" s="2096"/>
      <c r="CK136" s="2097"/>
      <c r="CL136" s="2097"/>
      <c r="CM136" s="2097"/>
      <c r="CN136" s="2097"/>
      <c r="CO136" s="2097"/>
      <c r="CP136" s="2097"/>
      <c r="CQ136" s="2097"/>
      <c r="CR136" s="2097"/>
      <c r="CS136" s="2097"/>
      <c r="CT136" s="2097"/>
      <c r="CU136" s="2098"/>
      <c r="CV136" s="2089" t="s">
        <v>440</v>
      </c>
    </row>
    <row r="137" spans="10:100" ht="24" customHeight="1">
      <c r="J137" s="140"/>
      <c r="K137" s="2081"/>
      <c r="L137" s="2082"/>
      <c r="M137" s="2082"/>
      <c r="N137" s="2082"/>
      <c r="O137" s="2082"/>
      <c r="P137" s="2082"/>
      <c r="Q137" s="2082"/>
      <c r="R137" s="2082"/>
      <c r="S137" s="2082"/>
      <c r="T137" s="2082"/>
      <c r="U137" s="2082"/>
      <c r="V137" s="2083"/>
      <c r="W137" s="2090"/>
      <c r="AC137" s="140"/>
      <c r="AD137" s="2081"/>
      <c r="AE137" s="2082"/>
      <c r="AF137" s="2082"/>
      <c r="AG137" s="2082"/>
      <c r="AH137" s="2082"/>
      <c r="AI137" s="2082"/>
      <c r="AJ137" s="2082"/>
      <c r="AK137" s="2082"/>
      <c r="AL137" s="2082"/>
      <c r="AM137" s="2082"/>
      <c r="AN137" s="2082"/>
      <c r="AO137" s="2083"/>
      <c r="AP137" s="2090"/>
      <c r="AV137" s="140"/>
      <c r="AW137" s="2081"/>
      <c r="AX137" s="2082"/>
      <c r="AY137" s="2082"/>
      <c r="AZ137" s="2082"/>
      <c r="BA137" s="2082"/>
      <c r="BB137" s="2082"/>
      <c r="BC137" s="2082"/>
      <c r="BD137" s="2082"/>
      <c r="BE137" s="2082"/>
      <c r="BF137" s="2082"/>
      <c r="BG137" s="2082"/>
      <c r="BH137" s="2083"/>
      <c r="BI137" s="2090"/>
      <c r="BO137" s="140"/>
      <c r="BP137" s="2081"/>
      <c r="BQ137" s="2082"/>
      <c r="BR137" s="2082"/>
      <c r="BS137" s="2082"/>
      <c r="BT137" s="2082"/>
      <c r="BU137" s="2082"/>
      <c r="BV137" s="2082"/>
      <c r="BW137" s="2082"/>
      <c r="BX137" s="2082"/>
      <c r="BY137" s="2082"/>
      <c r="BZ137" s="2082"/>
      <c r="CA137" s="2083"/>
      <c r="CB137" s="2090"/>
      <c r="CI137" s="140"/>
      <c r="CJ137" s="2081"/>
      <c r="CK137" s="2082"/>
      <c r="CL137" s="2082"/>
      <c r="CM137" s="2082"/>
      <c r="CN137" s="2082"/>
      <c r="CO137" s="2082"/>
      <c r="CP137" s="2082"/>
      <c r="CQ137" s="2082"/>
      <c r="CR137" s="2082"/>
      <c r="CS137" s="2082"/>
      <c r="CT137" s="2082"/>
      <c r="CU137" s="2083"/>
      <c r="CV137" s="2090"/>
    </row>
    <row r="138" spans="10:100" ht="24" customHeight="1">
      <c r="J138" s="140"/>
      <c r="K138" s="2081"/>
      <c r="L138" s="2082"/>
      <c r="M138" s="2082"/>
      <c r="N138" s="2082"/>
      <c r="O138" s="2082"/>
      <c r="P138" s="2082"/>
      <c r="Q138" s="2082"/>
      <c r="R138" s="2082"/>
      <c r="S138" s="2082"/>
      <c r="T138" s="2082"/>
      <c r="U138" s="2082"/>
      <c r="V138" s="2083"/>
      <c r="W138" s="2091"/>
      <c r="AC138" s="140"/>
      <c r="AD138" s="2081"/>
      <c r="AE138" s="2082"/>
      <c r="AF138" s="2082"/>
      <c r="AG138" s="2082"/>
      <c r="AH138" s="2082"/>
      <c r="AI138" s="2082"/>
      <c r="AJ138" s="2082"/>
      <c r="AK138" s="2082"/>
      <c r="AL138" s="2082"/>
      <c r="AM138" s="2082"/>
      <c r="AN138" s="2082"/>
      <c r="AO138" s="2083"/>
      <c r="AP138" s="2091"/>
      <c r="AV138" s="140"/>
      <c r="AW138" s="2081"/>
      <c r="AX138" s="2082"/>
      <c r="AY138" s="2082"/>
      <c r="AZ138" s="2082"/>
      <c r="BA138" s="2082"/>
      <c r="BB138" s="2082"/>
      <c r="BC138" s="2082"/>
      <c r="BD138" s="2082"/>
      <c r="BE138" s="2082"/>
      <c r="BF138" s="2082"/>
      <c r="BG138" s="2082"/>
      <c r="BH138" s="2083"/>
      <c r="BI138" s="2091"/>
      <c r="BO138" s="140"/>
      <c r="BP138" s="2081"/>
      <c r="BQ138" s="2082"/>
      <c r="BR138" s="2082"/>
      <c r="BS138" s="2082"/>
      <c r="BT138" s="2082"/>
      <c r="BU138" s="2082"/>
      <c r="BV138" s="2082"/>
      <c r="BW138" s="2082"/>
      <c r="BX138" s="2082"/>
      <c r="BY138" s="2082"/>
      <c r="BZ138" s="2082"/>
      <c r="CA138" s="2083"/>
      <c r="CB138" s="2091"/>
      <c r="CI138" s="140"/>
      <c r="CJ138" s="2081"/>
      <c r="CK138" s="2082"/>
      <c r="CL138" s="2082"/>
      <c r="CM138" s="2082"/>
      <c r="CN138" s="2082"/>
      <c r="CO138" s="2082"/>
      <c r="CP138" s="2082"/>
      <c r="CQ138" s="2082"/>
      <c r="CR138" s="2082"/>
      <c r="CS138" s="2082"/>
      <c r="CT138" s="2082"/>
      <c r="CU138" s="2083"/>
      <c r="CV138" s="2091"/>
    </row>
    <row r="139" spans="10:100" ht="24" customHeight="1">
      <c r="J139" s="140"/>
      <c r="K139" s="2081"/>
      <c r="L139" s="2082"/>
      <c r="M139" s="2082"/>
      <c r="N139" s="2082"/>
      <c r="O139" s="2082"/>
      <c r="P139" s="2082"/>
      <c r="Q139" s="2082"/>
      <c r="R139" s="2082"/>
      <c r="S139" s="2082"/>
      <c r="T139" s="2082"/>
      <c r="U139" s="2082"/>
      <c r="V139" s="2083"/>
      <c r="W139" s="2092"/>
      <c r="AC139" s="140"/>
      <c r="AD139" s="2081"/>
      <c r="AE139" s="2082"/>
      <c r="AF139" s="2082"/>
      <c r="AG139" s="2082"/>
      <c r="AH139" s="2082"/>
      <c r="AI139" s="2082"/>
      <c r="AJ139" s="2082"/>
      <c r="AK139" s="2082"/>
      <c r="AL139" s="2082"/>
      <c r="AM139" s="2082"/>
      <c r="AN139" s="2082"/>
      <c r="AO139" s="2083"/>
      <c r="AP139" s="2092"/>
      <c r="AV139" s="140"/>
      <c r="AW139" s="2081"/>
      <c r="AX139" s="2082"/>
      <c r="AY139" s="2082"/>
      <c r="AZ139" s="2082"/>
      <c r="BA139" s="2082"/>
      <c r="BB139" s="2082"/>
      <c r="BC139" s="2082"/>
      <c r="BD139" s="2082"/>
      <c r="BE139" s="2082"/>
      <c r="BF139" s="2082"/>
      <c r="BG139" s="2082"/>
      <c r="BH139" s="2083"/>
      <c r="BI139" s="2092"/>
      <c r="BO139" s="140"/>
      <c r="BP139" s="2081"/>
      <c r="BQ139" s="2082"/>
      <c r="BR139" s="2082"/>
      <c r="BS139" s="2082"/>
      <c r="BT139" s="2082"/>
      <c r="BU139" s="2082"/>
      <c r="BV139" s="2082"/>
      <c r="BW139" s="2082"/>
      <c r="BX139" s="2082"/>
      <c r="BY139" s="2082"/>
      <c r="BZ139" s="2082"/>
      <c r="CA139" s="2083"/>
      <c r="CB139" s="2092"/>
      <c r="CI139" s="140"/>
      <c r="CJ139" s="2081"/>
      <c r="CK139" s="2082"/>
      <c r="CL139" s="2082"/>
      <c r="CM139" s="2082"/>
      <c r="CN139" s="2082"/>
      <c r="CO139" s="2082"/>
      <c r="CP139" s="2082"/>
      <c r="CQ139" s="2082"/>
      <c r="CR139" s="2082"/>
      <c r="CS139" s="2082"/>
      <c r="CT139" s="2082"/>
      <c r="CU139" s="2083"/>
      <c r="CV139" s="2092"/>
    </row>
    <row r="140" spans="10:100" ht="24" customHeight="1">
      <c r="J140" s="140"/>
      <c r="K140" s="2081"/>
      <c r="L140" s="2082"/>
      <c r="M140" s="2082"/>
      <c r="N140" s="2082"/>
      <c r="O140" s="2082"/>
      <c r="P140" s="2082"/>
      <c r="Q140" s="2082"/>
      <c r="R140" s="2082"/>
      <c r="S140" s="2082"/>
      <c r="T140" s="2082"/>
      <c r="U140" s="2082"/>
      <c r="V140" s="2083"/>
      <c r="W140" s="2092"/>
      <c r="AC140" s="140"/>
      <c r="AD140" s="2081"/>
      <c r="AE140" s="2082"/>
      <c r="AF140" s="2082"/>
      <c r="AG140" s="2082"/>
      <c r="AH140" s="2082"/>
      <c r="AI140" s="2082"/>
      <c r="AJ140" s="2082"/>
      <c r="AK140" s="2082"/>
      <c r="AL140" s="2082"/>
      <c r="AM140" s="2082"/>
      <c r="AN140" s="2082"/>
      <c r="AO140" s="2083"/>
      <c r="AP140" s="2092"/>
      <c r="AV140" s="140"/>
      <c r="AW140" s="2081"/>
      <c r="AX140" s="2082"/>
      <c r="AY140" s="2082"/>
      <c r="AZ140" s="2082"/>
      <c r="BA140" s="2082"/>
      <c r="BB140" s="2082"/>
      <c r="BC140" s="2082"/>
      <c r="BD140" s="2082"/>
      <c r="BE140" s="2082"/>
      <c r="BF140" s="2082"/>
      <c r="BG140" s="2082"/>
      <c r="BH140" s="2083"/>
      <c r="BI140" s="2092"/>
      <c r="BO140" s="140"/>
      <c r="BP140" s="2081"/>
      <c r="BQ140" s="2082"/>
      <c r="BR140" s="2082"/>
      <c r="BS140" s="2082"/>
      <c r="BT140" s="2082"/>
      <c r="BU140" s="2082"/>
      <c r="BV140" s="2082"/>
      <c r="BW140" s="2082"/>
      <c r="BX140" s="2082"/>
      <c r="BY140" s="2082"/>
      <c r="BZ140" s="2082"/>
      <c r="CA140" s="2083"/>
      <c r="CB140" s="2092"/>
      <c r="CI140" s="140"/>
      <c r="CJ140" s="2081"/>
      <c r="CK140" s="2082"/>
      <c r="CL140" s="2082"/>
      <c r="CM140" s="2082"/>
      <c r="CN140" s="2082"/>
      <c r="CO140" s="2082"/>
      <c r="CP140" s="2082"/>
      <c r="CQ140" s="2082"/>
      <c r="CR140" s="2082"/>
      <c r="CS140" s="2082"/>
      <c r="CT140" s="2082"/>
      <c r="CU140" s="2083"/>
      <c r="CV140" s="2092"/>
    </row>
    <row r="141" spans="10:100" ht="24" customHeight="1">
      <c r="J141" s="140"/>
      <c r="K141" s="2081"/>
      <c r="L141" s="2082"/>
      <c r="M141" s="2082"/>
      <c r="N141" s="2082"/>
      <c r="O141" s="2082"/>
      <c r="P141" s="2082"/>
      <c r="Q141" s="2082"/>
      <c r="R141" s="2082"/>
      <c r="S141" s="2082"/>
      <c r="T141" s="2082"/>
      <c r="U141" s="2082"/>
      <c r="V141" s="2083"/>
      <c r="W141" s="2092"/>
      <c r="AC141" s="140"/>
      <c r="AD141" s="2081"/>
      <c r="AE141" s="2082"/>
      <c r="AF141" s="2082"/>
      <c r="AG141" s="2082"/>
      <c r="AH141" s="2082"/>
      <c r="AI141" s="2082"/>
      <c r="AJ141" s="2082"/>
      <c r="AK141" s="2082"/>
      <c r="AL141" s="2082"/>
      <c r="AM141" s="2082"/>
      <c r="AN141" s="2082"/>
      <c r="AO141" s="2083"/>
      <c r="AP141" s="2092"/>
      <c r="AV141" s="140"/>
      <c r="AW141" s="2081"/>
      <c r="AX141" s="2082"/>
      <c r="AY141" s="2082"/>
      <c r="AZ141" s="2082"/>
      <c r="BA141" s="2082"/>
      <c r="BB141" s="2082"/>
      <c r="BC141" s="2082"/>
      <c r="BD141" s="2082"/>
      <c r="BE141" s="2082"/>
      <c r="BF141" s="2082"/>
      <c r="BG141" s="2082"/>
      <c r="BH141" s="2083"/>
      <c r="BI141" s="2092"/>
      <c r="BO141" s="140"/>
      <c r="BP141" s="2081"/>
      <c r="BQ141" s="2082"/>
      <c r="BR141" s="2082"/>
      <c r="BS141" s="2082"/>
      <c r="BT141" s="2082"/>
      <c r="BU141" s="2082"/>
      <c r="BV141" s="2082"/>
      <c r="BW141" s="2082"/>
      <c r="BX141" s="2082"/>
      <c r="BY141" s="2082"/>
      <c r="BZ141" s="2082"/>
      <c r="CA141" s="2083"/>
      <c r="CB141" s="2092"/>
      <c r="CI141" s="140"/>
      <c r="CJ141" s="2081"/>
      <c r="CK141" s="2082"/>
      <c r="CL141" s="2082"/>
      <c r="CM141" s="2082"/>
      <c r="CN141" s="2082"/>
      <c r="CO141" s="2082"/>
      <c r="CP141" s="2082"/>
      <c r="CQ141" s="2082"/>
      <c r="CR141" s="2082"/>
      <c r="CS141" s="2082"/>
      <c r="CT141" s="2082"/>
      <c r="CU141" s="2083"/>
      <c r="CV141" s="2092"/>
    </row>
    <row r="142" spans="10:100" ht="24" customHeight="1">
      <c r="J142" s="140"/>
      <c r="K142" s="2081"/>
      <c r="L142" s="2082"/>
      <c r="M142" s="2082"/>
      <c r="N142" s="2082"/>
      <c r="O142" s="2082"/>
      <c r="P142" s="2082"/>
      <c r="Q142" s="2082"/>
      <c r="R142" s="2082"/>
      <c r="S142" s="2082"/>
      <c r="T142" s="2082"/>
      <c r="U142" s="2082"/>
      <c r="V142" s="2083"/>
      <c r="W142" s="2092"/>
      <c r="AC142" s="140"/>
      <c r="AD142" s="2081"/>
      <c r="AE142" s="2082"/>
      <c r="AF142" s="2082"/>
      <c r="AG142" s="2082"/>
      <c r="AH142" s="2082"/>
      <c r="AI142" s="2082"/>
      <c r="AJ142" s="2082"/>
      <c r="AK142" s="2082"/>
      <c r="AL142" s="2082"/>
      <c r="AM142" s="2082"/>
      <c r="AN142" s="2082"/>
      <c r="AO142" s="2083"/>
      <c r="AP142" s="2092"/>
      <c r="AV142" s="140"/>
      <c r="AW142" s="2081"/>
      <c r="AX142" s="2082"/>
      <c r="AY142" s="2082"/>
      <c r="AZ142" s="2082"/>
      <c r="BA142" s="2082"/>
      <c r="BB142" s="2082"/>
      <c r="BC142" s="2082"/>
      <c r="BD142" s="2082"/>
      <c r="BE142" s="2082"/>
      <c r="BF142" s="2082"/>
      <c r="BG142" s="2082"/>
      <c r="BH142" s="2083"/>
      <c r="BI142" s="2092"/>
      <c r="BO142" s="140"/>
      <c r="BP142" s="2081"/>
      <c r="BQ142" s="2082"/>
      <c r="BR142" s="2082"/>
      <c r="BS142" s="2082"/>
      <c r="BT142" s="2082"/>
      <c r="BU142" s="2082"/>
      <c r="BV142" s="2082"/>
      <c r="BW142" s="2082"/>
      <c r="BX142" s="2082"/>
      <c r="BY142" s="2082"/>
      <c r="BZ142" s="2082"/>
      <c r="CA142" s="2083"/>
      <c r="CB142" s="2092"/>
      <c r="CI142" s="140"/>
      <c r="CJ142" s="2081"/>
      <c r="CK142" s="2082"/>
      <c r="CL142" s="2082"/>
      <c r="CM142" s="2082"/>
      <c r="CN142" s="2082"/>
      <c r="CO142" s="2082"/>
      <c r="CP142" s="2082"/>
      <c r="CQ142" s="2082"/>
      <c r="CR142" s="2082"/>
      <c r="CS142" s="2082"/>
      <c r="CT142" s="2082"/>
      <c r="CU142" s="2083"/>
      <c r="CV142" s="2092"/>
    </row>
    <row r="143" spans="10:100" ht="24" customHeight="1">
      <c r="J143" s="140"/>
      <c r="K143" s="2081"/>
      <c r="L143" s="2082"/>
      <c r="M143" s="2082"/>
      <c r="N143" s="2082"/>
      <c r="O143" s="2082"/>
      <c r="P143" s="2082"/>
      <c r="Q143" s="2082"/>
      <c r="R143" s="2082"/>
      <c r="S143" s="2082"/>
      <c r="T143" s="2082"/>
      <c r="U143" s="2082"/>
      <c r="V143" s="2083"/>
      <c r="W143" s="2092"/>
      <c r="AC143" s="140"/>
      <c r="AD143" s="2081"/>
      <c r="AE143" s="2082"/>
      <c r="AF143" s="2082"/>
      <c r="AG143" s="2082"/>
      <c r="AH143" s="2082"/>
      <c r="AI143" s="2082"/>
      <c r="AJ143" s="2082"/>
      <c r="AK143" s="2082"/>
      <c r="AL143" s="2082"/>
      <c r="AM143" s="2082"/>
      <c r="AN143" s="2082"/>
      <c r="AO143" s="2083"/>
      <c r="AP143" s="2092"/>
      <c r="AV143" s="140"/>
      <c r="AW143" s="2081"/>
      <c r="AX143" s="2082"/>
      <c r="AY143" s="2082"/>
      <c r="AZ143" s="2082"/>
      <c r="BA143" s="2082"/>
      <c r="BB143" s="2082"/>
      <c r="BC143" s="2082"/>
      <c r="BD143" s="2082"/>
      <c r="BE143" s="2082"/>
      <c r="BF143" s="2082"/>
      <c r="BG143" s="2082"/>
      <c r="BH143" s="2083"/>
      <c r="BI143" s="2092"/>
      <c r="BO143" s="140"/>
      <c r="BP143" s="2081"/>
      <c r="BQ143" s="2082"/>
      <c r="BR143" s="2082"/>
      <c r="BS143" s="2082"/>
      <c r="BT143" s="2082"/>
      <c r="BU143" s="2082"/>
      <c r="BV143" s="2082"/>
      <c r="BW143" s="2082"/>
      <c r="BX143" s="2082"/>
      <c r="BY143" s="2082"/>
      <c r="BZ143" s="2082"/>
      <c r="CA143" s="2083"/>
      <c r="CB143" s="2092"/>
      <c r="CI143" s="140"/>
      <c r="CJ143" s="2081"/>
      <c r="CK143" s="2082"/>
      <c r="CL143" s="2082"/>
      <c r="CM143" s="2082"/>
      <c r="CN143" s="2082"/>
      <c r="CO143" s="2082"/>
      <c r="CP143" s="2082"/>
      <c r="CQ143" s="2082"/>
      <c r="CR143" s="2082"/>
      <c r="CS143" s="2082"/>
      <c r="CT143" s="2082"/>
      <c r="CU143" s="2083"/>
      <c r="CV143" s="2092"/>
    </row>
    <row r="144" spans="10:100" ht="24" customHeight="1">
      <c r="J144" s="140"/>
      <c r="K144" s="2081"/>
      <c r="L144" s="2082"/>
      <c r="M144" s="2082"/>
      <c r="N144" s="2082"/>
      <c r="O144" s="2082"/>
      <c r="P144" s="2082"/>
      <c r="Q144" s="2082"/>
      <c r="R144" s="2082"/>
      <c r="S144" s="2082"/>
      <c r="T144" s="2082"/>
      <c r="U144" s="2082"/>
      <c r="V144" s="2083"/>
      <c r="W144" s="2092"/>
      <c r="AC144" s="140"/>
      <c r="AD144" s="2081"/>
      <c r="AE144" s="2082"/>
      <c r="AF144" s="2082"/>
      <c r="AG144" s="2082"/>
      <c r="AH144" s="2082"/>
      <c r="AI144" s="2082"/>
      <c r="AJ144" s="2082"/>
      <c r="AK144" s="2082"/>
      <c r="AL144" s="2082"/>
      <c r="AM144" s="2082"/>
      <c r="AN144" s="2082"/>
      <c r="AO144" s="2083"/>
      <c r="AP144" s="2092"/>
      <c r="AV144" s="140"/>
      <c r="AW144" s="2081"/>
      <c r="AX144" s="2082"/>
      <c r="AY144" s="2082"/>
      <c r="AZ144" s="2082"/>
      <c r="BA144" s="2082"/>
      <c r="BB144" s="2082"/>
      <c r="BC144" s="2082"/>
      <c r="BD144" s="2082"/>
      <c r="BE144" s="2082"/>
      <c r="BF144" s="2082"/>
      <c r="BG144" s="2082"/>
      <c r="BH144" s="2083"/>
      <c r="BI144" s="2092"/>
      <c r="BO144" s="140"/>
      <c r="BP144" s="2081"/>
      <c r="BQ144" s="2082"/>
      <c r="BR144" s="2082"/>
      <c r="BS144" s="2082"/>
      <c r="BT144" s="2082"/>
      <c r="BU144" s="2082"/>
      <c r="BV144" s="2082"/>
      <c r="BW144" s="2082"/>
      <c r="BX144" s="2082"/>
      <c r="BY144" s="2082"/>
      <c r="BZ144" s="2082"/>
      <c r="CA144" s="2083"/>
      <c r="CB144" s="2092"/>
      <c r="CI144" s="140"/>
      <c r="CJ144" s="2081"/>
      <c r="CK144" s="2082"/>
      <c r="CL144" s="2082"/>
      <c r="CM144" s="2082"/>
      <c r="CN144" s="2082"/>
      <c r="CO144" s="2082"/>
      <c r="CP144" s="2082"/>
      <c r="CQ144" s="2082"/>
      <c r="CR144" s="2082"/>
      <c r="CS144" s="2082"/>
      <c r="CT144" s="2082"/>
      <c r="CU144" s="2083"/>
      <c r="CV144" s="2092"/>
    </row>
    <row r="145" spans="10:100" ht="24" customHeight="1">
      <c r="J145" s="140"/>
      <c r="K145" s="2081"/>
      <c r="L145" s="2082"/>
      <c r="M145" s="2082"/>
      <c r="N145" s="2082"/>
      <c r="O145" s="2082"/>
      <c r="P145" s="2082"/>
      <c r="Q145" s="2082"/>
      <c r="R145" s="2082"/>
      <c r="S145" s="2082"/>
      <c r="T145" s="2082"/>
      <c r="U145" s="2082"/>
      <c r="V145" s="2083"/>
      <c r="W145" s="2092"/>
      <c r="AC145" s="140"/>
      <c r="AD145" s="2081"/>
      <c r="AE145" s="2082"/>
      <c r="AF145" s="2082"/>
      <c r="AG145" s="2082"/>
      <c r="AH145" s="2082"/>
      <c r="AI145" s="2082"/>
      <c r="AJ145" s="2082"/>
      <c r="AK145" s="2082"/>
      <c r="AL145" s="2082"/>
      <c r="AM145" s="2082"/>
      <c r="AN145" s="2082"/>
      <c r="AO145" s="2083"/>
      <c r="AP145" s="2092"/>
      <c r="AV145" s="140"/>
      <c r="AW145" s="2081"/>
      <c r="AX145" s="2082"/>
      <c r="AY145" s="2082"/>
      <c r="AZ145" s="2082"/>
      <c r="BA145" s="2082"/>
      <c r="BB145" s="2082"/>
      <c r="BC145" s="2082"/>
      <c r="BD145" s="2082"/>
      <c r="BE145" s="2082"/>
      <c r="BF145" s="2082"/>
      <c r="BG145" s="2082"/>
      <c r="BH145" s="2083"/>
      <c r="BI145" s="2092"/>
      <c r="BO145" s="140"/>
      <c r="BP145" s="2081"/>
      <c r="BQ145" s="2082"/>
      <c r="BR145" s="2082"/>
      <c r="BS145" s="2082"/>
      <c r="BT145" s="2082"/>
      <c r="BU145" s="2082"/>
      <c r="BV145" s="2082"/>
      <c r="BW145" s="2082"/>
      <c r="BX145" s="2082"/>
      <c r="BY145" s="2082"/>
      <c r="BZ145" s="2082"/>
      <c r="CA145" s="2083"/>
      <c r="CB145" s="2092"/>
      <c r="CI145" s="140"/>
      <c r="CJ145" s="2081"/>
      <c r="CK145" s="2082"/>
      <c r="CL145" s="2082"/>
      <c r="CM145" s="2082"/>
      <c r="CN145" s="2082"/>
      <c r="CO145" s="2082"/>
      <c r="CP145" s="2082"/>
      <c r="CQ145" s="2082"/>
      <c r="CR145" s="2082"/>
      <c r="CS145" s="2082"/>
      <c r="CT145" s="2082"/>
      <c r="CU145" s="2083"/>
      <c r="CV145" s="2092"/>
    </row>
    <row r="146" spans="10:100" ht="24" customHeight="1">
      <c r="J146" s="140"/>
      <c r="K146" s="2081"/>
      <c r="L146" s="2082"/>
      <c r="M146" s="2082"/>
      <c r="N146" s="2082"/>
      <c r="O146" s="2082"/>
      <c r="P146" s="2082"/>
      <c r="Q146" s="2082"/>
      <c r="R146" s="2082"/>
      <c r="S146" s="2082"/>
      <c r="T146" s="2082"/>
      <c r="U146" s="2082"/>
      <c r="V146" s="2083"/>
      <c r="W146" s="2092"/>
      <c r="AC146" s="140"/>
      <c r="AD146" s="2081"/>
      <c r="AE146" s="2082"/>
      <c r="AF146" s="2082"/>
      <c r="AG146" s="2082"/>
      <c r="AH146" s="2082"/>
      <c r="AI146" s="2082"/>
      <c r="AJ146" s="2082"/>
      <c r="AK146" s="2082"/>
      <c r="AL146" s="2082"/>
      <c r="AM146" s="2082"/>
      <c r="AN146" s="2082"/>
      <c r="AO146" s="2083"/>
      <c r="AP146" s="2092"/>
      <c r="AV146" s="140"/>
      <c r="AW146" s="2081"/>
      <c r="AX146" s="2082"/>
      <c r="AY146" s="2082"/>
      <c r="AZ146" s="2082"/>
      <c r="BA146" s="2082"/>
      <c r="BB146" s="2082"/>
      <c r="BC146" s="2082"/>
      <c r="BD146" s="2082"/>
      <c r="BE146" s="2082"/>
      <c r="BF146" s="2082"/>
      <c r="BG146" s="2082"/>
      <c r="BH146" s="2083"/>
      <c r="BI146" s="2092"/>
      <c r="BO146" s="140"/>
      <c r="BP146" s="2081"/>
      <c r="BQ146" s="2082"/>
      <c r="BR146" s="2082"/>
      <c r="BS146" s="2082"/>
      <c r="BT146" s="2082"/>
      <c r="BU146" s="2082"/>
      <c r="BV146" s="2082"/>
      <c r="BW146" s="2082"/>
      <c r="BX146" s="2082"/>
      <c r="BY146" s="2082"/>
      <c r="BZ146" s="2082"/>
      <c r="CA146" s="2083"/>
      <c r="CB146" s="2092"/>
      <c r="CI146" s="140"/>
      <c r="CJ146" s="2081"/>
      <c r="CK146" s="2082"/>
      <c r="CL146" s="2082"/>
      <c r="CM146" s="2082"/>
      <c r="CN146" s="2082"/>
      <c r="CO146" s="2082"/>
      <c r="CP146" s="2082"/>
      <c r="CQ146" s="2082"/>
      <c r="CR146" s="2082"/>
      <c r="CS146" s="2082"/>
      <c r="CT146" s="2082"/>
      <c r="CU146" s="2083"/>
      <c r="CV146" s="2092"/>
    </row>
    <row r="147" spans="10:100" ht="24" customHeight="1">
      <c r="J147" s="140"/>
      <c r="K147" s="2081"/>
      <c r="L147" s="2082"/>
      <c r="M147" s="2082"/>
      <c r="N147" s="2082"/>
      <c r="O147" s="2082"/>
      <c r="P147" s="2082"/>
      <c r="Q147" s="2082"/>
      <c r="R147" s="2082"/>
      <c r="S147" s="2082"/>
      <c r="T147" s="2082"/>
      <c r="U147" s="2082"/>
      <c r="V147" s="2083"/>
      <c r="W147" s="2092"/>
      <c r="AC147" s="140"/>
      <c r="AD147" s="2081"/>
      <c r="AE147" s="2082"/>
      <c r="AF147" s="2082"/>
      <c r="AG147" s="2082"/>
      <c r="AH147" s="2082"/>
      <c r="AI147" s="2082"/>
      <c r="AJ147" s="2082"/>
      <c r="AK147" s="2082"/>
      <c r="AL147" s="2082"/>
      <c r="AM147" s="2082"/>
      <c r="AN147" s="2082"/>
      <c r="AO147" s="2083"/>
      <c r="AP147" s="2092"/>
      <c r="AV147" s="140"/>
      <c r="AW147" s="2081"/>
      <c r="AX147" s="2082"/>
      <c r="AY147" s="2082"/>
      <c r="AZ147" s="2082"/>
      <c r="BA147" s="2082"/>
      <c r="BB147" s="2082"/>
      <c r="BC147" s="2082"/>
      <c r="BD147" s="2082"/>
      <c r="BE147" s="2082"/>
      <c r="BF147" s="2082"/>
      <c r="BG147" s="2082"/>
      <c r="BH147" s="2083"/>
      <c r="BI147" s="2092"/>
      <c r="BO147" s="140"/>
      <c r="BP147" s="2081"/>
      <c r="BQ147" s="2082"/>
      <c r="BR147" s="2082"/>
      <c r="BS147" s="2082"/>
      <c r="BT147" s="2082"/>
      <c r="BU147" s="2082"/>
      <c r="BV147" s="2082"/>
      <c r="BW147" s="2082"/>
      <c r="BX147" s="2082"/>
      <c r="BY147" s="2082"/>
      <c r="BZ147" s="2082"/>
      <c r="CA147" s="2083"/>
      <c r="CB147" s="2092"/>
      <c r="CI147" s="140"/>
      <c r="CJ147" s="2081"/>
      <c r="CK147" s="2082"/>
      <c r="CL147" s="2082"/>
      <c r="CM147" s="2082"/>
      <c r="CN147" s="2082"/>
      <c r="CO147" s="2082"/>
      <c r="CP147" s="2082"/>
      <c r="CQ147" s="2082"/>
      <c r="CR147" s="2082"/>
      <c r="CS147" s="2082"/>
      <c r="CT147" s="2082"/>
      <c r="CU147" s="2083"/>
      <c r="CV147" s="2092"/>
    </row>
    <row r="148" spans="10:100" ht="24" customHeight="1">
      <c r="J148" s="140"/>
      <c r="K148" s="2081"/>
      <c r="L148" s="2082"/>
      <c r="M148" s="2082"/>
      <c r="N148" s="2082"/>
      <c r="O148" s="2082"/>
      <c r="P148" s="2082"/>
      <c r="Q148" s="2082"/>
      <c r="R148" s="2082"/>
      <c r="S148" s="2082"/>
      <c r="T148" s="2082"/>
      <c r="U148" s="2082"/>
      <c r="V148" s="2083"/>
      <c r="W148" s="2092"/>
      <c r="AC148" s="140"/>
      <c r="AD148" s="2081"/>
      <c r="AE148" s="2082"/>
      <c r="AF148" s="2082"/>
      <c r="AG148" s="2082"/>
      <c r="AH148" s="2082"/>
      <c r="AI148" s="2082"/>
      <c r="AJ148" s="2082"/>
      <c r="AK148" s="2082"/>
      <c r="AL148" s="2082"/>
      <c r="AM148" s="2082"/>
      <c r="AN148" s="2082"/>
      <c r="AO148" s="2083"/>
      <c r="AP148" s="2092"/>
      <c r="AV148" s="140"/>
      <c r="AW148" s="2081"/>
      <c r="AX148" s="2082"/>
      <c r="AY148" s="2082"/>
      <c r="AZ148" s="2082"/>
      <c r="BA148" s="2082"/>
      <c r="BB148" s="2082"/>
      <c r="BC148" s="2082"/>
      <c r="BD148" s="2082"/>
      <c r="BE148" s="2082"/>
      <c r="BF148" s="2082"/>
      <c r="BG148" s="2082"/>
      <c r="BH148" s="2083"/>
      <c r="BI148" s="2092"/>
      <c r="BO148" s="140"/>
      <c r="BP148" s="2081"/>
      <c r="BQ148" s="2082"/>
      <c r="BR148" s="2082"/>
      <c r="BS148" s="2082"/>
      <c r="BT148" s="2082"/>
      <c r="BU148" s="2082"/>
      <c r="BV148" s="2082"/>
      <c r="BW148" s="2082"/>
      <c r="BX148" s="2082"/>
      <c r="BY148" s="2082"/>
      <c r="BZ148" s="2082"/>
      <c r="CA148" s="2083"/>
      <c r="CB148" s="2092"/>
      <c r="CI148" s="140"/>
      <c r="CJ148" s="2081"/>
      <c r="CK148" s="2082"/>
      <c r="CL148" s="2082"/>
      <c r="CM148" s="2082"/>
      <c r="CN148" s="2082"/>
      <c r="CO148" s="2082"/>
      <c r="CP148" s="2082"/>
      <c r="CQ148" s="2082"/>
      <c r="CR148" s="2082"/>
      <c r="CS148" s="2082"/>
      <c r="CT148" s="2082"/>
      <c r="CU148" s="2083"/>
      <c r="CV148" s="2092"/>
    </row>
    <row r="149" spans="10:100" ht="24" customHeight="1">
      <c r="J149" s="140"/>
      <c r="K149" s="2081"/>
      <c r="L149" s="2082"/>
      <c r="M149" s="2082"/>
      <c r="N149" s="2082"/>
      <c r="O149" s="2082"/>
      <c r="P149" s="2082"/>
      <c r="Q149" s="2082"/>
      <c r="R149" s="2082"/>
      <c r="S149" s="2082"/>
      <c r="T149" s="2082"/>
      <c r="U149" s="2082"/>
      <c r="V149" s="2083"/>
      <c r="W149" s="2092"/>
      <c r="AC149" s="140"/>
      <c r="AD149" s="2081"/>
      <c r="AE149" s="2082"/>
      <c r="AF149" s="2082"/>
      <c r="AG149" s="2082"/>
      <c r="AH149" s="2082"/>
      <c r="AI149" s="2082"/>
      <c r="AJ149" s="2082"/>
      <c r="AK149" s="2082"/>
      <c r="AL149" s="2082"/>
      <c r="AM149" s="2082"/>
      <c r="AN149" s="2082"/>
      <c r="AO149" s="2083"/>
      <c r="AP149" s="2092"/>
      <c r="AV149" s="140"/>
      <c r="AW149" s="2081"/>
      <c r="AX149" s="2082"/>
      <c r="AY149" s="2082"/>
      <c r="AZ149" s="2082"/>
      <c r="BA149" s="2082"/>
      <c r="BB149" s="2082"/>
      <c r="BC149" s="2082"/>
      <c r="BD149" s="2082"/>
      <c r="BE149" s="2082"/>
      <c r="BF149" s="2082"/>
      <c r="BG149" s="2082"/>
      <c r="BH149" s="2083"/>
      <c r="BI149" s="2092"/>
      <c r="BO149" s="140"/>
      <c r="BP149" s="2081"/>
      <c r="BQ149" s="2082"/>
      <c r="BR149" s="2082"/>
      <c r="BS149" s="2082"/>
      <c r="BT149" s="2082"/>
      <c r="BU149" s="2082"/>
      <c r="BV149" s="2082"/>
      <c r="BW149" s="2082"/>
      <c r="BX149" s="2082"/>
      <c r="BY149" s="2082"/>
      <c r="BZ149" s="2082"/>
      <c r="CA149" s="2083"/>
      <c r="CB149" s="2092"/>
      <c r="CI149" s="140"/>
      <c r="CJ149" s="2081"/>
      <c r="CK149" s="2082"/>
      <c r="CL149" s="2082"/>
      <c r="CM149" s="2082"/>
      <c r="CN149" s="2082"/>
      <c r="CO149" s="2082"/>
      <c r="CP149" s="2082"/>
      <c r="CQ149" s="2082"/>
      <c r="CR149" s="2082"/>
      <c r="CS149" s="2082"/>
      <c r="CT149" s="2082"/>
      <c r="CU149" s="2083"/>
      <c r="CV149" s="2092"/>
    </row>
    <row r="150" spans="10:100" ht="24" customHeight="1">
      <c r="J150" s="140"/>
      <c r="K150" s="2081"/>
      <c r="L150" s="2082"/>
      <c r="M150" s="2082"/>
      <c r="N150" s="2082"/>
      <c r="O150" s="2082"/>
      <c r="P150" s="2082"/>
      <c r="Q150" s="2082"/>
      <c r="R150" s="2082"/>
      <c r="S150" s="2082"/>
      <c r="T150" s="2082"/>
      <c r="U150" s="2082"/>
      <c r="V150" s="2083"/>
      <c r="W150" s="2092"/>
      <c r="AC150" s="140"/>
      <c r="AD150" s="2081"/>
      <c r="AE150" s="2082"/>
      <c r="AF150" s="2082"/>
      <c r="AG150" s="2082"/>
      <c r="AH150" s="2082"/>
      <c r="AI150" s="2082"/>
      <c r="AJ150" s="2082"/>
      <c r="AK150" s="2082"/>
      <c r="AL150" s="2082"/>
      <c r="AM150" s="2082"/>
      <c r="AN150" s="2082"/>
      <c r="AO150" s="2083"/>
      <c r="AP150" s="2092"/>
      <c r="AV150" s="140"/>
      <c r="AW150" s="2081"/>
      <c r="AX150" s="2082"/>
      <c r="AY150" s="2082"/>
      <c r="AZ150" s="2082"/>
      <c r="BA150" s="2082"/>
      <c r="BB150" s="2082"/>
      <c r="BC150" s="2082"/>
      <c r="BD150" s="2082"/>
      <c r="BE150" s="2082"/>
      <c r="BF150" s="2082"/>
      <c r="BG150" s="2082"/>
      <c r="BH150" s="2083"/>
      <c r="BI150" s="2092"/>
      <c r="BO150" s="140"/>
      <c r="BP150" s="2081"/>
      <c r="BQ150" s="2082"/>
      <c r="BR150" s="2082"/>
      <c r="BS150" s="2082"/>
      <c r="BT150" s="2082"/>
      <c r="BU150" s="2082"/>
      <c r="BV150" s="2082"/>
      <c r="BW150" s="2082"/>
      <c r="BX150" s="2082"/>
      <c r="BY150" s="2082"/>
      <c r="BZ150" s="2082"/>
      <c r="CA150" s="2083"/>
      <c r="CB150" s="2092"/>
      <c r="CI150" s="140"/>
      <c r="CJ150" s="2081"/>
      <c r="CK150" s="2082"/>
      <c r="CL150" s="2082"/>
      <c r="CM150" s="2082"/>
      <c r="CN150" s="2082"/>
      <c r="CO150" s="2082"/>
      <c r="CP150" s="2082"/>
      <c r="CQ150" s="2082"/>
      <c r="CR150" s="2082"/>
      <c r="CS150" s="2082"/>
      <c r="CT150" s="2082"/>
      <c r="CU150" s="2083"/>
      <c r="CV150" s="2092"/>
    </row>
    <row r="151" spans="10:100" ht="24" customHeight="1">
      <c r="J151" s="140"/>
      <c r="K151" s="2081"/>
      <c r="L151" s="2082"/>
      <c r="M151" s="2082"/>
      <c r="N151" s="2082"/>
      <c r="O151" s="2082"/>
      <c r="P151" s="2082"/>
      <c r="Q151" s="2082"/>
      <c r="R151" s="2082"/>
      <c r="S151" s="2082"/>
      <c r="T151" s="2082"/>
      <c r="U151" s="2082"/>
      <c r="V151" s="2083"/>
      <c r="W151" s="2092"/>
      <c r="AC151" s="140"/>
      <c r="AD151" s="2081"/>
      <c r="AE151" s="2082"/>
      <c r="AF151" s="2082"/>
      <c r="AG151" s="2082"/>
      <c r="AH151" s="2082"/>
      <c r="AI151" s="2082"/>
      <c r="AJ151" s="2082"/>
      <c r="AK151" s="2082"/>
      <c r="AL151" s="2082"/>
      <c r="AM151" s="2082"/>
      <c r="AN151" s="2082"/>
      <c r="AO151" s="2083"/>
      <c r="AP151" s="2092"/>
      <c r="AV151" s="140"/>
      <c r="AW151" s="2081"/>
      <c r="AX151" s="2082"/>
      <c r="AY151" s="2082"/>
      <c r="AZ151" s="2082"/>
      <c r="BA151" s="2082"/>
      <c r="BB151" s="2082"/>
      <c r="BC151" s="2082"/>
      <c r="BD151" s="2082"/>
      <c r="BE151" s="2082"/>
      <c r="BF151" s="2082"/>
      <c r="BG151" s="2082"/>
      <c r="BH151" s="2083"/>
      <c r="BI151" s="2092"/>
      <c r="BO151" s="140"/>
      <c r="BP151" s="2081"/>
      <c r="BQ151" s="2082"/>
      <c r="BR151" s="2082"/>
      <c r="BS151" s="2082"/>
      <c r="BT151" s="2082"/>
      <c r="BU151" s="2082"/>
      <c r="BV151" s="2082"/>
      <c r="BW151" s="2082"/>
      <c r="BX151" s="2082"/>
      <c r="BY151" s="2082"/>
      <c r="BZ151" s="2082"/>
      <c r="CA151" s="2083"/>
      <c r="CB151" s="2092"/>
      <c r="CI151" s="140"/>
      <c r="CJ151" s="2081"/>
      <c r="CK151" s="2082"/>
      <c r="CL151" s="2082"/>
      <c r="CM151" s="2082"/>
      <c r="CN151" s="2082"/>
      <c r="CO151" s="2082"/>
      <c r="CP151" s="2082"/>
      <c r="CQ151" s="2082"/>
      <c r="CR151" s="2082"/>
      <c r="CS151" s="2082"/>
      <c r="CT151" s="2082"/>
      <c r="CU151" s="2083"/>
      <c r="CV151" s="2092"/>
    </row>
    <row r="152" spans="10:100" ht="24" customHeight="1">
      <c r="J152" s="140"/>
      <c r="K152" s="2081"/>
      <c r="L152" s="2082"/>
      <c r="M152" s="2082"/>
      <c r="N152" s="2082"/>
      <c r="O152" s="2082"/>
      <c r="P152" s="2082"/>
      <c r="Q152" s="2082"/>
      <c r="R152" s="2082"/>
      <c r="S152" s="2082"/>
      <c r="T152" s="2082"/>
      <c r="U152" s="2082"/>
      <c r="V152" s="2083"/>
      <c r="W152" s="2092"/>
      <c r="AC152" s="140"/>
      <c r="AD152" s="2081"/>
      <c r="AE152" s="2082"/>
      <c r="AF152" s="2082"/>
      <c r="AG152" s="2082"/>
      <c r="AH152" s="2082"/>
      <c r="AI152" s="2082"/>
      <c r="AJ152" s="2082"/>
      <c r="AK152" s="2082"/>
      <c r="AL152" s="2082"/>
      <c r="AM152" s="2082"/>
      <c r="AN152" s="2082"/>
      <c r="AO152" s="2083"/>
      <c r="AP152" s="2092"/>
      <c r="AV152" s="140"/>
      <c r="AW152" s="2081"/>
      <c r="AX152" s="2082"/>
      <c r="AY152" s="2082"/>
      <c r="AZ152" s="2082"/>
      <c r="BA152" s="2082"/>
      <c r="BB152" s="2082"/>
      <c r="BC152" s="2082"/>
      <c r="BD152" s="2082"/>
      <c r="BE152" s="2082"/>
      <c r="BF152" s="2082"/>
      <c r="BG152" s="2082"/>
      <c r="BH152" s="2083"/>
      <c r="BI152" s="2092"/>
      <c r="BO152" s="140"/>
      <c r="BP152" s="2081"/>
      <c r="BQ152" s="2082"/>
      <c r="BR152" s="2082"/>
      <c r="BS152" s="2082"/>
      <c r="BT152" s="2082"/>
      <c r="BU152" s="2082"/>
      <c r="BV152" s="2082"/>
      <c r="BW152" s="2082"/>
      <c r="BX152" s="2082"/>
      <c r="BY152" s="2082"/>
      <c r="BZ152" s="2082"/>
      <c r="CA152" s="2083"/>
      <c r="CB152" s="2092"/>
      <c r="CI152" s="140"/>
      <c r="CJ152" s="2081"/>
      <c r="CK152" s="2082"/>
      <c r="CL152" s="2082"/>
      <c r="CM152" s="2082"/>
      <c r="CN152" s="2082"/>
      <c r="CO152" s="2082"/>
      <c r="CP152" s="2082"/>
      <c r="CQ152" s="2082"/>
      <c r="CR152" s="2082"/>
      <c r="CS152" s="2082"/>
      <c r="CT152" s="2082"/>
      <c r="CU152" s="2083"/>
      <c r="CV152" s="2092"/>
    </row>
    <row r="153" spans="10:100" ht="24" customHeight="1">
      <c r="J153" s="140"/>
      <c r="K153" s="2081"/>
      <c r="L153" s="2082"/>
      <c r="M153" s="2082"/>
      <c r="N153" s="2082"/>
      <c r="O153" s="2082"/>
      <c r="P153" s="2082"/>
      <c r="Q153" s="2082"/>
      <c r="R153" s="2082"/>
      <c r="S153" s="2082"/>
      <c r="T153" s="2082"/>
      <c r="U153" s="2082"/>
      <c r="V153" s="2083"/>
      <c r="W153" s="2092"/>
      <c r="AC153" s="140"/>
      <c r="AD153" s="2081"/>
      <c r="AE153" s="2082"/>
      <c r="AF153" s="2082"/>
      <c r="AG153" s="2082"/>
      <c r="AH153" s="2082"/>
      <c r="AI153" s="2082"/>
      <c r="AJ153" s="2082"/>
      <c r="AK153" s="2082"/>
      <c r="AL153" s="2082"/>
      <c r="AM153" s="2082"/>
      <c r="AN153" s="2082"/>
      <c r="AO153" s="2083"/>
      <c r="AP153" s="2092"/>
      <c r="AV153" s="140"/>
      <c r="AW153" s="2081"/>
      <c r="AX153" s="2082"/>
      <c r="AY153" s="2082"/>
      <c r="AZ153" s="2082"/>
      <c r="BA153" s="2082"/>
      <c r="BB153" s="2082"/>
      <c r="BC153" s="2082"/>
      <c r="BD153" s="2082"/>
      <c r="BE153" s="2082"/>
      <c r="BF153" s="2082"/>
      <c r="BG153" s="2082"/>
      <c r="BH153" s="2083"/>
      <c r="BI153" s="2092"/>
      <c r="BO153" s="140"/>
      <c r="BP153" s="2081"/>
      <c r="BQ153" s="2082"/>
      <c r="BR153" s="2082"/>
      <c r="BS153" s="2082"/>
      <c r="BT153" s="2082"/>
      <c r="BU153" s="2082"/>
      <c r="BV153" s="2082"/>
      <c r="BW153" s="2082"/>
      <c r="BX153" s="2082"/>
      <c r="BY153" s="2082"/>
      <c r="BZ153" s="2082"/>
      <c r="CA153" s="2083"/>
      <c r="CB153" s="2092"/>
      <c r="CI153" s="140"/>
      <c r="CJ153" s="2081"/>
      <c r="CK153" s="2082"/>
      <c r="CL153" s="2082"/>
      <c r="CM153" s="2082"/>
      <c r="CN153" s="2082"/>
      <c r="CO153" s="2082"/>
      <c r="CP153" s="2082"/>
      <c r="CQ153" s="2082"/>
      <c r="CR153" s="2082"/>
      <c r="CS153" s="2082"/>
      <c r="CT153" s="2082"/>
      <c r="CU153" s="2083"/>
      <c r="CV153" s="2092"/>
    </row>
    <row r="154" spans="10:100" ht="24" customHeight="1">
      <c r="J154" s="140"/>
      <c r="K154" s="2081"/>
      <c r="L154" s="2082"/>
      <c r="M154" s="2082"/>
      <c r="N154" s="2082"/>
      <c r="O154" s="2082"/>
      <c r="P154" s="2082"/>
      <c r="Q154" s="2082"/>
      <c r="R154" s="2082"/>
      <c r="S154" s="2082"/>
      <c r="T154" s="2082"/>
      <c r="U154" s="2082"/>
      <c r="V154" s="2083"/>
      <c r="W154" s="2092"/>
      <c r="AC154" s="140"/>
      <c r="AD154" s="2081"/>
      <c r="AE154" s="2082"/>
      <c r="AF154" s="2082"/>
      <c r="AG154" s="2082"/>
      <c r="AH154" s="2082"/>
      <c r="AI154" s="2082"/>
      <c r="AJ154" s="2082"/>
      <c r="AK154" s="2082"/>
      <c r="AL154" s="2082"/>
      <c r="AM154" s="2082"/>
      <c r="AN154" s="2082"/>
      <c r="AO154" s="2083"/>
      <c r="AP154" s="2092"/>
      <c r="AV154" s="140"/>
      <c r="AW154" s="2081"/>
      <c r="AX154" s="2082"/>
      <c r="AY154" s="2082"/>
      <c r="AZ154" s="2082"/>
      <c r="BA154" s="2082"/>
      <c r="BB154" s="2082"/>
      <c r="BC154" s="2082"/>
      <c r="BD154" s="2082"/>
      <c r="BE154" s="2082"/>
      <c r="BF154" s="2082"/>
      <c r="BG154" s="2082"/>
      <c r="BH154" s="2083"/>
      <c r="BI154" s="2092"/>
      <c r="BO154" s="140"/>
      <c r="BP154" s="2081"/>
      <c r="BQ154" s="2082"/>
      <c r="BR154" s="2082"/>
      <c r="BS154" s="2082"/>
      <c r="BT154" s="2082"/>
      <c r="BU154" s="2082"/>
      <c r="BV154" s="2082"/>
      <c r="BW154" s="2082"/>
      <c r="BX154" s="2082"/>
      <c r="BY154" s="2082"/>
      <c r="BZ154" s="2082"/>
      <c r="CA154" s="2083"/>
      <c r="CB154" s="2092"/>
      <c r="CI154" s="140"/>
      <c r="CJ154" s="2081"/>
      <c r="CK154" s="2082"/>
      <c r="CL154" s="2082"/>
      <c r="CM154" s="2082"/>
      <c r="CN154" s="2082"/>
      <c r="CO154" s="2082"/>
      <c r="CP154" s="2082"/>
      <c r="CQ154" s="2082"/>
      <c r="CR154" s="2082"/>
      <c r="CS154" s="2082"/>
      <c r="CT154" s="2082"/>
      <c r="CU154" s="2083"/>
      <c r="CV154" s="2092"/>
    </row>
    <row r="155" spans="10:100" ht="24" customHeight="1">
      <c r="J155" s="140"/>
      <c r="K155" s="2081"/>
      <c r="L155" s="2082"/>
      <c r="M155" s="2082"/>
      <c r="N155" s="2082"/>
      <c r="O155" s="2082"/>
      <c r="P155" s="2082"/>
      <c r="Q155" s="2082"/>
      <c r="R155" s="2082"/>
      <c r="S155" s="2082"/>
      <c r="T155" s="2082"/>
      <c r="U155" s="2082"/>
      <c r="V155" s="2083"/>
      <c r="W155" s="2092"/>
      <c r="AC155" s="140"/>
      <c r="AD155" s="2081"/>
      <c r="AE155" s="2082"/>
      <c r="AF155" s="2082"/>
      <c r="AG155" s="2082"/>
      <c r="AH155" s="2082"/>
      <c r="AI155" s="2082"/>
      <c r="AJ155" s="2082"/>
      <c r="AK155" s="2082"/>
      <c r="AL155" s="2082"/>
      <c r="AM155" s="2082"/>
      <c r="AN155" s="2082"/>
      <c r="AO155" s="2083"/>
      <c r="AP155" s="2092"/>
      <c r="AV155" s="140"/>
      <c r="AW155" s="2081"/>
      <c r="AX155" s="2082"/>
      <c r="AY155" s="2082"/>
      <c r="AZ155" s="2082"/>
      <c r="BA155" s="2082"/>
      <c r="BB155" s="2082"/>
      <c r="BC155" s="2082"/>
      <c r="BD155" s="2082"/>
      <c r="BE155" s="2082"/>
      <c r="BF155" s="2082"/>
      <c r="BG155" s="2082"/>
      <c r="BH155" s="2083"/>
      <c r="BI155" s="2092"/>
      <c r="BO155" s="140"/>
      <c r="BP155" s="2081"/>
      <c r="BQ155" s="2082"/>
      <c r="BR155" s="2082"/>
      <c r="BS155" s="2082"/>
      <c r="BT155" s="2082"/>
      <c r="BU155" s="2082"/>
      <c r="BV155" s="2082"/>
      <c r="BW155" s="2082"/>
      <c r="BX155" s="2082"/>
      <c r="BY155" s="2082"/>
      <c r="BZ155" s="2082"/>
      <c r="CA155" s="2083"/>
      <c r="CB155" s="2092"/>
      <c r="CI155" s="140"/>
      <c r="CJ155" s="2081"/>
      <c r="CK155" s="2082"/>
      <c r="CL155" s="2082"/>
      <c r="CM155" s="2082"/>
      <c r="CN155" s="2082"/>
      <c r="CO155" s="2082"/>
      <c r="CP155" s="2082"/>
      <c r="CQ155" s="2082"/>
      <c r="CR155" s="2082"/>
      <c r="CS155" s="2082"/>
      <c r="CT155" s="2082"/>
      <c r="CU155" s="2083"/>
      <c r="CV155" s="2092"/>
    </row>
    <row r="156" spans="10:100" ht="24" customHeight="1">
      <c r="J156" s="140"/>
      <c r="K156" s="2081"/>
      <c r="L156" s="2082"/>
      <c r="M156" s="2082"/>
      <c r="N156" s="2082"/>
      <c r="O156" s="2082"/>
      <c r="P156" s="2082"/>
      <c r="Q156" s="2082"/>
      <c r="R156" s="2082"/>
      <c r="S156" s="2082"/>
      <c r="T156" s="2082"/>
      <c r="U156" s="2082"/>
      <c r="V156" s="2083"/>
      <c r="W156" s="2092"/>
      <c r="AC156" s="140"/>
      <c r="AD156" s="2081"/>
      <c r="AE156" s="2082"/>
      <c r="AF156" s="2082"/>
      <c r="AG156" s="2082"/>
      <c r="AH156" s="2082"/>
      <c r="AI156" s="2082"/>
      <c r="AJ156" s="2082"/>
      <c r="AK156" s="2082"/>
      <c r="AL156" s="2082"/>
      <c r="AM156" s="2082"/>
      <c r="AN156" s="2082"/>
      <c r="AO156" s="2083"/>
      <c r="AP156" s="2092"/>
      <c r="AV156" s="140"/>
      <c r="AW156" s="2081"/>
      <c r="AX156" s="2082"/>
      <c r="AY156" s="2082"/>
      <c r="AZ156" s="2082"/>
      <c r="BA156" s="2082"/>
      <c r="BB156" s="2082"/>
      <c r="BC156" s="2082"/>
      <c r="BD156" s="2082"/>
      <c r="BE156" s="2082"/>
      <c r="BF156" s="2082"/>
      <c r="BG156" s="2082"/>
      <c r="BH156" s="2083"/>
      <c r="BI156" s="2092"/>
      <c r="BO156" s="140"/>
      <c r="BP156" s="2081"/>
      <c r="BQ156" s="2082"/>
      <c r="BR156" s="2082"/>
      <c r="BS156" s="2082"/>
      <c r="BT156" s="2082"/>
      <c r="BU156" s="2082"/>
      <c r="BV156" s="2082"/>
      <c r="BW156" s="2082"/>
      <c r="BX156" s="2082"/>
      <c r="BY156" s="2082"/>
      <c r="BZ156" s="2082"/>
      <c r="CA156" s="2083"/>
      <c r="CB156" s="2092"/>
      <c r="CI156" s="140"/>
      <c r="CJ156" s="2081"/>
      <c r="CK156" s="2082"/>
      <c r="CL156" s="2082"/>
      <c r="CM156" s="2082"/>
      <c r="CN156" s="2082"/>
      <c r="CO156" s="2082"/>
      <c r="CP156" s="2082"/>
      <c r="CQ156" s="2082"/>
      <c r="CR156" s="2082"/>
      <c r="CS156" s="2082"/>
      <c r="CT156" s="2082"/>
      <c r="CU156" s="2083"/>
      <c r="CV156" s="2092"/>
    </row>
    <row r="157" spans="10:100" ht="24" customHeight="1">
      <c r="J157" s="140"/>
      <c r="K157" s="2081"/>
      <c r="L157" s="2082"/>
      <c r="M157" s="2082"/>
      <c r="N157" s="2082"/>
      <c r="O157" s="2082"/>
      <c r="P157" s="2082"/>
      <c r="Q157" s="2082"/>
      <c r="R157" s="2082"/>
      <c r="S157" s="2082"/>
      <c r="T157" s="2082"/>
      <c r="U157" s="2082"/>
      <c r="V157" s="2083"/>
      <c r="W157" s="2092"/>
      <c r="AC157" s="140"/>
      <c r="AD157" s="2081"/>
      <c r="AE157" s="2082"/>
      <c r="AF157" s="2082"/>
      <c r="AG157" s="2082"/>
      <c r="AH157" s="2082"/>
      <c r="AI157" s="2082"/>
      <c r="AJ157" s="2082"/>
      <c r="AK157" s="2082"/>
      <c r="AL157" s="2082"/>
      <c r="AM157" s="2082"/>
      <c r="AN157" s="2082"/>
      <c r="AO157" s="2083"/>
      <c r="AP157" s="2092"/>
      <c r="AV157" s="140"/>
      <c r="AW157" s="2081"/>
      <c r="AX157" s="2082"/>
      <c r="AY157" s="2082"/>
      <c r="AZ157" s="2082"/>
      <c r="BA157" s="2082"/>
      <c r="BB157" s="2082"/>
      <c r="BC157" s="2082"/>
      <c r="BD157" s="2082"/>
      <c r="BE157" s="2082"/>
      <c r="BF157" s="2082"/>
      <c r="BG157" s="2082"/>
      <c r="BH157" s="2083"/>
      <c r="BI157" s="2092"/>
      <c r="BO157" s="140"/>
      <c r="BP157" s="2081"/>
      <c r="BQ157" s="2082"/>
      <c r="BR157" s="2082"/>
      <c r="BS157" s="2082"/>
      <c r="BT157" s="2082"/>
      <c r="BU157" s="2082"/>
      <c r="BV157" s="2082"/>
      <c r="BW157" s="2082"/>
      <c r="BX157" s="2082"/>
      <c r="BY157" s="2082"/>
      <c r="BZ157" s="2082"/>
      <c r="CA157" s="2083"/>
      <c r="CB157" s="2092"/>
      <c r="CI157" s="140"/>
      <c r="CJ157" s="2081"/>
      <c r="CK157" s="2082"/>
      <c r="CL157" s="2082"/>
      <c r="CM157" s="2082"/>
      <c r="CN157" s="2082"/>
      <c r="CO157" s="2082"/>
      <c r="CP157" s="2082"/>
      <c r="CQ157" s="2082"/>
      <c r="CR157" s="2082"/>
      <c r="CS157" s="2082"/>
      <c r="CT157" s="2082"/>
      <c r="CU157" s="2083"/>
      <c r="CV157" s="2092"/>
    </row>
    <row r="158" spans="10:100" ht="24" customHeight="1">
      <c r="J158" s="140"/>
      <c r="K158" s="2081"/>
      <c r="L158" s="2082"/>
      <c r="M158" s="2082"/>
      <c r="N158" s="2082"/>
      <c r="O158" s="2082"/>
      <c r="P158" s="2082"/>
      <c r="Q158" s="2082"/>
      <c r="R158" s="2082"/>
      <c r="S158" s="2082"/>
      <c r="T158" s="2082"/>
      <c r="U158" s="2082"/>
      <c r="V158" s="2083"/>
      <c r="W158" s="2092"/>
      <c r="AC158" s="140"/>
      <c r="AD158" s="2081"/>
      <c r="AE158" s="2082"/>
      <c r="AF158" s="2082"/>
      <c r="AG158" s="2082"/>
      <c r="AH158" s="2082"/>
      <c r="AI158" s="2082"/>
      <c r="AJ158" s="2082"/>
      <c r="AK158" s="2082"/>
      <c r="AL158" s="2082"/>
      <c r="AM158" s="2082"/>
      <c r="AN158" s="2082"/>
      <c r="AO158" s="2083"/>
      <c r="AP158" s="2092"/>
      <c r="AV158" s="140"/>
      <c r="AW158" s="2081"/>
      <c r="AX158" s="2082"/>
      <c r="AY158" s="2082"/>
      <c r="AZ158" s="2082"/>
      <c r="BA158" s="2082"/>
      <c r="BB158" s="2082"/>
      <c r="BC158" s="2082"/>
      <c r="BD158" s="2082"/>
      <c r="BE158" s="2082"/>
      <c r="BF158" s="2082"/>
      <c r="BG158" s="2082"/>
      <c r="BH158" s="2083"/>
      <c r="BI158" s="2092"/>
      <c r="BO158" s="140"/>
      <c r="BP158" s="2081"/>
      <c r="BQ158" s="2082"/>
      <c r="BR158" s="2082"/>
      <c r="BS158" s="2082"/>
      <c r="BT158" s="2082"/>
      <c r="BU158" s="2082"/>
      <c r="BV158" s="2082"/>
      <c r="BW158" s="2082"/>
      <c r="BX158" s="2082"/>
      <c r="BY158" s="2082"/>
      <c r="BZ158" s="2082"/>
      <c r="CA158" s="2083"/>
      <c r="CB158" s="2092"/>
      <c r="CI158" s="140"/>
      <c r="CJ158" s="2081"/>
      <c r="CK158" s="2082"/>
      <c r="CL158" s="2082"/>
      <c r="CM158" s="2082"/>
      <c r="CN158" s="2082"/>
      <c r="CO158" s="2082"/>
      <c r="CP158" s="2082"/>
      <c r="CQ158" s="2082"/>
      <c r="CR158" s="2082"/>
      <c r="CS158" s="2082"/>
      <c r="CT158" s="2082"/>
      <c r="CU158" s="2083"/>
      <c r="CV158" s="2092"/>
    </row>
    <row r="159" spans="10:100" ht="24" customHeight="1">
      <c r="J159" s="140"/>
      <c r="K159" s="2081"/>
      <c r="L159" s="2082"/>
      <c r="M159" s="2082"/>
      <c r="N159" s="2082"/>
      <c r="O159" s="2082"/>
      <c r="P159" s="2082"/>
      <c r="Q159" s="2082"/>
      <c r="R159" s="2082"/>
      <c r="S159" s="2082"/>
      <c r="T159" s="2082"/>
      <c r="U159" s="2082"/>
      <c r="V159" s="2083"/>
      <c r="W159" s="2092"/>
      <c r="AC159" s="140"/>
      <c r="AD159" s="2081"/>
      <c r="AE159" s="2082"/>
      <c r="AF159" s="2082"/>
      <c r="AG159" s="2082"/>
      <c r="AH159" s="2082"/>
      <c r="AI159" s="2082"/>
      <c r="AJ159" s="2082"/>
      <c r="AK159" s="2082"/>
      <c r="AL159" s="2082"/>
      <c r="AM159" s="2082"/>
      <c r="AN159" s="2082"/>
      <c r="AO159" s="2083"/>
      <c r="AP159" s="2092"/>
      <c r="AV159" s="140"/>
      <c r="AW159" s="2081"/>
      <c r="AX159" s="2082"/>
      <c r="AY159" s="2082"/>
      <c r="AZ159" s="2082"/>
      <c r="BA159" s="2082"/>
      <c r="BB159" s="2082"/>
      <c r="BC159" s="2082"/>
      <c r="BD159" s="2082"/>
      <c r="BE159" s="2082"/>
      <c r="BF159" s="2082"/>
      <c r="BG159" s="2082"/>
      <c r="BH159" s="2083"/>
      <c r="BI159" s="2092"/>
      <c r="BO159" s="140"/>
      <c r="BP159" s="2081"/>
      <c r="BQ159" s="2082"/>
      <c r="BR159" s="2082"/>
      <c r="BS159" s="2082"/>
      <c r="BT159" s="2082"/>
      <c r="BU159" s="2082"/>
      <c r="BV159" s="2082"/>
      <c r="BW159" s="2082"/>
      <c r="BX159" s="2082"/>
      <c r="BY159" s="2082"/>
      <c r="BZ159" s="2082"/>
      <c r="CA159" s="2083"/>
      <c r="CB159" s="2092"/>
      <c r="CI159" s="140"/>
      <c r="CJ159" s="2081"/>
      <c r="CK159" s="2082"/>
      <c r="CL159" s="2082"/>
      <c r="CM159" s="2082"/>
      <c r="CN159" s="2082"/>
      <c r="CO159" s="2082"/>
      <c r="CP159" s="2082"/>
      <c r="CQ159" s="2082"/>
      <c r="CR159" s="2082"/>
      <c r="CS159" s="2082"/>
      <c r="CT159" s="2082"/>
      <c r="CU159" s="2083"/>
      <c r="CV159" s="2092"/>
    </row>
    <row r="160" spans="10:100" ht="24" customHeight="1">
      <c r="J160" s="140"/>
      <c r="K160" s="2081"/>
      <c r="L160" s="2082"/>
      <c r="M160" s="2082"/>
      <c r="N160" s="2082"/>
      <c r="O160" s="2082"/>
      <c r="P160" s="2082"/>
      <c r="Q160" s="2082"/>
      <c r="R160" s="2082"/>
      <c r="S160" s="2082"/>
      <c r="T160" s="2082"/>
      <c r="U160" s="2082"/>
      <c r="V160" s="2083"/>
      <c r="W160" s="2092"/>
      <c r="AC160" s="140"/>
      <c r="AD160" s="2081"/>
      <c r="AE160" s="2082"/>
      <c r="AF160" s="2082"/>
      <c r="AG160" s="2082"/>
      <c r="AH160" s="2082"/>
      <c r="AI160" s="2082"/>
      <c r="AJ160" s="2082"/>
      <c r="AK160" s="2082"/>
      <c r="AL160" s="2082"/>
      <c r="AM160" s="2082"/>
      <c r="AN160" s="2082"/>
      <c r="AO160" s="2083"/>
      <c r="AP160" s="2092"/>
      <c r="AV160" s="140"/>
      <c r="AW160" s="2081"/>
      <c r="AX160" s="2082"/>
      <c r="AY160" s="2082"/>
      <c r="AZ160" s="2082"/>
      <c r="BA160" s="2082"/>
      <c r="BB160" s="2082"/>
      <c r="BC160" s="2082"/>
      <c r="BD160" s="2082"/>
      <c r="BE160" s="2082"/>
      <c r="BF160" s="2082"/>
      <c r="BG160" s="2082"/>
      <c r="BH160" s="2083"/>
      <c r="BI160" s="2092"/>
      <c r="BO160" s="140"/>
      <c r="BP160" s="2081"/>
      <c r="BQ160" s="2082"/>
      <c r="BR160" s="2082"/>
      <c r="BS160" s="2082"/>
      <c r="BT160" s="2082"/>
      <c r="BU160" s="2082"/>
      <c r="BV160" s="2082"/>
      <c r="BW160" s="2082"/>
      <c r="BX160" s="2082"/>
      <c r="BY160" s="2082"/>
      <c r="BZ160" s="2082"/>
      <c r="CA160" s="2083"/>
      <c r="CB160" s="2092"/>
      <c r="CI160" s="140"/>
      <c r="CJ160" s="2081"/>
      <c r="CK160" s="2082"/>
      <c r="CL160" s="2082"/>
      <c r="CM160" s="2082"/>
      <c r="CN160" s="2082"/>
      <c r="CO160" s="2082"/>
      <c r="CP160" s="2082"/>
      <c r="CQ160" s="2082"/>
      <c r="CR160" s="2082"/>
      <c r="CS160" s="2082"/>
      <c r="CT160" s="2082"/>
      <c r="CU160" s="2083"/>
      <c r="CV160" s="2092"/>
    </row>
    <row r="161" spans="10:100" ht="24" customHeight="1">
      <c r="J161" s="140"/>
      <c r="K161" s="2081"/>
      <c r="L161" s="2082"/>
      <c r="M161" s="2082"/>
      <c r="N161" s="2082"/>
      <c r="O161" s="2082"/>
      <c r="P161" s="2082"/>
      <c r="Q161" s="2082"/>
      <c r="R161" s="2082"/>
      <c r="S161" s="2082"/>
      <c r="T161" s="2082"/>
      <c r="U161" s="2082"/>
      <c r="V161" s="2083"/>
      <c r="W161" s="2092"/>
      <c r="AC161" s="140"/>
      <c r="AD161" s="2081"/>
      <c r="AE161" s="2082"/>
      <c r="AF161" s="2082"/>
      <c r="AG161" s="2082"/>
      <c r="AH161" s="2082"/>
      <c r="AI161" s="2082"/>
      <c r="AJ161" s="2082"/>
      <c r="AK161" s="2082"/>
      <c r="AL161" s="2082"/>
      <c r="AM161" s="2082"/>
      <c r="AN161" s="2082"/>
      <c r="AO161" s="2083"/>
      <c r="AP161" s="2092"/>
      <c r="AV161" s="140"/>
      <c r="AW161" s="2081"/>
      <c r="AX161" s="2082"/>
      <c r="AY161" s="2082"/>
      <c r="AZ161" s="2082"/>
      <c r="BA161" s="2082"/>
      <c r="BB161" s="2082"/>
      <c r="BC161" s="2082"/>
      <c r="BD161" s="2082"/>
      <c r="BE161" s="2082"/>
      <c r="BF161" s="2082"/>
      <c r="BG161" s="2082"/>
      <c r="BH161" s="2083"/>
      <c r="BI161" s="2092"/>
      <c r="BO161" s="140"/>
      <c r="BP161" s="2081"/>
      <c r="BQ161" s="2082"/>
      <c r="BR161" s="2082"/>
      <c r="BS161" s="2082"/>
      <c r="BT161" s="2082"/>
      <c r="BU161" s="2082"/>
      <c r="BV161" s="2082"/>
      <c r="BW161" s="2082"/>
      <c r="BX161" s="2082"/>
      <c r="BY161" s="2082"/>
      <c r="BZ161" s="2082"/>
      <c r="CA161" s="2083"/>
      <c r="CB161" s="2092"/>
      <c r="CI161" s="140"/>
      <c r="CJ161" s="2081"/>
      <c r="CK161" s="2082"/>
      <c r="CL161" s="2082"/>
      <c r="CM161" s="2082"/>
      <c r="CN161" s="2082"/>
      <c r="CO161" s="2082"/>
      <c r="CP161" s="2082"/>
      <c r="CQ161" s="2082"/>
      <c r="CR161" s="2082"/>
      <c r="CS161" s="2082"/>
      <c r="CT161" s="2082"/>
      <c r="CU161" s="2083"/>
      <c r="CV161" s="2092"/>
    </row>
    <row r="162" spans="10:100" ht="24" customHeight="1">
      <c r="J162" s="140"/>
      <c r="K162" s="2081"/>
      <c r="L162" s="2082"/>
      <c r="M162" s="2082"/>
      <c r="N162" s="2082"/>
      <c r="O162" s="2082"/>
      <c r="P162" s="2082"/>
      <c r="Q162" s="2082"/>
      <c r="R162" s="2082"/>
      <c r="S162" s="2082"/>
      <c r="T162" s="2082"/>
      <c r="U162" s="2082"/>
      <c r="V162" s="2083"/>
      <c r="W162" s="2092"/>
      <c r="AC162" s="140"/>
      <c r="AD162" s="2081"/>
      <c r="AE162" s="2082"/>
      <c r="AF162" s="2082"/>
      <c r="AG162" s="2082"/>
      <c r="AH162" s="2082"/>
      <c r="AI162" s="2082"/>
      <c r="AJ162" s="2082"/>
      <c r="AK162" s="2082"/>
      <c r="AL162" s="2082"/>
      <c r="AM162" s="2082"/>
      <c r="AN162" s="2082"/>
      <c r="AO162" s="2083"/>
      <c r="AP162" s="2092"/>
      <c r="AV162" s="140"/>
      <c r="AW162" s="2081"/>
      <c r="AX162" s="2082"/>
      <c r="AY162" s="2082"/>
      <c r="AZ162" s="2082"/>
      <c r="BA162" s="2082"/>
      <c r="BB162" s="2082"/>
      <c r="BC162" s="2082"/>
      <c r="BD162" s="2082"/>
      <c r="BE162" s="2082"/>
      <c r="BF162" s="2082"/>
      <c r="BG162" s="2082"/>
      <c r="BH162" s="2083"/>
      <c r="BI162" s="2092"/>
      <c r="BO162" s="140"/>
      <c r="BP162" s="2081"/>
      <c r="BQ162" s="2082"/>
      <c r="BR162" s="2082"/>
      <c r="BS162" s="2082"/>
      <c r="BT162" s="2082"/>
      <c r="BU162" s="2082"/>
      <c r="BV162" s="2082"/>
      <c r="BW162" s="2082"/>
      <c r="BX162" s="2082"/>
      <c r="BY162" s="2082"/>
      <c r="BZ162" s="2082"/>
      <c r="CA162" s="2083"/>
      <c r="CB162" s="2092"/>
      <c r="CI162" s="140"/>
      <c r="CJ162" s="2081"/>
      <c r="CK162" s="2082"/>
      <c r="CL162" s="2082"/>
      <c r="CM162" s="2082"/>
      <c r="CN162" s="2082"/>
      <c r="CO162" s="2082"/>
      <c r="CP162" s="2082"/>
      <c r="CQ162" s="2082"/>
      <c r="CR162" s="2082"/>
      <c r="CS162" s="2082"/>
      <c r="CT162" s="2082"/>
      <c r="CU162" s="2083"/>
      <c r="CV162" s="2092"/>
    </row>
    <row r="163" spans="10:100" ht="24" customHeight="1">
      <c r="J163" s="140"/>
      <c r="K163" s="2081"/>
      <c r="L163" s="2082"/>
      <c r="M163" s="2082"/>
      <c r="N163" s="2082"/>
      <c r="O163" s="2082"/>
      <c r="P163" s="2082"/>
      <c r="Q163" s="2082"/>
      <c r="R163" s="2082"/>
      <c r="S163" s="2082"/>
      <c r="T163" s="2082"/>
      <c r="U163" s="2082"/>
      <c r="V163" s="2083"/>
      <c r="W163" s="2092"/>
      <c r="AC163" s="140"/>
      <c r="AD163" s="2081"/>
      <c r="AE163" s="2082"/>
      <c r="AF163" s="2082"/>
      <c r="AG163" s="2082"/>
      <c r="AH163" s="2082"/>
      <c r="AI163" s="2082"/>
      <c r="AJ163" s="2082"/>
      <c r="AK163" s="2082"/>
      <c r="AL163" s="2082"/>
      <c r="AM163" s="2082"/>
      <c r="AN163" s="2082"/>
      <c r="AO163" s="2083"/>
      <c r="AP163" s="2092"/>
      <c r="AV163" s="140"/>
      <c r="AW163" s="2081"/>
      <c r="AX163" s="2082"/>
      <c r="AY163" s="2082"/>
      <c r="AZ163" s="2082"/>
      <c r="BA163" s="2082"/>
      <c r="BB163" s="2082"/>
      <c r="BC163" s="2082"/>
      <c r="BD163" s="2082"/>
      <c r="BE163" s="2082"/>
      <c r="BF163" s="2082"/>
      <c r="BG163" s="2082"/>
      <c r="BH163" s="2083"/>
      <c r="BI163" s="2092"/>
      <c r="BO163" s="140"/>
      <c r="BP163" s="2081"/>
      <c r="BQ163" s="2082"/>
      <c r="BR163" s="2082"/>
      <c r="BS163" s="2082"/>
      <c r="BT163" s="2082"/>
      <c r="BU163" s="2082"/>
      <c r="BV163" s="2082"/>
      <c r="BW163" s="2082"/>
      <c r="BX163" s="2082"/>
      <c r="BY163" s="2082"/>
      <c r="BZ163" s="2082"/>
      <c r="CA163" s="2083"/>
      <c r="CB163" s="2092"/>
      <c r="CI163" s="140"/>
      <c r="CJ163" s="2081"/>
      <c r="CK163" s="2082"/>
      <c r="CL163" s="2082"/>
      <c r="CM163" s="2082"/>
      <c r="CN163" s="2082"/>
      <c r="CO163" s="2082"/>
      <c r="CP163" s="2082"/>
      <c r="CQ163" s="2082"/>
      <c r="CR163" s="2082"/>
      <c r="CS163" s="2082"/>
      <c r="CT163" s="2082"/>
      <c r="CU163" s="2083"/>
      <c r="CV163" s="2092"/>
    </row>
    <row r="164" spans="10:100" ht="24" customHeight="1">
      <c r="J164" s="140"/>
      <c r="K164" s="2081"/>
      <c r="L164" s="2082"/>
      <c r="M164" s="2082"/>
      <c r="N164" s="2082"/>
      <c r="O164" s="2082"/>
      <c r="P164" s="2082"/>
      <c r="Q164" s="2082"/>
      <c r="R164" s="2082"/>
      <c r="S164" s="2082"/>
      <c r="T164" s="2082"/>
      <c r="U164" s="2082"/>
      <c r="V164" s="2083"/>
      <c r="W164" s="2092"/>
      <c r="AC164" s="140"/>
      <c r="AD164" s="2081"/>
      <c r="AE164" s="2082"/>
      <c r="AF164" s="2082"/>
      <c r="AG164" s="2082"/>
      <c r="AH164" s="2082"/>
      <c r="AI164" s="2082"/>
      <c r="AJ164" s="2082"/>
      <c r="AK164" s="2082"/>
      <c r="AL164" s="2082"/>
      <c r="AM164" s="2082"/>
      <c r="AN164" s="2082"/>
      <c r="AO164" s="2083"/>
      <c r="AP164" s="2092"/>
      <c r="AV164" s="140"/>
      <c r="AW164" s="2081"/>
      <c r="AX164" s="2082"/>
      <c r="AY164" s="2082"/>
      <c r="AZ164" s="2082"/>
      <c r="BA164" s="2082"/>
      <c r="BB164" s="2082"/>
      <c r="BC164" s="2082"/>
      <c r="BD164" s="2082"/>
      <c r="BE164" s="2082"/>
      <c r="BF164" s="2082"/>
      <c r="BG164" s="2082"/>
      <c r="BH164" s="2083"/>
      <c r="BI164" s="2092"/>
      <c r="BO164" s="140"/>
      <c r="BP164" s="2081"/>
      <c r="BQ164" s="2082"/>
      <c r="BR164" s="2082"/>
      <c r="BS164" s="2082"/>
      <c r="BT164" s="2082"/>
      <c r="BU164" s="2082"/>
      <c r="BV164" s="2082"/>
      <c r="BW164" s="2082"/>
      <c r="BX164" s="2082"/>
      <c r="BY164" s="2082"/>
      <c r="BZ164" s="2082"/>
      <c r="CA164" s="2083"/>
      <c r="CB164" s="2092"/>
      <c r="CI164" s="140"/>
      <c r="CJ164" s="2081"/>
      <c r="CK164" s="2082"/>
      <c r="CL164" s="2082"/>
      <c r="CM164" s="2082"/>
      <c r="CN164" s="2082"/>
      <c r="CO164" s="2082"/>
      <c r="CP164" s="2082"/>
      <c r="CQ164" s="2082"/>
      <c r="CR164" s="2082"/>
      <c r="CS164" s="2082"/>
      <c r="CT164" s="2082"/>
      <c r="CU164" s="2083"/>
      <c r="CV164" s="2092"/>
    </row>
    <row r="165" spans="10:100" ht="24" customHeight="1">
      <c r="J165" s="140"/>
      <c r="K165" s="2081"/>
      <c r="L165" s="2082"/>
      <c r="M165" s="2082"/>
      <c r="N165" s="2082"/>
      <c r="O165" s="2082"/>
      <c r="P165" s="2082"/>
      <c r="Q165" s="2082"/>
      <c r="R165" s="2082"/>
      <c r="S165" s="2082"/>
      <c r="T165" s="2082"/>
      <c r="U165" s="2082"/>
      <c r="V165" s="2083"/>
      <c r="W165" s="2092"/>
      <c r="AC165" s="140"/>
      <c r="AD165" s="2081"/>
      <c r="AE165" s="2082"/>
      <c r="AF165" s="2082"/>
      <c r="AG165" s="2082"/>
      <c r="AH165" s="2082"/>
      <c r="AI165" s="2082"/>
      <c r="AJ165" s="2082"/>
      <c r="AK165" s="2082"/>
      <c r="AL165" s="2082"/>
      <c r="AM165" s="2082"/>
      <c r="AN165" s="2082"/>
      <c r="AO165" s="2083"/>
      <c r="AP165" s="2092"/>
      <c r="AV165" s="140"/>
      <c r="AW165" s="2081"/>
      <c r="AX165" s="2082"/>
      <c r="AY165" s="2082"/>
      <c r="AZ165" s="2082"/>
      <c r="BA165" s="2082"/>
      <c r="BB165" s="2082"/>
      <c r="BC165" s="2082"/>
      <c r="BD165" s="2082"/>
      <c r="BE165" s="2082"/>
      <c r="BF165" s="2082"/>
      <c r="BG165" s="2082"/>
      <c r="BH165" s="2083"/>
      <c r="BI165" s="2092"/>
      <c r="BO165" s="140"/>
      <c r="BP165" s="2081"/>
      <c r="BQ165" s="2082"/>
      <c r="BR165" s="2082"/>
      <c r="BS165" s="2082"/>
      <c r="BT165" s="2082"/>
      <c r="BU165" s="2082"/>
      <c r="BV165" s="2082"/>
      <c r="BW165" s="2082"/>
      <c r="BX165" s="2082"/>
      <c r="BY165" s="2082"/>
      <c r="BZ165" s="2082"/>
      <c r="CA165" s="2083"/>
      <c r="CB165" s="2092"/>
      <c r="CI165" s="140"/>
      <c r="CJ165" s="2081"/>
      <c r="CK165" s="2082"/>
      <c r="CL165" s="2082"/>
      <c r="CM165" s="2082"/>
      <c r="CN165" s="2082"/>
      <c r="CO165" s="2082"/>
      <c r="CP165" s="2082"/>
      <c r="CQ165" s="2082"/>
      <c r="CR165" s="2082"/>
      <c r="CS165" s="2082"/>
      <c r="CT165" s="2082"/>
      <c r="CU165" s="2083"/>
      <c r="CV165" s="2092"/>
    </row>
    <row r="166" spans="10:100" ht="24" customHeight="1">
      <c r="J166" s="140"/>
      <c r="K166" s="2081"/>
      <c r="L166" s="2082"/>
      <c r="M166" s="2082"/>
      <c r="N166" s="2082"/>
      <c r="O166" s="2082"/>
      <c r="P166" s="2082"/>
      <c r="Q166" s="2082"/>
      <c r="R166" s="2082"/>
      <c r="S166" s="2082"/>
      <c r="T166" s="2082"/>
      <c r="U166" s="2082"/>
      <c r="V166" s="2083"/>
      <c r="W166" s="849"/>
      <c r="AC166" s="140"/>
      <c r="AD166" s="2081"/>
      <c r="AE166" s="2082"/>
      <c r="AF166" s="2082"/>
      <c r="AG166" s="2082"/>
      <c r="AH166" s="2082"/>
      <c r="AI166" s="2082"/>
      <c r="AJ166" s="2082"/>
      <c r="AK166" s="2082"/>
      <c r="AL166" s="2082"/>
      <c r="AM166" s="2082"/>
      <c r="AN166" s="2082"/>
      <c r="AO166" s="2083"/>
      <c r="AP166" s="849"/>
      <c r="AV166" s="140"/>
      <c r="AW166" s="2081"/>
      <c r="AX166" s="2082"/>
      <c r="AY166" s="2082"/>
      <c r="AZ166" s="2082"/>
      <c r="BA166" s="2082"/>
      <c r="BB166" s="2082"/>
      <c r="BC166" s="2082"/>
      <c r="BD166" s="2082"/>
      <c r="BE166" s="2082"/>
      <c r="BF166" s="2082"/>
      <c r="BG166" s="2082"/>
      <c r="BH166" s="2083"/>
      <c r="BI166" s="849"/>
      <c r="BO166" s="140"/>
      <c r="BP166" s="2081"/>
      <c r="BQ166" s="2082"/>
      <c r="BR166" s="2082"/>
      <c r="BS166" s="2082"/>
      <c r="BT166" s="2082"/>
      <c r="BU166" s="2082"/>
      <c r="BV166" s="2082"/>
      <c r="BW166" s="2082"/>
      <c r="BX166" s="2082"/>
      <c r="BY166" s="2082"/>
      <c r="BZ166" s="2082"/>
      <c r="CA166" s="2083"/>
      <c r="CB166" s="849"/>
      <c r="CI166" s="140"/>
      <c r="CJ166" s="2081"/>
      <c r="CK166" s="2082"/>
      <c r="CL166" s="2082"/>
      <c r="CM166" s="2082"/>
      <c r="CN166" s="2082"/>
      <c r="CO166" s="2082"/>
      <c r="CP166" s="2082"/>
      <c r="CQ166" s="2082"/>
      <c r="CR166" s="2082"/>
      <c r="CS166" s="2082"/>
      <c r="CT166" s="2082"/>
      <c r="CU166" s="2083"/>
      <c r="CV166" s="849"/>
    </row>
    <row r="167" spans="10:100" ht="24" customHeight="1">
      <c r="J167" s="140"/>
      <c r="K167" s="2084"/>
      <c r="L167" s="2085"/>
      <c r="M167" s="2085"/>
      <c r="N167" s="2085"/>
      <c r="O167" s="2085"/>
      <c r="P167" s="2085"/>
      <c r="Q167" s="2085"/>
      <c r="R167" s="2085"/>
      <c r="S167" s="2085"/>
      <c r="T167" s="2085"/>
      <c r="U167" s="2085"/>
      <c r="V167" s="2086"/>
      <c r="W167" s="850"/>
      <c r="AC167" s="140"/>
      <c r="AD167" s="2084"/>
      <c r="AE167" s="2085"/>
      <c r="AF167" s="2085"/>
      <c r="AG167" s="2085"/>
      <c r="AH167" s="2085"/>
      <c r="AI167" s="2085"/>
      <c r="AJ167" s="2085"/>
      <c r="AK167" s="2085"/>
      <c r="AL167" s="2085"/>
      <c r="AM167" s="2085"/>
      <c r="AN167" s="2085"/>
      <c r="AO167" s="2086"/>
      <c r="AP167" s="850"/>
      <c r="AV167" s="140"/>
      <c r="AW167" s="2084"/>
      <c r="AX167" s="2085"/>
      <c r="AY167" s="2085"/>
      <c r="AZ167" s="2085"/>
      <c r="BA167" s="2085"/>
      <c r="BB167" s="2085"/>
      <c r="BC167" s="2085"/>
      <c r="BD167" s="2085"/>
      <c r="BE167" s="2085"/>
      <c r="BF167" s="2085"/>
      <c r="BG167" s="2085"/>
      <c r="BH167" s="2086"/>
      <c r="BI167" s="850"/>
      <c r="BO167" s="140"/>
      <c r="BP167" s="2084"/>
      <c r="BQ167" s="2085"/>
      <c r="BR167" s="2085"/>
      <c r="BS167" s="2085"/>
      <c r="BT167" s="2085"/>
      <c r="BU167" s="2085"/>
      <c r="BV167" s="2085"/>
      <c r="BW167" s="2085"/>
      <c r="BX167" s="2085"/>
      <c r="BY167" s="2085"/>
      <c r="BZ167" s="2085"/>
      <c r="CA167" s="2086"/>
      <c r="CB167" s="850"/>
      <c r="CI167" s="140"/>
      <c r="CJ167" s="2084"/>
      <c r="CK167" s="2085"/>
      <c r="CL167" s="2085"/>
      <c r="CM167" s="2085"/>
      <c r="CN167" s="2085"/>
      <c r="CO167" s="2085"/>
      <c r="CP167" s="2085"/>
      <c r="CQ167" s="2085"/>
      <c r="CR167" s="2085"/>
      <c r="CS167" s="2085"/>
      <c r="CT167" s="2085"/>
      <c r="CU167" s="2086"/>
      <c r="CV167" s="850"/>
    </row>
    <row r="168" spans="10:100" ht="24" customHeight="1">
      <c r="J168" s="140"/>
      <c r="K168" s="2093"/>
      <c r="L168" s="2093"/>
      <c r="M168" s="2093"/>
      <c r="N168" s="2093"/>
      <c r="O168" s="2093"/>
      <c r="P168" s="2093"/>
      <c r="Q168" s="2093"/>
      <c r="R168" s="2093"/>
      <c r="S168" s="2093"/>
      <c r="T168" s="2093"/>
      <c r="U168" s="2093"/>
      <c r="V168" s="2093"/>
      <c r="W168" s="850"/>
      <c r="AC168" s="140"/>
      <c r="AD168" s="2093"/>
      <c r="AE168" s="2093"/>
      <c r="AF168" s="2093"/>
      <c r="AG168" s="2093"/>
      <c r="AH168" s="2093"/>
      <c r="AI168" s="2093"/>
      <c r="AJ168" s="2093"/>
      <c r="AK168" s="2093"/>
      <c r="AL168" s="2093"/>
      <c r="AM168" s="2093"/>
      <c r="AN168" s="2093"/>
      <c r="AO168" s="2093"/>
      <c r="AP168" s="850"/>
      <c r="AV168" s="140"/>
      <c r="AW168" s="2093"/>
      <c r="AX168" s="2093"/>
      <c r="AY168" s="2093"/>
      <c r="AZ168" s="2093"/>
      <c r="BA168" s="2093"/>
      <c r="BB168" s="2093"/>
      <c r="BC168" s="2093"/>
      <c r="BD168" s="2093"/>
      <c r="BE168" s="2093"/>
      <c r="BF168" s="2093"/>
      <c r="BG168" s="2093"/>
      <c r="BH168" s="2093"/>
      <c r="BI168" s="850"/>
      <c r="BO168" s="140"/>
      <c r="BP168" s="2093"/>
      <c r="BQ168" s="2093"/>
      <c r="BR168" s="2093"/>
      <c r="BS168" s="2093"/>
      <c r="BT168" s="2093"/>
      <c r="BU168" s="2093"/>
      <c r="BV168" s="2093"/>
      <c r="BW168" s="2093"/>
      <c r="BX168" s="2093"/>
      <c r="BY168" s="2093"/>
      <c r="BZ168" s="2093"/>
      <c r="CA168" s="2093"/>
      <c r="CB168" s="850"/>
      <c r="CI168" s="140"/>
      <c r="CJ168" s="2093"/>
      <c r="CK168" s="2093"/>
      <c r="CL168" s="2093"/>
      <c r="CM168" s="2093"/>
      <c r="CN168" s="2093"/>
      <c r="CO168" s="2093"/>
      <c r="CP168" s="2093"/>
      <c r="CQ168" s="2093"/>
      <c r="CR168" s="2093"/>
      <c r="CS168" s="2093"/>
      <c r="CT168" s="2093"/>
      <c r="CU168" s="2093"/>
      <c r="CV168" s="850"/>
    </row>
    <row r="169" spans="10:100" ht="24" customHeight="1" thickBot="1">
      <c r="J169" s="141"/>
      <c r="K169" s="2094"/>
      <c r="L169" s="2094"/>
      <c r="M169" s="2094"/>
      <c r="N169" s="2094"/>
      <c r="O169" s="2094"/>
      <c r="P169" s="2094"/>
      <c r="Q169" s="2094"/>
      <c r="R169" s="2094"/>
      <c r="S169" s="2094"/>
      <c r="T169" s="2094"/>
      <c r="U169" s="2094"/>
      <c r="V169" s="2094"/>
      <c r="W169" s="851"/>
      <c r="AC169" s="141"/>
      <c r="AD169" s="2094"/>
      <c r="AE169" s="2094"/>
      <c r="AF169" s="2094"/>
      <c r="AG169" s="2094"/>
      <c r="AH169" s="2094"/>
      <c r="AI169" s="2094"/>
      <c r="AJ169" s="2094"/>
      <c r="AK169" s="2094"/>
      <c r="AL169" s="2094"/>
      <c r="AM169" s="2094"/>
      <c r="AN169" s="2094"/>
      <c r="AO169" s="2094"/>
      <c r="AP169" s="851"/>
      <c r="AV169" s="141"/>
      <c r="AW169" s="2094"/>
      <c r="AX169" s="2094"/>
      <c r="AY169" s="2094"/>
      <c r="AZ169" s="2094"/>
      <c r="BA169" s="2094"/>
      <c r="BB169" s="2094"/>
      <c r="BC169" s="2094"/>
      <c r="BD169" s="2094"/>
      <c r="BE169" s="2094"/>
      <c r="BF169" s="2094"/>
      <c r="BG169" s="2094"/>
      <c r="BH169" s="2094"/>
      <c r="BI169" s="851"/>
      <c r="BO169" s="141"/>
      <c r="BP169" s="2094"/>
      <c r="BQ169" s="2094"/>
      <c r="BR169" s="2094"/>
      <c r="BS169" s="2094"/>
      <c r="BT169" s="2094"/>
      <c r="BU169" s="2094"/>
      <c r="BV169" s="2094"/>
      <c r="BW169" s="2094"/>
      <c r="BX169" s="2094"/>
      <c r="BY169" s="2094"/>
      <c r="BZ169" s="2094"/>
      <c r="CA169" s="2094"/>
      <c r="CB169" s="851"/>
      <c r="CI169" s="141"/>
      <c r="CJ169" s="2094"/>
      <c r="CK169" s="2094"/>
      <c r="CL169" s="2094"/>
      <c r="CM169" s="2094"/>
      <c r="CN169" s="2094"/>
      <c r="CO169" s="2094"/>
      <c r="CP169" s="2094"/>
      <c r="CQ169" s="2094"/>
      <c r="CR169" s="2094"/>
      <c r="CS169" s="2094"/>
      <c r="CT169" s="2094"/>
      <c r="CU169" s="2094"/>
      <c r="CV169" s="851"/>
    </row>
    <row r="173" spans="10:100" ht="24" customHeight="1">
      <c r="J173" s="2093"/>
      <c r="K173" s="2099"/>
      <c r="L173" s="2100"/>
      <c r="M173" s="2100"/>
      <c r="N173" s="2100"/>
      <c r="O173" s="2100"/>
      <c r="P173" s="2100"/>
      <c r="Q173" s="2100"/>
      <c r="R173" s="2100"/>
      <c r="S173" s="2100"/>
      <c r="T173" s="2100"/>
      <c r="U173" s="2100"/>
      <c r="V173" s="2101"/>
      <c r="W173" s="849"/>
      <c r="AC173" s="2093"/>
      <c r="AD173" s="2099"/>
      <c r="AE173" s="2100"/>
      <c r="AF173" s="2100"/>
      <c r="AG173" s="2100"/>
      <c r="AH173" s="2100"/>
      <c r="AI173" s="2100"/>
      <c r="AJ173" s="2100"/>
      <c r="AK173" s="2100"/>
      <c r="AL173" s="2100"/>
      <c r="AM173" s="2100"/>
      <c r="AN173" s="2100"/>
      <c r="AO173" s="2101"/>
      <c r="AP173" s="849"/>
      <c r="AV173" s="2093"/>
      <c r="AW173" s="2099"/>
      <c r="AX173" s="2100"/>
      <c r="AY173" s="2100"/>
      <c r="AZ173" s="2100"/>
      <c r="BA173" s="2100"/>
      <c r="BB173" s="2100"/>
      <c r="BC173" s="2100"/>
      <c r="BD173" s="2100"/>
      <c r="BE173" s="2100"/>
      <c r="BF173" s="2100"/>
      <c r="BG173" s="2100"/>
      <c r="BH173" s="2101"/>
      <c r="BI173" s="849"/>
      <c r="BO173" s="2093"/>
      <c r="BP173" s="2099"/>
      <c r="BQ173" s="2100"/>
      <c r="BR173" s="2100"/>
      <c r="BS173" s="2100"/>
      <c r="BT173" s="2100"/>
      <c r="BU173" s="2100"/>
      <c r="BV173" s="2100"/>
      <c r="BW173" s="2100"/>
      <c r="BX173" s="2100"/>
      <c r="BY173" s="2100"/>
      <c r="BZ173" s="2100"/>
      <c r="CA173" s="2101"/>
      <c r="CB173" s="849"/>
      <c r="CI173" s="2093"/>
      <c r="CJ173" s="2099"/>
      <c r="CK173" s="2100"/>
      <c r="CL173" s="2100"/>
      <c r="CM173" s="2100"/>
      <c r="CN173" s="2100"/>
      <c r="CO173" s="2100"/>
      <c r="CP173" s="2100"/>
      <c r="CQ173" s="2100"/>
      <c r="CR173" s="2100"/>
      <c r="CS173" s="2100"/>
      <c r="CT173" s="2100"/>
      <c r="CU173" s="2101"/>
      <c r="CV173" s="849"/>
    </row>
    <row r="174" spans="10:100" ht="24" customHeight="1" thickBot="1">
      <c r="J174" s="2095"/>
      <c r="K174" s="2102"/>
      <c r="L174" s="2103"/>
      <c r="M174" s="2103"/>
      <c r="N174" s="2103"/>
      <c r="O174" s="2103"/>
      <c r="P174" s="2103"/>
      <c r="Q174" s="2103"/>
      <c r="R174" s="2103"/>
      <c r="S174" s="2103"/>
      <c r="T174" s="2103"/>
      <c r="U174" s="2103"/>
      <c r="V174" s="2104"/>
      <c r="W174" s="851"/>
      <c r="AC174" s="2095"/>
      <c r="AD174" s="2102"/>
      <c r="AE174" s="2103"/>
      <c r="AF174" s="2103"/>
      <c r="AG174" s="2103"/>
      <c r="AH174" s="2103"/>
      <c r="AI174" s="2103"/>
      <c r="AJ174" s="2103"/>
      <c r="AK174" s="2103"/>
      <c r="AL174" s="2103"/>
      <c r="AM174" s="2103"/>
      <c r="AN174" s="2103"/>
      <c r="AO174" s="2104"/>
      <c r="AP174" s="851"/>
      <c r="AV174" s="2095"/>
      <c r="AW174" s="2102"/>
      <c r="AX174" s="2103"/>
      <c r="AY174" s="2103"/>
      <c r="AZ174" s="2103"/>
      <c r="BA174" s="2103"/>
      <c r="BB174" s="2103"/>
      <c r="BC174" s="2103"/>
      <c r="BD174" s="2103"/>
      <c r="BE174" s="2103"/>
      <c r="BF174" s="2103"/>
      <c r="BG174" s="2103"/>
      <c r="BH174" s="2104"/>
      <c r="BI174" s="851"/>
      <c r="BO174" s="2095"/>
      <c r="BP174" s="2102"/>
      <c r="BQ174" s="2103"/>
      <c r="BR174" s="2103"/>
      <c r="BS174" s="2103"/>
      <c r="BT174" s="2103"/>
      <c r="BU174" s="2103"/>
      <c r="BV174" s="2103"/>
      <c r="BW174" s="2103"/>
      <c r="BX174" s="2103"/>
      <c r="BY174" s="2103"/>
      <c r="BZ174" s="2103"/>
      <c r="CA174" s="2104"/>
      <c r="CB174" s="851"/>
      <c r="CI174" s="2095"/>
      <c r="CJ174" s="2102"/>
      <c r="CK174" s="2103"/>
      <c r="CL174" s="2103"/>
      <c r="CM174" s="2103"/>
      <c r="CN174" s="2103"/>
      <c r="CO174" s="2103"/>
      <c r="CP174" s="2103"/>
      <c r="CQ174" s="2103"/>
      <c r="CR174" s="2103"/>
      <c r="CS174" s="2103"/>
      <c r="CT174" s="2103"/>
      <c r="CU174" s="2104"/>
      <c r="CV174" s="851"/>
    </row>
    <row r="175" spans="10:100" ht="24" customHeight="1">
      <c r="J175" s="140"/>
      <c r="K175" s="2096"/>
      <c r="L175" s="2097"/>
      <c r="M175" s="2097"/>
      <c r="N175" s="2097"/>
      <c r="O175" s="2097"/>
      <c r="P175" s="2097"/>
      <c r="Q175" s="2097"/>
      <c r="R175" s="2097"/>
      <c r="S175" s="2097"/>
      <c r="T175" s="2097"/>
      <c r="U175" s="2097"/>
      <c r="V175" s="2098"/>
      <c r="W175" s="2089" t="s">
        <v>440</v>
      </c>
      <c r="AC175" s="140"/>
      <c r="AD175" s="2096"/>
      <c r="AE175" s="2097"/>
      <c r="AF175" s="2097"/>
      <c r="AG175" s="2097"/>
      <c r="AH175" s="2097"/>
      <c r="AI175" s="2097"/>
      <c r="AJ175" s="2097"/>
      <c r="AK175" s="2097"/>
      <c r="AL175" s="2097"/>
      <c r="AM175" s="2097"/>
      <c r="AN175" s="2097"/>
      <c r="AO175" s="2098"/>
      <c r="AP175" s="2089" t="s">
        <v>440</v>
      </c>
      <c r="AV175" s="140"/>
      <c r="AW175" s="2096"/>
      <c r="AX175" s="2097"/>
      <c r="AY175" s="2097"/>
      <c r="AZ175" s="2097"/>
      <c r="BA175" s="2097"/>
      <c r="BB175" s="2097"/>
      <c r="BC175" s="2097"/>
      <c r="BD175" s="2097"/>
      <c r="BE175" s="2097"/>
      <c r="BF175" s="2097"/>
      <c r="BG175" s="2097"/>
      <c r="BH175" s="2098"/>
      <c r="BI175" s="2089" t="s">
        <v>440</v>
      </c>
      <c r="BO175" s="140"/>
      <c r="BP175" s="2096"/>
      <c r="BQ175" s="2097"/>
      <c r="BR175" s="2097"/>
      <c r="BS175" s="2097"/>
      <c r="BT175" s="2097"/>
      <c r="BU175" s="2097"/>
      <c r="BV175" s="2097"/>
      <c r="BW175" s="2097"/>
      <c r="BX175" s="2097"/>
      <c r="BY175" s="2097"/>
      <c r="BZ175" s="2097"/>
      <c r="CA175" s="2098"/>
      <c r="CB175" s="2089" t="s">
        <v>440</v>
      </c>
      <c r="CI175" s="140"/>
      <c r="CJ175" s="2096"/>
      <c r="CK175" s="2097"/>
      <c r="CL175" s="2097"/>
      <c r="CM175" s="2097"/>
      <c r="CN175" s="2097"/>
      <c r="CO175" s="2097"/>
      <c r="CP175" s="2097"/>
      <c r="CQ175" s="2097"/>
      <c r="CR175" s="2097"/>
      <c r="CS175" s="2097"/>
      <c r="CT175" s="2097"/>
      <c r="CU175" s="2098"/>
      <c r="CV175" s="2089" t="s">
        <v>440</v>
      </c>
    </row>
    <row r="176" spans="10:100" ht="24" customHeight="1">
      <c r="J176" s="140"/>
      <c r="K176" s="2081"/>
      <c r="L176" s="2082"/>
      <c r="M176" s="2082"/>
      <c r="N176" s="2082"/>
      <c r="O176" s="2082"/>
      <c r="P176" s="2082"/>
      <c r="Q176" s="2082"/>
      <c r="R176" s="2082"/>
      <c r="S176" s="2082"/>
      <c r="T176" s="2082"/>
      <c r="U176" s="2082"/>
      <c r="V176" s="2083"/>
      <c r="W176" s="2090"/>
      <c r="AC176" s="140"/>
      <c r="AD176" s="2081"/>
      <c r="AE176" s="2082"/>
      <c r="AF176" s="2082"/>
      <c r="AG176" s="2082"/>
      <c r="AH176" s="2082"/>
      <c r="AI176" s="2082"/>
      <c r="AJ176" s="2082"/>
      <c r="AK176" s="2082"/>
      <c r="AL176" s="2082"/>
      <c r="AM176" s="2082"/>
      <c r="AN176" s="2082"/>
      <c r="AO176" s="2083"/>
      <c r="AP176" s="2090"/>
      <c r="AV176" s="140"/>
      <c r="AW176" s="2081"/>
      <c r="AX176" s="2082"/>
      <c r="AY176" s="2082"/>
      <c r="AZ176" s="2082"/>
      <c r="BA176" s="2082"/>
      <c r="BB176" s="2082"/>
      <c r="BC176" s="2082"/>
      <c r="BD176" s="2082"/>
      <c r="BE176" s="2082"/>
      <c r="BF176" s="2082"/>
      <c r="BG176" s="2082"/>
      <c r="BH176" s="2083"/>
      <c r="BI176" s="2090"/>
      <c r="BO176" s="140"/>
      <c r="BP176" s="2081"/>
      <c r="BQ176" s="2082"/>
      <c r="BR176" s="2082"/>
      <c r="BS176" s="2082"/>
      <c r="BT176" s="2082"/>
      <c r="BU176" s="2082"/>
      <c r="BV176" s="2082"/>
      <c r="BW176" s="2082"/>
      <c r="BX176" s="2082"/>
      <c r="BY176" s="2082"/>
      <c r="BZ176" s="2082"/>
      <c r="CA176" s="2083"/>
      <c r="CB176" s="2090"/>
      <c r="CI176" s="140"/>
      <c r="CJ176" s="2081"/>
      <c r="CK176" s="2082"/>
      <c r="CL176" s="2082"/>
      <c r="CM176" s="2082"/>
      <c r="CN176" s="2082"/>
      <c r="CO176" s="2082"/>
      <c r="CP176" s="2082"/>
      <c r="CQ176" s="2082"/>
      <c r="CR176" s="2082"/>
      <c r="CS176" s="2082"/>
      <c r="CT176" s="2082"/>
      <c r="CU176" s="2083"/>
      <c r="CV176" s="2090"/>
    </row>
    <row r="177" spans="10:100" ht="24" customHeight="1">
      <c r="J177" s="140"/>
      <c r="K177" s="2081"/>
      <c r="L177" s="2082"/>
      <c r="M177" s="2082"/>
      <c r="N177" s="2082"/>
      <c r="O177" s="2082"/>
      <c r="P177" s="2082"/>
      <c r="Q177" s="2082"/>
      <c r="R177" s="2082"/>
      <c r="S177" s="2082"/>
      <c r="T177" s="2082"/>
      <c r="U177" s="2082"/>
      <c r="V177" s="2083"/>
      <c r="W177" s="2091"/>
      <c r="AC177" s="140"/>
      <c r="AD177" s="2081"/>
      <c r="AE177" s="2082"/>
      <c r="AF177" s="2082"/>
      <c r="AG177" s="2082"/>
      <c r="AH177" s="2082"/>
      <c r="AI177" s="2082"/>
      <c r="AJ177" s="2082"/>
      <c r="AK177" s="2082"/>
      <c r="AL177" s="2082"/>
      <c r="AM177" s="2082"/>
      <c r="AN177" s="2082"/>
      <c r="AO177" s="2083"/>
      <c r="AP177" s="2091"/>
      <c r="AV177" s="140"/>
      <c r="AW177" s="2081"/>
      <c r="AX177" s="2082"/>
      <c r="AY177" s="2082"/>
      <c r="AZ177" s="2082"/>
      <c r="BA177" s="2082"/>
      <c r="BB177" s="2082"/>
      <c r="BC177" s="2082"/>
      <c r="BD177" s="2082"/>
      <c r="BE177" s="2082"/>
      <c r="BF177" s="2082"/>
      <c r="BG177" s="2082"/>
      <c r="BH177" s="2083"/>
      <c r="BI177" s="2091"/>
      <c r="BO177" s="140"/>
      <c r="BP177" s="2081"/>
      <c r="BQ177" s="2082"/>
      <c r="BR177" s="2082"/>
      <c r="BS177" s="2082"/>
      <c r="BT177" s="2082"/>
      <c r="BU177" s="2082"/>
      <c r="BV177" s="2082"/>
      <c r="BW177" s="2082"/>
      <c r="BX177" s="2082"/>
      <c r="BY177" s="2082"/>
      <c r="BZ177" s="2082"/>
      <c r="CA177" s="2083"/>
      <c r="CB177" s="2091"/>
      <c r="CI177" s="140"/>
      <c r="CJ177" s="2081"/>
      <c r="CK177" s="2082"/>
      <c r="CL177" s="2082"/>
      <c r="CM177" s="2082"/>
      <c r="CN177" s="2082"/>
      <c r="CO177" s="2082"/>
      <c r="CP177" s="2082"/>
      <c r="CQ177" s="2082"/>
      <c r="CR177" s="2082"/>
      <c r="CS177" s="2082"/>
      <c r="CT177" s="2082"/>
      <c r="CU177" s="2083"/>
      <c r="CV177" s="2091"/>
    </row>
    <row r="178" spans="10:100" ht="24" customHeight="1">
      <c r="J178" s="140"/>
      <c r="K178" s="2081"/>
      <c r="L178" s="2082"/>
      <c r="M178" s="2082"/>
      <c r="N178" s="2082"/>
      <c r="O178" s="2082"/>
      <c r="P178" s="2082"/>
      <c r="Q178" s="2082"/>
      <c r="R178" s="2082"/>
      <c r="S178" s="2082"/>
      <c r="T178" s="2082"/>
      <c r="U178" s="2082"/>
      <c r="V178" s="2083"/>
      <c r="W178" s="2092"/>
      <c r="AC178" s="140"/>
      <c r="AD178" s="2081"/>
      <c r="AE178" s="2082"/>
      <c r="AF178" s="2082"/>
      <c r="AG178" s="2082"/>
      <c r="AH178" s="2082"/>
      <c r="AI178" s="2082"/>
      <c r="AJ178" s="2082"/>
      <c r="AK178" s="2082"/>
      <c r="AL178" s="2082"/>
      <c r="AM178" s="2082"/>
      <c r="AN178" s="2082"/>
      <c r="AO178" s="2083"/>
      <c r="AP178" s="2092"/>
      <c r="AV178" s="140"/>
      <c r="AW178" s="2081"/>
      <c r="AX178" s="2082"/>
      <c r="AY178" s="2082"/>
      <c r="AZ178" s="2082"/>
      <c r="BA178" s="2082"/>
      <c r="BB178" s="2082"/>
      <c r="BC178" s="2082"/>
      <c r="BD178" s="2082"/>
      <c r="BE178" s="2082"/>
      <c r="BF178" s="2082"/>
      <c r="BG178" s="2082"/>
      <c r="BH178" s="2083"/>
      <c r="BI178" s="2092"/>
      <c r="BO178" s="140"/>
      <c r="BP178" s="2081"/>
      <c r="BQ178" s="2082"/>
      <c r="BR178" s="2082"/>
      <c r="BS178" s="2082"/>
      <c r="BT178" s="2082"/>
      <c r="BU178" s="2082"/>
      <c r="BV178" s="2082"/>
      <c r="BW178" s="2082"/>
      <c r="BX178" s="2082"/>
      <c r="BY178" s="2082"/>
      <c r="BZ178" s="2082"/>
      <c r="CA178" s="2083"/>
      <c r="CB178" s="2092"/>
      <c r="CI178" s="140"/>
      <c r="CJ178" s="2081"/>
      <c r="CK178" s="2082"/>
      <c r="CL178" s="2082"/>
      <c r="CM178" s="2082"/>
      <c r="CN178" s="2082"/>
      <c r="CO178" s="2082"/>
      <c r="CP178" s="2082"/>
      <c r="CQ178" s="2082"/>
      <c r="CR178" s="2082"/>
      <c r="CS178" s="2082"/>
      <c r="CT178" s="2082"/>
      <c r="CU178" s="2083"/>
      <c r="CV178" s="2092"/>
    </row>
    <row r="179" spans="10:100" ht="24" customHeight="1">
      <c r="J179" s="140"/>
      <c r="K179" s="2081"/>
      <c r="L179" s="2082"/>
      <c r="M179" s="2082"/>
      <c r="N179" s="2082"/>
      <c r="O179" s="2082"/>
      <c r="P179" s="2082"/>
      <c r="Q179" s="2082"/>
      <c r="R179" s="2082"/>
      <c r="S179" s="2082"/>
      <c r="T179" s="2082"/>
      <c r="U179" s="2082"/>
      <c r="V179" s="2083"/>
      <c r="W179" s="2092"/>
      <c r="AC179" s="140"/>
      <c r="AD179" s="2081"/>
      <c r="AE179" s="2082"/>
      <c r="AF179" s="2082"/>
      <c r="AG179" s="2082"/>
      <c r="AH179" s="2082"/>
      <c r="AI179" s="2082"/>
      <c r="AJ179" s="2082"/>
      <c r="AK179" s="2082"/>
      <c r="AL179" s="2082"/>
      <c r="AM179" s="2082"/>
      <c r="AN179" s="2082"/>
      <c r="AO179" s="2083"/>
      <c r="AP179" s="2092"/>
      <c r="AV179" s="140"/>
      <c r="AW179" s="2081"/>
      <c r="AX179" s="2082"/>
      <c r="AY179" s="2082"/>
      <c r="AZ179" s="2082"/>
      <c r="BA179" s="2082"/>
      <c r="BB179" s="2082"/>
      <c r="BC179" s="2082"/>
      <c r="BD179" s="2082"/>
      <c r="BE179" s="2082"/>
      <c r="BF179" s="2082"/>
      <c r="BG179" s="2082"/>
      <c r="BH179" s="2083"/>
      <c r="BI179" s="2092"/>
      <c r="BO179" s="140"/>
      <c r="BP179" s="2081"/>
      <c r="BQ179" s="2082"/>
      <c r="BR179" s="2082"/>
      <c r="BS179" s="2082"/>
      <c r="BT179" s="2082"/>
      <c r="BU179" s="2082"/>
      <c r="BV179" s="2082"/>
      <c r="BW179" s="2082"/>
      <c r="BX179" s="2082"/>
      <c r="BY179" s="2082"/>
      <c r="BZ179" s="2082"/>
      <c r="CA179" s="2083"/>
      <c r="CB179" s="2092"/>
      <c r="CI179" s="140"/>
      <c r="CJ179" s="2081"/>
      <c r="CK179" s="2082"/>
      <c r="CL179" s="2082"/>
      <c r="CM179" s="2082"/>
      <c r="CN179" s="2082"/>
      <c r="CO179" s="2082"/>
      <c r="CP179" s="2082"/>
      <c r="CQ179" s="2082"/>
      <c r="CR179" s="2082"/>
      <c r="CS179" s="2082"/>
      <c r="CT179" s="2082"/>
      <c r="CU179" s="2083"/>
      <c r="CV179" s="2092"/>
    </row>
    <row r="180" spans="10:100" ht="24" customHeight="1">
      <c r="J180" s="140"/>
      <c r="K180" s="2081"/>
      <c r="L180" s="2082"/>
      <c r="M180" s="2082"/>
      <c r="N180" s="2082"/>
      <c r="O180" s="2082"/>
      <c r="P180" s="2082"/>
      <c r="Q180" s="2082"/>
      <c r="R180" s="2082"/>
      <c r="S180" s="2082"/>
      <c r="T180" s="2082"/>
      <c r="U180" s="2082"/>
      <c r="V180" s="2083"/>
      <c r="W180" s="2092"/>
      <c r="AC180" s="140"/>
      <c r="AD180" s="2081"/>
      <c r="AE180" s="2082"/>
      <c r="AF180" s="2082"/>
      <c r="AG180" s="2082"/>
      <c r="AH180" s="2082"/>
      <c r="AI180" s="2082"/>
      <c r="AJ180" s="2082"/>
      <c r="AK180" s="2082"/>
      <c r="AL180" s="2082"/>
      <c r="AM180" s="2082"/>
      <c r="AN180" s="2082"/>
      <c r="AO180" s="2083"/>
      <c r="AP180" s="2092"/>
      <c r="AV180" s="140"/>
      <c r="AW180" s="2081"/>
      <c r="AX180" s="2082"/>
      <c r="AY180" s="2082"/>
      <c r="AZ180" s="2082"/>
      <c r="BA180" s="2082"/>
      <c r="BB180" s="2082"/>
      <c r="BC180" s="2082"/>
      <c r="BD180" s="2082"/>
      <c r="BE180" s="2082"/>
      <c r="BF180" s="2082"/>
      <c r="BG180" s="2082"/>
      <c r="BH180" s="2083"/>
      <c r="BI180" s="2092"/>
      <c r="BO180" s="140"/>
      <c r="BP180" s="2081"/>
      <c r="BQ180" s="2082"/>
      <c r="BR180" s="2082"/>
      <c r="BS180" s="2082"/>
      <c r="BT180" s="2082"/>
      <c r="BU180" s="2082"/>
      <c r="BV180" s="2082"/>
      <c r="BW180" s="2082"/>
      <c r="BX180" s="2082"/>
      <c r="BY180" s="2082"/>
      <c r="BZ180" s="2082"/>
      <c r="CA180" s="2083"/>
      <c r="CB180" s="2092"/>
      <c r="CI180" s="140"/>
      <c r="CJ180" s="2081"/>
      <c r="CK180" s="2082"/>
      <c r="CL180" s="2082"/>
      <c r="CM180" s="2082"/>
      <c r="CN180" s="2082"/>
      <c r="CO180" s="2082"/>
      <c r="CP180" s="2082"/>
      <c r="CQ180" s="2082"/>
      <c r="CR180" s="2082"/>
      <c r="CS180" s="2082"/>
      <c r="CT180" s="2082"/>
      <c r="CU180" s="2083"/>
      <c r="CV180" s="2092"/>
    </row>
    <row r="181" spans="10:100" ht="24" customHeight="1">
      <c r="J181" s="140"/>
      <c r="K181" s="2081"/>
      <c r="L181" s="2082"/>
      <c r="M181" s="2082"/>
      <c r="N181" s="2082"/>
      <c r="O181" s="2082"/>
      <c r="P181" s="2082"/>
      <c r="Q181" s="2082"/>
      <c r="R181" s="2082"/>
      <c r="S181" s="2082"/>
      <c r="T181" s="2082"/>
      <c r="U181" s="2082"/>
      <c r="V181" s="2083"/>
      <c r="W181" s="2092"/>
      <c r="AC181" s="140"/>
      <c r="AD181" s="2081"/>
      <c r="AE181" s="2082"/>
      <c r="AF181" s="2082"/>
      <c r="AG181" s="2082"/>
      <c r="AH181" s="2082"/>
      <c r="AI181" s="2082"/>
      <c r="AJ181" s="2082"/>
      <c r="AK181" s="2082"/>
      <c r="AL181" s="2082"/>
      <c r="AM181" s="2082"/>
      <c r="AN181" s="2082"/>
      <c r="AO181" s="2083"/>
      <c r="AP181" s="2092"/>
      <c r="AV181" s="140"/>
      <c r="AW181" s="2081"/>
      <c r="AX181" s="2082"/>
      <c r="AY181" s="2082"/>
      <c r="AZ181" s="2082"/>
      <c r="BA181" s="2082"/>
      <c r="BB181" s="2082"/>
      <c r="BC181" s="2082"/>
      <c r="BD181" s="2082"/>
      <c r="BE181" s="2082"/>
      <c r="BF181" s="2082"/>
      <c r="BG181" s="2082"/>
      <c r="BH181" s="2083"/>
      <c r="BI181" s="2092"/>
      <c r="BO181" s="140"/>
      <c r="BP181" s="2081"/>
      <c r="BQ181" s="2082"/>
      <c r="BR181" s="2082"/>
      <c r="BS181" s="2082"/>
      <c r="BT181" s="2082"/>
      <c r="BU181" s="2082"/>
      <c r="BV181" s="2082"/>
      <c r="BW181" s="2082"/>
      <c r="BX181" s="2082"/>
      <c r="BY181" s="2082"/>
      <c r="BZ181" s="2082"/>
      <c r="CA181" s="2083"/>
      <c r="CB181" s="2092"/>
      <c r="CI181" s="140"/>
      <c r="CJ181" s="2081"/>
      <c r="CK181" s="2082"/>
      <c r="CL181" s="2082"/>
      <c r="CM181" s="2082"/>
      <c r="CN181" s="2082"/>
      <c r="CO181" s="2082"/>
      <c r="CP181" s="2082"/>
      <c r="CQ181" s="2082"/>
      <c r="CR181" s="2082"/>
      <c r="CS181" s="2082"/>
      <c r="CT181" s="2082"/>
      <c r="CU181" s="2083"/>
      <c r="CV181" s="2092"/>
    </row>
    <row r="182" spans="10:100" ht="24" customHeight="1">
      <c r="J182" s="140"/>
      <c r="K182" s="2081"/>
      <c r="L182" s="2082"/>
      <c r="M182" s="2082"/>
      <c r="N182" s="2082"/>
      <c r="O182" s="2082"/>
      <c r="P182" s="2082"/>
      <c r="Q182" s="2082"/>
      <c r="R182" s="2082"/>
      <c r="S182" s="2082"/>
      <c r="T182" s="2082"/>
      <c r="U182" s="2082"/>
      <c r="V182" s="2083"/>
      <c r="W182" s="2092"/>
      <c r="AC182" s="140"/>
      <c r="AD182" s="2081"/>
      <c r="AE182" s="2082"/>
      <c r="AF182" s="2082"/>
      <c r="AG182" s="2082"/>
      <c r="AH182" s="2082"/>
      <c r="AI182" s="2082"/>
      <c r="AJ182" s="2082"/>
      <c r="AK182" s="2082"/>
      <c r="AL182" s="2082"/>
      <c r="AM182" s="2082"/>
      <c r="AN182" s="2082"/>
      <c r="AO182" s="2083"/>
      <c r="AP182" s="2092"/>
      <c r="AV182" s="140"/>
      <c r="AW182" s="2081"/>
      <c r="AX182" s="2082"/>
      <c r="AY182" s="2082"/>
      <c r="AZ182" s="2082"/>
      <c r="BA182" s="2082"/>
      <c r="BB182" s="2082"/>
      <c r="BC182" s="2082"/>
      <c r="BD182" s="2082"/>
      <c r="BE182" s="2082"/>
      <c r="BF182" s="2082"/>
      <c r="BG182" s="2082"/>
      <c r="BH182" s="2083"/>
      <c r="BI182" s="2092"/>
      <c r="BO182" s="140"/>
      <c r="BP182" s="2081"/>
      <c r="BQ182" s="2082"/>
      <c r="BR182" s="2082"/>
      <c r="BS182" s="2082"/>
      <c r="BT182" s="2082"/>
      <c r="BU182" s="2082"/>
      <c r="BV182" s="2082"/>
      <c r="BW182" s="2082"/>
      <c r="BX182" s="2082"/>
      <c r="BY182" s="2082"/>
      <c r="BZ182" s="2082"/>
      <c r="CA182" s="2083"/>
      <c r="CB182" s="2092"/>
      <c r="CI182" s="140"/>
      <c r="CJ182" s="2081"/>
      <c r="CK182" s="2082"/>
      <c r="CL182" s="2082"/>
      <c r="CM182" s="2082"/>
      <c r="CN182" s="2082"/>
      <c r="CO182" s="2082"/>
      <c r="CP182" s="2082"/>
      <c r="CQ182" s="2082"/>
      <c r="CR182" s="2082"/>
      <c r="CS182" s="2082"/>
      <c r="CT182" s="2082"/>
      <c r="CU182" s="2083"/>
      <c r="CV182" s="2092"/>
    </row>
    <row r="183" spans="10:100" ht="24" customHeight="1">
      <c r="J183" s="140"/>
      <c r="K183" s="2081"/>
      <c r="L183" s="2082"/>
      <c r="M183" s="2082"/>
      <c r="N183" s="2082"/>
      <c r="O183" s="2082"/>
      <c r="P183" s="2082"/>
      <c r="Q183" s="2082"/>
      <c r="R183" s="2082"/>
      <c r="S183" s="2082"/>
      <c r="T183" s="2082"/>
      <c r="U183" s="2082"/>
      <c r="V183" s="2083"/>
      <c r="W183" s="2092"/>
      <c r="AC183" s="140"/>
      <c r="AD183" s="2081"/>
      <c r="AE183" s="2082"/>
      <c r="AF183" s="2082"/>
      <c r="AG183" s="2082"/>
      <c r="AH183" s="2082"/>
      <c r="AI183" s="2082"/>
      <c r="AJ183" s="2082"/>
      <c r="AK183" s="2082"/>
      <c r="AL183" s="2082"/>
      <c r="AM183" s="2082"/>
      <c r="AN183" s="2082"/>
      <c r="AO183" s="2083"/>
      <c r="AP183" s="2092"/>
      <c r="AV183" s="140"/>
      <c r="AW183" s="2081"/>
      <c r="AX183" s="2082"/>
      <c r="AY183" s="2082"/>
      <c r="AZ183" s="2082"/>
      <c r="BA183" s="2082"/>
      <c r="BB183" s="2082"/>
      <c r="BC183" s="2082"/>
      <c r="BD183" s="2082"/>
      <c r="BE183" s="2082"/>
      <c r="BF183" s="2082"/>
      <c r="BG183" s="2082"/>
      <c r="BH183" s="2083"/>
      <c r="BI183" s="2092"/>
      <c r="BO183" s="140"/>
      <c r="BP183" s="2081"/>
      <c r="BQ183" s="2082"/>
      <c r="BR183" s="2082"/>
      <c r="BS183" s="2082"/>
      <c r="BT183" s="2082"/>
      <c r="BU183" s="2082"/>
      <c r="BV183" s="2082"/>
      <c r="BW183" s="2082"/>
      <c r="BX183" s="2082"/>
      <c r="BY183" s="2082"/>
      <c r="BZ183" s="2082"/>
      <c r="CA183" s="2083"/>
      <c r="CB183" s="2092"/>
      <c r="CI183" s="140"/>
      <c r="CJ183" s="2081"/>
      <c r="CK183" s="2082"/>
      <c r="CL183" s="2082"/>
      <c r="CM183" s="2082"/>
      <c r="CN183" s="2082"/>
      <c r="CO183" s="2082"/>
      <c r="CP183" s="2082"/>
      <c r="CQ183" s="2082"/>
      <c r="CR183" s="2082"/>
      <c r="CS183" s="2082"/>
      <c r="CT183" s="2082"/>
      <c r="CU183" s="2083"/>
      <c r="CV183" s="2092"/>
    </row>
    <row r="184" spans="10:100" ht="24" customHeight="1">
      <c r="J184" s="140"/>
      <c r="K184" s="2081"/>
      <c r="L184" s="2082"/>
      <c r="M184" s="2082"/>
      <c r="N184" s="2082"/>
      <c r="O184" s="2082"/>
      <c r="P184" s="2082"/>
      <c r="Q184" s="2082"/>
      <c r="R184" s="2082"/>
      <c r="S184" s="2082"/>
      <c r="T184" s="2082"/>
      <c r="U184" s="2082"/>
      <c r="V184" s="2083"/>
      <c r="W184" s="2092"/>
      <c r="AC184" s="140"/>
      <c r="AD184" s="2081"/>
      <c r="AE184" s="2082"/>
      <c r="AF184" s="2082"/>
      <c r="AG184" s="2082"/>
      <c r="AH184" s="2082"/>
      <c r="AI184" s="2082"/>
      <c r="AJ184" s="2082"/>
      <c r="AK184" s="2082"/>
      <c r="AL184" s="2082"/>
      <c r="AM184" s="2082"/>
      <c r="AN184" s="2082"/>
      <c r="AO184" s="2083"/>
      <c r="AP184" s="2092"/>
      <c r="AV184" s="140"/>
      <c r="AW184" s="2081"/>
      <c r="AX184" s="2082"/>
      <c r="AY184" s="2082"/>
      <c r="AZ184" s="2082"/>
      <c r="BA184" s="2082"/>
      <c r="BB184" s="2082"/>
      <c r="BC184" s="2082"/>
      <c r="BD184" s="2082"/>
      <c r="BE184" s="2082"/>
      <c r="BF184" s="2082"/>
      <c r="BG184" s="2082"/>
      <c r="BH184" s="2083"/>
      <c r="BI184" s="2092"/>
      <c r="BO184" s="140"/>
      <c r="BP184" s="2081"/>
      <c r="BQ184" s="2082"/>
      <c r="BR184" s="2082"/>
      <c r="BS184" s="2082"/>
      <c r="BT184" s="2082"/>
      <c r="BU184" s="2082"/>
      <c r="BV184" s="2082"/>
      <c r="BW184" s="2082"/>
      <c r="BX184" s="2082"/>
      <c r="BY184" s="2082"/>
      <c r="BZ184" s="2082"/>
      <c r="CA184" s="2083"/>
      <c r="CB184" s="2092"/>
      <c r="CI184" s="140"/>
      <c r="CJ184" s="2081"/>
      <c r="CK184" s="2082"/>
      <c r="CL184" s="2082"/>
      <c r="CM184" s="2082"/>
      <c r="CN184" s="2082"/>
      <c r="CO184" s="2082"/>
      <c r="CP184" s="2082"/>
      <c r="CQ184" s="2082"/>
      <c r="CR184" s="2082"/>
      <c r="CS184" s="2082"/>
      <c r="CT184" s="2082"/>
      <c r="CU184" s="2083"/>
      <c r="CV184" s="2092"/>
    </row>
    <row r="185" spans="10:100" ht="24" customHeight="1">
      <c r="J185" s="140"/>
      <c r="K185" s="2081"/>
      <c r="L185" s="2082"/>
      <c r="M185" s="2082"/>
      <c r="N185" s="2082"/>
      <c r="O185" s="2082"/>
      <c r="P185" s="2082"/>
      <c r="Q185" s="2082"/>
      <c r="R185" s="2082"/>
      <c r="S185" s="2082"/>
      <c r="T185" s="2082"/>
      <c r="U185" s="2082"/>
      <c r="V185" s="2083"/>
      <c r="W185" s="2092"/>
      <c r="AC185" s="140"/>
      <c r="AD185" s="2081"/>
      <c r="AE185" s="2082"/>
      <c r="AF185" s="2082"/>
      <c r="AG185" s="2082"/>
      <c r="AH185" s="2082"/>
      <c r="AI185" s="2082"/>
      <c r="AJ185" s="2082"/>
      <c r="AK185" s="2082"/>
      <c r="AL185" s="2082"/>
      <c r="AM185" s="2082"/>
      <c r="AN185" s="2082"/>
      <c r="AO185" s="2083"/>
      <c r="AP185" s="2092"/>
      <c r="AV185" s="140"/>
      <c r="AW185" s="2081"/>
      <c r="AX185" s="2082"/>
      <c r="AY185" s="2082"/>
      <c r="AZ185" s="2082"/>
      <c r="BA185" s="2082"/>
      <c r="BB185" s="2082"/>
      <c r="BC185" s="2082"/>
      <c r="BD185" s="2082"/>
      <c r="BE185" s="2082"/>
      <c r="BF185" s="2082"/>
      <c r="BG185" s="2082"/>
      <c r="BH185" s="2083"/>
      <c r="BI185" s="2092"/>
      <c r="BO185" s="140"/>
      <c r="BP185" s="2081"/>
      <c r="BQ185" s="2082"/>
      <c r="BR185" s="2082"/>
      <c r="BS185" s="2082"/>
      <c r="BT185" s="2082"/>
      <c r="BU185" s="2082"/>
      <c r="BV185" s="2082"/>
      <c r="BW185" s="2082"/>
      <c r="BX185" s="2082"/>
      <c r="BY185" s="2082"/>
      <c r="BZ185" s="2082"/>
      <c r="CA185" s="2083"/>
      <c r="CB185" s="2092"/>
      <c r="CI185" s="140"/>
      <c r="CJ185" s="2081"/>
      <c r="CK185" s="2082"/>
      <c r="CL185" s="2082"/>
      <c r="CM185" s="2082"/>
      <c r="CN185" s="2082"/>
      <c r="CO185" s="2082"/>
      <c r="CP185" s="2082"/>
      <c r="CQ185" s="2082"/>
      <c r="CR185" s="2082"/>
      <c r="CS185" s="2082"/>
      <c r="CT185" s="2082"/>
      <c r="CU185" s="2083"/>
      <c r="CV185" s="2092"/>
    </row>
    <row r="186" spans="10:100" ht="24" customHeight="1">
      <c r="J186" s="140"/>
      <c r="K186" s="2081"/>
      <c r="L186" s="2082"/>
      <c r="M186" s="2082"/>
      <c r="N186" s="2082"/>
      <c r="O186" s="2082"/>
      <c r="P186" s="2082"/>
      <c r="Q186" s="2082"/>
      <c r="R186" s="2082"/>
      <c r="S186" s="2082"/>
      <c r="T186" s="2082"/>
      <c r="U186" s="2082"/>
      <c r="V186" s="2083"/>
      <c r="W186" s="2092"/>
      <c r="AC186" s="140"/>
      <c r="AD186" s="2081"/>
      <c r="AE186" s="2082"/>
      <c r="AF186" s="2082"/>
      <c r="AG186" s="2082"/>
      <c r="AH186" s="2082"/>
      <c r="AI186" s="2082"/>
      <c r="AJ186" s="2082"/>
      <c r="AK186" s="2082"/>
      <c r="AL186" s="2082"/>
      <c r="AM186" s="2082"/>
      <c r="AN186" s="2082"/>
      <c r="AO186" s="2083"/>
      <c r="AP186" s="2092"/>
      <c r="AV186" s="140"/>
      <c r="AW186" s="2081"/>
      <c r="AX186" s="2082"/>
      <c r="AY186" s="2082"/>
      <c r="AZ186" s="2082"/>
      <c r="BA186" s="2082"/>
      <c r="BB186" s="2082"/>
      <c r="BC186" s="2082"/>
      <c r="BD186" s="2082"/>
      <c r="BE186" s="2082"/>
      <c r="BF186" s="2082"/>
      <c r="BG186" s="2082"/>
      <c r="BH186" s="2083"/>
      <c r="BI186" s="2092"/>
      <c r="BO186" s="140"/>
      <c r="BP186" s="2081"/>
      <c r="BQ186" s="2082"/>
      <c r="BR186" s="2082"/>
      <c r="BS186" s="2082"/>
      <c r="BT186" s="2082"/>
      <c r="BU186" s="2082"/>
      <c r="BV186" s="2082"/>
      <c r="BW186" s="2082"/>
      <c r="BX186" s="2082"/>
      <c r="BY186" s="2082"/>
      <c r="BZ186" s="2082"/>
      <c r="CA186" s="2083"/>
      <c r="CB186" s="2092"/>
      <c r="CI186" s="140"/>
      <c r="CJ186" s="2081"/>
      <c r="CK186" s="2082"/>
      <c r="CL186" s="2082"/>
      <c r="CM186" s="2082"/>
      <c r="CN186" s="2082"/>
      <c r="CO186" s="2082"/>
      <c r="CP186" s="2082"/>
      <c r="CQ186" s="2082"/>
      <c r="CR186" s="2082"/>
      <c r="CS186" s="2082"/>
      <c r="CT186" s="2082"/>
      <c r="CU186" s="2083"/>
      <c r="CV186" s="2092"/>
    </row>
    <row r="187" spans="10:100" ht="24" customHeight="1">
      <c r="J187" s="140"/>
      <c r="K187" s="2081"/>
      <c r="L187" s="2082"/>
      <c r="M187" s="2082"/>
      <c r="N187" s="2082"/>
      <c r="O187" s="2082"/>
      <c r="P187" s="2082"/>
      <c r="Q187" s="2082"/>
      <c r="R187" s="2082"/>
      <c r="S187" s="2082"/>
      <c r="T187" s="2082"/>
      <c r="U187" s="2082"/>
      <c r="V187" s="2083"/>
      <c r="W187" s="2092"/>
      <c r="AC187" s="140"/>
      <c r="AD187" s="2081"/>
      <c r="AE187" s="2082"/>
      <c r="AF187" s="2082"/>
      <c r="AG187" s="2082"/>
      <c r="AH187" s="2082"/>
      <c r="AI187" s="2082"/>
      <c r="AJ187" s="2082"/>
      <c r="AK187" s="2082"/>
      <c r="AL187" s="2082"/>
      <c r="AM187" s="2082"/>
      <c r="AN187" s="2082"/>
      <c r="AO187" s="2083"/>
      <c r="AP187" s="2092"/>
      <c r="AV187" s="140"/>
      <c r="AW187" s="2081"/>
      <c r="AX187" s="2082"/>
      <c r="AY187" s="2082"/>
      <c r="AZ187" s="2082"/>
      <c r="BA187" s="2082"/>
      <c r="BB187" s="2082"/>
      <c r="BC187" s="2082"/>
      <c r="BD187" s="2082"/>
      <c r="BE187" s="2082"/>
      <c r="BF187" s="2082"/>
      <c r="BG187" s="2082"/>
      <c r="BH187" s="2083"/>
      <c r="BI187" s="2092"/>
      <c r="BO187" s="140"/>
      <c r="BP187" s="2081"/>
      <c r="BQ187" s="2082"/>
      <c r="BR187" s="2082"/>
      <c r="BS187" s="2082"/>
      <c r="BT187" s="2082"/>
      <c r="BU187" s="2082"/>
      <c r="BV187" s="2082"/>
      <c r="BW187" s="2082"/>
      <c r="BX187" s="2082"/>
      <c r="BY187" s="2082"/>
      <c r="BZ187" s="2082"/>
      <c r="CA187" s="2083"/>
      <c r="CB187" s="2092"/>
      <c r="CI187" s="140"/>
      <c r="CJ187" s="2081"/>
      <c r="CK187" s="2082"/>
      <c r="CL187" s="2082"/>
      <c r="CM187" s="2082"/>
      <c r="CN187" s="2082"/>
      <c r="CO187" s="2082"/>
      <c r="CP187" s="2082"/>
      <c r="CQ187" s="2082"/>
      <c r="CR187" s="2082"/>
      <c r="CS187" s="2082"/>
      <c r="CT187" s="2082"/>
      <c r="CU187" s="2083"/>
      <c r="CV187" s="2092"/>
    </row>
    <row r="188" spans="10:100" ht="24" customHeight="1">
      <c r="J188" s="140"/>
      <c r="K188" s="2081"/>
      <c r="L188" s="2082"/>
      <c r="M188" s="2082"/>
      <c r="N188" s="2082"/>
      <c r="O188" s="2082"/>
      <c r="P188" s="2082"/>
      <c r="Q188" s="2082"/>
      <c r="R188" s="2082"/>
      <c r="S188" s="2082"/>
      <c r="T188" s="2082"/>
      <c r="U188" s="2082"/>
      <c r="V188" s="2083"/>
      <c r="W188" s="2092"/>
      <c r="AC188" s="140"/>
      <c r="AD188" s="2081"/>
      <c r="AE188" s="2082"/>
      <c r="AF188" s="2082"/>
      <c r="AG188" s="2082"/>
      <c r="AH188" s="2082"/>
      <c r="AI188" s="2082"/>
      <c r="AJ188" s="2082"/>
      <c r="AK188" s="2082"/>
      <c r="AL188" s="2082"/>
      <c r="AM188" s="2082"/>
      <c r="AN188" s="2082"/>
      <c r="AO188" s="2083"/>
      <c r="AP188" s="2092"/>
      <c r="AV188" s="140"/>
      <c r="AW188" s="2081"/>
      <c r="AX188" s="2082"/>
      <c r="AY188" s="2082"/>
      <c r="AZ188" s="2082"/>
      <c r="BA188" s="2082"/>
      <c r="BB188" s="2082"/>
      <c r="BC188" s="2082"/>
      <c r="BD188" s="2082"/>
      <c r="BE188" s="2082"/>
      <c r="BF188" s="2082"/>
      <c r="BG188" s="2082"/>
      <c r="BH188" s="2083"/>
      <c r="BI188" s="2092"/>
      <c r="BO188" s="140"/>
      <c r="BP188" s="2081"/>
      <c r="BQ188" s="2082"/>
      <c r="BR188" s="2082"/>
      <c r="BS188" s="2082"/>
      <c r="BT188" s="2082"/>
      <c r="BU188" s="2082"/>
      <c r="BV188" s="2082"/>
      <c r="BW188" s="2082"/>
      <c r="BX188" s="2082"/>
      <c r="BY188" s="2082"/>
      <c r="BZ188" s="2082"/>
      <c r="CA188" s="2083"/>
      <c r="CB188" s="2092"/>
      <c r="CI188" s="140"/>
      <c r="CJ188" s="2081"/>
      <c r="CK188" s="2082"/>
      <c r="CL188" s="2082"/>
      <c r="CM188" s="2082"/>
      <c r="CN188" s="2082"/>
      <c r="CO188" s="2082"/>
      <c r="CP188" s="2082"/>
      <c r="CQ188" s="2082"/>
      <c r="CR188" s="2082"/>
      <c r="CS188" s="2082"/>
      <c r="CT188" s="2082"/>
      <c r="CU188" s="2083"/>
      <c r="CV188" s="2092"/>
    </row>
    <row r="189" spans="10:100" ht="24" customHeight="1">
      <c r="J189" s="140"/>
      <c r="K189" s="2081"/>
      <c r="L189" s="2082"/>
      <c r="M189" s="2082"/>
      <c r="N189" s="2082"/>
      <c r="O189" s="2082"/>
      <c r="P189" s="2082"/>
      <c r="Q189" s="2082"/>
      <c r="R189" s="2082"/>
      <c r="S189" s="2082"/>
      <c r="T189" s="2082"/>
      <c r="U189" s="2082"/>
      <c r="V189" s="2083"/>
      <c r="W189" s="2092"/>
      <c r="AC189" s="140"/>
      <c r="AD189" s="2081"/>
      <c r="AE189" s="2082"/>
      <c r="AF189" s="2082"/>
      <c r="AG189" s="2082"/>
      <c r="AH189" s="2082"/>
      <c r="AI189" s="2082"/>
      <c r="AJ189" s="2082"/>
      <c r="AK189" s="2082"/>
      <c r="AL189" s="2082"/>
      <c r="AM189" s="2082"/>
      <c r="AN189" s="2082"/>
      <c r="AO189" s="2083"/>
      <c r="AP189" s="2092"/>
      <c r="AV189" s="140"/>
      <c r="AW189" s="2081"/>
      <c r="AX189" s="2082"/>
      <c r="AY189" s="2082"/>
      <c r="AZ189" s="2082"/>
      <c r="BA189" s="2082"/>
      <c r="BB189" s="2082"/>
      <c r="BC189" s="2082"/>
      <c r="BD189" s="2082"/>
      <c r="BE189" s="2082"/>
      <c r="BF189" s="2082"/>
      <c r="BG189" s="2082"/>
      <c r="BH189" s="2083"/>
      <c r="BI189" s="2092"/>
      <c r="BO189" s="140"/>
      <c r="BP189" s="2081"/>
      <c r="BQ189" s="2082"/>
      <c r="BR189" s="2082"/>
      <c r="BS189" s="2082"/>
      <c r="BT189" s="2082"/>
      <c r="BU189" s="2082"/>
      <c r="BV189" s="2082"/>
      <c r="BW189" s="2082"/>
      <c r="BX189" s="2082"/>
      <c r="BY189" s="2082"/>
      <c r="BZ189" s="2082"/>
      <c r="CA189" s="2083"/>
      <c r="CB189" s="2092"/>
      <c r="CI189" s="140"/>
      <c r="CJ189" s="2081"/>
      <c r="CK189" s="2082"/>
      <c r="CL189" s="2082"/>
      <c r="CM189" s="2082"/>
      <c r="CN189" s="2082"/>
      <c r="CO189" s="2082"/>
      <c r="CP189" s="2082"/>
      <c r="CQ189" s="2082"/>
      <c r="CR189" s="2082"/>
      <c r="CS189" s="2082"/>
      <c r="CT189" s="2082"/>
      <c r="CU189" s="2083"/>
      <c r="CV189" s="2092"/>
    </row>
    <row r="190" spans="10:100" ht="24" customHeight="1">
      <c r="J190" s="140"/>
      <c r="K190" s="2081"/>
      <c r="L190" s="2082"/>
      <c r="M190" s="2082"/>
      <c r="N190" s="2082"/>
      <c r="O190" s="2082"/>
      <c r="P190" s="2082"/>
      <c r="Q190" s="2082"/>
      <c r="R190" s="2082"/>
      <c r="S190" s="2082"/>
      <c r="T190" s="2082"/>
      <c r="U190" s="2082"/>
      <c r="V190" s="2083"/>
      <c r="W190" s="2092"/>
      <c r="AC190" s="140"/>
      <c r="AD190" s="2081"/>
      <c r="AE190" s="2082"/>
      <c r="AF190" s="2082"/>
      <c r="AG190" s="2082"/>
      <c r="AH190" s="2082"/>
      <c r="AI190" s="2082"/>
      <c r="AJ190" s="2082"/>
      <c r="AK190" s="2082"/>
      <c r="AL190" s="2082"/>
      <c r="AM190" s="2082"/>
      <c r="AN190" s="2082"/>
      <c r="AO190" s="2083"/>
      <c r="AP190" s="2092"/>
      <c r="AV190" s="140"/>
      <c r="AW190" s="2081"/>
      <c r="AX190" s="2082"/>
      <c r="AY190" s="2082"/>
      <c r="AZ190" s="2082"/>
      <c r="BA190" s="2082"/>
      <c r="BB190" s="2082"/>
      <c r="BC190" s="2082"/>
      <c r="BD190" s="2082"/>
      <c r="BE190" s="2082"/>
      <c r="BF190" s="2082"/>
      <c r="BG190" s="2082"/>
      <c r="BH190" s="2083"/>
      <c r="BI190" s="2092"/>
      <c r="BO190" s="140"/>
      <c r="BP190" s="2081"/>
      <c r="BQ190" s="2082"/>
      <c r="BR190" s="2082"/>
      <c r="BS190" s="2082"/>
      <c r="BT190" s="2082"/>
      <c r="BU190" s="2082"/>
      <c r="BV190" s="2082"/>
      <c r="BW190" s="2082"/>
      <c r="BX190" s="2082"/>
      <c r="BY190" s="2082"/>
      <c r="BZ190" s="2082"/>
      <c r="CA190" s="2083"/>
      <c r="CB190" s="2092"/>
      <c r="CI190" s="140"/>
      <c r="CJ190" s="2081"/>
      <c r="CK190" s="2082"/>
      <c r="CL190" s="2082"/>
      <c r="CM190" s="2082"/>
      <c r="CN190" s="2082"/>
      <c r="CO190" s="2082"/>
      <c r="CP190" s="2082"/>
      <c r="CQ190" s="2082"/>
      <c r="CR190" s="2082"/>
      <c r="CS190" s="2082"/>
      <c r="CT190" s="2082"/>
      <c r="CU190" s="2083"/>
      <c r="CV190" s="2092"/>
    </row>
    <row r="191" spans="10:100" ht="24" customHeight="1">
      <c r="J191" s="140"/>
      <c r="K191" s="2081"/>
      <c r="L191" s="2082"/>
      <c r="M191" s="2082"/>
      <c r="N191" s="2082"/>
      <c r="O191" s="2082"/>
      <c r="P191" s="2082"/>
      <c r="Q191" s="2082"/>
      <c r="R191" s="2082"/>
      <c r="S191" s="2082"/>
      <c r="T191" s="2082"/>
      <c r="U191" s="2082"/>
      <c r="V191" s="2083"/>
      <c r="W191" s="2092"/>
      <c r="AC191" s="140"/>
      <c r="AD191" s="2081"/>
      <c r="AE191" s="2082"/>
      <c r="AF191" s="2082"/>
      <c r="AG191" s="2082"/>
      <c r="AH191" s="2082"/>
      <c r="AI191" s="2082"/>
      <c r="AJ191" s="2082"/>
      <c r="AK191" s="2082"/>
      <c r="AL191" s="2082"/>
      <c r="AM191" s="2082"/>
      <c r="AN191" s="2082"/>
      <c r="AO191" s="2083"/>
      <c r="AP191" s="2092"/>
      <c r="AV191" s="140"/>
      <c r="AW191" s="2081"/>
      <c r="AX191" s="2082"/>
      <c r="AY191" s="2082"/>
      <c r="AZ191" s="2082"/>
      <c r="BA191" s="2082"/>
      <c r="BB191" s="2082"/>
      <c r="BC191" s="2082"/>
      <c r="BD191" s="2082"/>
      <c r="BE191" s="2082"/>
      <c r="BF191" s="2082"/>
      <c r="BG191" s="2082"/>
      <c r="BH191" s="2083"/>
      <c r="BI191" s="2092"/>
      <c r="BO191" s="140"/>
      <c r="BP191" s="2081"/>
      <c r="BQ191" s="2082"/>
      <c r="BR191" s="2082"/>
      <c r="BS191" s="2082"/>
      <c r="BT191" s="2082"/>
      <c r="BU191" s="2082"/>
      <c r="BV191" s="2082"/>
      <c r="BW191" s="2082"/>
      <c r="BX191" s="2082"/>
      <c r="BY191" s="2082"/>
      <c r="BZ191" s="2082"/>
      <c r="CA191" s="2083"/>
      <c r="CB191" s="2092"/>
      <c r="CI191" s="140"/>
      <c r="CJ191" s="2081"/>
      <c r="CK191" s="2082"/>
      <c r="CL191" s="2082"/>
      <c r="CM191" s="2082"/>
      <c r="CN191" s="2082"/>
      <c r="CO191" s="2082"/>
      <c r="CP191" s="2082"/>
      <c r="CQ191" s="2082"/>
      <c r="CR191" s="2082"/>
      <c r="CS191" s="2082"/>
      <c r="CT191" s="2082"/>
      <c r="CU191" s="2083"/>
      <c r="CV191" s="2092"/>
    </row>
    <row r="192" spans="10:100" ht="24" customHeight="1">
      <c r="J192" s="140"/>
      <c r="K192" s="2081"/>
      <c r="L192" s="2082"/>
      <c r="M192" s="2082"/>
      <c r="N192" s="2082"/>
      <c r="O192" s="2082"/>
      <c r="P192" s="2082"/>
      <c r="Q192" s="2082"/>
      <c r="R192" s="2082"/>
      <c r="S192" s="2082"/>
      <c r="T192" s="2082"/>
      <c r="U192" s="2082"/>
      <c r="V192" s="2083"/>
      <c r="W192" s="2092"/>
      <c r="AC192" s="140"/>
      <c r="AD192" s="2081"/>
      <c r="AE192" s="2082"/>
      <c r="AF192" s="2082"/>
      <c r="AG192" s="2082"/>
      <c r="AH192" s="2082"/>
      <c r="AI192" s="2082"/>
      <c r="AJ192" s="2082"/>
      <c r="AK192" s="2082"/>
      <c r="AL192" s="2082"/>
      <c r="AM192" s="2082"/>
      <c r="AN192" s="2082"/>
      <c r="AO192" s="2083"/>
      <c r="AP192" s="2092"/>
      <c r="AV192" s="140"/>
      <c r="AW192" s="2081"/>
      <c r="AX192" s="2082"/>
      <c r="AY192" s="2082"/>
      <c r="AZ192" s="2082"/>
      <c r="BA192" s="2082"/>
      <c r="BB192" s="2082"/>
      <c r="BC192" s="2082"/>
      <c r="BD192" s="2082"/>
      <c r="BE192" s="2082"/>
      <c r="BF192" s="2082"/>
      <c r="BG192" s="2082"/>
      <c r="BH192" s="2083"/>
      <c r="BI192" s="2092"/>
      <c r="BO192" s="140"/>
      <c r="BP192" s="2081"/>
      <c r="BQ192" s="2082"/>
      <c r="BR192" s="2082"/>
      <c r="BS192" s="2082"/>
      <c r="BT192" s="2082"/>
      <c r="BU192" s="2082"/>
      <c r="BV192" s="2082"/>
      <c r="BW192" s="2082"/>
      <c r="BX192" s="2082"/>
      <c r="BY192" s="2082"/>
      <c r="BZ192" s="2082"/>
      <c r="CA192" s="2083"/>
      <c r="CB192" s="2092"/>
      <c r="CI192" s="140"/>
      <c r="CJ192" s="2081"/>
      <c r="CK192" s="2082"/>
      <c r="CL192" s="2082"/>
      <c r="CM192" s="2082"/>
      <c r="CN192" s="2082"/>
      <c r="CO192" s="2082"/>
      <c r="CP192" s="2082"/>
      <c r="CQ192" s="2082"/>
      <c r="CR192" s="2082"/>
      <c r="CS192" s="2082"/>
      <c r="CT192" s="2082"/>
      <c r="CU192" s="2083"/>
      <c r="CV192" s="2092"/>
    </row>
    <row r="193" spans="10:100" ht="24" customHeight="1">
      <c r="J193" s="140"/>
      <c r="K193" s="2081"/>
      <c r="L193" s="2082"/>
      <c r="M193" s="2082"/>
      <c r="N193" s="2082"/>
      <c r="O193" s="2082"/>
      <c r="P193" s="2082"/>
      <c r="Q193" s="2082"/>
      <c r="R193" s="2082"/>
      <c r="S193" s="2082"/>
      <c r="T193" s="2082"/>
      <c r="U193" s="2082"/>
      <c r="V193" s="2083"/>
      <c r="W193" s="2092"/>
      <c r="AC193" s="140"/>
      <c r="AD193" s="2081"/>
      <c r="AE193" s="2082"/>
      <c r="AF193" s="2082"/>
      <c r="AG193" s="2082"/>
      <c r="AH193" s="2082"/>
      <c r="AI193" s="2082"/>
      <c r="AJ193" s="2082"/>
      <c r="AK193" s="2082"/>
      <c r="AL193" s="2082"/>
      <c r="AM193" s="2082"/>
      <c r="AN193" s="2082"/>
      <c r="AO193" s="2083"/>
      <c r="AP193" s="2092"/>
      <c r="AV193" s="140"/>
      <c r="AW193" s="2081"/>
      <c r="AX193" s="2082"/>
      <c r="AY193" s="2082"/>
      <c r="AZ193" s="2082"/>
      <c r="BA193" s="2082"/>
      <c r="BB193" s="2082"/>
      <c r="BC193" s="2082"/>
      <c r="BD193" s="2082"/>
      <c r="BE193" s="2082"/>
      <c r="BF193" s="2082"/>
      <c r="BG193" s="2082"/>
      <c r="BH193" s="2083"/>
      <c r="BI193" s="2092"/>
      <c r="BO193" s="140"/>
      <c r="BP193" s="2081"/>
      <c r="BQ193" s="2082"/>
      <c r="BR193" s="2082"/>
      <c r="BS193" s="2082"/>
      <c r="BT193" s="2082"/>
      <c r="BU193" s="2082"/>
      <c r="BV193" s="2082"/>
      <c r="BW193" s="2082"/>
      <c r="BX193" s="2082"/>
      <c r="BY193" s="2082"/>
      <c r="BZ193" s="2082"/>
      <c r="CA193" s="2083"/>
      <c r="CB193" s="2092"/>
      <c r="CI193" s="140"/>
      <c r="CJ193" s="2081"/>
      <c r="CK193" s="2082"/>
      <c r="CL193" s="2082"/>
      <c r="CM193" s="2082"/>
      <c r="CN193" s="2082"/>
      <c r="CO193" s="2082"/>
      <c r="CP193" s="2082"/>
      <c r="CQ193" s="2082"/>
      <c r="CR193" s="2082"/>
      <c r="CS193" s="2082"/>
      <c r="CT193" s="2082"/>
      <c r="CU193" s="2083"/>
      <c r="CV193" s="2092"/>
    </row>
    <row r="194" spans="10:100" ht="24" customHeight="1">
      <c r="J194" s="140"/>
      <c r="K194" s="2081"/>
      <c r="L194" s="2082"/>
      <c r="M194" s="2082"/>
      <c r="N194" s="2082"/>
      <c r="O194" s="2082"/>
      <c r="P194" s="2082"/>
      <c r="Q194" s="2082"/>
      <c r="R194" s="2082"/>
      <c r="S194" s="2082"/>
      <c r="T194" s="2082"/>
      <c r="U194" s="2082"/>
      <c r="V194" s="2083"/>
      <c r="W194" s="2092"/>
      <c r="AC194" s="140"/>
      <c r="AD194" s="2081"/>
      <c r="AE194" s="2082"/>
      <c r="AF194" s="2082"/>
      <c r="AG194" s="2082"/>
      <c r="AH194" s="2082"/>
      <c r="AI194" s="2082"/>
      <c r="AJ194" s="2082"/>
      <c r="AK194" s="2082"/>
      <c r="AL194" s="2082"/>
      <c r="AM194" s="2082"/>
      <c r="AN194" s="2082"/>
      <c r="AO194" s="2083"/>
      <c r="AP194" s="2092"/>
      <c r="AV194" s="140"/>
      <c r="AW194" s="2081"/>
      <c r="AX194" s="2082"/>
      <c r="AY194" s="2082"/>
      <c r="AZ194" s="2082"/>
      <c r="BA194" s="2082"/>
      <c r="BB194" s="2082"/>
      <c r="BC194" s="2082"/>
      <c r="BD194" s="2082"/>
      <c r="BE194" s="2082"/>
      <c r="BF194" s="2082"/>
      <c r="BG194" s="2082"/>
      <c r="BH194" s="2083"/>
      <c r="BI194" s="2092"/>
      <c r="BO194" s="140"/>
      <c r="BP194" s="2081"/>
      <c r="BQ194" s="2082"/>
      <c r="BR194" s="2082"/>
      <c r="BS194" s="2082"/>
      <c r="BT194" s="2082"/>
      <c r="BU194" s="2082"/>
      <c r="BV194" s="2082"/>
      <c r="BW194" s="2082"/>
      <c r="BX194" s="2082"/>
      <c r="BY194" s="2082"/>
      <c r="BZ194" s="2082"/>
      <c r="CA194" s="2083"/>
      <c r="CB194" s="2092"/>
      <c r="CI194" s="140"/>
      <c r="CJ194" s="2081"/>
      <c r="CK194" s="2082"/>
      <c r="CL194" s="2082"/>
      <c r="CM194" s="2082"/>
      <c r="CN194" s="2082"/>
      <c r="CO194" s="2082"/>
      <c r="CP194" s="2082"/>
      <c r="CQ194" s="2082"/>
      <c r="CR194" s="2082"/>
      <c r="CS194" s="2082"/>
      <c r="CT194" s="2082"/>
      <c r="CU194" s="2083"/>
      <c r="CV194" s="2092"/>
    </row>
    <row r="195" spans="10:100" ht="24" customHeight="1">
      <c r="J195" s="140"/>
      <c r="K195" s="2081"/>
      <c r="L195" s="2082"/>
      <c r="M195" s="2082"/>
      <c r="N195" s="2082"/>
      <c r="O195" s="2082"/>
      <c r="P195" s="2082"/>
      <c r="Q195" s="2082"/>
      <c r="R195" s="2082"/>
      <c r="S195" s="2082"/>
      <c r="T195" s="2082"/>
      <c r="U195" s="2082"/>
      <c r="V195" s="2083"/>
      <c r="W195" s="2092"/>
      <c r="AC195" s="140"/>
      <c r="AD195" s="2081"/>
      <c r="AE195" s="2082"/>
      <c r="AF195" s="2082"/>
      <c r="AG195" s="2082"/>
      <c r="AH195" s="2082"/>
      <c r="AI195" s="2082"/>
      <c r="AJ195" s="2082"/>
      <c r="AK195" s="2082"/>
      <c r="AL195" s="2082"/>
      <c r="AM195" s="2082"/>
      <c r="AN195" s="2082"/>
      <c r="AO195" s="2083"/>
      <c r="AP195" s="2092"/>
      <c r="AV195" s="140"/>
      <c r="AW195" s="2081"/>
      <c r="AX195" s="2082"/>
      <c r="AY195" s="2082"/>
      <c r="AZ195" s="2082"/>
      <c r="BA195" s="2082"/>
      <c r="BB195" s="2082"/>
      <c r="BC195" s="2082"/>
      <c r="BD195" s="2082"/>
      <c r="BE195" s="2082"/>
      <c r="BF195" s="2082"/>
      <c r="BG195" s="2082"/>
      <c r="BH195" s="2083"/>
      <c r="BI195" s="2092"/>
      <c r="BO195" s="140"/>
      <c r="BP195" s="2081"/>
      <c r="BQ195" s="2082"/>
      <c r="BR195" s="2082"/>
      <c r="BS195" s="2082"/>
      <c r="BT195" s="2082"/>
      <c r="BU195" s="2082"/>
      <c r="BV195" s="2082"/>
      <c r="BW195" s="2082"/>
      <c r="BX195" s="2082"/>
      <c r="BY195" s="2082"/>
      <c r="BZ195" s="2082"/>
      <c r="CA195" s="2083"/>
      <c r="CB195" s="2092"/>
      <c r="CI195" s="140"/>
      <c r="CJ195" s="2081"/>
      <c r="CK195" s="2082"/>
      <c r="CL195" s="2082"/>
      <c r="CM195" s="2082"/>
      <c r="CN195" s="2082"/>
      <c r="CO195" s="2082"/>
      <c r="CP195" s="2082"/>
      <c r="CQ195" s="2082"/>
      <c r="CR195" s="2082"/>
      <c r="CS195" s="2082"/>
      <c r="CT195" s="2082"/>
      <c r="CU195" s="2083"/>
      <c r="CV195" s="2092"/>
    </row>
    <row r="196" spans="10:100" ht="24" customHeight="1">
      <c r="J196" s="140"/>
      <c r="K196" s="2081"/>
      <c r="L196" s="2082"/>
      <c r="M196" s="2082"/>
      <c r="N196" s="2082"/>
      <c r="O196" s="2082"/>
      <c r="P196" s="2082"/>
      <c r="Q196" s="2082"/>
      <c r="R196" s="2082"/>
      <c r="S196" s="2082"/>
      <c r="T196" s="2082"/>
      <c r="U196" s="2082"/>
      <c r="V196" s="2083"/>
      <c r="W196" s="2092"/>
      <c r="AC196" s="140"/>
      <c r="AD196" s="2081"/>
      <c r="AE196" s="2082"/>
      <c r="AF196" s="2082"/>
      <c r="AG196" s="2082"/>
      <c r="AH196" s="2082"/>
      <c r="AI196" s="2082"/>
      <c r="AJ196" s="2082"/>
      <c r="AK196" s="2082"/>
      <c r="AL196" s="2082"/>
      <c r="AM196" s="2082"/>
      <c r="AN196" s="2082"/>
      <c r="AO196" s="2083"/>
      <c r="AP196" s="2092"/>
      <c r="AV196" s="140"/>
      <c r="AW196" s="2081"/>
      <c r="AX196" s="2082"/>
      <c r="AY196" s="2082"/>
      <c r="AZ196" s="2082"/>
      <c r="BA196" s="2082"/>
      <c r="BB196" s="2082"/>
      <c r="BC196" s="2082"/>
      <c r="BD196" s="2082"/>
      <c r="BE196" s="2082"/>
      <c r="BF196" s="2082"/>
      <c r="BG196" s="2082"/>
      <c r="BH196" s="2083"/>
      <c r="BI196" s="2092"/>
      <c r="BO196" s="140"/>
      <c r="BP196" s="2081"/>
      <c r="BQ196" s="2082"/>
      <c r="BR196" s="2082"/>
      <c r="BS196" s="2082"/>
      <c r="BT196" s="2082"/>
      <c r="BU196" s="2082"/>
      <c r="BV196" s="2082"/>
      <c r="BW196" s="2082"/>
      <c r="BX196" s="2082"/>
      <c r="BY196" s="2082"/>
      <c r="BZ196" s="2082"/>
      <c r="CA196" s="2083"/>
      <c r="CB196" s="2092"/>
      <c r="CI196" s="140"/>
      <c r="CJ196" s="2081"/>
      <c r="CK196" s="2082"/>
      <c r="CL196" s="2082"/>
      <c r="CM196" s="2082"/>
      <c r="CN196" s="2082"/>
      <c r="CO196" s="2082"/>
      <c r="CP196" s="2082"/>
      <c r="CQ196" s="2082"/>
      <c r="CR196" s="2082"/>
      <c r="CS196" s="2082"/>
      <c r="CT196" s="2082"/>
      <c r="CU196" s="2083"/>
      <c r="CV196" s="2092"/>
    </row>
    <row r="197" spans="10:100" ht="24" customHeight="1">
      <c r="J197" s="140"/>
      <c r="K197" s="2081"/>
      <c r="L197" s="2082"/>
      <c r="M197" s="2082"/>
      <c r="N197" s="2082"/>
      <c r="O197" s="2082"/>
      <c r="P197" s="2082"/>
      <c r="Q197" s="2082"/>
      <c r="R197" s="2082"/>
      <c r="S197" s="2082"/>
      <c r="T197" s="2082"/>
      <c r="U197" s="2082"/>
      <c r="V197" s="2083"/>
      <c r="W197" s="2092"/>
      <c r="AC197" s="140"/>
      <c r="AD197" s="2081"/>
      <c r="AE197" s="2082"/>
      <c r="AF197" s="2082"/>
      <c r="AG197" s="2082"/>
      <c r="AH197" s="2082"/>
      <c r="AI197" s="2082"/>
      <c r="AJ197" s="2082"/>
      <c r="AK197" s="2082"/>
      <c r="AL197" s="2082"/>
      <c r="AM197" s="2082"/>
      <c r="AN197" s="2082"/>
      <c r="AO197" s="2083"/>
      <c r="AP197" s="2092"/>
      <c r="AV197" s="140"/>
      <c r="AW197" s="2081"/>
      <c r="AX197" s="2082"/>
      <c r="AY197" s="2082"/>
      <c r="AZ197" s="2082"/>
      <c r="BA197" s="2082"/>
      <c r="BB197" s="2082"/>
      <c r="BC197" s="2082"/>
      <c r="BD197" s="2082"/>
      <c r="BE197" s="2082"/>
      <c r="BF197" s="2082"/>
      <c r="BG197" s="2082"/>
      <c r="BH197" s="2083"/>
      <c r="BI197" s="2092"/>
      <c r="BO197" s="140"/>
      <c r="BP197" s="2081"/>
      <c r="BQ197" s="2082"/>
      <c r="BR197" s="2082"/>
      <c r="BS197" s="2082"/>
      <c r="BT197" s="2082"/>
      <c r="BU197" s="2082"/>
      <c r="BV197" s="2082"/>
      <c r="BW197" s="2082"/>
      <c r="BX197" s="2082"/>
      <c r="BY197" s="2082"/>
      <c r="BZ197" s="2082"/>
      <c r="CA197" s="2083"/>
      <c r="CB197" s="2092"/>
      <c r="CI197" s="140"/>
      <c r="CJ197" s="2081"/>
      <c r="CK197" s="2082"/>
      <c r="CL197" s="2082"/>
      <c r="CM197" s="2082"/>
      <c r="CN197" s="2082"/>
      <c r="CO197" s="2082"/>
      <c r="CP197" s="2082"/>
      <c r="CQ197" s="2082"/>
      <c r="CR197" s="2082"/>
      <c r="CS197" s="2082"/>
      <c r="CT197" s="2082"/>
      <c r="CU197" s="2083"/>
      <c r="CV197" s="2092"/>
    </row>
    <row r="198" spans="10:100" ht="24" customHeight="1">
      <c r="J198" s="140"/>
      <c r="K198" s="2081"/>
      <c r="L198" s="2082"/>
      <c r="M198" s="2082"/>
      <c r="N198" s="2082"/>
      <c r="O198" s="2082"/>
      <c r="P198" s="2082"/>
      <c r="Q198" s="2082"/>
      <c r="R198" s="2082"/>
      <c r="S198" s="2082"/>
      <c r="T198" s="2082"/>
      <c r="U198" s="2082"/>
      <c r="V198" s="2083"/>
      <c r="W198" s="2092"/>
      <c r="AC198" s="140"/>
      <c r="AD198" s="2081"/>
      <c r="AE198" s="2082"/>
      <c r="AF198" s="2082"/>
      <c r="AG198" s="2082"/>
      <c r="AH198" s="2082"/>
      <c r="AI198" s="2082"/>
      <c r="AJ198" s="2082"/>
      <c r="AK198" s="2082"/>
      <c r="AL198" s="2082"/>
      <c r="AM198" s="2082"/>
      <c r="AN198" s="2082"/>
      <c r="AO198" s="2083"/>
      <c r="AP198" s="2092"/>
      <c r="AV198" s="140"/>
      <c r="AW198" s="2081"/>
      <c r="AX198" s="2082"/>
      <c r="AY198" s="2082"/>
      <c r="AZ198" s="2082"/>
      <c r="BA198" s="2082"/>
      <c r="BB198" s="2082"/>
      <c r="BC198" s="2082"/>
      <c r="BD198" s="2082"/>
      <c r="BE198" s="2082"/>
      <c r="BF198" s="2082"/>
      <c r="BG198" s="2082"/>
      <c r="BH198" s="2083"/>
      <c r="BI198" s="2092"/>
      <c r="BO198" s="140"/>
      <c r="BP198" s="2081"/>
      <c r="BQ198" s="2082"/>
      <c r="BR198" s="2082"/>
      <c r="BS198" s="2082"/>
      <c r="BT198" s="2082"/>
      <c r="BU198" s="2082"/>
      <c r="BV198" s="2082"/>
      <c r="BW198" s="2082"/>
      <c r="BX198" s="2082"/>
      <c r="BY198" s="2082"/>
      <c r="BZ198" s="2082"/>
      <c r="CA198" s="2083"/>
      <c r="CB198" s="2092"/>
      <c r="CI198" s="140"/>
      <c r="CJ198" s="2081"/>
      <c r="CK198" s="2082"/>
      <c r="CL198" s="2082"/>
      <c r="CM198" s="2082"/>
      <c r="CN198" s="2082"/>
      <c r="CO198" s="2082"/>
      <c r="CP198" s="2082"/>
      <c r="CQ198" s="2082"/>
      <c r="CR198" s="2082"/>
      <c r="CS198" s="2082"/>
      <c r="CT198" s="2082"/>
      <c r="CU198" s="2083"/>
      <c r="CV198" s="2092"/>
    </row>
    <row r="199" spans="10:100" ht="24" customHeight="1">
      <c r="J199" s="140"/>
      <c r="K199" s="2081"/>
      <c r="L199" s="2082"/>
      <c r="M199" s="2082"/>
      <c r="N199" s="2082"/>
      <c r="O199" s="2082"/>
      <c r="P199" s="2082"/>
      <c r="Q199" s="2082"/>
      <c r="R199" s="2082"/>
      <c r="S199" s="2082"/>
      <c r="T199" s="2082"/>
      <c r="U199" s="2082"/>
      <c r="V199" s="2083"/>
      <c r="W199" s="2092"/>
      <c r="AC199" s="140"/>
      <c r="AD199" s="2081"/>
      <c r="AE199" s="2082"/>
      <c r="AF199" s="2082"/>
      <c r="AG199" s="2082"/>
      <c r="AH199" s="2082"/>
      <c r="AI199" s="2082"/>
      <c r="AJ199" s="2082"/>
      <c r="AK199" s="2082"/>
      <c r="AL199" s="2082"/>
      <c r="AM199" s="2082"/>
      <c r="AN199" s="2082"/>
      <c r="AO199" s="2083"/>
      <c r="AP199" s="2092"/>
      <c r="AV199" s="140"/>
      <c r="AW199" s="2081"/>
      <c r="AX199" s="2082"/>
      <c r="AY199" s="2082"/>
      <c r="AZ199" s="2082"/>
      <c r="BA199" s="2082"/>
      <c r="BB199" s="2082"/>
      <c r="BC199" s="2082"/>
      <c r="BD199" s="2082"/>
      <c r="BE199" s="2082"/>
      <c r="BF199" s="2082"/>
      <c r="BG199" s="2082"/>
      <c r="BH199" s="2083"/>
      <c r="BI199" s="2092"/>
      <c r="BO199" s="140"/>
      <c r="BP199" s="2081"/>
      <c r="BQ199" s="2082"/>
      <c r="BR199" s="2082"/>
      <c r="BS199" s="2082"/>
      <c r="BT199" s="2082"/>
      <c r="BU199" s="2082"/>
      <c r="BV199" s="2082"/>
      <c r="BW199" s="2082"/>
      <c r="BX199" s="2082"/>
      <c r="BY199" s="2082"/>
      <c r="BZ199" s="2082"/>
      <c r="CA199" s="2083"/>
      <c r="CB199" s="2092"/>
      <c r="CI199" s="140"/>
      <c r="CJ199" s="2081"/>
      <c r="CK199" s="2082"/>
      <c r="CL199" s="2082"/>
      <c r="CM199" s="2082"/>
      <c r="CN199" s="2082"/>
      <c r="CO199" s="2082"/>
      <c r="CP199" s="2082"/>
      <c r="CQ199" s="2082"/>
      <c r="CR199" s="2082"/>
      <c r="CS199" s="2082"/>
      <c r="CT199" s="2082"/>
      <c r="CU199" s="2083"/>
      <c r="CV199" s="2092"/>
    </row>
    <row r="200" spans="10:100" ht="24" customHeight="1">
      <c r="J200" s="140"/>
      <c r="K200" s="2081"/>
      <c r="L200" s="2082"/>
      <c r="M200" s="2082"/>
      <c r="N200" s="2082"/>
      <c r="O200" s="2082"/>
      <c r="P200" s="2082"/>
      <c r="Q200" s="2082"/>
      <c r="R200" s="2082"/>
      <c r="S200" s="2082"/>
      <c r="T200" s="2082"/>
      <c r="U200" s="2082"/>
      <c r="V200" s="2083"/>
      <c r="W200" s="2092"/>
      <c r="AC200" s="140"/>
      <c r="AD200" s="2081"/>
      <c r="AE200" s="2082"/>
      <c r="AF200" s="2082"/>
      <c r="AG200" s="2082"/>
      <c r="AH200" s="2082"/>
      <c r="AI200" s="2082"/>
      <c r="AJ200" s="2082"/>
      <c r="AK200" s="2082"/>
      <c r="AL200" s="2082"/>
      <c r="AM200" s="2082"/>
      <c r="AN200" s="2082"/>
      <c r="AO200" s="2083"/>
      <c r="AP200" s="2092"/>
      <c r="AV200" s="140"/>
      <c r="AW200" s="2081"/>
      <c r="AX200" s="2082"/>
      <c r="AY200" s="2082"/>
      <c r="AZ200" s="2082"/>
      <c r="BA200" s="2082"/>
      <c r="BB200" s="2082"/>
      <c r="BC200" s="2082"/>
      <c r="BD200" s="2082"/>
      <c r="BE200" s="2082"/>
      <c r="BF200" s="2082"/>
      <c r="BG200" s="2082"/>
      <c r="BH200" s="2083"/>
      <c r="BI200" s="2092"/>
      <c r="BO200" s="140"/>
      <c r="BP200" s="2081"/>
      <c r="BQ200" s="2082"/>
      <c r="BR200" s="2082"/>
      <c r="BS200" s="2082"/>
      <c r="BT200" s="2082"/>
      <c r="BU200" s="2082"/>
      <c r="BV200" s="2082"/>
      <c r="BW200" s="2082"/>
      <c r="BX200" s="2082"/>
      <c r="BY200" s="2082"/>
      <c r="BZ200" s="2082"/>
      <c r="CA200" s="2083"/>
      <c r="CB200" s="2092"/>
      <c r="CI200" s="140"/>
      <c r="CJ200" s="2081"/>
      <c r="CK200" s="2082"/>
      <c r="CL200" s="2082"/>
      <c r="CM200" s="2082"/>
      <c r="CN200" s="2082"/>
      <c r="CO200" s="2082"/>
      <c r="CP200" s="2082"/>
      <c r="CQ200" s="2082"/>
      <c r="CR200" s="2082"/>
      <c r="CS200" s="2082"/>
      <c r="CT200" s="2082"/>
      <c r="CU200" s="2083"/>
      <c r="CV200" s="2092"/>
    </row>
    <row r="201" spans="10:100" ht="24" customHeight="1">
      <c r="J201" s="140"/>
      <c r="K201" s="2081"/>
      <c r="L201" s="2082"/>
      <c r="M201" s="2082"/>
      <c r="N201" s="2082"/>
      <c r="O201" s="2082"/>
      <c r="P201" s="2082"/>
      <c r="Q201" s="2082"/>
      <c r="R201" s="2082"/>
      <c r="S201" s="2082"/>
      <c r="T201" s="2082"/>
      <c r="U201" s="2082"/>
      <c r="V201" s="2083"/>
      <c r="W201" s="2092"/>
      <c r="AC201" s="140"/>
      <c r="AD201" s="2081"/>
      <c r="AE201" s="2082"/>
      <c r="AF201" s="2082"/>
      <c r="AG201" s="2082"/>
      <c r="AH201" s="2082"/>
      <c r="AI201" s="2082"/>
      <c r="AJ201" s="2082"/>
      <c r="AK201" s="2082"/>
      <c r="AL201" s="2082"/>
      <c r="AM201" s="2082"/>
      <c r="AN201" s="2082"/>
      <c r="AO201" s="2083"/>
      <c r="AP201" s="2092"/>
      <c r="AV201" s="140"/>
      <c r="AW201" s="2081"/>
      <c r="AX201" s="2082"/>
      <c r="AY201" s="2082"/>
      <c r="AZ201" s="2082"/>
      <c r="BA201" s="2082"/>
      <c r="BB201" s="2082"/>
      <c r="BC201" s="2082"/>
      <c r="BD201" s="2082"/>
      <c r="BE201" s="2082"/>
      <c r="BF201" s="2082"/>
      <c r="BG201" s="2082"/>
      <c r="BH201" s="2083"/>
      <c r="BI201" s="2092"/>
      <c r="BO201" s="140"/>
      <c r="BP201" s="2081"/>
      <c r="BQ201" s="2082"/>
      <c r="BR201" s="2082"/>
      <c r="BS201" s="2082"/>
      <c r="BT201" s="2082"/>
      <c r="BU201" s="2082"/>
      <c r="BV201" s="2082"/>
      <c r="BW201" s="2082"/>
      <c r="BX201" s="2082"/>
      <c r="BY201" s="2082"/>
      <c r="BZ201" s="2082"/>
      <c r="CA201" s="2083"/>
      <c r="CB201" s="2092"/>
      <c r="CI201" s="140"/>
      <c r="CJ201" s="2081"/>
      <c r="CK201" s="2082"/>
      <c r="CL201" s="2082"/>
      <c r="CM201" s="2082"/>
      <c r="CN201" s="2082"/>
      <c r="CO201" s="2082"/>
      <c r="CP201" s="2082"/>
      <c r="CQ201" s="2082"/>
      <c r="CR201" s="2082"/>
      <c r="CS201" s="2082"/>
      <c r="CT201" s="2082"/>
      <c r="CU201" s="2083"/>
      <c r="CV201" s="2092"/>
    </row>
    <row r="202" spans="10:100" ht="24" customHeight="1">
      <c r="J202" s="140"/>
      <c r="K202" s="2081"/>
      <c r="L202" s="2082"/>
      <c r="M202" s="2082"/>
      <c r="N202" s="2082"/>
      <c r="O202" s="2082"/>
      <c r="P202" s="2082"/>
      <c r="Q202" s="2082"/>
      <c r="R202" s="2082"/>
      <c r="S202" s="2082"/>
      <c r="T202" s="2082"/>
      <c r="U202" s="2082"/>
      <c r="V202" s="2083"/>
      <c r="W202" s="2092"/>
      <c r="AC202" s="140"/>
      <c r="AD202" s="2081"/>
      <c r="AE202" s="2082"/>
      <c r="AF202" s="2082"/>
      <c r="AG202" s="2082"/>
      <c r="AH202" s="2082"/>
      <c r="AI202" s="2082"/>
      <c r="AJ202" s="2082"/>
      <c r="AK202" s="2082"/>
      <c r="AL202" s="2082"/>
      <c r="AM202" s="2082"/>
      <c r="AN202" s="2082"/>
      <c r="AO202" s="2083"/>
      <c r="AP202" s="2092"/>
      <c r="AV202" s="140"/>
      <c r="AW202" s="2081"/>
      <c r="AX202" s="2082"/>
      <c r="AY202" s="2082"/>
      <c r="AZ202" s="2082"/>
      <c r="BA202" s="2082"/>
      <c r="BB202" s="2082"/>
      <c r="BC202" s="2082"/>
      <c r="BD202" s="2082"/>
      <c r="BE202" s="2082"/>
      <c r="BF202" s="2082"/>
      <c r="BG202" s="2082"/>
      <c r="BH202" s="2083"/>
      <c r="BI202" s="2092"/>
      <c r="BO202" s="140"/>
      <c r="BP202" s="2081"/>
      <c r="BQ202" s="2082"/>
      <c r="BR202" s="2082"/>
      <c r="BS202" s="2082"/>
      <c r="BT202" s="2082"/>
      <c r="BU202" s="2082"/>
      <c r="BV202" s="2082"/>
      <c r="BW202" s="2082"/>
      <c r="BX202" s="2082"/>
      <c r="BY202" s="2082"/>
      <c r="BZ202" s="2082"/>
      <c r="CA202" s="2083"/>
      <c r="CB202" s="2092"/>
      <c r="CI202" s="140"/>
      <c r="CJ202" s="2081"/>
      <c r="CK202" s="2082"/>
      <c r="CL202" s="2082"/>
      <c r="CM202" s="2082"/>
      <c r="CN202" s="2082"/>
      <c r="CO202" s="2082"/>
      <c r="CP202" s="2082"/>
      <c r="CQ202" s="2082"/>
      <c r="CR202" s="2082"/>
      <c r="CS202" s="2082"/>
      <c r="CT202" s="2082"/>
      <c r="CU202" s="2083"/>
      <c r="CV202" s="2092"/>
    </row>
    <row r="203" spans="10:100" ht="24" customHeight="1">
      <c r="J203" s="140"/>
      <c r="K203" s="2081"/>
      <c r="L203" s="2082"/>
      <c r="M203" s="2082"/>
      <c r="N203" s="2082"/>
      <c r="O203" s="2082"/>
      <c r="P203" s="2082"/>
      <c r="Q203" s="2082"/>
      <c r="R203" s="2082"/>
      <c r="S203" s="2082"/>
      <c r="T203" s="2082"/>
      <c r="U203" s="2082"/>
      <c r="V203" s="2083"/>
      <c r="W203" s="2092"/>
      <c r="AC203" s="140"/>
      <c r="AD203" s="2081"/>
      <c r="AE203" s="2082"/>
      <c r="AF203" s="2082"/>
      <c r="AG203" s="2082"/>
      <c r="AH203" s="2082"/>
      <c r="AI203" s="2082"/>
      <c r="AJ203" s="2082"/>
      <c r="AK203" s="2082"/>
      <c r="AL203" s="2082"/>
      <c r="AM203" s="2082"/>
      <c r="AN203" s="2082"/>
      <c r="AO203" s="2083"/>
      <c r="AP203" s="2092"/>
      <c r="AV203" s="140"/>
      <c r="AW203" s="2081"/>
      <c r="AX203" s="2082"/>
      <c r="AY203" s="2082"/>
      <c r="AZ203" s="2082"/>
      <c r="BA203" s="2082"/>
      <c r="BB203" s="2082"/>
      <c r="BC203" s="2082"/>
      <c r="BD203" s="2082"/>
      <c r="BE203" s="2082"/>
      <c r="BF203" s="2082"/>
      <c r="BG203" s="2082"/>
      <c r="BH203" s="2083"/>
      <c r="BI203" s="2092"/>
      <c r="BO203" s="140"/>
      <c r="BP203" s="2081"/>
      <c r="BQ203" s="2082"/>
      <c r="BR203" s="2082"/>
      <c r="BS203" s="2082"/>
      <c r="BT203" s="2082"/>
      <c r="BU203" s="2082"/>
      <c r="BV203" s="2082"/>
      <c r="BW203" s="2082"/>
      <c r="BX203" s="2082"/>
      <c r="BY203" s="2082"/>
      <c r="BZ203" s="2082"/>
      <c r="CA203" s="2083"/>
      <c r="CB203" s="2092"/>
      <c r="CI203" s="140"/>
      <c r="CJ203" s="2081"/>
      <c r="CK203" s="2082"/>
      <c r="CL203" s="2082"/>
      <c r="CM203" s="2082"/>
      <c r="CN203" s="2082"/>
      <c r="CO203" s="2082"/>
      <c r="CP203" s="2082"/>
      <c r="CQ203" s="2082"/>
      <c r="CR203" s="2082"/>
      <c r="CS203" s="2082"/>
      <c r="CT203" s="2082"/>
      <c r="CU203" s="2083"/>
      <c r="CV203" s="2092"/>
    </row>
    <row r="204" spans="10:100" ht="24" customHeight="1">
      <c r="J204" s="140"/>
      <c r="K204" s="2081"/>
      <c r="L204" s="2082"/>
      <c r="M204" s="2082"/>
      <c r="N204" s="2082"/>
      <c r="O204" s="2082"/>
      <c r="P204" s="2082"/>
      <c r="Q204" s="2082"/>
      <c r="R204" s="2082"/>
      <c r="S204" s="2082"/>
      <c r="T204" s="2082"/>
      <c r="U204" s="2082"/>
      <c r="V204" s="2083"/>
      <c r="W204" s="2092"/>
      <c r="AC204" s="140"/>
      <c r="AD204" s="2081"/>
      <c r="AE204" s="2082"/>
      <c r="AF204" s="2082"/>
      <c r="AG204" s="2082"/>
      <c r="AH204" s="2082"/>
      <c r="AI204" s="2082"/>
      <c r="AJ204" s="2082"/>
      <c r="AK204" s="2082"/>
      <c r="AL204" s="2082"/>
      <c r="AM204" s="2082"/>
      <c r="AN204" s="2082"/>
      <c r="AO204" s="2083"/>
      <c r="AP204" s="2092"/>
      <c r="AV204" s="140"/>
      <c r="AW204" s="2081"/>
      <c r="AX204" s="2082"/>
      <c r="AY204" s="2082"/>
      <c r="AZ204" s="2082"/>
      <c r="BA204" s="2082"/>
      <c r="BB204" s="2082"/>
      <c r="BC204" s="2082"/>
      <c r="BD204" s="2082"/>
      <c r="BE204" s="2082"/>
      <c r="BF204" s="2082"/>
      <c r="BG204" s="2082"/>
      <c r="BH204" s="2083"/>
      <c r="BI204" s="2092"/>
      <c r="BO204" s="140"/>
      <c r="BP204" s="2081"/>
      <c r="BQ204" s="2082"/>
      <c r="BR204" s="2082"/>
      <c r="BS204" s="2082"/>
      <c r="BT204" s="2082"/>
      <c r="BU204" s="2082"/>
      <c r="BV204" s="2082"/>
      <c r="BW204" s="2082"/>
      <c r="BX204" s="2082"/>
      <c r="BY204" s="2082"/>
      <c r="BZ204" s="2082"/>
      <c r="CA204" s="2083"/>
      <c r="CB204" s="2092"/>
      <c r="CI204" s="140"/>
      <c r="CJ204" s="2081"/>
      <c r="CK204" s="2082"/>
      <c r="CL204" s="2082"/>
      <c r="CM204" s="2082"/>
      <c r="CN204" s="2082"/>
      <c r="CO204" s="2082"/>
      <c r="CP204" s="2082"/>
      <c r="CQ204" s="2082"/>
      <c r="CR204" s="2082"/>
      <c r="CS204" s="2082"/>
      <c r="CT204" s="2082"/>
      <c r="CU204" s="2083"/>
      <c r="CV204" s="2092"/>
    </row>
    <row r="205" spans="10:100" ht="24" customHeight="1">
      <c r="J205" s="140"/>
      <c r="K205" s="2081"/>
      <c r="L205" s="2082"/>
      <c r="M205" s="2082"/>
      <c r="N205" s="2082"/>
      <c r="O205" s="2082"/>
      <c r="P205" s="2082"/>
      <c r="Q205" s="2082"/>
      <c r="R205" s="2082"/>
      <c r="S205" s="2082"/>
      <c r="T205" s="2082"/>
      <c r="U205" s="2082"/>
      <c r="V205" s="2083"/>
      <c r="W205" s="849"/>
      <c r="AC205" s="140"/>
      <c r="AD205" s="2081"/>
      <c r="AE205" s="2082"/>
      <c r="AF205" s="2082"/>
      <c r="AG205" s="2082"/>
      <c r="AH205" s="2082"/>
      <c r="AI205" s="2082"/>
      <c r="AJ205" s="2082"/>
      <c r="AK205" s="2082"/>
      <c r="AL205" s="2082"/>
      <c r="AM205" s="2082"/>
      <c r="AN205" s="2082"/>
      <c r="AO205" s="2083"/>
      <c r="AP205" s="849"/>
      <c r="AV205" s="140"/>
      <c r="AW205" s="2081"/>
      <c r="AX205" s="2082"/>
      <c r="AY205" s="2082"/>
      <c r="AZ205" s="2082"/>
      <c r="BA205" s="2082"/>
      <c r="BB205" s="2082"/>
      <c r="BC205" s="2082"/>
      <c r="BD205" s="2082"/>
      <c r="BE205" s="2082"/>
      <c r="BF205" s="2082"/>
      <c r="BG205" s="2082"/>
      <c r="BH205" s="2083"/>
      <c r="BI205" s="849"/>
      <c r="BO205" s="140"/>
      <c r="BP205" s="2081"/>
      <c r="BQ205" s="2082"/>
      <c r="BR205" s="2082"/>
      <c r="BS205" s="2082"/>
      <c r="BT205" s="2082"/>
      <c r="BU205" s="2082"/>
      <c r="BV205" s="2082"/>
      <c r="BW205" s="2082"/>
      <c r="BX205" s="2082"/>
      <c r="BY205" s="2082"/>
      <c r="BZ205" s="2082"/>
      <c r="CA205" s="2083"/>
      <c r="CB205" s="849"/>
      <c r="CI205" s="140"/>
      <c r="CJ205" s="2081"/>
      <c r="CK205" s="2082"/>
      <c r="CL205" s="2082"/>
      <c r="CM205" s="2082"/>
      <c r="CN205" s="2082"/>
      <c r="CO205" s="2082"/>
      <c r="CP205" s="2082"/>
      <c r="CQ205" s="2082"/>
      <c r="CR205" s="2082"/>
      <c r="CS205" s="2082"/>
      <c r="CT205" s="2082"/>
      <c r="CU205" s="2083"/>
      <c r="CV205" s="849"/>
    </row>
    <row r="206" spans="10:100" ht="24" customHeight="1">
      <c r="J206" s="140"/>
      <c r="K206" s="2084"/>
      <c r="L206" s="2085"/>
      <c r="M206" s="2085"/>
      <c r="N206" s="2085"/>
      <c r="O206" s="2085"/>
      <c r="P206" s="2085"/>
      <c r="Q206" s="2085"/>
      <c r="R206" s="2085"/>
      <c r="S206" s="2085"/>
      <c r="T206" s="2085"/>
      <c r="U206" s="2085"/>
      <c r="V206" s="2086"/>
      <c r="W206" s="850"/>
      <c r="AC206" s="140"/>
      <c r="AD206" s="2084"/>
      <c r="AE206" s="2085"/>
      <c r="AF206" s="2085"/>
      <c r="AG206" s="2085"/>
      <c r="AH206" s="2085"/>
      <c r="AI206" s="2085"/>
      <c r="AJ206" s="2085"/>
      <c r="AK206" s="2085"/>
      <c r="AL206" s="2085"/>
      <c r="AM206" s="2085"/>
      <c r="AN206" s="2085"/>
      <c r="AO206" s="2086"/>
      <c r="AP206" s="850"/>
      <c r="AV206" s="140"/>
      <c r="AW206" s="2084"/>
      <c r="AX206" s="2085"/>
      <c r="AY206" s="2085"/>
      <c r="AZ206" s="2085"/>
      <c r="BA206" s="2085"/>
      <c r="BB206" s="2085"/>
      <c r="BC206" s="2085"/>
      <c r="BD206" s="2085"/>
      <c r="BE206" s="2085"/>
      <c r="BF206" s="2085"/>
      <c r="BG206" s="2085"/>
      <c r="BH206" s="2086"/>
      <c r="BI206" s="850"/>
      <c r="BO206" s="140"/>
      <c r="BP206" s="2084"/>
      <c r="BQ206" s="2085"/>
      <c r="BR206" s="2085"/>
      <c r="BS206" s="2085"/>
      <c r="BT206" s="2085"/>
      <c r="BU206" s="2085"/>
      <c r="BV206" s="2085"/>
      <c r="BW206" s="2085"/>
      <c r="BX206" s="2085"/>
      <c r="BY206" s="2085"/>
      <c r="BZ206" s="2085"/>
      <c r="CA206" s="2086"/>
      <c r="CB206" s="850"/>
      <c r="CI206" s="140"/>
      <c r="CJ206" s="2084"/>
      <c r="CK206" s="2085"/>
      <c r="CL206" s="2085"/>
      <c r="CM206" s="2085"/>
      <c r="CN206" s="2085"/>
      <c r="CO206" s="2085"/>
      <c r="CP206" s="2085"/>
      <c r="CQ206" s="2085"/>
      <c r="CR206" s="2085"/>
      <c r="CS206" s="2085"/>
      <c r="CT206" s="2085"/>
      <c r="CU206" s="2086"/>
      <c r="CV206" s="850"/>
    </row>
    <row r="207" spans="10:100" ht="24" customHeight="1">
      <c r="J207" s="140"/>
      <c r="K207" s="2093"/>
      <c r="L207" s="2093"/>
      <c r="M207" s="2093"/>
      <c r="N207" s="2093"/>
      <c r="O207" s="2093"/>
      <c r="P207" s="2093"/>
      <c r="Q207" s="2093"/>
      <c r="R207" s="2093"/>
      <c r="S207" s="2093"/>
      <c r="T207" s="2093"/>
      <c r="U207" s="2093"/>
      <c r="V207" s="2093"/>
      <c r="W207" s="850"/>
      <c r="AC207" s="140"/>
      <c r="AD207" s="2093"/>
      <c r="AE207" s="2093"/>
      <c r="AF207" s="2093"/>
      <c r="AG207" s="2093"/>
      <c r="AH207" s="2093"/>
      <c r="AI207" s="2093"/>
      <c r="AJ207" s="2093"/>
      <c r="AK207" s="2093"/>
      <c r="AL207" s="2093"/>
      <c r="AM207" s="2093"/>
      <c r="AN207" s="2093"/>
      <c r="AO207" s="2093"/>
      <c r="AP207" s="850"/>
      <c r="AV207" s="140"/>
      <c r="AW207" s="2093"/>
      <c r="AX207" s="2093"/>
      <c r="AY207" s="2093"/>
      <c r="AZ207" s="2093"/>
      <c r="BA207" s="2093"/>
      <c r="BB207" s="2093"/>
      <c r="BC207" s="2093"/>
      <c r="BD207" s="2093"/>
      <c r="BE207" s="2093"/>
      <c r="BF207" s="2093"/>
      <c r="BG207" s="2093"/>
      <c r="BH207" s="2093"/>
      <c r="BI207" s="850"/>
      <c r="BO207" s="140"/>
      <c r="BP207" s="2093"/>
      <c r="BQ207" s="2093"/>
      <c r="BR207" s="2093"/>
      <c r="BS207" s="2093"/>
      <c r="BT207" s="2093"/>
      <c r="BU207" s="2093"/>
      <c r="BV207" s="2093"/>
      <c r="BW207" s="2093"/>
      <c r="BX207" s="2093"/>
      <c r="BY207" s="2093"/>
      <c r="BZ207" s="2093"/>
      <c r="CA207" s="2093"/>
      <c r="CB207" s="850"/>
      <c r="CI207" s="140"/>
      <c r="CJ207" s="2093"/>
      <c r="CK207" s="2093"/>
      <c r="CL207" s="2093"/>
      <c r="CM207" s="2093"/>
      <c r="CN207" s="2093"/>
      <c r="CO207" s="2093"/>
      <c r="CP207" s="2093"/>
      <c r="CQ207" s="2093"/>
      <c r="CR207" s="2093"/>
      <c r="CS207" s="2093"/>
      <c r="CT207" s="2093"/>
      <c r="CU207" s="2093"/>
      <c r="CV207" s="850"/>
    </row>
    <row r="208" spans="10:100" ht="24" customHeight="1" thickBot="1">
      <c r="J208" s="141"/>
      <c r="K208" s="2094"/>
      <c r="L208" s="2094"/>
      <c r="M208" s="2094"/>
      <c r="N208" s="2094"/>
      <c r="O208" s="2094"/>
      <c r="P208" s="2094"/>
      <c r="Q208" s="2094"/>
      <c r="R208" s="2094"/>
      <c r="S208" s="2094"/>
      <c r="T208" s="2094"/>
      <c r="U208" s="2094"/>
      <c r="V208" s="2094"/>
      <c r="W208" s="851"/>
      <c r="AC208" s="141"/>
      <c r="AD208" s="2094"/>
      <c r="AE208" s="2094"/>
      <c r="AF208" s="2094"/>
      <c r="AG208" s="2094"/>
      <c r="AH208" s="2094"/>
      <c r="AI208" s="2094"/>
      <c r="AJ208" s="2094"/>
      <c r="AK208" s="2094"/>
      <c r="AL208" s="2094"/>
      <c r="AM208" s="2094"/>
      <c r="AN208" s="2094"/>
      <c r="AO208" s="2094"/>
      <c r="AP208" s="851"/>
      <c r="AV208" s="141"/>
      <c r="AW208" s="2094"/>
      <c r="AX208" s="2094"/>
      <c r="AY208" s="2094"/>
      <c r="AZ208" s="2094"/>
      <c r="BA208" s="2094"/>
      <c r="BB208" s="2094"/>
      <c r="BC208" s="2094"/>
      <c r="BD208" s="2094"/>
      <c r="BE208" s="2094"/>
      <c r="BF208" s="2094"/>
      <c r="BG208" s="2094"/>
      <c r="BH208" s="2094"/>
      <c r="BI208" s="851"/>
      <c r="BO208" s="141"/>
      <c r="BP208" s="2094"/>
      <c r="BQ208" s="2094"/>
      <c r="BR208" s="2094"/>
      <c r="BS208" s="2094"/>
      <c r="BT208" s="2094"/>
      <c r="BU208" s="2094"/>
      <c r="BV208" s="2094"/>
      <c r="BW208" s="2094"/>
      <c r="BX208" s="2094"/>
      <c r="BY208" s="2094"/>
      <c r="BZ208" s="2094"/>
      <c r="CA208" s="2094"/>
      <c r="CB208" s="851"/>
      <c r="CI208" s="141"/>
      <c r="CJ208" s="2094"/>
      <c r="CK208" s="2094"/>
      <c r="CL208" s="2094"/>
      <c r="CM208" s="2094"/>
      <c r="CN208" s="2094"/>
      <c r="CO208" s="2094"/>
      <c r="CP208" s="2094"/>
      <c r="CQ208" s="2094"/>
      <c r="CR208" s="2094"/>
      <c r="CS208" s="2094"/>
      <c r="CT208" s="2094"/>
      <c r="CU208" s="2094"/>
      <c r="CV208" s="851"/>
    </row>
  </sheetData>
  <mergeCells count="693">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J207:AJ208"/>
    <mergeCell ref="AK207:AK208"/>
    <mergeCell ref="AF168:AF169"/>
    <mergeCell ref="AG168:AG169"/>
    <mergeCell ref="AH168:AH169"/>
    <mergeCell ref="W193:W195"/>
    <mergeCell ref="W196:W198"/>
    <mergeCell ref="W199:W201"/>
    <mergeCell ref="W202:W204"/>
    <mergeCell ref="W205:W208"/>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J173:J174"/>
    <mergeCell ref="K173:V174"/>
    <mergeCell ref="W173:W174"/>
    <mergeCell ref="AC173:AC174"/>
    <mergeCell ref="AD173:AO174"/>
    <mergeCell ref="AP173:AP174"/>
    <mergeCell ref="AV173:AV174"/>
    <mergeCell ref="AW173:BH174"/>
    <mergeCell ref="BI173:BI174"/>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BI47:BI49"/>
    <mergeCell ref="BI50:BI53"/>
    <mergeCell ref="AW52:AW53"/>
    <mergeCell ref="AX52:AX53"/>
    <mergeCell ref="AY52:AY53"/>
    <mergeCell ref="AZ52:AZ53"/>
    <mergeCell ref="BA52:BA53"/>
    <mergeCell ref="BB52:BB53"/>
    <mergeCell ref="BC52:BC53"/>
    <mergeCell ref="BD52:BD53"/>
    <mergeCell ref="BE52:BE53"/>
    <mergeCell ref="BF52:BF53"/>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AG52:AG53"/>
    <mergeCell ref="AH52:AH53"/>
    <mergeCell ref="AI52:AI53"/>
    <mergeCell ref="AJ52:AJ53"/>
    <mergeCell ref="AK52:AK53"/>
    <mergeCell ref="AL52:AL53"/>
    <mergeCell ref="AM52:AM53"/>
    <mergeCell ref="AN52:AN53"/>
    <mergeCell ref="AO52:AO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B1" zoomScale="70" zoomScaleNormal="70" workbookViewId="0">
      <selection activeCell="X9" sqref="X9"/>
    </sheetView>
  </sheetViews>
  <sheetFormatPr defaultRowHeight="48" customHeight="1"/>
  <cols>
    <col min="1" max="1" width="9.125" customWidth="1"/>
  </cols>
  <sheetData>
    <row r="6" spans="4:28" ht="48" customHeight="1">
      <c r="D6" s="2109" t="s">
        <v>1021</v>
      </c>
      <c r="E6" s="2109"/>
      <c r="F6" s="2109"/>
      <c r="G6" s="227">
        <v>1</v>
      </c>
      <c r="K6" s="211"/>
      <c r="L6" s="211"/>
      <c r="M6" s="211"/>
      <c r="N6" s="211"/>
      <c r="O6" s="211"/>
      <c r="P6" s="211"/>
      <c r="Q6" s="211"/>
      <c r="R6" s="211"/>
      <c r="S6" s="211"/>
      <c r="T6" s="211"/>
      <c r="U6" s="211">
        <f>S12</f>
        <v>5</v>
      </c>
      <c r="V6" s="211"/>
      <c r="W6" s="211"/>
      <c r="X6" s="211"/>
      <c r="Y6" s="211"/>
      <c r="Z6" s="211"/>
      <c r="AA6" s="211"/>
      <c r="AB6" s="211"/>
    </row>
    <row r="7" spans="4:28" ht="48" customHeight="1">
      <c r="D7" s="2109"/>
      <c r="E7" s="2109"/>
      <c r="F7" s="2109"/>
      <c r="G7" s="227">
        <v>3</v>
      </c>
      <c r="K7" s="211"/>
      <c r="L7" s="211"/>
      <c r="M7" s="211"/>
      <c r="N7" s="211"/>
      <c r="O7" s="211"/>
      <c r="P7" s="211"/>
      <c r="Q7" s="211"/>
      <c r="R7" s="211"/>
      <c r="S7" s="211"/>
      <c r="T7" s="211"/>
      <c r="U7" s="211"/>
      <c r="V7" s="211"/>
      <c r="W7" s="211"/>
      <c r="X7" s="211"/>
      <c r="Y7" s="211"/>
      <c r="Z7" s="211"/>
      <c r="AA7" s="211"/>
      <c r="AB7" s="211"/>
    </row>
    <row r="8" spans="4:28" ht="48" customHeight="1">
      <c r="D8" s="2109"/>
      <c r="E8" s="2109"/>
      <c r="F8" s="2109"/>
      <c r="G8" s="227">
        <v>2</v>
      </c>
      <c r="N8" s="211"/>
      <c r="O8" s="211"/>
      <c r="P8" s="211"/>
      <c r="Q8" s="211"/>
      <c r="R8" s="211"/>
      <c r="S8" s="211"/>
      <c r="T8" s="211">
        <f>S12</f>
        <v>5</v>
      </c>
      <c r="U8" s="211">
        <f>S12</f>
        <v>5</v>
      </c>
      <c r="V8" s="211"/>
      <c r="W8" s="211"/>
      <c r="X8" s="211"/>
      <c r="Y8" s="211"/>
      <c r="Z8" s="211"/>
      <c r="AA8" s="211"/>
      <c r="AB8" s="211"/>
    </row>
    <row r="9" spans="4:28" ht="48" customHeight="1">
      <c r="E9" s="211"/>
      <c r="F9" s="211"/>
      <c r="G9" s="211"/>
      <c r="N9" s="211"/>
      <c r="O9" s="211"/>
      <c r="P9" s="211"/>
      <c r="Q9" s="1"/>
      <c r="R9" s="211"/>
      <c r="S9" s="211"/>
      <c r="T9" s="211"/>
      <c r="U9" s="211"/>
      <c r="V9" s="211"/>
      <c r="W9" s="211">
        <f>S12</f>
        <v>5</v>
      </c>
      <c r="X9" s="211"/>
      <c r="Y9" s="211"/>
      <c r="Z9" s="211"/>
      <c r="AA9" s="211">
        <f>W9*G8</f>
        <v>10</v>
      </c>
      <c r="AB9" s="211"/>
    </row>
    <row r="10" spans="4:28" ht="48" customHeight="1">
      <c r="L10" s="2110" t="s">
        <v>1022</v>
      </c>
      <c r="M10" s="2111"/>
      <c r="N10" s="2111"/>
      <c r="O10" s="2111"/>
      <c r="P10" s="2112"/>
      <c r="Q10" s="211">
        <f>G7+G8</f>
        <v>5</v>
      </c>
      <c r="R10" s="211"/>
      <c r="S10" s="211"/>
      <c r="T10" s="211"/>
      <c r="U10" s="211"/>
      <c r="V10" s="211"/>
      <c r="W10" s="211">
        <f>$S$12</f>
        <v>5</v>
      </c>
      <c r="X10" s="211"/>
      <c r="Y10" s="211"/>
      <c r="Z10" s="211"/>
      <c r="AA10" s="211">
        <f>$W$10*G8</f>
        <v>10</v>
      </c>
      <c r="AB10" s="211"/>
    </row>
    <row r="11" spans="4:28" ht="48" customHeight="1">
      <c r="N11" s="211"/>
      <c r="O11" s="211"/>
      <c r="P11" s="211"/>
      <c r="Q11" s="1"/>
      <c r="R11" s="211"/>
      <c r="S11" s="211"/>
      <c r="T11" s="211"/>
      <c r="U11" s="211"/>
      <c r="V11" s="211"/>
      <c r="W11" s="211"/>
      <c r="X11" s="211"/>
      <c r="Y11" s="211"/>
      <c r="Z11" s="211"/>
      <c r="AA11" s="211"/>
      <c r="AB11" s="211"/>
    </row>
    <row r="12" spans="4:28" ht="48" customHeight="1">
      <c r="K12" s="211"/>
      <c r="L12" s="211"/>
      <c r="M12" s="211"/>
      <c r="N12" s="211"/>
      <c r="O12" s="1"/>
      <c r="P12" s="211"/>
      <c r="Q12" s="211"/>
      <c r="R12" s="216" t="s">
        <v>721</v>
      </c>
      <c r="S12" s="211">
        <f>Q10</f>
        <v>5</v>
      </c>
      <c r="U12" s="2108" t="s">
        <v>1020</v>
      </c>
      <c r="V12" s="2108"/>
      <c r="W12" s="2108"/>
      <c r="X12" s="2108"/>
      <c r="Y12" s="2108"/>
      <c r="Z12" s="211"/>
      <c r="AA12" s="211"/>
      <c r="AB12" s="211"/>
    </row>
    <row r="13" spans="4:28" ht="48" customHeight="1">
      <c r="K13" s="211"/>
      <c r="L13" s="211"/>
      <c r="M13" s="211"/>
      <c r="N13" s="211"/>
      <c r="O13" s="211"/>
      <c r="P13" s="211"/>
      <c r="Q13" s="211"/>
      <c r="R13" s="211"/>
      <c r="S13" s="1"/>
      <c r="U13" s="2108"/>
      <c r="V13" s="2108"/>
      <c r="W13" s="2108"/>
      <c r="X13" s="2108"/>
      <c r="Y13" s="2108"/>
      <c r="Z13" s="211"/>
      <c r="AA13" s="211"/>
      <c r="AB13" s="211"/>
    </row>
    <row r="14" spans="4:28" ht="48" customHeight="1">
      <c r="K14" s="211"/>
      <c r="L14" s="211"/>
      <c r="M14" s="211"/>
      <c r="N14" s="211"/>
      <c r="O14" s="211"/>
      <c r="P14" s="211"/>
      <c r="Q14" s="211">
        <f>Q10+6</f>
        <v>11</v>
      </c>
      <c r="R14" s="211"/>
      <c r="S14" s="211"/>
      <c r="T14" s="211"/>
      <c r="U14" s="211"/>
      <c r="V14" s="211"/>
      <c r="W14" s="211"/>
      <c r="X14" s="211"/>
      <c r="Y14" s="211"/>
      <c r="Z14" s="211"/>
      <c r="AA14" s="211"/>
      <c r="AB14" s="211"/>
    </row>
    <row r="15" spans="4:28" ht="48" customHeight="1">
      <c r="U15" s="2108" t="s">
        <v>1023</v>
      </c>
      <c r="V15" s="2108"/>
      <c r="W15" s="2108"/>
      <c r="X15" s="2108"/>
      <c r="Y15" s="2108"/>
    </row>
    <row r="16" spans="4:28" ht="48" customHeight="1">
      <c r="U16" s="2108"/>
      <c r="V16" s="2108"/>
      <c r="W16" s="2108"/>
      <c r="X16" s="2108"/>
      <c r="Y16" s="2108"/>
    </row>
    <row r="17" spans="13:32" ht="48" customHeight="1">
      <c r="M17" s="11"/>
      <c r="N17" s="11"/>
      <c r="O17" s="11"/>
      <c r="P17" s="11"/>
      <c r="Q17" s="11"/>
      <c r="R17" s="11"/>
      <c r="S17" s="11"/>
      <c r="T17" s="11"/>
      <c r="U17" s="11"/>
      <c r="V17" s="11"/>
      <c r="W17" s="11"/>
      <c r="X17" s="11"/>
      <c r="Y17" s="11"/>
      <c r="Z17" s="11"/>
      <c r="AA17" s="11"/>
      <c r="AB17" s="11"/>
      <c r="AC17" s="11"/>
      <c r="AD17" s="11"/>
      <c r="AE17" s="11"/>
      <c r="AF17" s="11"/>
    </row>
    <row r="18" spans="13:32" ht="48" customHeight="1">
      <c r="M18" s="11"/>
      <c r="N18" s="11"/>
      <c r="O18" s="11"/>
      <c r="P18" s="11"/>
      <c r="Q18" s="11"/>
      <c r="R18" s="11"/>
      <c r="S18" s="11"/>
      <c r="T18" s="11"/>
      <c r="U18" s="11"/>
      <c r="V18" s="11"/>
      <c r="W18" s="11"/>
      <c r="X18" s="11"/>
      <c r="Y18" s="11"/>
      <c r="Z18" s="11"/>
      <c r="AA18" s="11"/>
      <c r="AB18" s="11"/>
      <c r="AC18" s="11"/>
      <c r="AD18" s="11"/>
      <c r="AE18" s="11"/>
      <c r="AF18" s="11"/>
    </row>
    <row r="19" spans="13:32" ht="48" customHeight="1">
      <c r="M19" s="11"/>
      <c r="N19" s="11"/>
      <c r="O19" s="11"/>
      <c r="P19" s="11"/>
      <c r="Q19" s="11"/>
      <c r="R19" s="11"/>
      <c r="S19" s="11"/>
      <c r="T19" s="11"/>
      <c r="U19" s="11"/>
      <c r="V19" s="11"/>
      <c r="W19" s="11"/>
      <c r="X19" s="11"/>
      <c r="Y19" s="11"/>
      <c r="Z19" s="11"/>
      <c r="AA19" s="11"/>
      <c r="AB19" s="11"/>
      <c r="AC19" s="11"/>
      <c r="AD19" s="11"/>
      <c r="AE19" s="11"/>
      <c r="AF19" s="11"/>
    </row>
    <row r="20" spans="13:32" ht="48" customHeight="1">
      <c r="M20" s="11"/>
      <c r="N20" s="11"/>
      <c r="O20" s="11"/>
      <c r="P20" s="11"/>
      <c r="Q20" s="11"/>
      <c r="R20" s="11"/>
      <c r="S20" s="11"/>
      <c r="T20" s="11"/>
      <c r="U20" s="11"/>
      <c r="V20" s="11"/>
      <c r="W20" s="11"/>
      <c r="X20" s="11"/>
      <c r="Y20" s="11"/>
      <c r="Z20" s="11"/>
      <c r="AA20" s="11"/>
      <c r="AB20" s="11"/>
      <c r="AC20" s="11"/>
      <c r="AD20" s="11"/>
      <c r="AE20" s="11"/>
      <c r="AF20" s="11"/>
    </row>
    <row r="21" spans="13:32" ht="48" customHeight="1">
      <c r="M21" s="11"/>
      <c r="N21" s="11"/>
      <c r="O21" s="11"/>
      <c r="P21" s="11"/>
      <c r="Q21" s="11"/>
      <c r="R21" s="11"/>
      <c r="S21" s="11"/>
      <c r="T21" s="11"/>
      <c r="U21" s="11"/>
      <c r="V21" s="11"/>
      <c r="W21" s="11"/>
      <c r="X21" s="11"/>
      <c r="Y21" s="11"/>
      <c r="Z21" s="11"/>
      <c r="AA21" s="11"/>
      <c r="AB21" s="11"/>
      <c r="AC21" s="11"/>
      <c r="AD21" s="11"/>
      <c r="AE21" s="11"/>
      <c r="AF21" s="11"/>
    </row>
    <row r="22" spans="13:32" ht="48" customHeight="1">
      <c r="M22" s="11"/>
      <c r="N22" s="11"/>
      <c r="O22" s="11"/>
      <c r="P22" s="11"/>
      <c r="Q22" s="11"/>
      <c r="R22" s="11"/>
      <c r="S22" s="11"/>
      <c r="T22" s="11"/>
      <c r="U22" s="11"/>
      <c r="V22" s="11"/>
      <c r="W22" s="11"/>
      <c r="X22" s="11"/>
      <c r="Y22" s="11"/>
      <c r="Z22" s="11"/>
      <c r="AA22" s="11"/>
      <c r="AB22" s="11"/>
      <c r="AC22" s="11"/>
      <c r="AD22" s="11"/>
      <c r="AE22" s="11"/>
      <c r="AF22" s="11"/>
    </row>
    <row r="23" spans="13:32" ht="48" customHeight="1">
      <c r="M23" s="11"/>
      <c r="N23" s="11"/>
      <c r="O23" s="11"/>
      <c r="P23" s="11"/>
      <c r="Q23" s="11"/>
      <c r="R23" s="11"/>
      <c r="S23" s="11"/>
      <c r="T23" s="11"/>
      <c r="U23" s="11"/>
      <c r="V23" s="11"/>
      <c r="W23" s="11"/>
      <c r="X23" s="11"/>
      <c r="Y23" s="11"/>
      <c r="Z23" s="11"/>
      <c r="AA23" s="11"/>
      <c r="AB23" s="11"/>
      <c r="AC23" s="11"/>
      <c r="AD23" s="11"/>
      <c r="AE23" s="11"/>
      <c r="AF23" s="11"/>
    </row>
    <row r="24" spans="13:32" ht="48" customHeight="1">
      <c r="M24" s="11"/>
      <c r="N24" s="11"/>
      <c r="O24" s="11"/>
      <c r="P24" s="11"/>
      <c r="Q24" s="11"/>
      <c r="R24" s="11"/>
      <c r="S24" s="11"/>
      <c r="T24" s="11"/>
      <c r="U24" s="11"/>
      <c r="V24" s="11"/>
      <c r="W24" s="11"/>
      <c r="X24" s="11"/>
      <c r="Y24" s="11"/>
      <c r="Z24" s="11"/>
      <c r="AA24" s="11"/>
      <c r="AB24" s="11"/>
      <c r="AC24" s="11"/>
      <c r="AD24" s="11"/>
      <c r="AE24" s="11"/>
      <c r="AF24" s="11"/>
    </row>
    <row r="25" spans="13:32" ht="48" customHeight="1">
      <c r="M25" s="11"/>
      <c r="N25" s="11"/>
      <c r="O25" s="11"/>
      <c r="P25" s="11"/>
      <c r="Q25" s="11"/>
      <c r="R25" s="11"/>
      <c r="S25" s="11"/>
      <c r="T25" s="11"/>
      <c r="U25" s="11"/>
      <c r="V25" s="11"/>
      <c r="W25" s="11"/>
      <c r="X25" s="11"/>
      <c r="Y25" s="11"/>
      <c r="Z25" s="11"/>
      <c r="AA25" s="11"/>
      <c r="AB25" s="11"/>
      <c r="AC25" s="11"/>
      <c r="AD25" s="11"/>
      <c r="AE25" s="11"/>
      <c r="AF25" s="11"/>
    </row>
    <row r="26" spans="13:32" ht="48" customHeight="1">
      <c r="M26" s="11"/>
      <c r="N26" s="11"/>
      <c r="O26" s="11"/>
      <c r="P26" s="11"/>
      <c r="Q26" s="11"/>
      <c r="R26" s="11"/>
      <c r="S26" s="11"/>
      <c r="T26" s="11"/>
      <c r="U26" s="11"/>
      <c r="V26" s="11"/>
      <c r="W26" s="11"/>
      <c r="X26" s="11"/>
      <c r="Y26" s="11"/>
      <c r="Z26" s="11"/>
      <c r="AA26" s="11"/>
      <c r="AB26" s="11"/>
      <c r="AC26" s="11"/>
      <c r="AD26" s="11"/>
      <c r="AE26" s="11"/>
      <c r="AF26" s="11"/>
    </row>
    <row r="27" spans="13:32" ht="48" customHeight="1">
      <c r="M27" s="11"/>
      <c r="N27" s="11"/>
      <c r="O27" s="11"/>
      <c r="P27" s="11"/>
      <c r="Q27" s="11"/>
      <c r="R27" s="11"/>
      <c r="S27" s="11"/>
      <c r="T27" s="11"/>
      <c r="U27" s="11"/>
      <c r="V27" s="11"/>
      <c r="W27" s="11"/>
      <c r="X27" s="11"/>
      <c r="Y27" s="11"/>
      <c r="Z27" s="11"/>
      <c r="AA27" s="11"/>
      <c r="AB27" s="11"/>
      <c r="AC27" s="11"/>
      <c r="AD27" s="11"/>
      <c r="AE27" s="11"/>
      <c r="AF27" s="11"/>
    </row>
    <row r="28" spans="13:32" ht="48" customHeight="1">
      <c r="M28" s="11"/>
      <c r="N28" s="11"/>
      <c r="O28" s="11"/>
      <c r="P28" s="11"/>
      <c r="Q28" s="11"/>
      <c r="R28" s="11"/>
      <c r="S28" s="11"/>
      <c r="T28" s="11"/>
      <c r="U28" s="11"/>
      <c r="V28" s="11"/>
      <c r="W28" s="11"/>
      <c r="X28" s="11"/>
      <c r="Y28" s="11"/>
      <c r="Z28" s="11"/>
      <c r="AA28" s="11"/>
      <c r="AB28" s="11"/>
      <c r="AC28" s="11"/>
      <c r="AD28" s="11"/>
      <c r="AE28" s="11"/>
      <c r="AF28" s="11"/>
    </row>
    <row r="29" spans="13:32" ht="48" customHeight="1">
      <c r="M29" s="11"/>
      <c r="N29" s="11"/>
      <c r="O29" s="11"/>
      <c r="P29" s="11"/>
      <c r="Q29" s="11"/>
      <c r="R29" s="11"/>
      <c r="S29" s="11"/>
      <c r="T29" s="11"/>
      <c r="U29" s="11"/>
      <c r="V29" s="11"/>
      <c r="W29" s="11"/>
      <c r="X29" s="11"/>
      <c r="Y29" s="11"/>
      <c r="Z29" s="11"/>
      <c r="AA29" s="11"/>
      <c r="AB29" s="11"/>
      <c r="AC29" s="11"/>
      <c r="AD29" s="11"/>
      <c r="AE29" s="11"/>
      <c r="AF29" s="11"/>
    </row>
    <row r="30" spans="13:32" ht="48" customHeight="1">
      <c r="M30" s="11"/>
      <c r="N30" s="11"/>
      <c r="O30" s="11"/>
      <c r="P30" s="11"/>
      <c r="Q30" s="11"/>
      <c r="R30" s="11"/>
      <c r="S30" s="11"/>
      <c r="T30" s="11"/>
      <c r="U30" s="11"/>
      <c r="V30" s="11"/>
      <c r="W30" s="11"/>
      <c r="X30" s="11"/>
      <c r="Y30" s="11"/>
      <c r="Z30" s="11"/>
      <c r="AA30" s="11"/>
      <c r="AB30" s="11"/>
      <c r="AC30" s="11"/>
      <c r="AD30" s="11"/>
      <c r="AE30" s="11"/>
      <c r="AF30" s="11"/>
    </row>
    <row r="31" spans="13:32" ht="48" customHeight="1">
      <c r="M31" s="11"/>
      <c r="N31" s="11"/>
      <c r="O31" s="11"/>
      <c r="P31" s="11"/>
      <c r="Q31" s="11"/>
      <c r="R31" s="11"/>
      <c r="S31" s="11"/>
      <c r="T31" s="11"/>
      <c r="U31" s="11"/>
      <c r="V31" s="11"/>
      <c r="W31" s="11"/>
      <c r="X31" s="11"/>
      <c r="Y31" s="11"/>
      <c r="Z31" s="11"/>
      <c r="AA31" s="11"/>
      <c r="AB31" s="11"/>
      <c r="AC31" s="11"/>
      <c r="AD31" s="11"/>
      <c r="AE31" s="11"/>
      <c r="AF31" s="11"/>
    </row>
    <row r="32" spans="13:32" ht="48" customHeight="1">
      <c r="M32" s="11"/>
      <c r="N32" s="11"/>
      <c r="O32" s="11"/>
      <c r="P32" s="11"/>
      <c r="Q32" s="11"/>
      <c r="R32" s="11"/>
      <c r="S32" s="11"/>
      <c r="T32" s="11"/>
      <c r="U32" s="11"/>
      <c r="V32" s="11"/>
      <c r="W32" s="11"/>
      <c r="X32" s="11"/>
      <c r="Y32" s="11"/>
      <c r="Z32" s="11"/>
      <c r="AA32" s="11"/>
      <c r="AB32" s="11"/>
      <c r="AC32" s="11"/>
      <c r="AD32" s="11"/>
      <c r="AE32" s="11"/>
      <c r="AF32" s="11"/>
    </row>
    <row r="33" spans="13:32" ht="48" customHeight="1">
      <c r="M33" s="11"/>
      <c r="N33" s="11"/>
      <c r="O33" s="11"/>
      <c r="P33" s="11"/>
      <c r="Q33" s="11"/>
      <c r="R33" s="11"/>
      <c r="S33" s="11"/>
      <c r="T33" s="11"/>
      <c r="U33" s="11"/>
      <c r="V33" s="11"/>
      <c r="W33" s="11"/>
      <c r="X33" s="11"/>
      <c r="Y33" s="11"/>
      <c r="Z33" s="11"/>
      <c r="AA33" s="11"/>
      <c r="AB33" s="11"/>
      <c r="AC33" s="11"/>
      <c r="AD33" s="11"/>
      <c r="AE33" s="11"/>
      <c r="AF33" s="11"/>
    </row>
    <row r="34" spans="13:32" ht="48" customHeight="1">
      <c r="M34" s="11"/>
      <c r="N34" s="11"/>
      <c r="O34" s="11"/>
      <c r="P34" s="11"/>
      <c r="Q34" s="11"/>
      <c r="R34" s="11"/>
      <c r="S34" s="11"/>
      <c r="T34" s="11"/>
      <c r="U34" s="11"/>
      <c r="V34" s="11"/>
      <c r="W34" s="11"/>
      <c r="X34" s="11"/>
      <c r="Y34" s="11"/>
      <c r="Z34" s="11"/>
      <c r="AA34" s="11"/>
      <c r="AB34" s="11"/>
      <c r="AC34" s="11"/>
      <c r="AD34" s="11"/>
      <c r="AE34" s="11"/>
      <c r="AF34" s="11"/>
    </row>
    <row r="35" spans="13:32" ht="48" customHeight="1">
      <c r="M35" s="11"/>
      <c r="N35" s="11"/>
      <c r="O35" s="11"/>
      <c r="P35" s="11"/>
      <c r="Q35" s="11"/>
      <c r="R35" s="11"/>
      <c r="S35" s="11"/>
      <c r="T35" s="11"/>
      <c r="U35" s="11"/>
      <c r="V35" s="11"/>
      <c r="W35" s="11"/>
      <c r="X35" s="11"/>
      <c r="Y35" s="11"/>
      <c r="Z35" s="11"/>
      <c r="AA35" s="11"/>
      <c r="AB35" s="11"/>
      <c r="AC35" s="11"/>
      <c r="AD35" s="11"/>
      <c r="AE35" s="11"/>
      <c r="AF35" s="11"/>
    </row>
    <row r="36" spans="13:32" ht="48" customHeight="1">
      <c r="M36" s="11"/>
      <c r="N36" s="11"/>
      <c r="O36" s="11"/>
      <c r="P36" s="11"/>
      <c r="Q36" s="11"/>
      <c r="R36" s="11"/>
      <c r="S36" s="11"/>
      <c r="T36" s="11"/>
      <c r="U36" s="11"/>
      <c r="V36" s="11"/>
      <c r="W36" s="11"/>
      <c r="X36" s="11"/>
      <c r="Y36" s="11"/>
      <c r="Z36" s="11"/>
      <c r="AA36" s="11"/>
      <c r="AB36" s="11"/>
      <c r="AC36" s="11"/>
      <c r="AD36" s="11"/>
      <c r="AE36" s="11"/>
      <c r="AF36" s="11"/>
    </row>
    <row r="37" spans="13:32" ht="48" customHeight="1">
      <c r="M37" s="11"/>
      <c r="N37" s="11"/>
      <c r="O37" s="11"/>
      <c r="P37" s="11"/>
      <c r="Q37" s="11"/>
      <c r="R37" s="11"/>
      <c r="S37" s="11"/>
      <c r="T37" s="11"/>
      <c r="U37" s="11"/>
      <c r="V37" s="11"/>
      <c r="W37" s="11"/>
      <c r="X37" s="11"/>
      <c r="Y37" s="11"/>
      <c r="Z37" s="11"/>
      <c r="AA37" s="11"/>
      <c r="AB37" s="11"/>
      <c r="AC37" s="11"/>
      <c r="AD37" s="11"/>
      <c r="AE37" s="11"/>
      <c r="AF37" s="11"/>
    </row>
    <row r="38" spans="13:32" ht="48" customHeight="1">
      <c r="M38" s="11"/>
      <c r="N38" s="11"/>
      <c r="O38" s="11"/>
      <c r="P38" s="11"/>
      <c r="Q38" s="11"/>
      <c r="R38" s="11"/>
      <c r="S38" s="11"/>
      <c r="T38" s="11"/>
      <c r="U38" s="11"/>
      <c r="V38" s="11"/>
      <c r="W38" s="11"/>
      <c r="X38" s="11"/>
      <c r="Y38" s="11"/>
      <c r="Z38" s="11"/>
      <c r="AA38" s="11"/>
      <c r="AB38" s="11"/>
      <c r="AC38" s="11"/>
      <c r="AD38" s="11"/>
      <c r="AE38" s="11"/>
      <c r="AF38" s="11"/>
    </row>
    <row r="39" spans="13:32" ht="48" customHeight="1">
      <c r="M39" s="11"/>
      <c r="N39" s="11"/>
      <c r="O39" s="11"/>
      <c r="P39" s="11"/>
      <c r="Q39" s="11"/>
      <c r="R39" s="11"/>
      <c r="S39" s="11"/>
      <c r="T39" s="11"/>
      <c r="U39" s="11"/>
      <c r="V39" s="11"/>
      <c r="W39" s="11"/>
      <c r="X39" s="11"/>
      <c r="Y39" s="11"/>
      <c r="Z39" s="11"/>
      <c r="AA39" s="11"/>
      <c r="AB39" s="11"/>
      <c r="AC39" s="11"/>
      <c r="AD39" s="11"/>
      <c r="AE39" s="11"/>
      <c r="AF39" s="11"/>
    </row>
    <row r="40" spans="13:32" ht="48" customHeight="1">
      <c r="M40" s="11"/>
      <c r="N40" s="11"/>
      <c r="O40" s="11"/>
      <c r="P40" s="11"/>
      <c r="Q40" s="11"/>
      <c r="R40" s="11"/>
      <c r="S40" s="11"/>
      <c r="T40" s="11"/>
      <c r="U40" s="11"/>
      <c r="V40" s="11"/>
      <c r="W40" s="11"/>
      <c r="X40" s="11"/>
      <c r="Y40" s="11"/>
      <c r="Z40" s="11"/>
      <c r="AA40" s="11"/>
      <c r="AB40" s="11"/>
      <c r="AC40" s="11"/>
      <c r="AD40" s="11"/>
      <c r="AE40" s="11"/>
      <c r="AF40" s="11"/>
    </row>
    <row r="41" spans="13:32" ht="48" customHeight="1">
      <c r="M41" s="11"/>
      <c r="N41" s="11"/>
      <c r="O41" s="11"/>
      <c r="P41" s="11"/>
      <c r="Q41" s="11"/>
      <c r="R41" s="11"/>
      <c r="S41" s="11"/>
      <c r="T41" s="11"/>
      <c r="U41" s="11"/>
      <c r="V41" s="11"/>
      <c r="W41" s="11"/>
      <c r="X41" s="11"/>
      <c r="Y41" s="11"/>
      <c r="Z41" s="11"/>
      <c r="AA41" s="11"/>
      <c r="AB41" s="11"/>
      <c r="AC41" s="11"/>
      <c r="AD41" s="11"/>
      <c r="AE41" s="11"/>
      <c r="AF41" s="11"/>
    </row>
    <row r="42" spans="13:32" ht="48" customHeight="1">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U399"/>
  <sheetViews>
    <sheetView zoomScale="70" zoomScaleNormal="70" workbookViewId="0">
      <selection activeCell="F38" sqref="F38:W38"/>
    </sheetView>
  </sheetViews>
  <sheetFormatPr defaultColWidth="4.625" defaultRowHeight="24" customHeight="1"/>
  <cols>
    <col min="1" max="16384" width="4.625" style="405"/>
  </cols>
  <sheetData>
    <row r="1" spans="1:100" ht="24" customHeight="1">
      <c r="A1" s="2119" t="s">
        <v>1111</v>
      </c>
      <c r="B1" s="2120"/>
      <c r="C1" s="2120"/>
      <c r="D1" s="2120"/>
      <c r="E1" s="2120"/>
      <c r="F1" s="2120"/>
      <c r="G1" s="2120"/>
      <c r="H1" s="2120"/>
      <c r="I1" s="2120"/>
      <c r="J1" s="2120"/>
      <c r="K1" s="2120"/>
      <c r="L1" s="2120"/>
      <c r="M1" s="2120"/>
      <c r="N1" s="2120"/>
      <c r="O1" s="2120"/>
      <c r="P1" s="2120"/>
      <c r="Q1" s="2120"/>
      <c r="R1" s="2120"/>
      <c r="S1" s="2120"/>
      <c r="T1" s="2120"/>
      <c r="U1" s="2120"/>
      <c r="V1" s="2120"/>
      <c r="W1" s="2120"/>
      <c r="X1" s="2120"/>
      <c r="Y1" s="2120"/>
      <c r="Z1" s="2120"/>
      <c r="AA1" s="2120"/>
      <c r="AB1" s="2120"/>
      <c r="AC1" s="2120"/>
      <c r="AD1" s="2120"/>
      <c r="AE1" s="2121"/>
      <c r="AF1" s="2221" t="s">
        <v>1111</v>
      </c>
      <c r="AG1" s="2222"/>
      <c r="AH1" s="2222"/>
      <c r="AI1" s="2222"/>
      <c r="AJ1" s="2222"/>
      <c r="AK1" s="2222"/>
      <c r="AL1" s="2222"/>
      <c r="AM1" s="2222"/>
      <c r="AN1" s="2222"/>
      <c r="AO1" s="2222"/>
      <c r="AP1" s="2222"/>
      <c r="AQ1" s="2222"/>
      <c r="AR1" s="2222"/>
      <c r="AS1" s="2222"/>
      <c r="AT1" s="2222"/>
      <c r="AU1" s="2222"/>
      <c r="AV1" s="2222"/>
      <c r="AW1" s="2222"/>
      <c r="AX1" s="2222"/>
      <c r="AY1" s="2222"/>
      <c r="AZ1" s="2222"/>
      <c r="BA1" s="2222"/>
      <c r="BB1" s="2222"/>
      <c r="BC1" s="2222"/>
      <c r="BD1" s="2222"/>
      <c r="BE1" s="2222"/>
      <c r="BF1" s="2222"/>
      <c r="BG1" s="2222"/>
      <c r="BH1" s="2222"/>
      <c r="BI1" s="2222"/>
      <c r="BJ1" s="2222"/>
    </row>
    <row r="2" spans="1:100" ht="24" customHeight="1">
      <c r="A2" s="2165" t="s">
        <v>0</v>
      </c>
      <c r="B2" s="2166"/>
      <c r="C2" s="2167"/>
      <c r="D2" s="2122"/>
      <c r="E2" s="2125" t="s">
        <v>1362</v>
      </c>
      <c r="F2" s="2126"/>
      <c r="G2" s="544"/>
      <c r="H2" s="547"/>
      <c r="I2" s="548"/>
      <c r="J2" s="548"/>
      <c r="K2" s="548"/>
      <c r="L2" s="548"/>
      <c r="M2" s="548"/>
      <c r="N2" s="548"/>
      <c r="O2" s="548"/>
      <c r="P2" s="548"/>
      <c r="Q2" s="548"/>
      <c r="R2" s="548"/>
      <c r="S2" s="548"/>
      <c r="T2" s="548"/>
      <c r="U2" s="548"/>
      <c r="V2" s="549"/>
      <c r="W2" s="544"/>
      <c r="X2" s="2127" t="s">
        <v>111</v>
      </c>
      <c r="Y2" s="2128"/>
      <c r="Z2" s="2156" t="s">
        <v>704</v>
      </c>
      <c r="AA2" s="2159"/>
      <c r="AB2" s="2191" t="s">
        <v>447</v>
      </c>
      <c r="AC2" s="2192"/>
      <c r="AD2" s="2192"/>
      <c r="AE2" s="2193"/>
      <c r="CK2" s="2155" t="s">
        <v>704</v>
      </c>
      <c r="CL2" s="2155"/>
    </row>
    <row r="3" spans="1:100" ht="24" customHeight="1">
      <c r="A3" s="2168"/>
      <c r="B3" s="2169"/>
      <c r="C3" s="2170"/>
      <c r="D3" s="2123"/>
      <c r="E3" s="2213" t="str">
        <f>'Вывод расчетов'!AJ5</f>
        <v>Номинальная мощность</v>
      </c>
      <c r="F3" s="2214"/>
      <c r="G3" s="2214"/>
      <c r="H3" s="2214"/>
      <c r="I3" s="2214"/>
      <c r="J3" s="2214"/>
      <c r="K3" s="2214"/>
      <c r="L3" s="2214"/>
      <c r="M3" s="2214"/>
      <c r="N3" s="2214"/>
      <c r="O3" s="2214"/>
      <c r="P3" s="2214"/>
      <c r="Q3" s="2214"/>
      <c r="R3" s="2214"/>
      <c r="S3" s="2214"/>
      <c r="T3" s="2214"/>
      <c r="U3" s="2214"/>
      <c r="V3" s="2214"/>
      <c r="W3" s="2215"/>
      <c r="X3" s="2174">
        <f>'Вывод расчетов'!AP5</f>
        <v>30000</v>
      </c>
      <c r="Y3" s="2175"/>
      <c r="Z3" s="2178" t="str">
        <f>'Вывод расчетов'!AR5</f>
        <v>Вт</v>
      </c>
      <c r="AA3" s="2179"/>
      <c r="AB3" s="2137"/>
      <c r="AC3" s="2196" t="s">
        <v>1361</v>
      </c>
      <c r="AD3" s="2197"/>
      <c r="AE3" s="2137"/>
      <c r="CK3" s="2155" t="s">
        <v>704</v>
      </c>
      <c r="CL3" s="2155"/>
    </row>
    <row r="4" spans="1:100" ht="24" customHeight="1">
      <c r="A4" s="2171"/>
      <c r="B4" s="2172"/>
      <c r="C4" s="2173"/>
      <c r="D4" s="2124"/>
      <c r="E4" s="2216"/>
      <c r="F4" s="2217"/>
      <c r="G4" s="2217"/>
      <c r="H4" s="2217"/>
      <c r="I4" s="2217"/>
      <c r="J4" s="2217"/>
      <c r="K4" s="2217"/>
      <c r="L4" s="2217"/>
      <c r="M4" s="2217"/>
      <c r="N4" s="2217"/>
      <c r="O4" s="2217"/>
      <c r="P4" s="2217"/>
      <c r="Q4" s="2217"/>
      <c r="R4" s="2217"/>
      <c r="S4" s="2217"/>
      <c r="T4" s="2217"/>
      <c r="U4" s="2217"/>
      <c r="V4" s="2217"/>
      <c r="W4" s="2218"/>
      <c r="X4" s="2176"/>
      <c r="Y4" s="2177"/>
      <c r="Z4" s="2180"/>
      <c r="AA4" s="2181"/>
      <c r="AB4" s="2186"/>
      <c r="AC4" s="2198"/>
      <c r="AD4" s="2199"/>
      <c r="AE4" s="2186"/>
      <c r="CP4" s="2155" t="s">
        <v>704</v>
      </c>
      <c r="CQ4" s="2155"/>
      <c r="CR4" s="562"/>
      <c r="CS4" s="562"/>
      <c r="CT4" s="562"/>
    </row>
    <row r="5" spans="1:100" ht="24" customHeight="1">
      <c r="A5" s="2165" t="s">
        <v>0</v>
      </c>
      <c r="B5" s="2166"/>
      <c r="C5" s="2167"/>
      <c r="D5" s="2122"/>
      <c r="E5" s="2125" t="s">
        <v>1363</v>
      </c>
      <c r="F5" s="2126"/>
      <c r="G5" s="544"/>
      <c r="H5" s="547"/>
      <c r="I5" s="548"/>
      <c r="J5" s="548"/>
      <c r="K5" s="548"/>
      <c r="L5" s="548"/>
      <c r="M5" s="548"/>
      <c r="N5" s="548"/>
      <c r="O5" s="548"/>
      <c r="P5" s="548"/>
      <c r="Q5" s="548"/>
      <c r="R5" s="548"/>
      <c r="S5" s="548"/>
      <c r="T5" s="548"/>
      <c r="U5" s="548"/>
      <c r="V5" s="549"/>
      <c r="W5" s="544"/>
      <c r="X5" s="2127" t="s">
        <v>111</v>
      </c>
      <c r="Y5" s="2128"/>
      <c r="Z5" s="2156" t="s">
        <v>704</v>
      </c>
      <c r="AA5" s="2159"/>
      <c r="AB5" s="2191" t="s">
        <v>447</v>
      </c>
      <c r="AC5" s="2192"/>
      <c r="AD5" s="2192"/>
      <c r="AE5" s="2193"/>
    </row>
    <row r="6" spans="1:100" ht="24" customHeight="1">
      <c r="A6" s="2168"/>
      <c r="B6" s="2169"/>
      <c r="C6" s="2170"/>
      <c r="D6" s="2123"/>
      <c r="E6" s="2213" t="str">
        <f>'Вывод расчетов'!AJ6</f>
        <v>Частота вращения</v>
      </c>
      <c r="F6" s="2214"/>
      <c r="G6" s="2214"/>
      <c r="H6" s="2214"/>
      <c r="I6" s="2214"/>
      <c r="J6" s="2214"/>
      <c r="K6" s="2214"/>
      <c r="L6" s="2214"/>
      <c r="M6" s="2214"/>
      <c r="N6" s="2214"/>
      <c r="O6" s="2214"/>
      <c r="P6" s="2214"/>
      <c r="Q6" s="2214"/>
      <c r="R6" s="2214"/>
      <c r="S6" s="2214"/>
      <c r="T6" s="2214"/>
      <c r="U6" s="2214"/>
      <c r="V6" s="2214"/>
      <c r="W6" s="2215"/>
      <c r="X6" s="2174">
        <f>'Вывод расчетов'!AP6</f>
        <v>1500</v>
      </c>
      <c r="Y6" s="2175"/>
      <c r="Z6" s="2178" t="str">
        <f>'Вывод расчетов'!AR6</f>
        <v>об/мин</v>
      </c>
      <c r="AA6" s="2179"/>
      <c r="AB6" s="2137"/>
      <c r="AC6" s="2196" t="s">
        <v>1360</v>
      </c>
      <c r="AD6" s="2197"/>
      <c r="AE6" s="2137"/>
      <c r="CV6" s="558"/>
    </row>
    <row r="7" spans="1:100" ht="24" customHeight="1">
      <c r="A7" s="2171"/>
      <c r="B7" s="2172"/>
      <c r="C7" s="2173"/>
      <c r="D7" s="2124"/>
      <c r="E7" s="2216"/>
      <c r="F7" s="2217"/>
      <c r="G7" s="2217"/>
      <c r="H7" s="2217"/>
      <c r="I7" s="2217"/>
      <c r="J7" s="2217"/>
      <c r="K7" s="2217"/>
      <c r="L7" s="2217"/>
      <c r="M7" s="2217"/>
      <c r="N7" s="2217"/>
      <c r="O7" s="2217"/>
      <c r="P7" s="2217"/>
      <c r="Q7" s="2217"/>
      <c r="R7" s="2217"/>
      <c r="S7" s="2217"/>
      <c r="T7" s="2217"/>
      <c r="U7" s="2217"/>
      <c r="V7" s="2217"/>
      <c r="W7" s="2218"/>
      <c r="X7" s="2176"/>
      <c r="Y7" s="2177"/>
      <c r="Z7" s="2180"/>
      <c r="AA7" s="2181"/>
      <c r="AB7" s="2186"/>
      <c r="AC7" s="2198"/>
      <c r="AD7" s="2199"/>
      <c r="AE7" s="2186"/>
      <c r="CV7" s="559"/>
    </row>
    <row r="8" spans="1:100" ht="24" customHeight="1">
      <c r="A8" s="2165" t="s">
        <v>0</v>
      </c>
      <c r="B8" s="2166"/>
      <c r="C8" s="2167"/>
      <c r="D8" s="2122"/>
      <c r="E8" s="2125" t="s">
        <v>1364</v>
      </c>
      <c r="F8" s="2126"/>
      <c r="G8" s="544"/>
      <c r="H8" s="547"/>
      <c r="I8" s="548"/>
      <c r="J8" s="548"/>
      <c r="K8" s="548"/>
      <c r="L8" s="548"/>
      <c r="M8" s="548"/>
      <c r="N8" s="548"/>
      <c r="O8" s="548"/>
      <c r="P8" s="548"/>
      <c r="Q8" s="548"/>
      <c r="R8" s="548"/>
      <c r="S8" s="548"/>
      <c r="T8" s="548"/>
      <c r="U8" s="548"/>
      <c r="V8" s="549"/>
      <c r="W8" s="544"/>
      <c r="X8" s="2127" t="s">
        <v>111</v>
      </c>
      <c r="Y8" s="2128"/>
      <c r="Z8" s="2156" t="s">
        <v>704</v>
      </c>
      <c r="AA8" s="2159"/>
      <c r="AB8" s="2191" t="s">
        <v>447</v>
      </c>
      <c r="AC8" s="2192"/>
      <c r="AD8" s="2192"/>
      <c r="AE8" s="2193"/>
      <c r="CV8" s="560"/>
    </row>
    <row r="9" spans="1:100" ht="24" customHeight="1">
      <c r="A9" s="2168"/>
      <c r="B9" s="2169"/>
      <c r="C9" s="2170"/>
      <c r="D9" s="2123"/>
      <c r="E9" s="2213" t="s">
        <v>2</v>
      </c>
      <c r="F9" s="2214"/>
      <c r="G9" s="2214"/>
      <c r="H9" s="2214"/>
      <c r="I9" s="2214"/>
      <c r="J9" s="2214"/>
      <c r="K9" s="2214"/>
      <c r="L9" s="2214"/>
      <c r="M9" s="2214"/>
      <c r="N9" s="2214"/>
      <c r="O9" s="2214"/>
      <c r="P9" s="2214"/>
      <c r="Q9" s="2214"/>
      <c r="R9" s="2214"/>
      <c r="S9" s="2214"/>
      <c r="T9" s="2214"/>
      <c r="U9" s="2214"/>
      <c r="V9" s="2214"/>
      <c r="W9" s="2215"/>
      <c r="X9" s="2174">
        <f>'Вывод расчетов'!AP7</f>
        <v>220</v>
      </c>
      <c r="Y9" s="2175"/>
      <c r="Z9" s="2178" t="s">
        <v>706</v>
      </c>
      <c r="AA9" s="2179"/>
      <c r="AB9" s="2137"/>
      <c r="AC9" s="2196" t="s">
        <v>1361</v>
      </c>
      <c r="AD9" s="2197"/>
      <c r="AE9" s="2137"/>
      <c r="CM9" s="2155" t="s">
        <v>704</v>
      </c>
      <c r="CN9" s="2155"/>
    </row>
    <row r="10" spans="1:100" ht="24" customHeight="1" thickBot="1">
      <c r="A10" s="2171"/>
      <c r="B10" s="2172"/>
      <c r="C10" s="2173"/>
      <c r="D10" s="2124"/>
      <c r="E10" s="2216"/>
      <c r="F10" s="2217"/>
      <c r="G10" s="2217"/>
      <c r="H10" s="2217"/>
      <c r="I10" s="2217"/>
      <c r="J10" s="2217"/>
      <c r="K10" s="2217"/>
      <c r="L10" s="2217"/>
      <c r="M10" s="2217"/>
      <c r="N10" s="2217"/>
      <c r="O10" s="2217"/>
      <c r="P10" s="2217"/>
      <c r="Q10" s="2217"/>
      <c r="R10" s="2217"/>
      <c r="S10" s="2217"/>
      <c r="T10" s="2217"/>
      <c r="U10" s="2217"/>
      <c r="V10" s="2217"/>
      <c r="W10" s="2218"/>
      <c r="X10" s="2176"/>
      <c r="Y10" s="2177"/>
      <c r="Z10" s="2180"/>
      <c r="AA10" s="2181"/>
      <c r="AB10" s="2186"/>
      <c r="AC10" s="2198"/>
      <c r="AD10" s="2199"/>
      <c r="AE10" s="2186"/>
      <c r="AF10" s="561" t="s">
        <v>1117</v>
      </c>
      <c r="AG10" s="2125" t="s">
        <v>416</v>
      </c>
      <c r="AH10" s="2239"/>
      <c r="AI10" s="404"/>
      <c r="AJ10" s="406"/>
      <c r="AK10" s="406"/>
      <c r="AL10" s="414"/>
      <c r="AM10" s="414"/>
      <c r="AN10" s="414"/>
      <c r="AO10" s="414"/>
      <c r="AP10" s="414"/>
      <c r="AQ10" s="415"/>
      <c r="AR10" s="2235" t="s">
        <v>111</v>
      </c>
      <c r="AS10" s="2236"/>
      <c r="AT10" s="2240" t="s">
        <v>704</v>
      </c>
      <c r="AU10" s="2241"/>
      <c r="AV10" s="2237" t="s">
        <v>436</v>
      </c>
      <c r="AW10" s="2237"/>
      <c r="AX10" s="2237"/>
      <c r="AY10" s="2237"/>
      <c r="AZ10" s="2237"/>
      <c r="BA10" s="2237"/>
      <c r="BB10" s="2237"/>
      <c r="BC10" s="2237"/>
      <c r="BD10" s="2238"/>
    </row>
    <row r="11" spans="1:100" ht="24" customHeight="1">
      <c r="A11" s="2165" t="s">
        <v>0</v>
      </c>
      <c r="B11" s="2166"/>
      <c r="C11" s="2167"/>
      <c r="D11" s="2122"/>
      <c r="E11" s="2125" t="s">
        <v>1365</v>
      </c>
      <c r="F11" s="2126"/>
      <c r="G11" s="544"/>
      <c r="H11" s="111"/>
      <c r="I11" s="78"/>
      <c r="J11" s="78"/>
      <c r="K11" s="78"/>
      <c r="L11" s="78"/>
      <c r="M11" s="78"/>
      <c r="N11" s="78"/>
      <c r="O11" s="535"/>
      <c r="P11" s="2127" t="s">
        <v>111</v>
      </c>
      <c r="Q11" s="2128"/>
      <c r="R11" s="2122"/>
      <c r="S11" s="2125" t="s">
        <v>1365</v>
      </c>
      <c r="T11" s="2126"/>
      <c r="U11" s="544"/>
      <c r="V11" s="547"/>
      <c r="W11" s="548"/>
      <c r="X11" s="548"/>
      <c r="Y11" s="548"/>
      <c r="Z11" s="548"/>
      <c r="AA11" s="548"/>
      <c r="AB11" s="548"/>
      <c r="AC11" s="549"/>
      <c r="AD11" s="2127" t="s">
        <v>111</v>
      </c>
      <c r="AE11" s="2128"/>
      <c r="AF11" s="2187"/>
      <c r="AG11" s="2143" t="s">
        <v>1357</v>
      </c>
      <c r="AH11" s="2143"/>
      <c r="AI11" s="2144">
        <f>$IM$88</f>
        <v>0</v>
      </c>
      <c r="AJ11" s="2144"/>
      <c r="AK11" s="2155" t="s">
        <v>704</v>
      </c>
      <c r="AL11" s="2156"/>
      <c r="AM11" s="2152" t="s">
        <v>1112</v>
      </c>
      <c r="AN11" s="2152"/>
      <c r="AO11" s="2152"/>
      <c r="AP11" s="2152"/>
      <c r="AQ11" s="2153"/>
      <c r="AR11" s="2145" t="e">
        <f>'Вывод расчетов'!#REF!</f>
        <v>#REF!</v>
      </c>
      <c r="AS11" s="2146"/>
      <c r="AT11" s="2133" t="s">
        <v>45</v>
      </c>
      <c r="AU11" s="2134"/>
      <c r="AV11" s="2160"/>
      <c r="AW11" s="2160"/>
      <c r="AX11" s="2160"/>
      <c r="AY11" s="2160"/>
      <c r="AZ11" s="2160"/>
      <c r="BA11" s="2160"/>
      <c r="BB11" s="2160"/>
      <c r="BC11" s="2160"/>
      <c r="BD11" s="2161"/>
      <c r="BI11" s="550"/>
      <c r="BJ11" s="553"/>
      <c r="BK11" s="554"/>
      <c r="BL11" s="554"/>
      <c r="BM11" s="554"/>
      <c r="BN11" s="554"/>
      <c r="BO11" s="554"/>
      <c r="BP11" s="554"/>
      <c r="BQ11" s="554"/>
      <c r="BR11" s="554"/>
      <c r="BS11" s="554"/>
      <c r="BT11" s="554"/>
      <c r="BU11" s="554"/>
      <c r="BV11" s="554"/>
      <c r="BW11" s="554"/>
      <c r="BX11" s="554"/>
      <c r="BY11" s="554"/>
      <c r="BZ11" s="554"/>
      <c r="CA11" s="554"/>
      <c r="CB11" s="554"/>
      <c r="CC11" s="554"/>
      <c r="CD11" s="554"/>
      <c r="CE11" s="554"/>
      <c r="CF11" s="554"/>
      <c r="CG11" s="554"/>
    </row>
    <row r="12" spans="1:100" ht="24" customHeight="1" thickBot="1">
      <c r="A12" s="2168"/>
      <c r="B12" s="2169"/>
      <c r="C12" s="2170"/>
      <c r="D12" s="2123"/>
      <c r="E12" s="2207" t="str">
        <f>'Вывод расчетов'!E67</f>
        <v>Тип конструктивного исполнения
корпуса асинхронного двигателя</v>
      </c>
      <c r="F12" s="2208"/>
      <c r="G12" s="2208"/>
      <c r="H12" s="2208"/>
      <c r="I12" s="2208"/>
      <c r="J12" s="2208"/>
      <c r="K12" s="2208"/>
      <c r="L12" s="2208"/>
      <c r="M12" s="2208"/>
      <c r="N12" s="2208"/>
      <c r="O12" s="2209"/>
      <c r="P12" s="2129" t="str">
        <f>'Вывод расчетов'!M67</f>
        <v>IP44</v>
      </c>
      <c r="Q12" s="2130"/>
      <c r="R12" s="2123"/>
      <c r="S12" s="2207" t="str">
        <f>'Вывод расчетов'!E73</f>
        <v>Класс нагевостойкости пазовой изоляции
и изоляции обмоток</v>
      </c>
      <c r="T12" s="2208"/>
      <c r="U12" s="2208"/>
      <c r="V12" s="2208"/>
      <c r="W12" s="2208"/>
      <c r="X12" s="2208"/>
      <c r="Y12" s="2208"/>
      <c r="Z12" s="2208"/>
      <c r="AA12" s="2208"/>
      <c r="AB12" s="2208"/>
      <c r="AC12" s="2209"/>
      <c r="AD12" s="2129" t="str">
        <f>'Вывод расчетов'!M73</f>
        <v>F</v>
      </c>
      <c r="AE12" s="2130"/>
      <c r="AF12" s="2188"/>
      <c r="AG12" s="2139" t="s">
        <v>1355</v>
      </c>
      <c r="AH12" s="2139"/>
      <c r="AI12" s="2140">
        <f>$HB$24</f>
        <v>0</v>
      </c>
      <c r="AJ12" s="2140"/>
      <c r="AK12" s="2155" t="s">
        <v>704</v>
      </c>
      <c r="AL12" s="2156"/>
      <c r="AM12" s="2152"/>
      <c r="AN12" s="2152"/>
      <c r="AO12" s="2152"/>
      <c r="AP12" s="2152"/>
      <c r="AQ12" s="2153"/>
      <c r="AR12" s="2147"/>
      <c r="AS12" s="2148"/>
      <c r="AT12" s="2135"/>
      <c r="AU12" s="2136"/>
      <c r="AV12" s="2160"/>
      <c r="AW12" s="2160"/>
      <c r="AX12" s="2160"/>
      <c r="AY12" s="2160"/>
      <c r="AZ12" s="2160"/>
      <c r="BA12" s="2160"/>
      <c r="BB12" s="2160"/>
      <c r="BC12" s="2160"/>
      <c r="BD12" s="2161"/>
      <c r="BI12" s="551"/>
    </row>
    <row r="13" spans="1:100" ht="24" customHeight="1">
      <c r="A13" s="2171"/>
      <c r="B13" s="2172"/>
      <c r="C13" s="2173"/>
      <c r="D13" s="2124"/>
      <c r="E13" s="2210"/>
      <c r="F13" s="2211"/>
      <c r="G13" s="2211"/>
      <c r="H13" s="2211"/>
      <c r="I13" s="2211"/>
      <c r="J13" s="2211"/>
      <c r="K13" s="2211"/>
      <c r="L13" s="2211"/>
      <c r="M13" s="2211"/>
      <c r="N13" s="2211"/>
      <c r="O13" s="2212"/>
      <c r="P13" s="2131"/>
      <c r="Q13" s="2132"/>
      <c r="R13" s="2124"/>
      <c r="S13" s="2210"/>
      <c r="T13" s="2211"/>
      <c r="U13" s="2211"/>
      <c r="V13" s="2211"/>
      <c r="W13" s="2211"/>
      <c r="X13" s="2211"/>
      <c r="Y13" s="2211"/>
      <c r="Z13" s="2211"/>
      <c r="AA13" s="2211"/>
      <c r="AB13" s="2211"/>
      <c r="AC13" s="2212"/>
      <c r="AD13" s="2131"/>
      <c r="AE13" s="2132"/>
      <c r="AF13" s="2188"/>
      <c r="AG13" s="2141" t="s">
        <v>1358</v>
      </c>
      <c r="AH13" s="2141"/>
      <c r="AI13" s="2142">
        <f>$GY$60</f>
        <v>0</v>
      </c>
      <c r="AJ13" s="2142"/>
      <c r="AK13" s="2157" t="s">
        <v>704</v>
      </c>
      <c r="AL13" s="2158"/>
      <c r="AM13" s="2152"/>
      <c r="AN13" s="2152"/>
      <c r="AO13" s="2152"/>
      <c r="AP13" s="2152"/>
      <c r="AQ13" s="2152"/>
      <c r="AR13" s="2149" t="s">
        <v>447</v>
      </c>
      <c r="AS13" s="2150"/>
      <c r="AT13" s="2150"/>
      <c r="AU13" s="2151"/>
      <c r="AV13" s="2160"/>
      <c r="AW13" s="2160"/>
      <c r="AX13" s="2160"/>
      <c r="AY13" s="2160"/>
      <c r="AZ13" s="2160"/>
      <c r="BA13" s="2160"/>
      <c r="BB13" s="2160"/>
      <c r="BC13" s="2160"/>
      <c r="BD13" s="2161"/>
    </row>
    <row r="14" spans="1:100" ht="24" customHeight="1">
      <c r="A14" s="2122"/>
      <c r="B14" s="2125" t="s">
        <v>1367</v>
      </c>
      <c r="C14" s="2126"/>
      <c r="D14" s="544"/>
      <c r="E14" s="547"/>
      <c r="F14" s="548"/>
      <c r="G14" s="548"/>
      <c r="H14" s="548"/>
      <c r="I14" s="548"/>
      <c r="J14" s="548"/>
      <c r="K14" s="548"/>
      <c r="L14" s="548"/>
      <c r="M14" s="548"/>
      <c r="N14" s="548"/>
      <c r="O14" s="548"/>
      <c r="P14" s="548"/>
      <c r="Q14" s="548"/>
      <c r="R14" s="548"/>
      <c r="S14" s="548"/>
      <c r="T14" s="548"/>
      <c r="U14" s="548"/>
      <c r="V14" s="549"/>
      <c r="W14" s="544"/>
      <c r="X14" s="2127" t="s">
        <v>111</v>
      </c>
      <c r="Y14" s="2128"/>
      <c r="Z14" s="2156" t="s">
        <v>704</v>
      </c>
      <c r="AA14" s="2159"/>
      <c r="AB14" s="2191" t="s">
        <v>447</v>
      </c>
      <c r="AC14" s="2192"/>
      <c r="AD14" s="2192"/>
      <c r="AE14" s="2193"/>
      <c r="AF14" s="2188"/>
      <c r="AG14" s="1034"/>
      <c r="AH14" s="1035"/>
      <c r="AI14" s="1035"/>
      <c r="AJ14" s="1035"/>
      <c r="AK14" s="1035"/>
      <c r="AL14" s="1035"/>
      <c r="AM14" s="2152"/>
      <c r="AN14" s="2152"/>
      <c r="AO14" s="2152"/>
      <c r="AP14" s="2152"/>
      <c r="AQ14" s="2152"/>
      <c r="AR14" s="2137"/>
      <c r="AS14" s="2242" t="s">
        <v>1351</v>
      </c>
      <c r="AT14" s="2243"/>
      <c r="AU14" s="2137"/>
      <c r="AV14" s="2160"/>
      <c r="AW14" s="2160"/>
      <c r="AX14" s="2160"/>
      <c r="AY14" s="2160"/>
      <c r="AZ14" s="2160"/>
      <c r="BA14" s="2160"/>
      <c r="BB14" s="2160"/>
      <c r="BC14" s="2160"/>
      <c r="BD14" s="2161"/>
    </row>
    <row r="15" spans="1:100" ht="24" customHeight="1" thickBot="1">
      <c r="A15" s="2123"/>
      <c r="B15" s="2207" t="str">
        <f>'Вывод расчетов'!AJ8</f>
        <v>Частота тока</v>
      </c>
      <c r="C15" s="2208"/>
      <c r="D15" s="2208"/>
      <c r="E15" s="2208"/>
      <c r="F15" s="2208"/>
      <c r="G15" s="2208"/>
      <c r="H15" s="2208"/>
      <c r="I15" s="2208"/>
      <c r="J15" s="2208"/>
      <c r="K15" s="2208"/>
      <c r="L15" s="2208"/>
      <c r="M15" s="2208"/>
      <c r="N15" s="2208"/>
      <c r="O15" s="2208"/>
      <c r="P15" s="2208"/>
      <c r="Q15" s="2208"/>
      <c r="R15" s="2208"/>
      <c r="S15" s="2208"/>
      <c r="T15" s="2208"/>
      <c r="U15" s="2208"/>
      <c r="V15" s="2208"/>
      <c r="W15" s="2209"/>
      <c r="X15" s="2129">
        <f>'Вывод расчетов'!AP8</f>
        <v>50</v>
      </c>
      <c r="Y15" s="2130"/>
      <c r="Z15" s="2178" t="s">
        <v>726</v>
      </c>
      <c r="AA15" s="2179"/>
      <c r="AB15" s="2137"/>
      <c r="AC15" s="2182" t="s">
        <v>1368</v>
      </c>
      <c r="AD15" s="2183"/>
      <c r="AE15" s="2137"/>
      <c r="AF15" s="2189"/>
      <c r="AG15" s="1037"/>
      <c r="AH15" s="1038"/>
      <c r="AI15" s="1038"/>
      <c r="AJ15" s="1038"/>
      <c r="AK15" s="1038"/>
      <c r="AL15" s="1038"/>
      <c r="AM15" s="2154"/>
      <c r="AN15" s="2154"/>
      <c r="AO15" s="2154"/>
      <c r="AP15" s="2154"/>
      <c r="AQ15" s="2154"/>
      <c r="AR15" s="2138"/>
      <c r="AS15" s="2244"/>
      <c r="AT15" s="2245"/>
      <c r="AU15" s="2138"/>
      <c r="AV15" s="2162"/>
      <c r="AW15" s="2162"/>
      <c r="AX15" s="2162"/>
      <c r="AY15" s="2162"/>
      <c r="AZ15" s="2162"/>
      <c r="BA15" s="2162"/>
      <c r="BB15" s="2162"/>
      <c r="BC15" s="2162"/>
      <c r="BD15" s="2163"/>
    </row>
    <row r="16" spans="1:100" ht="24" customHeight="1">
      <c r="A16" s="2124"/>
      <c r="B16" s="2210"/>
      <c r="C16" s="2211"/>
      <c r="D16" s="2211"/>
      <c r="E16" s="2211"/>
      <c r="F16" s="2211"/>
      <c r="G16" s="2211"/>
      <c r="H16" s="2211"/>
      <c r="I16" s="2211"/>
      <c r="J16" s="2211"/>
      <c r="K16" s="2211"/>
      <c r="L16" s="2211"/>
      <c r="M16" s="2211"/>
      <c r="N16" s="2211"/>
      <c r="O16" s="2211"/>
      <c r="P16" s="2211"/>
      <c r="Q16" s="2211"/>
      <c r="R16" s="2211"/>
      <c r="S16" s="2211"/>
      <c r="T16" s="2211"/>
      <c r="U16" s="2211"/>
      <c r="V16" s="2211"/>
      <c r="W16" s="2212"/>
      <c r="X16" s="2131"/>
      <c r="Y16" s="2132"/>
      <c r="Z16" s="2180"/>
      <c r="AA16" s="2181"/>
      <c r="AB16" s="2186"/>
      <c r="AC16" s="2184"/>
      <c r="AD16" s="2185"/>
      <c r="AE16" s="2186"/>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12"/>
    </row>
    <row r="17" spans="1:231" ht="24" customHeight="1">
      <c r="A17" s="276" t="s">
        <v>1117</v>
      </c>
      <c r="B17" s="2219" t="s">
        <v>416</v>
      </c>
      <c r="C17" s="2219"/>
      <c r="D17" s="544"/>
      <c r="E17" s="2190" t="s">
        <v>1355</v>
      </c>
      <c r="F17" s="2190"/>
      <c r="G17" s="2190"/>
      <c r="H17" s="2200">
        <f>$HB$24</f>
        <v>0</v>
      </c>
      <c r="I17" s="2200"/>
      <c r="J17" s="2190" t="s">
        <v>1354</v>
      </c>
      <c r="K17" s="2190"/>
      <c r="L17" s="2190"/>
      <c r="M17" s="2200">
        <f>$HB$76</f>
        <v>0</v>
      </c>
      <c r="N17" s="2200"/>
      <c r="O17" s="547"/>
      <c r="P17" s="548"/>
      <c r="Q17" s="548"/>
      <c r="R17" s="548"/>
      <c r="S17" s="548"/>
      <c r="T17" s="548"/>
      <c r="U17" s="548"/>
      <c r="V17" s="549"/>
      <c r="W17" s="2220" t="s">
        <v>111</v>
      </c>
      <c r="X17" s="2220"/>
      <c r="Y17" s="2155" t="s">
        <v>704</v>
      </c>
      <c r="Z17" s="2155"/>
      <c r="AA17" s="2234" t="s">
        <v>447</v>
      </c>
      <c r="AB17" s="2234"/>
      <c r="AC17" s="2234"/>
      <c r="AD17" s="2234"/>
      <c r="AE17" s="2234"/>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12"/>
      <c r="BM17" s="555"/>
      <c r="BN17" s="556"/>
      <c r="BO17" s="556"/>
      <c r="BP17" s="556"/>
      <c r="BQ17" s="556"/>
      <c r="BR17" s="556"/>
      <c r="BS17" s="556"/>
      <c r="BT17" s="556"/>
      <c r="BU17" s="556"/>
      <c r="BV17" s="556"/>
      <c r="BW17" s="556"/>
      <c r="BX17" s="556"/>
      <c r="BY17" s="556"/>
      <c r="BZ17" s="556"/>
      <c r="CA17" s="556"/>
      <c r="CB17" s="556"/>
      <c r="CC17" s="557"/>
    </row>
    <row r="18" spans="1:231" ht="24" customHeight="1" thickBot="1">
      <c r="A18" s="2160"/>
      <c r="B18" s="2139" t="s">
        <v>1352</v>
      </c>
      <c r="C18" s="2139"/>
      <c r="D18" s="2139"/>
      <c r="E18" s="2200">
        <f>$GY$80</f>
        <v>0</v>
      </c>
      <c r="F18" s="2200"/>
      <c r="G18" s="2225" t="s">
        <v>1113</v>
      </c>
      <c r="H18" s="2226"/>
      <c r="I18" s="2226"/>
      <c r="J18" s="2226"/>
      <c r="K18" s="2226"/>
      <c r="L18" s="2226"/>
      <c r="M18" s="2226"/>
      <c r="N18" s="2226"/>
      <c r="O18" s="2226"/>
      <c r="P18" s="2226"/>
      <c r="Q18" s="2226"/>
      <c r="R18" s="2226"/>
      <c r="S18" s="2226"/>
      <c r="T18" s="2226"/>
      <c r="U18" s="2226"/>
      <c r="V18" s="2227"/>
      <c r="W18" s="2152" t="e">
        <f>(3.14*(#REF!*1000-2*#REF!-2*#REF!)-#REF!*AW34)/(3.14+#REF!)</f>
        <v>#REF!</v>
      </c>
      <c r="X18" s="2152"/>
      <c r="Y18" s="2152" t="s">
        <v>45</v>
      </c>
      <c r="Z18" s="2152"/>
      <c r="AA18" s="2224"/>
      <c r="AB18" s="2223" t="s">
        <v>1651</v>
      </c>
      <c r="AC18" s="2223"/>
      <c r="AD18" s="2223"/>
      <c r="AE18" s="2224"/>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12"/>
    </row>
    <row r="19" spans="1:231" ht="24" customHeight="1" thickBot="1">
      <c r="A19" s="2160"/>
      <c r="B19" s="2139" t="s">
        <v>1353</v>
      </c>
      <c r="C19" s="2139"/>
      <c r="D19" s="2139"/>
      <c r="E19" s="2200">
        <f>$HB$72</f>
        <v>0</v>
      </c>
      <c r="F19" s="2200"/>
      <c r="G19" s="2228"/>
      <c r="H19" s="2229"/>
      <c r="I19" s="2229"/>
      <c r="J19" s="2229"/>
      <c r="K19" s="2229"/>
      <c r="L19" s="2229"/>
      <c r="M19" s="2229"/>
      <c r="N19" s="2229"/>
      <c r="O19" s="2229"/>
      <c r="P19" s="2229"/>
      <c r="Q19" s="2229"/>
      <c r="R19" s="2229"/>
      <c r="S19" s="2229"/>
      <c r="T19" s="2229"/>
      <c r="U19" s="2229"/>
      <c r="V19" s="2230"/>
      <c r="W19" s="2152"/>
      <c r="X19" s="2152"/>
      <c r="Y19" s="2152"/>
      <c r="Z19" s="2152"/>
      <c r="AA19" s="2224"/>
      <c r="AB19" s="2223"/>
      <c r="AC19" s="2223"/>
      <c r="AD19" s="2223"/>
      <c r="AE19" s="2224"/>
      <c r="AF19" s="552"/>
      <c r="AG19" s="2116" t="str">
        <f>'Вывод расчетов'!$CC$9</f>
        <v>Раздел 2</v>
      </c>
      <c r="AH19" s="2114"/>
      <c r="AI19" s="2114"/>
      <c r="AJ19" s="417"/>
      <c r="AK19" s="2116" t="str">
        <f>'Вывод расчетов'!$CF$9</f>
        <v>Расчет обмотки статора</v>
      </c>
      <c r="AL19" s="2114"/>
      <c r="AM19" s="2114"/>
      <c r="AN19" s="2114"/>
      <c r="AO19" s="2114"/>
      <c r="AP19" s="2114"/>
      <c r="AQ19" s="2114"/>
      <c r="AR19" s="2114"/>
      <c r="AS19" s="2114"/>
      <c r="AT19" s="2114"/>
      <c r="AU19" s="2114"/>
      <c r="AV19" s="2117"/>
      <c r="AW19" s="417"/>
      <c r="AX19" s="2116" t="s">
        <v>1369</v>
      </c>
      <c r="AY19" s="2114"/>
      <c r="AZ19" s="2117"/>
      <c r="BA19" s="417"/>
      <c r="BB19" s="2116">
        <v>8</v>
      </c>
      <c r="BC19" s="2117"/>
      <c r="BD19" s="418"/>
    </row>
    <row r="20" spans="1:231" ht="24" customHeight="1" thickBot="1">
      <c r="A20" s="2160"/>
      <c r="B20" s="2190" t="s">
        <v>1356</v>
      </c>
      <c r="C20" s="2190"/>
      <c r="D20" s="2190"/>
      <c r="E20" s="2200">
        <f>$GY$28</f>
        <v>0</v>
      </c>
      <c r="F20" s="2200"/>
      <c r="G20" s="2231"/>
      <c r="H20" s="2232"/>
      <c r="I20" s="2232"/>
      <c r="J20" s="2232"/>
      <c r="K20" s="2232"/>
      <c r="L20" s="2232"/>
      <c r="M20" s="2232"/>
      <c r="N20" s="2232"/>
      <c r="O20" s="2232"/>
      <c r="P20" s="2232"/>
      <c r="Q20" s="2232"/>
      <c r="R20" s="2232"/>
      <c r="S20" s="2232"/>
      <c r="T20" s="2232"/>
      <c r="U20" s="2232"/>
      <c r="V20" s="2233"/>
      <c r="W20" s="2152"/>
      <c r="X20" s="2152"/>
      <c r="Y20" s="2152"/>
      <c r="Z20" s="2152"/>
      <c r="AA20" s="2224"/>
      <c r="AB20" s="2223"/>
      <c r="AC20" s="2223"/>
      <c r="AD20" s="2223"/>
      <c r="AE20" s="2224"/>
      <c r="AF20" s="2113" t="s">
        <v>1111</v>
      </c>
      <c r="AG20" s="2114"/>
      <c r="AH20" s="2114"/>
      <c r="AI20" s="2114"/>
      <c r="AJ20" s="2114"/>
      <c r="AK20" s="2114"/>
      <c r="AL20" s="2114"/>
      <c r="AM20" s="2114"/>
      <c r="AN20" s="2114"/>
      <c r="AO20" s="2114"/>
      <c r="AP20" s="2114"/>
      <c r="AQ20" s="2114"/>
      <c r="AR20" s="2114"/>
      <c r="AS20" s="2114"/>
      <c r="AT20" s="2114"/>
      <c r="AU20" s="2114"/>
      <c r="AV20" s="2114"/>
      <c r="AW20" s="2114"/>
      <c r="AX20" s="2114"/>
      <c r="AY20" s="2114"/>
      <c r="AZ20" s="2114"/>
      <c r="BA20" s="2114"/>
      <c r="BB20" s="2114"/>
      <c r="BC20" s="2114"/>
      <c r="BD20" s="2114"/>
      <c r="BE20" s="2113" t="s">
        <v>1111</v>
      </c>
      <c r="BF20" s="2114"/>
      <c r="BG20" s="2114"/>
      <c r="BH20" s="2114"/>
      <c r="BI20" s="2114"/>
      <c r="BJ20" s="2114"/>
      <c r="BK20" s="2114"/>
      <c r="BL20" s="2114"/>
      <c r="BM20" s="2114"/>
      <c r="BN20" s="2114"/>
      <c r="BO20" s="2114"/>
      <c r="BP20" s="2114"/>
      <c r="BQ20" s="2114"/>
      <c r="BR20" s="2114"/>
      <c r="BS20" s="2114"/>
      <c r="BT20" s="2114"/>
      <c r="BU20" s="2114"/>
      <c r="BV20" s="2114"/>
      <c r="BW20" s="2114"/>
      <c r="BX20" s="2114"/>
      <c r="BY20" s="2114"/>
      <c r="BZ20" s="2114"/>
      <c r="CA20" s="2114"/>
      <c r="CB20" s="2114"/>
      <c r="CC20" s="2114"/>
      <c r="CD20" s="2113" t="s">
        <v>1111</v>
      </c>
      <c r="CE20" s="2114"/>
      <c r="CF20" s="2114"/>
      <c r="CG20" s="2114"/>
      <c r="CH20" s="2114"/>
      <c r="CI20" s="2114"/>
      <c r="CJ20" s="2114"/>
      <c r="CK20" s="2114"/>
      <c r="CL20" s="2114"/>
      <c r="CM20" s="2114"/>
      <c r="CN20" s="2114"/>
      <c r="CO20" s="2114"/>
      <c r="CP20" s="2114"/>
      <c r="CQ20" s="2114"/>
      <c r="CR20" s="2114"/>
      <c r="CS20" s="2114"/>
      <c r="CT20" s="2114"/>
      <c r="CU20" s="2114"/>
      <c r="CV20" s="2114"/>
      <c r="CW20" s="2114"/>
      <c r="CX20" s="2114"/>
      <c r="CY20" s="2114"/>
      <c r="CZ20" s="2114"/>
      <c r="DA20" s="2114"/>
      <c r="DB20" s="2115"/>
      <c r="DC20" s="2113" t="s">
        <v>1111</v>
      </c>
      <c r="DD20" s="2114"/>
      <c r="DE20" s="2114"/>
      <c r="DF20" s="2114"/>
      <c r="DG20" s="2114"/>
      <c r="DH20" s="2114"/>
      <c r="DI20" s="2114"/>
      <c r="DJ20" s="2114"/>
      <c r="DK20" s="2114"/>
      <c r="DL20" s="2114"/>
      <c r="DM20" s="2114"/>
      <c r="DN20" s="2114"/>
      <c r="DO20" s="2114"/>
      <c r="DP20" s="2114"/>
      <c r="DQ20" s="2114"/>
      <c r="DR20" s="2114"/>
      <c r="DS20" s="2114"/>
      <c r="DT20" s="2114"/>
      <c r="DU20" s="2114"/>
      <c r="DV20" s="2114"/>
      <c r="DW20" s="2114"/>
      <c r="DX20" s="2114"/>
      <c r="DY20" s="2114"/>
      <c r="DZ20" s="2114"/>
      <c r="EA20" s="2115"/>
      <c r="EB20" s="2113" t="s">
        <v>1111</v>
      </c>
      <c r="EC20" s="2114"/>
      <c r="ED20" s="2114"/>
      <c r="EE20" s="2114"/>
      <c r="EF20" s="2114"/>
      <c r="EG20" s="2114"/>
      <c r="EH20" s="2114"/>
      <c r="EI20" s="2114"/>
      <c r="EJ20" s="2114"/>
      <c r="EK20" s="2114"/>
      <c r="EL20" s="2114"/>
      <c r="EM20" s="2114"/>
      <c r="EN20" s="2114"/>
      <c r="EO20" s="2114"/>
      <c r="EP20" s="2114"/>
      <c r="EQ20" s="2114"/>
      <c r="ER20" s="2114"/>
      <c r="ES20" s="2114"/>
      <c r="ET20" s="2114"/>
      <c r="EU20" s="2114"/>
      <c r="EV20" s="2114"/>
      <c r="EW20" s="2114"/>
      <c r="EX20" s="2114"/>
      <c r="EY20" s="2114"/>
      <c r="EZ20" s="2115"/>
      <c r="FA20" s="2113" t="s">
        <v>1111</v>
      </c>
      <c r="FB20" s="2114"/>
      <c r="FC20" s="2114"/>
      <c r="FD20" s="2114"/>
      <c r="FE20" s="2114"/>
      <c r="FF20" s="2114"/>
      <c r="FG20" s="2114"/>
      <c r="FH20" s="2114"/>
      <c r="FI20" s="2114"/>
      <c r="FJ20" s="2114"/>
      <c r="FK20" s="2114"/>
      <c r="FL20" s="2114"/>
      <c r="FM20" s="2114"/>
      <c r="FN20" s="2114"/>
      <c r="FO20" s="2114"/>
      <c r="FP20" s="2114"/>
      <c r="FQ20" s="2114"/>
      <c r="FR20" s="2114"/>
      <c r="FS20" s="2114"/>
      <c r="FT20" s="2114"/>
      <c r="FU20" s="2114"/>
      <c r="FV20" s="2114"/>
      <c r="FW20" s="2114"/>
      <c r="FX20" s="2114"/>
      <c r="FY20" s="2115"/>
      <c r="FZ20" s="2113" t="s">
        <v>1111</v>
      </c>
      <c r="GA20" s="2114"/>
      <c r="GB20" s="2114"/>
      <c r="GC20" s="2114"/>
      <c r="GD20" s="2114"/>
      <c r="GE20" s="2114"/>
      <c r="GF20" s="2114"/>
      <c r="GG20" s="2114"/>
      <c r="GH20" s="2114"/>
      <c r="GI20" s="2114"/>
      <c r="GJ20" s="2114"/>
      <c r="GK20" s="2114"/>
      <c r="GL20" s="2114"/>
      <c r="GM20" s="2114"/>
      <c r="GN20" s="2114"/>
      <c r="GO20" s="2114"/>
      <c r="GP20" s="2114"/>
      <c r="GQ20" s="2114"/>
      <c r="GR20" s="2114"/>
      <c r="GS20" s="2114"/>
      <c r="GT20" s="2114"/>
      <c r="GU20" s="2114"/>
      <c r="GV20" s="2114"/>
      <c r="GW20" s="2114"/>
      <c r="GX20" s="2115"/>
      <c r="GY20" s="2113" t="s">
        <v>1111</v>
      </c>
      <c r="GZ20" s="2114"/>
      <c r="HA20" s="2114"/>
      <c r="HB20" s="2114"/>
      <c r="HC20" s="2114"/>
      <c r="HD20" s="2114"/>
      <c r="HE20" s="2114"/>
      <c r="HF20" s="2114"/>
      <c r="HG20" s="2114"/>
      <c r="HH20" s="2114"/>
      <c r="HI20" s="2114"/>
      <c r="HJ20" s="2114"/>
      <c r="HK20" s="2114"/>
      <c r="HL20" s="2114"/>
      <c r="HM20" s="2114"/>
      <c r="HN20" s="2114"/>
      <c r="HO20" s="2114"/>
      <c r="HP20" s="2114"/>
      <c r="HQ20" s="2114"/>
      <c r="HR20" s="2114"/>
      <c r="HS20" s="2114"/>
      <c r="HT20" s="2114"/>
      <c r="HU20" s="2114"/>
      <c r="HV20" s="2114"/>
      <c r="HW20" s="2115"/>
    </row>
    <row r="21" spans="1:231" ht="24" customHeight="1">
      <c r="A21" s="2234" t="s">
        <v>436</v>
      </c>
      <c r="B21" s="2234"/>
      <c r="C21" s="2234"/>
      <c r="D21" s="2234"/>
      <c r="E21" s="2234"/>
      <c r="F21" s="2234"/>
      <c r="G21" s="2234"/>
      <c r="H21" s="2234"/>
      <c r="I21" s="2234"/>
      <c r="J21" s="2234"/>
      <c r="K21" s="2234"/>
      <c r="L21" s="2234"/>
      <c r="M21" s="2234"/>
      <c r="N21" s="2234"/>
      <c r="O21" s="2234"/>
      <c r="P21" s="2234"/>
      <c r="Q21" s="2234"/>
      <c r="R21" s="2234"/>
      <c r="S21" s="2234"/>
      <c r="T21" s="2234"/>
      <c r="U21" s="2234"/>
      <c r="V21" s="2234"/>
      <c r="W21" s="2234"/>
      <c r="X21" s="2234"/>
      <c r="Y21" s="2234"/>
      <c r="Z21" s="2234"/>
      <c r="AA21" s="2234"/>
      <c r="AB21" s="2234"/>
      <c r="AC21" s="2234"/>
      <c r="AD21" s="2234"/>
      <c r="AE21" s="2234"/>
      <c r="AF21" s="410"/>
      <c r="AG21" s="410"/>
      <c r="AH21" s="410"/>
      <c r="AI21" s="410"/>
      <c r="AJ21" s="410"/>
      <c r="AK21" s="410"/>
      <c r="AL21" s="410"/>
      <c r="AM21" s="410"/>
      <c r="AN21" s="410"/>
      <c r="AO21" s="410"/>
      <c r="AP21" s="410"/>
      <c r="AQ21" s="410"/>
      <c r="AR21" s="410"/>
      <c r="AS21" s="410"/>
      <c r="AT21" s="410"/>
      <c r="AU21" s="410"/>
      <c r="AV21" s="410"/>
      <c r="AW21" s="410"/>
      <c r="AX21" s="410"/>
      <c r="AY21" s="410"/>
      <c r="AZ21" s="410"/>
      <c r="BA21" s="410"/>
      <c r="BB21" s="410"/>
      <c r="BC21" s="410"/>
      <c r="BD21" s="419"/>
      <c r="BE21" s="409"/>
      <c r="BF21" s="410"/>
      <c r="BG21" s="410"/>
      <c r="BH21" s="410"/>
      <c r="BI21" s="410"/>
      <c r="BJ21" s="410"/>
      <c r="BK21" s="410"/>
      <c r="BL21" s="410"/>
      <c r="BM21" s="410"/>
      <c r="BN21" s="410"/>
      <c r="BO21" s="410"/>
      <c r="BP21" s="410"/>
      <c r="BQ21" s="410"/>
      <c r="BR21" s="410"/>
      <c r="BS21" s="410"/>
      <c r="BT21" s="410"/>
      <c r="BU21" s="410"/>
      <c r="BV21" s="410"/>
      <c r="BW21" s="410"/>
      <c r="BX21" s="410"/>
      <c r="BY21" s="410"/>
      <c r="BZ21" s="410"/>
      <c r="CA21" s="410"/>
      <c r="CB21" s="410"/>
      <c r="CC21" s="419"/>
      <c r="CD21" s="409"/>
      <c r="CE21" s="410"/>
      <c r="CF21" s="410"/>
      <c r="CG21" s="410"/>
      <c r="CH21" s="410"/>
      <c r="CI21" s="410"/>
      <c r="CJ21" s="410"/>
      <c r="CK21" s="410"/>
      <c r="CL21" s="410"/>
      <c r="CM21" s="410"/>
      <c r="CN21" s="410"/>
      <c r="CO21" s="410"/>
      <c r="CP21" s="410"/>
      <c r="CQ21" s="410"/>
      <c r="CR21" s="410"/>
      <c r="CS21" s="410"/>
      <c r="CT21" s="410"/>
      <c r="CU21" s="410"/>
      <c r="CV21" s="410"/>
      <c r="CW21" s="410"/>
      <c r="CX21" s="410"/>
      <c r="CY21" s="410"/>
      <c r="CZ21" s="410"/>
      <c r="DA21" s="410"/>
      <c r="DB21" s="419"/>
      <c r="DC21" s="409"/>
      <c r="DD21" s="410"/>
      <c r="DE21" s="410"/>
      <c r="DF21" s="410"/>
      <c r="DG21" s="410"/>
      <c r="DH21" s="410"/>
      <c r="DI21" s="410"/>
      <c r="DJ21" s="410"/>
      <c r="DK21" s="410"/>
      <c r="DL21" s="410"/>
      <c r="DM21" s="410"/>
      <c r="DN21" s="410"/>
      <c r="DO21" s="410"/>
      <c r="DP21" s="410"/>
      <c r="DQ21" s="410"/>
      <c r="DR21" s="410"/>
      <c r="DS21" s="410"/>
      <c r="DT21" s="410"/>
      <c r="DU21" s="410"/>
      <c r="DV21" s="410"/>
      <c r="DW21" s="410"/>
      <c r="DX21" s="410"/>
      <c r="DY21" s="410"/>
      <c r="DZ21" s="410"/>
      <c r="EA21" s="419"/>
      <c r="EB21" s="409"/>
      <c r="EC21" s="410"/>
      <c r="ED21" s="410"/>
      <c r="EE21" s="410"/>
      <c r="EF21" s="410"/>
      <c r="EG21" s="410"/>
      <c r="EH21" s="410"/>
      <c r="EI21" s="410"/>
      <c r="EJ21" s="410"/>
      <c r="EK21" s="410"/>
      <c r="EL21" s="410"/>
      <c r="EM21" s="410"/>
      <c r="EN21" s="410"/>
      <c r="EO21" s="410"/>
      <c r="EP21" s="410"/>
      <c r="EQ21" s="410"/>
      <c r="ER21" s="410"/>
      <c r="ES21" s="410"/>
      <c r="ET21" s="410"/>
      <c r="EU21" s="410"/>
      <c r="EV21" s="410"/>
      <c r="EW21" s="410"/>
      <c r="EX21" s="410"/>
      <c r="EY21" s="410"/>
      <c r="EZ21" s="419"/>
      <c r="FA21" s="409"/>
      <c r="FB21" s="410"/>
      <c r="FC21" s="410"/>
      <c r="FD21" s="410"/>
      <c r="FE21" s="410"/>
      <c r="FF21" s="410"/>
      <c r="FG21" s="410"/>
      <c r="FH21" s="410"/>
      <c r="FI21" s="410"/>
      <c r="FJ21" s="410"/>
      <c r="FK21" s="410"/>
      <c r="FL21" s="410"/>
      <c r="FM21" s="410"/>
      <c r="FN21" s="410"/>
      <c r="FO21" s="410"/>
      <c r="FP21" s="410"/>
      <c r="FQ21" s="410"/>
      <c r="FR21" s="410"/>
      <c r="FS21" s="410"/>
      <c r="FT21" s="410"/>
      <c r="FU21" s="410"/>
      <c r="FV21" s="410"/>
      <c r="FW21" s="410"/>
      <c r="FX21" s="410"/>
      <c r="FY21" s="419"/>
      <c r="FZ21" s="409"/>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9"/>
      <c r="GY21" s="409"/>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419"/>
    </row>
    <row r="22" spans="1:231" ht="24" customHeight="1">
      <c r="A22" s="2201"/>
      <c r="B22" s="2202"/>
      <c r="C22" s="2202"/>
      <c r="D22" s="2202"/>
      <c r="E22" s="2202"/>
      <c r="F22" s="2202"/>
      <c r="G22" s="2202"/>
      <c r="H22" s="2202"/>
      <c r="I22" s="2202"/>
      <c r="J22" s="2202"/>
      <c r="K22" s="2202"/>
      <c r="L22" s="2202"/>
      <c r="M22" s="2202"/>
      <c r="N22" s="2202"/>
      <c r="O22" s="2202"/>
      <c r="P22" s="2202"/>
      <c r="Q22" s="2202"/>
      <c r="R22" s="2202"/>
      <c r="S22" s="2202"/>
      <c r="T22" s="2202"/>
      <c r="U22" s="2202"/>
      <c r="V22" s="2202"/>
      <c r="W22" s="2202"/>
      <c r="X22" s="2202"/>
      <c r="Y22" s="2202"/>
      <c r="Z22" s="2202"/>
      <c r="AA22" s="2202"/>
      <c r="AB22" s="2202"/>
      <c r="AC22" s="2202"/>
      <c r="AD22" s="2202"/>
      <c r="AE22" s="2203"/>
      <c r="AF22" s="411"/>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12"/>
      <c r="BE22" s="411"/>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12"/>
      <c r="CD22" s="411"/>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12"/>
      <c r="DC22" s="411"/>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12"/>
      <c r="EB22" s="411"/>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12"/>
      <c r="FA22" s="411"/>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12"/>
      <c r="FZ22" s="411"/>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12"/>
      <c r="GY22" s="411"/>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12"/>
    </row>
    <row r="23" spans="1:231" ht="24" customHeight="1">
      <c r="A23" s="2204"/>
      <c r="B23" s="2205"/>
      <c r="C23" s="2205"/>
      <c r="D23" s="2205"/>
      <c r="E23" s="2205"/>
      <c r="F23" s="2205"/>
      <c r="G23" s="2205"/>
      <c r="H23" s="2205"/>
      <c r="I23" s="2205"/>
      <c r="J23" s="2205"/>
      <c r="K23" s="2205"/>
      <c r="L23" s="2205"/>
      <c r="M23" s="2205"/>
      <c r="N23" s="2205"/>
      <c r="O23" s="2205"/>
      <c r="P23" s="2205"/>
      <c r="Q23" s="2205"/>
      <c r="R23" s="2205"/>
      <c r="S23" s="2205"/>
      <c r="T23" s="2205"/>
      <c r="U23" s="2205"/>
      <c r="V23" s="2205"/>
      <c r="W23" s="2205"/>
      <c r="X23" s="2205"/>
      <c r="Y23" s="2205"/>
      <c r="Z23" s="2205"/>
      <c r="AA23" s="2205"/>
      <c r="AB23" s="2205"/>
      <c r="AC23" s="2205"/>
      <c r="AD23" s="2205"/>
      <c r="AE23" s="2206"/>
      <c r="AF23" s="411"/>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12"/>
      <c r="BE23" s="411"/>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12"/>
      <c r="CD23" s="411"/>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12"/>
      <c r="DC23" s="411"/>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12"/>
      <c r="EB23" s="411"/>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12"/>
      <c r="FA23" s="411"/>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12"/>
      <c r="FZ23" s="411"/>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12"/>
      <c r="GY23" s="411"/>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12"/>
    </row>
    <row r="24" spans="1:231" ht="24" customHeight="1">
      <c r="A24" s="544"/>
      <c r="B24" s="2164" t="str">
        <f>'Вывод расчетов'!$AL$13</f>
        <v>Раздел 1</v>
      </c>
      <c r="C24" s="2164"/>
      <c r="D24" s="2164"/>
      <c r="E24" s="544"/>
      <c r="F24" s="2164" t="str">
        <f>'Вывод расчетов'!$AO$13</f>
        <v>Определение главных размеров асинхронного двигателя</v>
      </c>
      <c r="G24" s="2164"/>
      <c r="H24" s="2164"/>
      <c r="I24" s="2164"/>
      <c r="J24" s="2164"/>
      <c r="K24" s="2164"/>
      <c r="L24" s="2164"/>
      <c r="M24" s="2164"/>
      <c r="N24" s="2164"/>
      <c r="O24" s="2164"/>
      <c r="P24" s="2164"/>
      <c r="Q24" s="2164"/>
      <c r="R24" s="2164"/>
      <c r="S24" s="2164"/>
      <c r="T24" s="2164"/>
      <c r="U24" s="2164"/>
      <c r="V24" s="2164"/>
      <c r="W24" s="2164"/>
      <c r="X24" s="544"/>
      <c r="Y24" s="2164" t="s">
        <v>1369</v>
      </c>
      <c r="Z24" s="2164"/>
      <c r="AA24" s="2164"/>
      <c r="AB24" s="544"/>
      <c r="AC24" s="2164">
        <v>1</v>
      </c>
      <c r="AD24" s="2164"/>
      <c r="AE24" s="544"/>
      <c r="AF24" s="411"/>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12"/>
      <c r="BE24" s="411"/>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12"/>
      <c r="CD24" s="411"/>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12"/>
      <c r="DC24" s="411"/>
      <c r="DD24" s="408"/>
      <c r="DE24" s="408"/>
      <c r="DF24" s="408"/>
      <c r="DG24" s="408"/>
      <c r="DH24" s="408"/>
      <c r="DI24" s="408"/>
      <c r="DJ24" s="408"/>
      <c r="DK24" s="408"/>
      <c r="DL24" s="408"/>
      <c r="DM24" s="408"/>
      <c r="DN24" s="408"/>
      <c r="DO24" s="408"/>
      <c r="DP24" s="408"/>
      <c r="DQ24" s="408"/>
      <c r="DR24" s="408"/>
      <c r="DS24" s="408"/>
      <c r="DT24" s="408"/>
      <c r="DU24" s="408"/>
      <c r="DV24" s="408"/>
      <c r="DW24" s="408"/>
      <c r="DX24" s="408"/>
      <c r="DY24" s="408"/>
      <c r="DZ24" s="408"/>
      <c r="EA24" s="412"/>
      <c r="EB24" s="411"/>
      <c r="EC24" s="408"/>
      <c r="ED24" s="408"/>
      <c r="EE24" s="408"/>
      <c r="EF24" s="408"/>
      <c r="EG24" s="408"/>
      <c r="EH24" s="408"/>
      <c r="EI24" s="408"/>
      <c r="EJ24" s="408"/>
      <c r="EK24" s="408"/>
      <c r="EL24" s="408"/>
      <c r="EM24" s="408"/>
      <c r="EN24" s="408"/>
      <c r="EO24" s="408"/>
      <c r="EP24" s="408"/>
      <c r="EQ24" s="408"/>
      <c r="ER24" s="408"/>
      <c r="ES24" s="408"/>
      <c r="ET24" s="408"/>
      <c r="EU24" s="408"/>
      <c r="EV24" s="408"/>
      <c r="EW24" s="408"/>
      <c r="EX24" s="408"/>
      <c r="EY24" s="408"/>
      <c r="EZ24" s="412"/>
      <c r="FA24" s="411"/>
      <c r="FB24" s="408"/>
      <c r="FC24" s="408"/>
      <c r="FD24" s="408"/>
      <c r="FE24" s="408"/>
      <c r="FF24" s="408"/>
      <c r="FG24" s="408"/>
      <c r="FH24" s="408"/>
      <c r="FI24" s="408"/>
      <c r="FJ24" s="408"/>
      <c r="FK24" s="408"/>
      <c r="FL24" s="408"/>
      <c r="FM24" s="408"/>
      <c r="FN24" s="408"/>
      <c r="FO24" s="408"/>
      <c r="FP24" s="408"/>
      <c r="FQ24" s="408"/>
      <c r="FR24" s="408"/>
      <c r="FS24" s="408"/>
      <c r="FT24" s="408"/>
      <c r="FU24" s="408"/>
      <c r="FV24" s="408"/>
      <c r="FW24" s="408"/>
      <c r="FX24" s="408"/>
      <c r="FY24" s="412"/>
      <c r="FZ24" s="411"/>
      <c r="GA24" s="408"/>
      <c r="GB24" s="408"/>
      <c r="GC24" s="408"/>
      <c r="GD24" s="408"/>
      <c r="GE24" s="408"/>
      <c r="GF24" s="408"/>
      <c r="GG24" s="408"/>
      <c r="GH24" s="408"/>
      <c r="GI24" s="408"/>
      <c r="GJ24" s="408"/>
      <c r="GK24" s="408"/>
      <c r="GL24" s="408"/>
      <c r="GM24" s="408"/>
      <c r="GN24" s="408"/>
      <c r="GO24" s="408"/>
      <c r="GP24" s="408"/>
      <c r="GQ24" s="408"/>
      <c r="GR24" s="408"/>
      <c r="GS24" s="408"/>
      <c r="GT24" s="408"/>
      <c r="GU24" s="408"/>
      <c r="GV24" s="408"/>
      <c r="GW24" s="408"/>
      <c r="GX24" s="412"/>
      <c r="GY24" s="411"/>
      <c r="GZ24" s="408"/>
      <c r="HA24" s="408"/>
      <c r="HB24" s="408"/>
      <c r="HC24" s="408"/>
      <c r="HD24" s="408"/>
      <c r="HE24" s="408"/>
      <c r="HF24" s="408"/>
      <c r="HG24" s="408"/>
      <c r="HH24" s="408"/>
      <c r="HI24" s="408"/>
      <c r="HJ24" s="408"/>
      <c r="HK24" s="408"/>
      <c r="HL24" s="408"/>
      <c r="HM24" s="408"/>
      <c r="HN24" s="408"/>
      <c r="HO24" s="408"/>
      <c r="HP24" s="408"/>
      <c r="HQ24" s="408"/>
      <c r="HR24" s="408"/>
      <c r="HS24" s="408"/>
      <c r="HT24" s="408"/>
      <c r="HU24" s="408"/>
      <c r="HV24" s="408"/>
      <c r="HW24" s="412"/>
    </row>
    <row r="25" spans="1:231" ht="24" customHeight="1" thickBot="1">
      <c r="A25" s="2194" t="s">
        <v>1111</v>
      </c>
      <c r="B25" s="2118"/>
      <c r="C25" s="2118"/>
      <c r="D25" s="2118"/>
      <c r="E25" s="2118"/>
      <c r="F25" s="2118"/>
      <c r="G25" s="2118"/>
      <c r="H25" s="2118"/>
      <c r="I25" s="2118"/>
      <c r="J25" s="2118"/>
      <c r="K25" s="2118"/>
      <c r="L25" s="2118"/>
      <c r="M25" s="2118"/>
      <c r="N25" s="2118"/>
      <c r="O25" s="2118"/>
      <c r="P25" s="2118"/>
      <c r="Q25" s="2118"/>
      <c r="R25" s="2118"/>
      <c r="S25" s="2118"/>
      <c r="T25" s="2118"/>
      <c r="U25" s="2118"/>
      <c r="V25" s="2118"/>
      <c r="W25" s="2118"/>
      <c r="X25" s="2118"/>
      <c r="Y25" s="2118"/>
      <c r="Z25" s="2195"/>
      <c r="AA25" s="408"/>
      <c r="AB25" s="408"/>
      <c r="AC25" s="408"/>
      <c r="AD25" s="408"/>
      <c r="AE25" s="408"/>
      <c r="AF25" s="411"/>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12"/>
      <c r="BE25" s="411"/>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12"/>
      <c r="CD25" s="411"/>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12"/>
      <c r="DC25" s="411"/>
      <c r="DD25" s="408"/>
      <c r="DE25" s="408"/>
      <c r="DF25" s="408"/>
      <c r="DG25" s="408"/>
      <c r="DH25" s="408"/>
      <c r="DI25" s="408"/>
      <c r="DJ25" s="408"/>
      <c r="DK25" s="408"/>
      <c r="DL25" s="408"/>
      <c r="DM25" s="408"/>
      <c r="DN25" s="408"/>
      <c r="DO25" s="408"/>
      <c r="DP25" s="408"/>
      <c r="DQ25" s="408"/>
      <c r="DR25" s="408"/>
      <c r="DS25" s="408"/>
      <c r="DT25" s="408"/>
      <c r="DU25" s="408"/>
      <c r="DV25" s="408"/>
      <c r="DW25" s="408"/>
      <c r="DX25" s="408"/>
      <c r="DY25" s="408"/>
      <c r="DZ25" s="408"/>
      <c r="EA25" s="412"/>
      <c r="EB25" s="411"/>
      <c r="EC25" s="408"/>
      <c r="ED25" s="408"/>
      <c r="EE25" s="408"/>
      <c r="EF25" s="408"/>
      <c r="EG25" s="408"/>
      <c r="EH25" s="408"/>
      <c r="EI25" s="408"/>
      <c r="EJ25" s="408"/>
      <c r="EK25" s="408"/>
      <c r="EL25" s="408"/>
      <c r="EM25" s="408"/>
      <c r="EN25" s="408"/>
      <c r="EO25" s="408"/>
      <c r="EP25" s="408"/>
      <c r="EQ25" s="408"/>
      <c r="ER25" s="408"/>
      <c r="ES25" s="408"/>
      <c r="ET25" s="408"/>
      <c r="EU25" s="408"/>
      <c r="EV25" s="408"/>
      <c r="EW25" s="408"/>
      <c r="EX25" s="408"/>
      <c r="EY25" s="408"/>
      <c r="EZ25" s="412"/>
      <c r="FA25" s="411"/>
      <c r="FB25" s="408"/>
      <c r="FC25" s="408"/>
      <c r="FD25" s="408"/>
      <c r="FE25" s="408"/>
      <c r="FF25" s="408"/>
      <c r="FG25" s="408"/>
      <c r="FH25" s="408"/>
      <c r="FI25" s="408"/>
      <c r="FJ25" s="408"/>
      <c r="FK25" s="408"/>
      <c r="FL25" s="408"/>
      <c r="FM25" s="408"/>
      <c r="FN25" s="408"/>
      <c r="FO25" s="408"/>
      <c r="FP25" s="408"/>
      <c r="FQ25" s="408"/>
      <c r="FR25" s="408"/>
      <c r="FS25" s="408"/>
      <c r="FT25" s="408"/>
      <c r="FU25" s="408"/>
      <c r="FV25" s="408"/>
      <c r="FW25" s="408"/>
      <c r="FX25" s="408"/>
      <c r="FY25" s="412"/>
      <c r="FZ25" s="411"/>
      <c r="GA25" s="408"/>
      <c r="GB25" s="408"/>
      <c r="GC25" s="408"/>
      <c r="GD25" s="408"/>
      <c r="GE25" s="408"/>
      <c r="GF25" s="408"/>
      <c r="GG25" s="408"/>
      <c r="GH25" s="408"/>
      <c r="GI25" s="408"/>
      <c r="GJ25" s="408"/>
      <c r="GK25" s="408"/>
      <c r="GL25" s="408"/>
      <c r="GM25" s="408"/>
      <c r="GN25" s="408"/>
      <c r="GO25" s="408"/>
      <c r="GP25" s="408"/>
      <c r="GQ25" s="408"/>
      <c r="GR25" s="408"/>
      <c r="GS25" s="408"/>
      <c r="GT25" s="408"/>
      <c r="GU25" s="408"/>
      <c r="GV25" s="408"/>
      <c r="GW25" s="408"/>
      <c r="GX25" s="412"/>
      <c r="GY25" s="411"/>
      <c r="GZ25" s="408"/>
      <c r="HA25" s="408"/>
      <c r="HB25" s="408"/>
      <c r="HC25" s="408"/>
      <c r="HD25" s="408"/>
      <c r="HE25" s="408"/>
      <c r="HF25" s="408"/>
      <c r="HG25" s="408"/>
      <c r="HH25" s="408"/>
      <c r="HI25" s="408"/>
      <c r="HJ25" s="408"/>
      <c r="HK25" s="408"/>
      <c r="HL25" s="408"/>
      <c r="HM25" s="408"/>
      <c r="HN25" s="408"/>
      <c r="HO25" s="408"/>
      <c r="HP25" s="408"/>
      <c r="HQ25" s="408"/>
      <c r="HR25" s="408"/>
      <c r="HS25" s="408"/>
      <c r="HT25" s="408"/>
      <c r="HU25" s="408"/>
      <c r="HV25" s="408"/>
      <c r="HW25" s="412"/>
    </row>
    <row r="26" spans="1:231" ht="24" customHeight="1">
      <c r="A26" s="411"/>
      <c r="B26" s="408"/>
      <c r="C26" s="408"/>
      <c r="D26" s="408"/>
      <c r="E26" s="408"/>
      <c r="F26" s="408"/>
      <c r="G26" s="408"/>
      <c r="H26" s="408"/>
      <c r="I26" s="408"/>
      <c r="J26" s="408"/>
      <c r="K26" s="408"/>
      <c r="L26" s="408"/>
      <c r="M26" s="408"/>
      <c r="N26" s="408"/>
      <c r="O26" s="408"/>
      <c r="P26" s="408"/>
      <c r="Q26" s="408"/>
      <c r="R26" s="408"/>
      <c r="S26" s="408"/>
      <c r="T26" s="408"/>
      <c r="U26" s="408"/>
      <c r="V26" s="408"/>
      <c r="W26" s="408"/>
      <c r="X26" s="408"/>
      <c r="Y26" s="408"/>
      <c r="Z26" s="412"/>
      <c r="AA26" s="408"/>
      <c r="AB26" s="408"/>
      <c r="AC26" s="408"/>
      <c r="AD26" s="408"/>
      <c r="AE26" s="408"/>
      <c r="AF26" s="411"/>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12"/>
      <c r="BE26" s="411"/>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12"/>
      <c r="CD26" s="411"/>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12"/>
      <c r="DC26" s="411"/>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12"/>
      <c r="EB26" s="411"/>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12"/>
      <c r="FA26" s="411"/>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12"/>
      <c r="FZ26" s="411"/>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12"/>
      <c r="GY26" s="411"/>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12"/>
    </row>
    <row r="27" spans="1:231" ht="24" customHeight="1">
      <c r="A27" s="411"/>
      <c r="B27" s="40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12"/>
      <c r="AA27" s="408"/>
      <c r="AB27" s="408"/>
      <c r="AC27" s="408"/>
      <c r="AD27" s="408"/>
      <c r="AE27" s="408"/>
      <c r="AF27" s="411"/>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12"/>
      <c r="BE27" s="411"/>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12"/>
      <c r="CD27" s="411"/>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12"/>
      <c r="DC27" s="411"/>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12"/>
      <c r="EB27" s="411"/>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12"/>
      <c r="FA27" s="411"/>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12"/>
      <c r="FZ27" s="411"/>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12"/>
      <c r="GY27" s="411"/>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12"/>
    </row>
    <row r="28" spans="1:231" ht="24" customHeight="1">
      <c r="A28" s="411"/>
      <c r="B28" s="408"/>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12"/>
      <c r="AA28" s="408"/>
      <c r="AB28" s="408"/>
      <c r="AC28" s="408"/>
      <c r="AD28" s="408"/>
      <c r="AE28" s="408"/>
      <c r="AF28" s="411"/>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12"/>
      <c r="BE28" s="411"/>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12"/>
      <c r="CD28" s="411"/>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12"/>
      <c r="DC28" s="411"/>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12"/>
      <c r="EB28" s="411"/>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12"/>
      <c r="FA28" s="411"/>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12"/>
      <c r="FZ28" s="411"/>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12"/>
      <c r="GY28" s="411"/>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12"/>
    </row>
    <row r="29" spans="1:231" ht="24" customHeight="1">
      <c r="A29" s="411"/>
      <c r="B29" s="40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12"/>
      <c r="AA29" s="408"/>
      <c r="AB29" s="408"/>
      <c r="AC29" s="408"/>
      <c r="AD29" s="408"/>
      <c r="AE29" s="408"/>
      <c r="AF29" s="411"/>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12"/>
      <c r="BE29" s="411"/>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12"/>
      <c r="CD29" s="411"/>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12"/>
      <c r="DC29" s="411"/>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12"/>
      <c r="EB29" s="411"/>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12"/>
      <c r="FA29" s="411"/>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12"/>
      <c r="FZ29" s="411"/>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12"/>
      <c r="GY29" s="411"/>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12"/>
    </row>
    <row r="30" spans="1:231" ht="24" customHeight="1">
      <c r="A30" s="411"/>
      <c r="B30" s="408"/>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12"/>
      <c r="AA30" s="408"/>
      <c r="AB30" s="408"/>
      <c r="AC30" s="408"/>
      <c r="AD30" s="408"/>
      <c r="AE30" s="408"/>
      <c r="AF30" s="411"/>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12"/>
      <c r="BE30" s="411"/>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12"/>
      <c r="CD30" s="411"/>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12"/>
      <c r="DC30" s="411"/>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12"/>
      <c r="EB30" s="411"/>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12"/>
      <c r="FA30" s="411"/>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12"/>
      <c r="FZ30" s="411"/>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12"/>
      <c r="GY30" s="411"/>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12"/>
    </row>
    <row r="31" spans="1:231" ht="24" customHeight="1">
      <c r="A31" s="411"/>
      <c r="B31" s="408"/>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12"/>
      <c r="AA31" s="408"/>
      <c r="AB31" s="408"/>
      <c r="AC31" s="408"/>
      <c r="AD31" s="408"/>
      <c r="AE31" s="408"/>
      <c r="AF31" s="411"/>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12"/>
      <c r="BE31" s="411"/>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12"/>
      <c r="CD31" s="411"/>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12"/>
      <c r="DC31" s="411"/>
      <c r="DD31" s="408"/>
      <c r="DE31" s="408"/>
      <c r="DF31" s="408"/>
      <c r="DG31" s="408"/>
      <c r="DH31" s="408"/>
      <c r="DI31" s="408"/>
      <c r="DJ31" s="408"/>
      <c r="DK31" s="408"/>
      <c r="DL31" s="408"/>
      <c r="DM31" s="408"/>
      <c r="DN31" s="408"/>
      <c r="DO31" s="408"/>
      <c r="DP31" s="408"/>
      <c r="DQ31" s="408"/>
      <c r="DR31" s="408"/>
      <c r="DS31" s="408"/>
      <c r="DT31" s="408"/>
      <c r="DU31" s="408"/>
      <c r="DV31" s="408"/>
      <c r="DW31" s="408"/>
      <c r="DX31" s="408"/>
      <c r="DY31" s="408"/>
      <c r="DZ31" s="408"/>
      <c r="EA31" s="412"/>
      <c r="EB31" s="411"/>
      <c r="EC31" s="408"/>
      <c r="ED31" s="408"/>
      <c r="EE31" s="408"/>
      <c r="EF31" s="408"/>
      <c r="EG31" s="408"/>
      <c r="EH31" s="408"/>
      <c r="EI31" s="408"/>
      <c r="EJ31" s="408"/>
      <c r="EK31" s="408"/>
      <c r="EL31" s="408"/>
      <c r="EM31" s="408"/>
      <c r="EN31" s="408"/>
      <c r="EO31" s="408"/>
      <c r="EP31" s="408"/>
      <c r="EQ31" s="408"/>
      <c r="ER31" s="408"/>
      <c r="ES31" s="408"/>
      <c r="ET31" s="408"/>
      <c r="EU31" s="408"/>
      <c r="EV31" s="408"/>
      <c r="EW31" s="408"/>
      <c r="EX31" s="408"/>
      <c r="EY31" s="408"/>
      <c r="EZ31" s="412"/>
      <c r="FA31" s="411"/>
      <c r="FB31" s="408"/>
      <c r="FC31" s="408"/>
      <c r="FD31" s="408"/>
      <c r="FE31" s="408"/>
      <c r="FF31" s="408"/>
      <c r="FG31" s="408"/>
      <c r="FH31" s="408"/>
      <c r="FI31" s="408"/>
      <c r="FJ31" s="408"/>
      <c r="FK31" s="408"/>
      <c r="FL31" s="408"/>
      <c r="FM31" s="408"/>
      <c r="FN31" s="408"/>
      <c r="FO31" s="408"/>
      <c r="FP31" s="408"/>
      <c r="FQ31" s="408"/>
      <c r="FR31" s="408"/>
      <c r="FS31" s="408"/>
      <c r="FT31" s="408"/>
      <c r="FU31" s="408"/>
      <c r="FV31" s="408"/>
      <c r="FW31" s="408"/>
      <c r="FX31" s="408"/>
      <c r="FY31" s="412"/>
      <c r="FZ31" s="411"/>
      <c r="GA31" s="408"/>
      <c r="GB31" s="408"/>
      <c r="GC31" s="408"/>
      <c r="GD31" s="408"/>
      <c r="GE31" s="408"/>
      <c r="GF31" s="408"/>
      <c r="GG31" s="408"/>
      <c r="GH31" s="408"/>
      <c r="GI31" s="408"/>
      <c r="GJ31" s="408"/>
      <c r="GK31" s="408"/>
      <c r="GL31" s="408"/>
      <c r="GM31" s="408"/>
      <c r="GN31" s="408"/>
      <c r="GO31" s="408"/>
      <c r="GP31" s="408"/>
      <c r="GQ31" s="408"/>
      <c r="GR31" s="408"/>
      <c r="GS31" s="408"/>
      <c r="GT31" s="408"/>
      <c r="GU31" s="408"/>
      <c r="GV31" s="408"/>
      <c r="GW31" s="408"/>
      <c r="GX31" s="412"/>
      <c r="GY31" s="411"/>
      <c r="GZ31" s="408"/>
      <c r="HA31" s="408"/>
      <c r="HB31" s="408"/>
      <c r="HC31" s="408"/>
      <c r="HD31" s="408"/>
      <c r="HE31" s="408"/>
      <c r="HF31" s="408"/>
      <c r="HG31" s="408"/>
      <c r="HH31" s="408"/>
      <c r="HI31" s="408"/>
      <c r="HJ31" s="408"/>
      <c r="HK31" s="408"/>
      <c r="HL31" s="408"/>
      <c r="HM31" s="408"/>
      <c r="HN31" s="408"/>
      <c r="HO31" s="408"/>
      <c r="HP31" s="408"/>
      <c r="HQ31" s="408"/>
      <c r="HR31" s="408"/>
      <c r="HS31" s="408"/>
      <c r="HT31" s="408"/>
      <c r="HU31" s="408"/>
      <c r="HV31" s="408"/>
      <c r="HW31" s="412"/>
    </row>
    <row r="32" spans="1:231" ht="24" customHeight="1">
      <c r="A32" s="411"/>
      <c r="B32" s="408"/>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12"/>
      <c r="AA32" s="408"/>
      <c r="AB32" s="408"/>
      <c r="AC32" s="408"/>
      <c r="AD32" s="408"/>
      <c r="AE32" s="408"/>
      <c r="AF32" s="411"/>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12"/>
      <c r="BE32" s="411"/>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12"/>
      <c r="CD32" s="411"/>
      <c r="CE32" s="408"/>
      <c r="CF32" s="408"/>
      <c r="CG32" s="408"/>
      <c r="CH32" s="408"/>
      <c r="CI32" s="408"/>
      <c r="CJ32" s="408"/>
      <c r="CK32" s="408"/>
      <c r="CL32" s="408"/>
      <c r="CM32" s="408"/>
      <c r="CN32" s="408"/>
      <c r="CO32" s="408"/>
      <c r="CP32" s="408"/>
      <c r="CQ32" s="408"/>
      <c r="CR32" s="408"/>
      <c r="CS32" s="408"/>
      <c r="CT32" s="408"/>
      <c r="CU32" s="408"/>
      <c r="CV32" s="408"/>
      <c r="CW32" s="408"/>
      <c r="CX32" s="408"/>
      <c r="CY32" s="408"/>
      <c r="CZ32" s="408"/>
      <c r="DA32" s="408"/>
      <c r="DB32" s="412"/>
      <c r="DC32" s="411"/>
      <c r="DD32" s="408"/>
      <c r="DE32" s="408"/>
      <c r="DF32" s="408"/>
      <c r="DG32" s="408"/>
      <c r="DH32" s="408"/>
      <c r="DI32" s="408"/>
      <c r="DJ32" s="408"/>
      <c r="DK32" s="408"/>
      <c r="DL32" s="408"/>
      <c r="DM32" s="408"/>
      <c r="DN32" s="408"/>
      <c r="DO32" s="408"/>
      <c r="DP32" s="408"/>
      <c r="DQ32" s="408"/>
      <c r="DR32" s="408"/>
      <c r="DS32" s="408"/>
      <c r="DT32" s="408"/>
      <c r="DU32" s="408"/>
      <c r="DV32" s="408"/>
      <c r="DW32" s="408"/>
      <c r="DX32" s="408"/>
      <c r="DY32" s="408"/>
      <c r="DZ32" s="408"/>
      <c r="EA32" s="412"/>
      <c r="EB32" s="411"/>
      <c r="EC32" s="408"/>
      <c r="ED32" s="408"/>
      <c r="EE32" s="408"/>
      <c r="EF32" s="408"/>
      <c r="EG32" s="408"/>
      <c r="EH32" s="408"/>
      <c r="EI32" s="408"/>
      <c r="EJ32" s="408"/>
      <c r="EK32" s="408"/>
      <c r="EL32" s="408"/>
      <c r="EM32" s="408"/>
      <c r="EN32" s="408"/>
      <c r="EO32" s="408"/>
      <c r="EP32" s="408"/>
      <c r="EQ32" s="408"/>
      <c r="ER32" s="408"/>
      <c r="ES32" s="408"/>
      <c r="ET32" s="408"/>
      <c r="EU32" s="408"/>
      <c r="EV32" s="408"/>
      <c r="EW32" s="408"/>
      <c r="EX32" s="408"/>
      <c r="EY32" s="408"/>
      <c r="EZ32" s="412"/>
      <c r="FA32" s="411"/>
      <c r="FB32" s="408"/>
      <c r="FC32" s="408"/>
      <c r="FD32" s="408"/>
      <c r="FE32" s="408"/>
      <c r="FF32" s="408"/>
      <c r="FG32" s="408"/>
      <c r="FH32" s="408"/>
      <c r="FI32" s="408"/>
      <c r="FJ32" s="408"/>
      <c r="FK32" s="408"/>
      <c r="FL32" s="408"/>
      <c r="FM32" s="408"/>
      <c r="FN32" s="408"/>
      <c r="FO32" s="408"/>
      <c r="FP32" s="408"/>
      <c r="FQ32" s="408"/>
      <c r="FR32" s="408"/>
      <c r="FS32" s="408"/>
      <c r="FT32" s="408"/>
      <c r="FU32" s="408"/>
      <c r="FV32" s="408"/>
      <c r="FW32" s="408"/>
      <c r="FX32" s="408"/>
      <c r="FY32" s="412"/>
      <c r="FZ32" s="411"/>
      <c r="GA32" s="408"/>
      <c r="GB32" s="408"/>
      <c r="GC32" s="408"/>
      <c r="GD32" s="408"/>
      <c r="GE32" s="408"/>
      <c r="GF32" s="408"/>
      <c r="GG32" s="408"/>
      <c r="GH32" s="408"/>
      <c r="GI32" s="408"/>
      <c r="GJ32" s="408"/>
      <c r="GK32" s="408"/>
      <c r="GL32" s="408"/>
      <c r="GM32" s="408"/>
      <c r="GN32" s="408"/>
      <c r="GO32" s="408"/>
      <c r="GP32" s="408"/>
      <c r="GQ32" s="408"/>
      <c r="GR32" s="408"/>
      <c r="GS32" s="408"/>
      <c r="GT32" s="408"/>
      <c r="GU32" s="408"/>
      <c r="GV32" s="408"/>
      <c r="GW32" s="408"/>
      <c r="GX32" s="412"/>
      <c r="GY32" s="411"/>
      <c r="GZ32" s="408"/>
      <c r="HA32" s="408"/>
      <c r="HB32" s="408"/>
      <c r="HC32" s="408"/>
      <c r="HD32" s="408"/>
      <c r="HE32" s="408"/>
      <c r="HF32" s="408"/>
      <c r="HG32" s="408"/>
      <c r="HH32" s="408"/>
      <c r="HI32" s="408"/>
      <c r="HJ32" s="408"/>
      <c r="HK32" s="408"/>
      <c r="HL32" s="408"/>
      <c r="HM32" s="408"/>
      <c r="HN32" s="408"/>
      <c r="HO32" s="408"/>
      <c r="HP32" s="408"/>
      <c r="HQ32" s="408"/>
      <c r="HR32" s="408"/>
      <c r="HS32" s="408"/>
      <c r="HT32" s="408"/>
      <c r="HU32" s="408"/>
      <c r="HV32" s="408"/>
      <c r="HW32" s="412"/>
    </row>
    <row r="33" spans="1:463" ht="24" customHeight="1">
      <c r="A33" s="41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12"/>
      <c r="AA33" s="408"/>
      <c r="AB33" s="408"/>
      <c r="AC33" s="408"/>
      <c r="AD33" s="408"/>
      <c r="AE33" s="408"/>
      <c r="AF33" s="411"/>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12"/>
      <c r="BE33" s="411"/>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12"/>
      <c r="CD33" s="411"/>
      <c r="CE33" s="408"/>
      <c r="CF33" s="408"/>
      <c r="CG33" s="408"/>
      <c r="CH33" s="408"/>
      <c r="CI33" s="408"/>
      <c r="CJ33" s="408"/>
      <c r="CK33" s="408"/>
      <c r="CL33" s="408"/>
      <c r="CM33" s="408"/>
      <c r="CN33" s="408"/>
      <c r="CO33" s="408"/>
      <c r="CP33" s="408"/>
      <c r="CQ33" s="408"/>
      <c r="CR33" s="408"/>
      <c r="CS33" s="408"/>
      <c r="CT33" s="408"/>
      <c r="CU33" s="408"/>
      <c r="CV33" s="408"/>
      <c r="CW33" s="408"/>
      <c r="CX33" s="408"/>
      <c r="CY33" s="408"/>
      <c r="CZ33" s="408"/>
      <c r="DA33" s="408"/>
      <c r="DB33" s="412"/>
      <c r="DC33" s="411"/>
      <c r="DD33" s="408"/>
      <c r="DE33" s="408"/>
      <c r="DF33" s="408"/>
      <c r="DG33" s="408"/>
      <c r="DH33" s="408"/>
      <c r="DI33" s="408"/>
      <c r="DJ33" s="408"/>
      <c r="DK33" s="408"/>
      <c r="DL33" s="408"/>
      <c r="DM33" s="408"/>
      <c r="DN33" s="408"/>
      <c r="DO33" s="408"/>
      <c r="DP33" s="408"/>
      <c r="DQ33" s="408"/>
      <c r="DR33" s="408"/>
      <c r="DS33" s="408"/>
      <c r="DT33" s="408"/>
      <c r="DU33" s="408"/>
      <c r="DV33" s="408"/>
      <c r="DW33" s="408"/>
      <c r="DX33" s="408"/>
      <c r="DY33" s="408"/>
      <c r="DZ33" s="408"/>
      <c r="EA33" s="412"/>
      <c r="EB33" s="411"/>
      <c r="EC33" s="408"/>
      <c r="ED33" s="408"/>
      <c r="EE33" s="408"/>
      <c r="EF33" s="408"/>
      <c r="EG33" s="408"/>
      <c r="EH33" s="408"/>
      <c r="EI33" s="408"/>
      <c r="EJ33" s="408"/>
      <c r="EK33" s="408"/>
      <c r="EL33" s="408"/>
      <c r="EM33" s="408"/>
      <c r="EN33" s="408"/>
      <c r="EO33" s="408"/>
      <c r="EP33" s="408"/>
      <c r="EQ33" s="408"/>
      <c r="ER33" s="408"/>
      <c r="ES33" s="408"/>
      <c r="ET33" s="408"/>
      <c r="EU33" s="408"/>
      <c r="EV33" s="408"/>
      <c r="EW33" s="408"/>
      <c r="EX33" s="408"/>
      <c r="EY33" s="408"/>
      <c r="EZ33" s="412"/>
      <c r="FA33" s="411"/>
      <c r="FB33" s="408"/>
      <c r="FC33" s="408"/>
      <c r="FD33" s="408"/>
      <c r="FE33" s="408"/>
      <c r="FF33" s="408"/>
      <c r="FG33" s="408"/>
      <c r="FH33" s="408"/>
      <c r="FI33" s="408"/>
      <c r="FJ33" s="408"/>
      <c r="FK33" s="408"/>
      <c r="FL33" s="408"/>
      <c r="FM33" s="408"/>
      <c r="FN33" s="408"/>
      <c r="FO33" s="408"/>
      <c r="FP33" s="408"/>
      <c r="FQ33" s="408"/>
      <c r="FR33" s="408"/>
      <c r="FS33" s="408"/>
      <c r="FT33" s="408"/>
      <c r="FU33" s="408"/>
      <c r="FV33" s="408"/>
      <c r="FW33" s="408"/>
      <c r="FX33" s="408"/>
      <c r="FY33" s="412"/>
      <c r="FZ33" s="411"/>
      <c r="GA33" s="408"/>
      <c r="GB33" s="408"/>
      <c r="GC33" s="408"/>
      <c r="GD33" s="408"/>
      <c r="GE33" s="408"/>
      <c r="GF33" s="408"/>
      <c r="GG33" s="408"/>
      <c r="GH33" s="408"/>
      <c r="GI33" s="408"/>
      <c r="GJ33" s="408"/>
      <c r="GK33" s="408"/>
      <c r="GL33" s="408"/>
      <c r="GM33" s="408"/>
      <c r="GN33" s="408"/>
      <c r="GO33" s="408"/>
      <c r="GP33" s="408"/>
      <c r="GQ33" s="408"/>
      <c r="GR33" s="408"/>
      <c r="GS33" s="408"/>
      <c r="GT33" s="408"/>
      <c r="GU33" s="408"/>
      <c r="GV33" s="408"/>
      <c r="GW33" s="408"/>
      <c r="GX33" s="412"/>
      <c r="GY33" s="411"/>
      <c r="GZ33" s="408"/>
      <c r="HA33" s="408"/>
      <c r="HB33" s="408"/>
      <c r="HC33" s="408"/>
      <c r="HD33" s="408"/>
      <c r="HE33" s="408"/>
      <c r="HF33" s="408"/>
      <c r="HG33" s="408"/>
      <c r="HH33" s="408"/>
      <c r="HI33" s="408"/>
      <c r="HJ33" s="408"/>
      <c r="HK33" s="408"/>
      <c r="HL33" s="408"/>
      <c r="HM33" s="408"/>
      <c r="HN33" s="408"/>
      <c r="HO33" s="408"/>
      <c r="HP33" s="408"/>
      <c r="HQ33" s="408"/>
      <c r="HR33" s="408"/>
      <c r="HS33" s="408"/>
      <c r="HT33" s="408"/>
      <c r="HU33" s="408"/>
      <c r="HV33" s="408"/>
      <c r="HW33" s="412"/>
    </row>
    <row r="34" spans="1:463" ht="24" customHeight="1">
      <c r="A34" s="411"/>
      <c r="B34" s="408"/>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12"/>
      <c r="AA34" s="408"/>
      <c r="AB34" s="408"/>
      <c r="AC34" s="408"/>
      <c r="AD34" s="408"/>
      <c r="AE34" s="408"/>
      <c r="AF34" s="411"/>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12"/>
      <c r="BE34" s="411"/>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12"/>
      <c r="CD34" s="411"/>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12"/>
      <c r="DC34" s="411"/>
      <c r="DD34" s="408"/>
      <c r="DE34" s="408"/>
      <c r="DF34" s="408"/>
      <c r="DG34" s="408"/>
      <c r="DH34" s="408"/>
      <c r="DI34" s="408"/>
      <c r="DJ34" s="408"/>
      <c r="DK34" s="408"/>
      <c r="DL34" s="408"/>
      <c r="DM34" s="408"/>
      <c r="DN34" s="408"/>
      <c r="DO34" s="408"/>
      <c r="DP34" s="408"/>
      <c r="DQ34" s="408"/>
      <c r="DR34" s="408"/>
      <c r="DS34" s="408"/>
      <c r="DT34" s="408"/>
      <c r="DU34" s="408"/>
      <c r="DV34" s="408"/>
      <c r="DW34" s="408"/>
      <c r="DX34" s="408"/>
      <c r="DY34" s="408"/>
      <c r="DZ34" s="408"/>
      <c r="EA34" s="412"/>
      <c r="EB34" s="411"/>
      <c r="EC34" s="408"/>
      <c r="ED34" s="408"/>
      <c r="EE34" s="408"/>
      <c r="EF34" s="408"/>
      <c r="EG34" s="408"/>
      <c r="EH34" s="408"/>
      <c r="EI34" s="408"/>
      <c r="EJ34" s="408"/>
      <c r="EK34" s="408"/>
      <c r="EL34" s="408"/>
      <c r="EM34" s="408"/>
      <c r="EN34" s="408"/>
      <c r="EO34" s="408"/>
      <c r="EP34" s="408"/>
      <c r="EQ34" s="408"/>
      <c r="ER34" s="408"/>
      <c r="ES34" s="408"/>
      <c r="ET34" s="408"/>
      <c r="EU34" s="408"/>
      <c r="EV34" s="408"/>
      <c r="EW34" s="408"/>
      <c r="EX34" s="408"/>
      <c r="EY34" s="408"/>
      <c r="EZ34" s="412"/>
      <c r="FA34" s="411"/>
      <c r="FB34" s="408"/>
      <c r="FC34" s="408"/>
      <c r="FD34" s="408"/>
      <c r="FE34" s="408"/>
      <c r="FF34" s="408"/>
      <c r="FG34" s="408"/>
      <c r="FH34" s="408"/>
      <c r="FI34" s="408"/>
      <c r="FJ34" s="408"/>
      <c r="FK34" s="408"/>
      <c r="FL34" s="408"/>
      <c r="FM34" s="408"/>
      <c r="FN34" s="408"/>
      <c r="FO34" s="408"/>
      <c r="FP34" s="408"/>
      <c r="FQ34" s="408"/>
      <c r="FR34" s="408"/>
      <c r="FS34" s="408"/>
      <c r="FT34" s="408"/>
      <c r="FU34" s="408"/>
      <c r="FV34" s="408"/>
      <c r="FW34" s="408"/>
      <c r="FX34" s="408"/>
      <c r="FY34" s="412"/>
      <c r="FZ34" s="411"/>
      <c r="GA34" s="408"/>
      <c r="GB34" s="408"/>
      <c r="GC34" s="408"/>
      <c r="GD34" s="408"/>
      <c r="GE34" s="408"/>
      <c r="GF34" s="408"/>
      <c r="GG34" s="408"/>
      <c r="GH34" s="408"/>
      <c r="GI34" s="408"/>
      <c r="GJ34" s="408"/>
      <c r="GK34" s="408"/>
      <c r="GL34" s="408"/>
      <c r="GM34" s="408"/>
      <c r="GN34" s="408"/>
      <c r="GO34" s="408"/>
      <c r="GP34" s="408"/>
      <c r="GQ34" s="408"/>
      <c r="GR34" s="408"/>
      <c r="GS34" s="408"/>
      <c r="GT34" s="408"/>
      <c r="GU34" s="408"/>
      <c r="GV34" s="408"/>
      <c r="GW34" s="408"/>
      <c r="GX34" s="412"/>
      <c r="GY34" s="411"/>
      <c r="GZ34" s="408"/>
      <c r="HA34" s="408"/>
      <c r="HB34" s="408"/>
      <c r="HC34" s="408"/>
      <c r="HD34" s="408"/>
      <c r="HE34" s="408"/>
      <c r="HF34" s="408"/>
      <c r="HG34" s="408"/>
      <c r="HH34" s="408"/>
      <c r="HI34" s="408"/>
      <c r="HJ34" s="408"/>
      <c r="HK34" s="408"/>
      <c r="HL34" s="408"/>
      <c r="HM34" s="408"/>
      <c r="HN34" s="408"/>
      <c r="HO34" s="408"/>
      <c r="HP34" s="408"/>
      <c r="HQ34" s="408"/>
      <c r="HR34" s="408"/>
      <c r="HS34" s="408"/>
      <c r="HT34" s="408"/>
      <c r="HU34" s="408"/>
      <c r="HV34" s="408"/>
      <c r="HW34" s="412"/>
    </row>
    <row r="35" spans="1:463" ht="24" customHeight="1">
      <c r="A35" s="411"/>
      <c r="B35" s="408"/>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12"/>
      <c r="AA35" s="408"/>
      <c r="AB35" s="408"/>
      <c r="AC35" s="408"/>
      <c r="AD35" s="408"/>
      <c r="AE35" s="408"/>
      <c r="AF35" s="411"/>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12"/>
      <c r="BE35" s="411"/>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12"/>
      <c r="CD35" s="411"/>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12"/>
      <c r="DC35" s="411"/>
      <c r="DD35" s="408"/>
      <c r="DE35" s="408"/>
      <c r="DF35" s="408"/>
      <c r="DG35" s="408"/>
      <c r="DH35" s="408"/>
      <c r="DI35" s="408"/>
      <c r="DJ35" s="408"/>
      <c r="DK35" s="408"/>
      <c r="DL35" s="408"/>
      <c r="DM35" s="408"/>
      <c r="DN35" s="408"/>
      <c r="DO35" s="408"/>
      <c r="DP35" s="408"/>
      <c r="DQ35" s="408"/>
      <c r="DR35" s="408"/>
      <c r="DS35" s="408"/>
      <c r="DT35" s="408"/>
      <c r="DU35" s="408"/>
      <c r="DV35" s="408"/>
      <c r="DW35" s="408"/>
      <c r="DX35" s="408"/>
      <c r="DY35" s="408"/>
      <c r="DZ35" s="408"/>
      <c r="EA35" s="412"/>
      <c r="EB35" s="411"/>
      <c r="EC35" s="408"/>
      <c r="ED35" s="408"/>
      <c r="EE35" s="408"/>
      <c r="EF35" s="408"/>
      <c r="EG35" s="408"/>
      <c r="EH35" s="408"/>
      <c r="EI35" s="408"/>
      <c r="EJ35" s="408"/>
      <c r="EK35" s="408"/>
      <c r="EL35" s="408"/>
      <c r="EM35" s="408"/>
      <c r="EN35" s="408"/>
      <c r="EO35" s="408"/>
      <c r="EP35" s="408"/>
      <c r="EQ35" s="408"/>
      <c r="ER35" s="408"/>
      <c r="ES35" s="408"/>
      <c r="ET35" s="408"/>
      <c r="EU35" s="408"/>
      <c r="EV35" s="408"/>
      <c r="EW35" s="408"/>
      <c r="EX35" s="408"/>
      <c r="EY35" s="408"/>
      <c r="EZ35" s="412"/>
      <c r="FA35" s="411"/>
      <c r="FB35" s="408"/>
      <c r="FC35" s="408"/>
      <c r="FD35" s="408"/>
      <c r="FE35" s="408"/>
      <c r="FF35" s="408"/>
      <c r="FG35" s="408"/>
      <c r="FH35" s="408"/>
      <c r="FI35" s="408"/>
      <c r="FJ35" s="408"/>
      <c r="FK35" s="408"/>
      <c r="FL35" s="408"/>
      <c r="FM35" s="408"/>
      <c r="FN35" s="408"/>
      <c r="FO35" s="408"/>
      <c r="FP35" s="408"/>
      <c r="FQ35" s="408"/>
      <c r="FR35" s="408"/>
      <c r="FS35" s="408"/>
      <c r="FT35" s="408"/>
      <c r="FU35" s="408"/>
      <c r="FV35" s="408"/>
      <c r="FW35" s="408"/>
      <c r="FX35" s="408"/>
      <c r="FY35" s="412"/>
      <c r="FZ35" s="411"/>
      <c r="GA35" s="408"/>
      <c r="GB35" s="408"/>
      <c r="GC35" s="408"/>
      <c r="GD35" s="408"/>
      <c r="GE35" s="408"/>
      <c r="GF35" s="408"/>
      <c r="GG35" s="408"/>
      <c r="GH35" s="408"/>
      <c r="GI35" s="408"/>
      <c r="GJ35" s="408"/>
      <c r="GK35" s="408"/>
      <c r="GL35" s="408"/>
      <c r="GM35" s="408"/>
      <c r="GN35" s="408"/>
      <c r="GO35" s="408"/>
      <c r="GP35" s="408"/>
      <c r="GQ35" s="408"/>
      <c r="GR35" s="408"/>
      <c r="GS35" s="408"/>
      <c r="GT35" s="408"/>
      <c r="GU35" s="408"/>
      <c r="GV35" s="408"/>
      <c r="GW35" s="408"/>
      <c r="GX35" s="412"/>
      <c r="GY35" s="411"/>
      <c r="GZ35" s="408"/>
      <c r="HA35" s="408"/>
      <c r="HB35" s="408"/>
      <c r="HC35" s="408"/>
      <c r="HD35" s="408"/>
      <c r="HE35" s="408"/>
      <c r="HF35" s="408"/>
      <c r="HG35" s="408"/>
      <c r="HH35" s="408"/>
      <c r="HI35" s="408"/>
      <c r="HJ35" s="408"/>
      <c r="HK35" s="408"/>
      <c r="HL35" s="408"/>
      <c r="HM35" s="408"/>
      <c r="HN35" s="408"/>
      <c r="HO35" s="408"/>
      <c r="HP35" s="408"/>
      <c r="HQ35" s="408"/>
      <c r="HR35" s="408"/>
      <c r="HS35" s="408"/>
      <c r="HT35" s="408"/>
      <c r="HU35" s="408"/>
      <c r="HV35" s="408"/>
      <c r="HW35" s="412"/>
    </row>
    <row r="36" spans="1:463" ht="24" customHeight="1">
      <c r="A36" s="411"/>
      <c r="B36" s="40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12"/>
      <c r="AA36" s="408"/>
      <c r="AB36" s="408"/>
      <c r="AC36" s="408"/>
      <c r="AD36" s="408"/>
      <c r="AE36" s="408"/>
      <c r="AF36" s="411"/>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12"/>
      <c r="BE36" s="411"/>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12"/>
      <c r="CD36" s="411"/>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12"/>
      <c r="DC36" s="411"/>
      <c r="DD36" s="408"/>
      <c r="DE36" s="408"/>
      <c r="DF36" s="408"/>
      <c r="DG36" s="408"/>
      <c r="DH36" s="408"/>
      <c r="DI36" s="408"/>
      <c r="DJ36" s="408"/>
      <c r="DK36" s="408"/>
      <c r="DL36" s="408"/>
      <c r="DM36" s="408"/>
      <c r="DN36" s="408"/>
      <c r="DO36" s="408"/>
      <c r="DP36" s="408"/>
      <c r="DQ36" s="408"/>
      <c r="DR36" s="408"/>
      <c r="DS36" s="408"/>
      <c r="DT36" s="408"/>
      <c r="DU36" s="408"/>
      <c r="DV36" s="408"/>
      <c r="DW36" s="408"/>
      <c r="DX36" s="408"/>
      <c r="DY36" s="408"/>
      <c r="DZ36" s="408"/>
      <c r="EA36" s="412"/>
      <c r="EB36" s="411"/>
      <c r="EC36" s="408"/>
      <c r="ED36" s="408"/>
      <c r="EE36" s="408"/>
      <c r="EF36" s="408"/>
      <c r="EG36" s="408"/>
      <c r="EH36" s="408"/>
      <c r="EI36" s="408"/>
      <c r="EJ36" s="408"/>
      <c r="EK36" s="408"/>
      <c r="EL36" s="408"/>
      <c r="EM36" s="408"/>
      <c r="EN36" s="408"/>
      <c r="EO36" s="408"/>
      <c r="EP36" s="408"/>
      <c r="EQ36" s="408"/>
      <c r="ER36" s="408"/>
      <c r="ES36" s="408"/>
      <c r="ET36" s="408"/>
      <c r="EU36" s="408"/>
      <c r="EV36" s="408"/>
      <c r="EW36" s="408"/>
      <c r="EX36" s="408"/>
      <c r="EY36" s="408"/>
      <c r="EZ36" s="412"/>
      <c r="FA36" s="411"/>
      <c r="FB36" s="408"/>
      <c r="FC36" s="408"/>
      <c r="FD36" s="408"/>
      <c r="FE36" s="408"/>
      <c r="FF36" s="408"/>
      <c r="FG36" s="408"/>
      <c r="FH36" s="408"/>
      <c r="FI36" s="408"/>
      <c r="FJ36" s="408"/>
      <c r="FK36" s="408"/>
      <c r="FL36" s="408"/>
      <c r="FM36" s="408"/>
      <c r="FN36" s="408"/>
      <c r="FO36" s="408"/>
      <c r="FP36" s="408"/>
      <c r="FQ36" s="408"/>
      <c r="FR36" s="408"/>
      <c r="FS36" s="408"/>
      <c r="FT36" s="408"/>
      <c r="FU36" s="408"/>
      <c r="FV36" s="408"/>
      <c r="FW36" s="408"/>
      <c r="FX36" s="408"/>
      <c r="FY36" s="412"/>
      <c r="FZ36" s="411"/>
      <c r="GA36" s="408"/>
      <c r="GB36" s="408"/>
      <c r="GC36" s="408"/>
      <c r="GD36" s="408"/>
      <c r="GE36" s="408"/>
      <c r="GF36" s="408"/>
      <c r="GG36" s="408"/>
      <c r="GH36" s="408"/>
      <c r="GI36" s="408"/>
      <c r="GJ36" s="408"/>
      <c r="GK36" s="408"/>
      <c r="GL36" s="408"/>
      <c r="GM36" s="408"/>
      <c r="GN36" s="408"/>
      <c r="GO36" s="408"/>
      <c r="GP36" s="408"/>
      <c r="GQ36" s="408"/>
      <c r="GR36" s="408"/>
      <c r="GS36" s="408"/>
      <c r="GT36" s="408"/>
      <c r="GU36" s="408"/>
      <c r="GV36" s="408"/>
      <c r="GW36" s="408"/>
      <c r="GX36" s="412"/>
      <c r="GY36" s="411"/>
      <c r="GZ36" s="408"/>
      <c r="HA36" s="408"/>
      <c r="HB36" s="408"/>
      <c r="HC36" s="408"/>
      <c r="HD36" s="408"/>
      <c r="HE36" s="408"/>
      <c r="HF36" s="408"/>
      <c r="HG36" s="408"/>
      <c r="HH36" s="408"/>
      <c r="HI36" s="408"/>
      <c r="HJ36" s="408"/>
      <c r="HK36" s="408"/>
      <c r="HL36" s="408"/>
      <c r="HM36" s="408"/>
      <c r="HN36" s="408"/>
      <c r="HO36" s="408"/>
      <c r="HP36" s="408"/>
      <c r="HQ36" s="408"/>
      <c r="HR36" s="408"/>
      <c r="HS36" s="408"/>
      <c r="HT36" s="408"/>
      <c r="HU36" s="408"/>
      <c r="HV36" s="408"/>
      <c r="HW36" s="412"/>
    </row>
    <row r="37" spans="1:463" ht="24" customHeight="1" thickBot="1">
      <c r="A37" s="411"/>
      <c r="B37" s="413"/>
      <c r="C37" s="413"/>
      <c r="D37" s="413"/>
      <c r="E37" s="408"/>
      <c r="F37" s="408"/>
      <c r="G37" s="408"/>
      <c r="H37" s="408"/>
      <c r="I37" s="408"/>
      <c r="J37" s="408"/>
      <c r="K37" s="408"/>
      <c r="L37" s="408"/>
      <c r="M37" s="408"/>
      <c r="N37" s="408"/>
      <c r="O37" s="408"/>
      <c r="P37" s="408"/>
      <c r="Q37" s="408"/>
      <c r="R37" s="408"/>
      <c r="S37" s="408"/>
      <c r="T37" s="408"/>
      <c r="U37" s="408"/>
      <c r="V37" s="408"/>
      <c r="W37" s="408"/>
      <c r="X37" s="408"/>
      <c r="Y37" s="408"/>
      <c r="Z37" s="412"/>
      <c r="AA37" s="408"/>
      <c r="AB37" s="408"/>
      <c r="AC37" s="408"/>
      <c r="AD37" s="408"/>
      <c r="AE37" s="408"/>
      <c r="AF37" s="411"/>
      <c r="AG37" s="413"/>
      <c r="AH37" s="413"/>
      <c r="AI37" s="413"/>
      <c r="AJ37" s="408"/>
      <c r="AK37" s="408"/>
      <c r="AL37" s="408"/>
      <c r="AM37" s="408"/>
      <c r="AN37" s="408"/>
      <c r="AO37" s="408"/>
      <c r="AP37" s="408"/>
      <c r="AQ37" s="408"/>
      <c r="AR37" s="408"/>
      <c r="AS37" s="408"/>
      <c r="AT37" s="408"/>
      <c r="AU37" s="408"/>
      <c r="AV37" s="408"/>
      <c r="AW37" s="408"/>
      <c r="AX37" s="408"/>
      <c r="AY37" s="408"/>
      <c r="AZ37" s="408"/>
      <c r="BA37" s="408"/>
      <c r="BB37" s="408"/>
      <c r="BC37" s="408"/>
      <c r="BD37" s="412"/>
      <c r="BE37" s="411"/>
      <c r="BF37" s="413"/>
      <c r="BG37" s="413"/>
      <c r="BH37" s="413"/>
      <c r="BI37" s="408"/>
      <c r="BJ37" s="408"/>
      <c r="BK37" s="408"/>
      <c r="BL37" s="408"/>
      <c r="BM37" s="408"/>
      <c r="BN37" s="408"/>
      <c r="BO37" s="408"/>
      <c r="BP37" s="408"/>
      <c r="BQ37" s="408"/>
      <c r="BR37" s="408"/>
      <c r="BS37" s="408"/>
      <c r="BT37" s="408"/>
      <c r="BU37" s="408"/>
      <c r="BV37" s="408"/>
      <c r="BW37" s="408"/>
      <c r="BX37" s="408"/>
      <c r="BY37" s="408"/>
      <c r="BZ37" s="408"/>
      <c r="CA37" s="408"/>
      <c r="CB37" s="408"/>
      <c r="CC37" s="412"/>
      <c r="CD37" s="411"/>
      <c r="CE37" s="413"/>
      <c r="CF37" s="413"/>
      <c r="CG37" s="413"/>
      <c r="CH37" s="408"/>
      <c r="CI37" s="408"/>
      <c r="CJ37" s="408"/>
      <c r="CK37" s="408"/>
      <c r="CL37" s="408"/>
      <c r="CM37" s="408"/>
      <c r="CN37" s="408"/>
      <c r="CO37" s="408"/>
      <c r="CP37" s="408"/>
      <c r="CQ37" s="408"/>
      <c r="CR37" s="408"/>
      <c r="CS37" s="408"/>
      <c r="CT37" s="408"/>
      <c r="CU37" s="408"/>
      <c r="CV37" s="408"/>
      <c r="CW37" s="408"/>
      <c r="CX37" s="408"/>
      <c r="CY37" s="408"/>
      <c r="CZ37" s="408"/>
      <c r="DA37" s="408"/>
      <c r="DB37" s="412"/>
      <c r="DC37" s="411"/>
      <c r="DD37" s="413"/>
      <c r="DE37" s="413"/>
      <c r="DF37" s="413"/>
      <c r="DG37" s="408"/>
      <c r="DH37" s="408"/>
      <c r="DI37" s="408"/>
      <c r="DJ37" s="408"/>
      <c r="DK37" s="408"/>
      <c r="DL37" s="408"/>
      <c r="DM37" s="408"/>
      <c r="DN37" s="408"/>
      <c r="DO37" s="408"/>
      <c r="DP37" s="408"/>
      <c r="DQ37" s="408"/>
      <c r="DR37" s="408"/>
      <c r="DS37" s="408"/>
      <c r="DT37" s="408"/>
      <c r="DU37" s="408"/>
      <c r="DV37" s="408"/>
      <c r="DW37" s="408"/>
      <c r="DX37" s="408"/>
      <c r="DY37" s="408"/>
      <c r="DZ37" s="408"/>
      <c r="EA37" s="412"/>
      <c r="EB37" s="411"/>
      <c r="EC37" s="413"/>
      <c r="ED37" s="413"/>
      <c r="EE37" s="413"/>
      <c r="EF37" s="408"/>
      <c r="EG37" s="408"/>
      <c r="EH37" s="408"/>
      <c r="EI37" s="408"/>
      <c r="EJ37" s="408"/>
      <c r="EK37" s="408"/>
      <c r="EL37" s="408"/>
      <c r="EM37" s="408"/>
      <c r="EN37" s="408"/>
      <c r="EO37" s="408"/>
      <c r="EP37" s="408"/>
      <c r="EQ37" s="408"/>
      <c r="ER37" s="408"/>
      <c r="ES37" s="408"/>
      <c r="ET37" s="408"/>
      <c r="EU37" s="408"/>
      <c r="EV37" s="408"/>
      <c r="EW37" s="408"/>
      <c r="EX37" s="408"/>
      <c r="EY37" s="408"/>
      <c r="EZ37" s="412"/>
      <c r="FA37" s="411"/>
      <c r="FB37" s="413"/>
      <c r="FC37" s="413"/>
      <c r="FD37" s="413"/>
      <c r="FE37" s="408"/>
      <c r="FF37" s="408"/>
      <c r="FG37" s="408"/>
      <c r="FH37" s="408"/>
      <c r="FI37" s="408"/>
      <c r="FJ37" s="408"/>
      <c r="FK37" s="408"/>
      <c r="FL37" s="408"/>
      <c r="FM37" s="408"/>
      <c r="FN37" s="408"/>
      <c r="FO37" s="408"/>
      <c r="FP37" s="408"/>
      <c r="FQ37" s="408"/>
      <c r="FR37" s="408"/>
      <c r="FS37" s="408"/>
      <c r="FT37" s="408"/>
      <c r="FU37" s="408"/>
      <c r="FV37" s="408"/>
      <c r="FW37" s="408"/>
      <c r="FX37" s="408"/>
      <c r="FY37" s="412"/>
      <c r="FZ37" s="411"/>
      <c r="GA37" s="413"/>
      <c r="GB37" s="413"/>
      <c r="GC37" s="413"/>
      <c r="GD37" s="408"/>
      <c r="GE37" s="408"/>
      <c r="GF37" s="408"/>
      <c r="GG37" s="408"/>
      <c r="GH37" s="408"/>
      <c r="GI37" s="408"/>
      <c r="GJ37" s="408"/>
      <c r="GK37" s="408"/>
      <c r="GL37" s="408"/>
      <c r="GM37" s="408"/>
      <c r="GN37" s="408"/>
      <c r="GO37" s="408"/>
      <c r="GP37" s="408"/>
      <c r="GQ37" s="408"/>
      <c r="GR37" s="408"/>
      <c r="GS37" s="408"/>
      <c r="GT37" s="408"/>
      <c r="GU37" s="408"/>
      <c r="GV37" s="408"/>
      <c r="GW37" s="408"/>
      <c r="GX37" s="412"/>
      <c r="GY37" s="411"/>
      <c r="GZ37" s="413"/>
      <c r="HA37" s="413"/>
      <c r="HB37" s="413"/>
      <c r="HC37" s="408"/>
      <c r="HD37" s="408"/>
      <c r="HE37" s="408"/>
      <c r="HF37" s="408"/>
      <c r="HG37" s="408"/>
      <c r="HH37" s="408"/>
      <c r="HI37" s="408"/>
      <c r="HJ37" s="408"/>
      <c r="HK37" s="408"/>
      <c r="HL37" s="408"/>
      <c r="HM37" s="408"/>
      <c r="HN37" s="408"/>
      <c r="HO37" s="408"/>
      <c r="HP37" s="408"/>
      <c r="HQ37" s="408"/>
      <c r="HR37" s="408"/>
      <c r="HS37" s="408"/>
      <c r="HT37" s="408"/>
      <c r="HU37" s="408"/>
      <c r="HV37" s="408"/>
      <c r="HW37" s="412"/>
    </row>
    <row r="38" spans="1:463" ht="24" customHeight="1" thickBot="1">
      <c r="A38" s="416"/>
      <c r="B38" s="2116" t="str">
        <f>'Вывод расчетов'!$AL$13</f>
        <v>Раздел 1</v>
      </c>
      <c r="C38" s="2114"/>
      <c r="D38" s="2114"/>
      <c r="E38" s="417"/>
      <c r="F38" s="2119" t="str">
        <f>'Вывод расчетов'!$AO$13</f>
        <v>Определение главных размеров асинхронного двигателя</v>
      </c>
      <c r="G38" s="2120"/>
      <c r="H38" s="2120"/>
      <c r="I38" s="2120"/>
      <c r="J38" s="2120"/>
      <c r="K38" s="2120"/>
      <c r="L38" s="2120"/>
      <c r="M38" s="2120"/>
      <c r="N38" s="2120"/>
      <c r="O38" s="2120"/>
      <c r="P38" s="2120"/>
      <c r="Q38" s="2120"/>
      <c r="R38" s="2120"/>
      <c r="S38" s="2120"/>
      <c r="T38" s="2120"/>
      <c r="U38" s="2120"/>
      <c r="V38" s="2120"/>
      <c r="W38" s="2121"/>
      <c r="X38" s="417"/>
      <c r="Y38" s="2116" t="s">
        <v>1369</v>
      </c>
      <c r="Z38" s="2114"/>
      <c r="AA38" s="2117"/>
      <c r="AB38" s="417"/>
      <c r="AC38" s="2116">
        <v>2</v>
      </c>
      <c r="AD38" s="2117"/>
      <c r="AE38" s="418"/>
      <c r="AF38" s="416"/>
      <c r="AG38" s="2116" t="str">
        <f>'Вывод расчетов'!$CC$9</f>
        <v>Раздел 2</v>
      </c>
      <c r="AH38" s="2114"/>
      <c r="AI38" s="2114"/>
      <c r="AJ38" s="417"/>
      <c r="AK38" s="2116" t="str">
        <f>'Вывод расчетов'!$CF$9</f>
        <v>Расчет обмотки статора</v>
      </c>
      <c r="AL38" s="2114"/>
      <c r="AM38" s="2114"/>
      <c r="AN38" s="2114"/>
      <c r="AO38" s="2114"/>
      <c r="AP38" s="2114"/>
      <c r="AQ38" s="2114"/>
      <c r="AR38" s="2114"/>
      <c r="AS38" s="2114"/>
      <c r="AT38" s="2114"/>
      <c r="AU38" s="2114"/>
      <c r="AV38" s="2117"/>
      <c r="AW38" s="417"/>
      <c r="AX38" s="2116" t="s">
        <v>1369</v>
      </c>
      <c r="AY38" s="2114"/>
      <c r="AZ38" s="2117"/>
      <c r="BA38" s="417"/>
      <c r="BB38" s="2116">
        <v>9</v>
      </c>
      <c r="BC38" s="2117"/>
      <c r="BD38" s="418"/>
      <c r="BE38" s="416"/>
      <c r="BF38" s="2116" t="str">
        <f>'Вывод расчетов'!EB9</f>
        <v>Раздел 3</v>
      </c>
      <c r="BG38" s="2114"/>
      <c r="BH38" s="2115"/>
      <c r="BI38" s="416"/>
      <c r="BJ38" s="2116" t="str">
        <f>'Вывод расчетов'!$AO$13</f>
        <v>Определение главных размеров асинхронного двигателя</v>
      </c>
      <c r="BK38" s="2114"/>
      <c r="BL38" s="2114"/>
      <c r="BM38" s="2114"/>
      <c r="BN38" s="2114"/>
      <c r="BO38" s="2114"/>
      <c r="BP38" s="2114"/>
      <c r="BQ38" s="2114"/>
      <c r="BR38" s="2114"/>
      <c r="BS38" s="2114"/>
      <c r="BT38" s="2114"/>
      <c r="BU38" s="2114"/>
      <c r="BV38" s="2114"/>
      <c r="BW38" s="2114"/>
      <c r="BX38" s="2114"/>
      <c r="BY38" s="417"/>
      <c r="BZ38" s="2116" t="s">
        <v>1359</v>
      </c>
      <c r="CA38" s="2114"/>
      <c r="CB38" s="2117"/>
      <c r="CC38" s="418"/>
      <c r="CD38" s="416"/>
      <c r="CE38" s="2116" t="str">
        <f>'Вывод расчетов'!$CC$9</f>
        <v>Раздел 2</v>
      </c>
      <c r="CF38" s="2114"/>
      <c r="CG38" s="2114"/>
      <c r="CH38" s="417"/>
      <c r="CI38" s="2116" t="str">
        <f>'Вывод расчетов'!$CF$9</f>
        <v>Расчет обмотки статора</v>
      </c>
      <c r="CJ38" s="2114"/>
      <c r="CK38" s="2114"/>
      <c r="CL38" s="2114"/>
      <c r="CM38" s="2114"/>
      <c r="CN38" s="2114"/>
      <c r="CO38" s="2114"/>
      <c r="CP38" s="2114"/>
      <c r="CQ38" s="2114"/>
      <c r="CR38" s="2114"/>
      <c r="CS38" s="2114"/>
      <c r="CT38" s="2117"/>
      <c r="CU38" s="417"/>
      <c r="CV38" s="2116" t="s">
        <v>1369</v>
      </c>
      <c r="CW38" s="2114"/>
      <c r="CX38" s="2117"/>
      <c r="CY38" s="417"/>
      <c r="CZ38" s="2116">
        <v>11</v>
      </c>
      <c r="DA38" s="2117"/>
      <c r="DB38" s="418"/>
      <c r="DC38" s="416"/>
      <c r="DD38" s="2116" t="str">
        <f>'Вывод расчетов'!$CC$9</f>
        <v>Раздел 2</v>
      </c>
      <c r="DE38" s="2114"/>
      <c r="DF38" s="2114"/>
      <c r="DG38" s="417"/>
      <c r="DH38" s="2116" t="str">
        <f>'Вывод расчетов'!$CF$9</f>
        <v>Расчет обмотки статора</v>
      </c>
      <c r="DI38" s="2114"/>
      <c r="DJ38" s="2114"/>
      <c r="DK38" s="2114"/>
      <c r="DL38" s="2114"/>
      <c r="DM38" s="2114"/>
      <c r="DN38" s="2114"/>
      <c r="DO38" s="2114"/>
      <c r="DP38" s="2114"/>
      <c r="DQ38" s="2114"/>
      <c r="DR38" s="2114"/>
      <c r="DS38" s="2117"/>
      <c r="DT38" s="417"/>
      <c r="DU38" s="2116" t="s">
        <v>1369</v>
      </c>
      <c r="DV38" s="2114"/>
      <c r="DW38" s="2117"/>
      <c r="DX38" s="417"/>
      <c r="DY38" s="2116">
        <v>11</v>
      </c>
      <c r="DZ38" s="2117"/>
      <c r="EA38" s="418"/>
      <c r="EB38" s="416"/>
      <c r="EC38" s="2116" t="str">
        <f>'Вывод расчетов'!$CC$9</f>
        <v>Раздел 2</v>
      </c>
      <c r="ED38" s="2114"/>
      <c r="EE38" s="2114"/>
      <c r="EF38" s="417"/>
      <c r="EG38" s="2116" t="str">
        <f>'Вывод расчетов'!$CF$9</f>
        <v>Расчет обмотки статора</v>
      </c>
      <c r="EH38" s="2114"/>
      <c r="EI38" s="2114"/>
      <c r="EJ38" s="2114"/>
      <c r="EK38" s="2114"/>
      <c r="EL38" s="2114"/>
      <c r="EM38" s="2114"/>
      <c r="EN38" s="2114"/>
      <c r="EO38" s="2114"/>
      <c r="EP38" s="2114"/>
      <c r="EQ38" s="2114"/>
      <c r="ER38" s="2117"/>
      <c r="ES38" s="417"/>
      <c r="ET38" s="2116" t="s">
        <v>1369</v>
      </c>
      <c r="EU38" s="2114"/>
      <c r="EV38" s="2117"/>
      <c r="EW38" s="417"/>
      <c r="EX38" s="2116">
        <v>11</v>
      </c>
      <c r="EY38" s="2117"/>
      <c r="EZ38" s="418"/>
      <c r="FA38" s="416"/>
      <c r="FB38" s="2116" t="str">
        <f>'Вывод расчетов'!$CC$9</f>
        <v>Раздел 2</v>
      </c>
      <c r="FC38" s="2114"/>
      <c r="FD38" s="2114"/>
      <c r="FE38" s="417"/>
      <c r="FF38" s="2116" t="str">
        <f>'Вывод расчетов'!$CF$9</f>
        <v>Расчет обмотки статора</v>
      </c>
      <c r="FG38" s="2114"/>
      <c r="FH38" s="2114"/>
      <c r="FI38" s="2114"/>
      <c r="FJ38" s="2114"/>
      <c r="FK38" s="2114"/>
      <c r="FL38" s="2114"/>
      <c r="FM38" s="2114"/>
      <c r="FN38" s="2114"/>
      <c r="FO38" s="2114"/>
      <c r="FP38" s="2114"/>
      <c r="FQ38" s="2117"/>
      <c r="FR38" s="417"/>
      <c r="FS38" s="2116" t="s">
        <v>1369</v>
      </c>
      <c r="FT38" s="2114"/>
      <c r="FU38" s="2117"/>
      <c r="FV38" s="417"/>
      <c r="FW38" s="2116">
        <v>11</v>
      </c>
      <c r="FX38" s="2117"/>
      <c r="FY38" s="418"/>
      <c r="FZ38" s="416"/>
      <c r="GA38" s="2116" t="str">
        <f>'Вывод расчетов'!$CC$9</f>
        <v>Раздел 2</v>
      </c>
      <c r="GB38" s="2114"/>
      <c r="GC38" s="2114"/>
      <c r="GD38" s="417"/>
      <c r="GE38" s="2116" t="str">
        <f>'Вывод расчетов'!$CF$9</f>
        <v>Расчет обмотки статора</v>
      </c>
      <c r="GF38" s="2114"/>
      <c r="GG38" s="2114"/>
      <c r="GH38" s="2114"/>
      <c r="GI38" s="2114"/>
      <c r="GJ38" s="2114"/>
      <c r="GK38" s="2114"/>
      <c r="GL38" s="2114"/>
      <c r="GM38" s="2114"/>
      <c r="GN38" s="2114"/>
      <c r="GO38" s="2114"/>
      <c r="GP38" s="2117"/>
      <c r="GQ38" s="417"/>
      <c r="GR38" s="2116" t="s">
        <v>1369</v>
      </c>
      <c r="GS38" s="2114"/>
      <c r="GT38" s="2117"/>
      <c r="GU38" s="417"/>
      <c r="GV38" s="2116">
        <v>11</v>
      </c>
      <c r="GW38" s="2117"/>
      <c r="GX38" s="418"/>
      <c r="GY38" s="416"/>
      <c r="GZ38" s="2116" t="str">
        <f>'Вывод расчетов'!$CC$9</f>
        <v>Раздел 2</v>
      </c>
      <c r="HA38" s="2114"/>
      <c r="HB38" s="2114"/>
      <c r="HC38" s="417"/>
      <c r="HD38" s="2116" t="str">
        <f>'Вывод расчетов'!$CF$9</f>
        <v>Расчет обмотки статора</v>
      </c>
      <c r="HE38" s="2114"/>
      <c r="HF38" s="2114"/>
      <c r="HG38" s="2114"/>
      <c r="HH38" s="2114"/>
      <c r="HI38" s="2114"/>
      <c r="HJ38" s="2114"/>
      <c r="HK38" s="2114"/>
      <c r="HL38" s="2114"/>
      <c r="HM38" s="2114"/>
      <c r="HN38" s="2114"/>
      <c r="HO38" s="2117"/>
      <c r="HP38" s="417"/>
      <c r="HQ38" s="2116" t="s">
        <v>1369</v>
      </c>
      <c r="HR38" s="2114"/>
      <c r="HS38" s="2117"/>
      <c r="HT38" s="417"/>
      <c r="HU38" s="2116">
        <v>11</v>
      </c>
      <c r="HV38" s="2117"/>
      <c r="HW38" s="418"/>
    </row>
    <row r="39" spans="1:463" ht="24" customHeight="1" thickBot="1">
      <c r="A39" s="2113" t="s">
        <v>1111</v>
      </c>
      <c r="B39" s="2114"/>
      <c r="C39" s="2114"/>
      <c r="D39" s="2114"/>
      <c r="E39" s="2114"/>
      <c r="F39" s="2118"/>
      <c r="G39" s="2118"/>
      <c r="H39" s="2118"/>
      <c r="I39" s="2118"/>
      <c r="J39" s="2118"/>
      <c r="K39" s="2118"/>
      <c r="L39" s="2118"/>
      <c r="M39" s="2118"/>
      <c r="N39" s="2118"/>
      <c r="O39" s="2118"/>
      <c r="P39" s="2118"/>
      <c r="Q39" s="2118"/>
      <c r="R39" s="2118"/>
      <c r="S39" s="2118"/>
      <c r="T39" s="2118"/>
      <c r="U39" s="2118"/>
      <c r="V39" s="2118"/>
      <c r="W39" s="2118"/>
      <c r="X39" s="2114"/>
      <c r="Y39" s="2114"/>
      <c r="Z39" s="2115"/>
      <c r="AA39" s="543"/>
      <c r="AB39" s="543"/>
      <c r="AC39" s="543"/>
      <c r="AD39" s="543"/>
      <c r="AE39" s="543"/>
      <c r="AF39" s="2113" t="s">
        <v>1111</v>
      </c>
      <c r="AG39" s="2114"/>
      <c r="AH39" s="2114"/>
      <c r="AI39" s="2114"/>
      <c r="AJ39" s="2114"/>
      <c r="AK39" s="2114"/>
      <c r="AL39" s="2114"/>
      <c r="AM39" s="2114"/>
      <c r="AN39" s="2114"/>
      <c r="AO39" s="2114"/>
      <c r="AP39" s="2114"/>
      <c r="AQ39" s="2114"/>
      <c r="AR39" s="2114"/>
      <c r="AS39" s="2114"/>
      <c r="AT39" s="2114"/>
      <c r="AU39" s="2114"/>
      <c r="AV39" s="2114"/>
      <c r="AW39" s="2114"/>
      <c r="AX39" s="2114"/>
      <c r="AY39" s="2114"/>
      <c r="AZ39" s="2114"/>
      <c r="BA39" s="2114"/>
      <c r="BB39" s="2114"/>
      <c r="BC39" s="2114"/>
      <c r="BD39" s="2115"/>
      <c r="BE39" s="2113" t="s">
        <v>1111</v>
      </c>
      <c r="BF39" s="2114"/>
      <c r="BG39" s="2114"/>
      <c r="BH39" s="2114"/>
      <c r="BI39" s="2114"/>
      <c r="BJ39" s="2114"/>
      <c r="BK39" s="2114"/>
      <c r="BL39" s="2114"/>
      <c r="BM39" s="2114"/>
      <c r="BN39" s="2114"/>
      <c r="BO39" s="2114"/>
      <c r="BP39" s="2114"/>
      <c r="BQ39" s="2114"/>
      <c r="BR39" s="2114"/>
      <c r="BS39" s="2114"/>
      <c r="BT39" s="2114"/>
      <c r="BU39" s="2114"/>
      <c r="BV39" s="2114"/>
      <c r="BW39" s="2114"/>
      <c r="BX39" s="2114"/>
      <c r="BY39" s="2114"/>
      <c r="BZ39" s="2114"/>
      <c r="CA39" s="2114"/>
      <c r="CB39" s="2114"/>
      <c r="CC39" s="2115"/>
      <c r="CD39" s="2113" t="s">
        <v>1111</v>
      </c>
      <c r="CE39" s="2114"/>
      <c r="CF39" s="2114"/>
      <c r="CG39" s="2114"/>
      <c r="CH39" s="2114"/>
      <c r="CI39" s="2114"/>
      <c r="CJ39" s="2114"/>
      <c r="CK39" s="2114"/>
      <c r="CL39" s="2114"/>
      <c r="CM39" s="2114"/>
      <c r="CN39" s="2114"/>
      <c r="CO39" s="2114"/>
      <c r="CP39" s="2114"/>
      <c r="CQ39" s="2114"/>
      <c r="CR39" s="2114"/>
      <c r="CS39" s="2114"/>
      <c r="CT39" s="2114"/>
      <c r="CU39" s="2114"/>
      <c r="CV39" s="2114"/>
      <c r="CW39" s="2114"/>
      <c r="CX39" s="2114"/>
      <c r="CY39" s="2114"/>
      <c r="CZ39" s="2114"/>
      <c r="DA39" s="2114"/>
      <c r="DB39" s="2115"/>
      <c r="DC39" s="2113" t="s">
        <v>1111</v>
      </c>
      <c r="DD39" s="2114"/>
      <c r="DE39" s="2114"/>
      <c r="DF39" s="2114"/>
      <c r="DG39" s="2114"/>
      <c r="DH39" s="2114"/>
      <c r="DI39" s="2114"/>
      <c r="DJ39" s="2114"/>
      <c r="DK39" s="2114"/>
      <c r="DL39" s="2114"/>
      <c r="DM39" s="2114"/>
      <c r="DN39" s="2114"/>
      <c r="DO39" s="2114"/>
      <c r="DP39" s="2114"/>
      <c r="DQ39" s="2114"/>
      <c r="DR39" s="2114"/>
      <c r="DS39" s="2114"/>
      <c r="DT39" s="2114"/>
      <c r="DU39" s="2114"/>
      <c r="DV39" s="2114"/>
      <c r="DW39" s="2114"/>
      <c r="DX39" s="2114"/>
      <c r="DY39" s="2114"/>
      <c r="DZ39" s="2114"/>
      <c r="EA39" s="2115"/>
      <c r="EB39" s="2113" t="s">
        <v>1111</v>
      </c>
      <c r="EC39" s="2114"/>
      <c r="ED39" s="2114"/>
      <c r="EE39" s="2114"/>
      <c r="EF39" s="2114"/>
      <c r="EG39" s="2114"/>
      <c r="EH39" s="2114"/>
      <c r="EI39" s="2114"/>
      <c r="EJ39" s="2114"/>
      <c r="EK39" s="2114"/>
      <c r="EL39" s="2114"/>
      <c r="EM39" s="2114"/>
      <c r="EN39" s="2114"/>
      <c r="EO39" s="2114"/>
      <c r="EP39" s="2114"/>
      <c r="EQ39" s="2114"/>
      <c r="ER39" s="2114"/>
      <c r="ES39" s="2114"/>
      <c r="ET39" s="2114"/>
      <c r="EU39" s="2114"/>
      <c r="EV39" s="2114"/>
      <c r="EW39" s="2114"/>
      <c r="EX39" s="2114"/>
      <c r="EY39" s="2114"/>
      <c r="EZ39" s="2115"/>
      <c r="FA39" s="2113" t="s">
        <v>1111</v>
      </c>
      <c r="FB39" s="2114"/>
      <c r="FC39" s="2114"/>
      <c r="FD39" s="2114"/>
      <c r="FE39" s="2114"/>
      <c r="FF39" s="2114"/>
      <c r="FG39" s="2114"/>
      <c r="FH39" s="2114"/>
      <c r="FI39" s="2114"/>
      <c r="FJ39" s="2114"/>
      <c r="FK39" s="2114"/>
      <c r="FL39" s="2114"/>
      <c r="FM39" s="2114"/>
      <c r="FN39" s="2114"/>
      <c r="FO39" s="2114"/>
      <c r="FP39" s="2114"/>
      <c r="FQ39" s="2114"/>
      <c r="FR39" s="2114"/>
      <c r="FS39" s="2114"/>
      <c r="FT39" s="2114"/>
      <c r="FU39" s="2114"/>
      <c r="FV39" s="2114"/>
      <c r="FW39" s="2114"/>
      <c r="FX39" s="2114"/>
      <c r="FY39" s="2115"/>
      <c r="FZ39" s="2113" t="s">
        <v>1111</v>
      </c>
      <c r="GA39" s="2114"/>
      <c r="GB39" s="2114"/>
      <c r="GC39" s="2114"/>
      <c r="GD39" s="2114"/>
      <c r="GE39" s="2114"/>
      <c r="GF39" s="2114"/>
      <c r="GG39" s="2114"/>
      <c r="GH39" s="2114"/>
      <c r="GI39" s="2114"/>
      <c r="GJ39" s="2114"/>
      <c r="GK39" s="2114"/>
      <c r="GL39" s="2114"/>
      <c r="GM39" s="2114"/>
      <c r="GN39" s="2114"/>
      <c r="GO39" s="2114"/>
      <c r="GP39" s="2114"/>
      <c r="GQ39" s="2114"/>
      <c r="GR39" s="2114"/>
      <c r="GS39" s="2114"/>
      <c r="GT39" s="2114"/>
      <c r="GU39" s="2114"/>
      <c r="GV39" s="2114"/>
      <c r="GW39" s="2114"/>
      <c r="GX39" s="2115"/>
      <c r="GY39" s="2113" t="s">
        <v>1111</v>
      </c>
      <c r="GZ39" s="2114"/>
      <c r="HA39" s="2114"/>
      <c r="HB39" s="2114"/>
      <c r="HC39" s="2114"/>
      <c r="HD39" s="2114"/>
      <c r="HE39" s="2114"/>
      <c r="HF39" s="2114"/>
      <c r="HG39" s="2114"/>
      <c r="HH39" s="2114"/>
      <c r="HI39" s="2114"/>
      <c r="HJ39" s="2114"/>
      <c r="HK39" s="2114"/>
      <c r="HL39" s="2114"/>
      <c r="HM39" s="2114"/>
      <c r="HN39" s="2114"/>
      <c r="HO39" s="2114"/>
      <c r="HP39" s="2114"/>
      <c r="HQ39" s="2114"/>
      <c r="HR39" s="2114"/>
      <c r="HS39" s="2114"/>
      <c r="HT39" s="2114"/>
      <c r="HU39" s="2114"/>
      <c r="HV39" s="2114"/>
      <c r="HW39" s="2115"/>
    </row>
    <row r="40" spans="1:463" ht="24" customHeight="1">
      <c r="A40" s="409"/>
      <c r="B40" s="410"/>
      <c r="C40" s="410"/>
      <c r="D40" s="410"/>
      <c r="E40" s="410"/>
      <c r="F40" s="410"/>
      <c r="G40" s="410"/>
      <c r="H40" s="410"/>
      <c r="I40" s="410"/>
      <c r="J40" s="410"/>
      <c r="K40" s="410"/>
      <c r="L40" s="410"/>
      <c r="M40" s="410"/>
      <c r="N40" s="410"/>
      <c r="O40" s="410"/>
      <c r="P40" s="410"/>
      <c r="Q40" s="410"/>
      <c r="R40" s="410"/>
      <c r="S40" s="410"/>
      <c r="T40" s="410"/>
      <c r="U40" s="410"/>
      <c r="V40" s="410"/>
      <c r="W40" s="410"/>
      <c r="X40" s="410"/>
      <c r="Y40" s="410"/>
      <c r="Z40" s="419"/>
      <c r="AA40" s="410"/>
      <c r="AB40" s="410"/>
      <c r="AC40" s="410"/>
      <c r="AD40" s="410"/>
      <c r="AE40" s="410"/>
      <c r="AF40" s="409"/>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9"/>
      <c r="BE40" s="409"/>
      <c r="BF40" s="410"/>
      <c r="BG40" s="410"/>
      <c r="BH40" s="410"/>
      <c r="BI40" s="410"/>
      <c r="BJ40" s="410"/>
      <c r="BK40" s="410"/>
      <c r="BL40" s="410"/>
      <c r="BM40" s="410"/>
      <c r="BN40" s="410"/>
      <c r="BO40" s="410"/>
      <c r="BP40" s="410"/>
      <c r="BQ40" s="410"/>
      <c r="BR40" s="410"/>
      <c r="BS40" s="410"/>
      <c r="BT40" s="410"/>
      <c r="BU40" s="410"/>
      <c r="BV40" s="410"/>
      <c r="BW40" s="410"/>
      <c r="BX40" s="410"/>
      <c r="BY40" s="410"/>
      <c r="BZ40" s="410"/>
      <c r="CA40" s="410"/>
      <c r="CB40" s="410"/>
      <c r="CC40" s="419"/>
      <c r="CD40" s="409"/>
      <c r="CE40" s="410"/>
      <c r="CF40" s="410"/>
      <c r="CG40" s="410"/>
      <c r="CH40" s="410"/>
      <c r="CI40" s="410"/>
      <c r="CJ40" s="410"/>
      <c r="CK40" s="410"/>
      <c r="CL40" s="410"/>
      <c r="CM40" s="410"/>
      <c r="CN40" s="410"/>
      <c r="CO40" s="410"/>
      <c r="CP40" s="410"/>
      <c r="CQ40" s="410"/>
      <c r="CR40" s="410"/>
      <c r="CS40" s="410"/>
      <c r="CT40" s="410"/>
      <c r="CU40" s="410"/>
      <c r="CV40" s="410"/>
      <c r="CW40" s="410"/>
      <c r="CX40" s="410"/>
      <c r="CY40" s="410"/>
      <c r="CZ40" s="410"/>
      <c r="DA40" s="410"/>
      <c r="DB40" s="419"/>
      <c r="DC40" s="409"/>
      <c r="DD40" s="410"/>
      <c r="DE40" s="410"/>
      <c r="DF40" s="410"/>
      <c r="DG40" s="410"/>
      <c r="DH40" s="410"/>
      <c r="DI40" s="410"/>
      <c r="DJ40" s="410"/>
      <c r="DK40" s="410"/>
      <c r="DL40" s="410"/>
      <c r="DM40" s="410"/>
      <c r="DN40" s="410"/>
      <c r="DO40" s="410"/>
      <c r="DP40" s="410"/>
      <c r="DQ40" s="410"/>
      <c r="DR40" s="410"/>
      <c r="DS40" s="410"/>
      <c r="DT40" s="410"/>
      <c r="DU40" s="410"/>
      <c r="DV40" s="410"/>
      <c r="DW40" s="410"/>
      <c r="DX40" s="410"/>
      <c r="DY40" s="410"/>
      <c r="DZ40" s="410"/>
      <c r="EA40" s="419"/>
      <c r="EB40" s="409"/>
      <c r="EC40" s="410"/>
      <c r="ED40" s="410"/>
      <c r="EE40" s="410"/>
      <c r="EF40" s="410"/>
      <c r="EG40" s="410"/>
      <c r="EH40" s="410"/>
      <c r="EI40" s="410"/>
      <c r="EJ40" s="410"/>
      <c r="EK40" s="410"/>
      <c r="EL40" s="410"/>
      <c r="EM40" s="410"/>
      <c r="EN40" s="410"/>
      <c r="EO40" s="410"/>
      <c r="EP40" s="410"/>
      <c r="EQ40" s="410"/>
      <c r="ER40" s="410"/>
      <c r="ES40" s="410"/>
      <c r="ET40" s="410"/>
      <c r="EU40" s="410"/>
      <c r="EV40" s="410"/>
      <c r="EW40" s="410"/>
      <c r="EX40" s="410"/>
      <c r="EY40" s="410"/>
      <c r="EZ40" s="419"/>
      <c r="FA40" s="409"/>
      <c r="FB40" s="410"/>
      <c r="FC40" s="410"/>
      <c r="FD40" s="410"/>
      <c r="FE40" s="410"/>
      <c r="FF40" s="410"/>
      <c r="FG40" s="410"/>
      <c r="FH40" s="410"/>
      <c r="FI40" s="410"/>
      <c r="FJ40" s="410"/>
      <c r="FK40" s="410"/>
      <c r="FL40" s="410"/>
      <c r="FM40" s="410"/>
      <c r="FN40" s="410"/>
      <c r="FO40" s="410"/>
      <c r="FP40" s="410"/>
      <c r="FQ40" s="410"/>
      <c r="FR40" s="410"/>
      <c r="FS40" s="410"/>
      <c r="FT40" s="410"/>
      <c r="FU40" s="410"/>
      <c r="FV40" s="410"/>
      <c r="FW40" s="410"/>
      <c r="FX40" s="410"/>
      <c r="FY40" s="419"/>
      <c r="FZ40" s="409"/>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9"/>
      <c r="GY40" s="409"/>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419"/>
    </row>
    <row r="41" spans="1:463" ht="24" customHeight="1">
      <c r="A41" s="411"/>
      <c r="B41" s="40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12"/>
      <c r="AA41" s="408"/>
      <c r="AB41" s="408"/>
      <c r="AC41" s="408"/>
      <c r="AD41" s="408"/>
      <c r="AE41" s="408"/>
      <c r="AF41" s="411"/>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12"/>
      <c r="BE41" s="411"/>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12"/>
      <c r="CD41" s="411"/>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12"/>
      <c r="DC41" s="411"/>
      <c r="DD41" s="408"/>
      <c r="DE41" s="408"/>
      <c r="DF41" s="408"/>
      <c r="DG41" s="408"/>
      <c r="DH41" s="408"/>
      <c r="DI41" s="408"/>
      <c r="DJ41" s="408"/>
      <c r="DK41" s="408"/>
      <c r="DL41" s="408"/>
      <c r="DM41" s="408"/>
      <c r="DN41" s="408"/>
      <c r="DO41" s="408"/>
      <c r="DP41" s="408"/>
      <c r="DQ41" s="408"/>
      <c r="DR41" s="408"/>
      <c r="DS41" s="408"/>
      <c r="DT41" s="408"/>
      <c r="DU41" s="408"/>
      <c r="DV41" s="408"/>
      <c r="DW41" s="408"/>
      <c r="DX41" s="408"/>
      <c r="DY41" s="408"/>
      <c r="DZ41" s="408"/>
      <c r="EA41" s="412"/>
      <c r="EB41" s="411"/>
      <c r="EC41" s="408"/>
      <c r="ED41" s="408"/>
      <c r="EE41" s="408"/>
      <c r="EF41" s="408"/>
      <c r="EG41" s="408"/>
      <c r="EH41" s="408"/>
      <c r="EI41" s="408"/>
      <c r="EJ41" s="408"/>
      <c r="EK41" s="408"/>
      <c r="EL41" s="408"/>
      <c r="EM41" s="408"/>
      <c r="EN41" s="408"/>
      <c r="EO41" s="408"/>
      <c r="EP41" s="408"/>
      <c r="EQ41" s="408"/>
      <c r="ER41" s="408"/>
      <c r="ES41" s="408"/>
      <c r="ET41" s="408"/>
      <c r="EU41" s="408"/>
      <c r="EV41" s="408"/>
      <c r="EW41" s="408"/>
      <c r="EX41" s="408"/>
      <c r="EY41" s="408"/>
      <c r="EZ41" s="412"/>
      <c r="FA41" s="411"/>
      <c r="FB41" s="408"/>
      <c r="FC41" s="408"/>
      <c r="FD41" s="408"/>
      <c r="FE41" s="408"/>
      <c r="FF41" s="408"/>
      <c r="FG41" s="408"/>
      <c r="FH41" s="408"/>
      <c r="FI41" s="408"/>
      <c r="FJ41" s="408"/>
      <c r="FK41" s="408"/>
      <c r="FL41" s="408"/>
      <c r="FM41" s="408"/>
      <c r="FN41" s="408"/>
      <c r="FO41" s="408"/>
      <c r="FP41" s="408"/>
      <c r="FQ41" s="408"/>
      <c r="FR41" s="408"/>
      <c r="FS41" s="408"/>
      <c r="FT41" s="408"/>
      <c r="FU41" s="408"/>
      <c r="FV41" s="408"/>
      <c r="FW41" s="408"/>
      <c r="FX41" s="408"/>
      <c r="FY41" s="412"/>
      <c r="FZ41" s="411"/>
      <c r="GA41" s="408"/>
      <c r="GB41" s="408"/>
      <c r="GC41" s="408"/>
      <c r="GD41" s="408"/>
      <c r="GE41" s="408"/>
      <c r="GF41" s="408"/>
      <c r="GG41" s="408"/>
      <c r="GH41" s="408"/>
      <c r="GI41" s="408"/>
      <c r="GJ41" s="408"/>
      <c r="GK41" s="408"/>
      <c r="GL41" s="408"/>
      <c r="GM41" s="408"/>
      <c r="GN41" s="408"/>
      <c r="GO41" s="408"/>
      <c r="GP41" s="408"/>
      <c r="GQ41" s="408"/>
      <c r="GR41" s="408"/>
      <c r="GS41" s="408"/>
      <c r="GT41" s="408"/>
      <c r="GU41" s="408"/>
      <c r="GV41" s="408"/>
      <c r="GW41" s="408"/>
      <c r="GX41" s="412"/>
      <c r="GY41" s="411"/>
      <c r="GZ41" s="408"/>
      <c r="HA41" s="408"/>
      <c r="HB41" s="408"/>
      <c r="HC41" s="408"/>
      <c r="HD41" s="408"/>
      <c r="HE41" s="408"/>
      <c r="HF41" s="408"/>
      <c r="HG41" s="408"/>
      <c r="HH41" s="408"/>
      <c r="HI41" s="408"/>
      <c r="HJ41" s="408"/>
      <c r="HK41" s="408"/>
      <c r="HL41" s="408"/>
      <c r="HM41" s="408"/>
      <c r="HN41" s="408"/>
      <c r="HO41" s="408"/>
      <c r="HP41" s="408"/>
      <c r="HQ41" s="408"/>
      <c r="HR41" s="408"/>
      <c r="HS41" s="408"/>
      <c r="HT41" s="408"/>
      <c r="HU41" s="408"/>
      <c r="HV41" s="408"/>
      <c r="HW41" s="412"/>
    </row>
    <row r="42" spans="1:463" ht="24" customHeight="1">
      <c r="A42" s="41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12"/>
      <c r="AA42" s="408"/>
      <c r="AB42" s="408"/>
      <c r="AC42" s="408"/>
      <c r="AD42" s="408"/>
      <c r="AE42" s="408"/>
      <c r="AF42" s="411"/>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12"/>
      <c r="BE42" s="411"/>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12"/>
      <c r="CD42" s="411"/>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12"/>
      <c r="DC42" s="411"/>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12"/>
      <c r="EB42" s="411"/>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12"/>
      <c r="FA42" s="411"/>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12"/>
      <c r="FZ42" s="411"/>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12"/>
      <c r="GY42" s="411"/>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12"/>
    </row>
    <row r="43" spans="1:463" ht="24" customHeight="1">
      <c r="A43" s="411"/>
      <c r="B43" s="40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12"/>
      <c r="AA43" s="408"/>
      <c r="AB43" s="408"/>
      <c r="AC43" s="408"/>
      <c r="AD43" s="408"/>
      <c r="AE43" s="408"/>
      <c r="AF43" s="411"/>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12"/>
      <c r="BE43" s="411"/>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12"/>
      <c r="CD43" s="411"/>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12"/>
      <c r="DC43" s="411"/>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12"/>
      <c r="EB43" s="411"/>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12"/>
      <c r="FA43" s="411"/>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12"/>
      <c r="FZ43" s="411"/>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12"/>
      <c r="GY43" s="411"/>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12"/>
    </row>
    <row r="44" spans="1:463" ht="24" customHeight="1">
      <c r="A44" s="411"/>
      <c r="B44" s="40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12"/>
      <c r="AA44" s="408"/>
      <c r="AB44" s="408"/>
      <c r="AC44" s="408"/>
      <c r="AD44" s="408"/>
      <c r="AE44" s="408"/>
      <c r="AF44" s="411"/>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12"/>
      <c r="BE44" s="411"/>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12"/>
      <c r="CD44" s="411"/>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12"/>
      <c r="DC44" s="411"/>
      <c r="DD44" s="408"/>
      <c r="DE44" s="408"/>
      <c r="DF44" s="408"/>
      <c r="DG44" s="408"/>
      <c r="DH44" s="408"/>
      <c r="DI44" s="408"/>
      <c r="DJ44" s="408"/>
      <c r="DK44" s="408"/>
      <c r="DL44" s="408"/>
      <c r="DM44" s="408"/>
      <c r="DN44" s="408"/>
      <c r="DO44" s="408"/>
      <c r="DP44" s="408"/>
      <c r="DQ44" s="408"/>
      <c r="DR44" s="408"/>
      <c r="DS44" s="408"/>
      <c r="DT44" s="408"/>
      <c r="DU44" s="408"/>
      <c r="DV44" s="408"/>
      <c r="DW44" s="408"/>
      <c r="DX44" s="408"/>
      <c r="DY44" s="408"/>
      <c r="DZ44" s="408"/>
      <c r="EA44" s="412"/>
      <c r="EB44" s="411"/>
      <c r="EC44" s="408"/>
      <c r="ED44" s="408"/>
      <c r="EE44" s="408"/>
      <c r="EF44" s="408"/>
      <c r="EG44" s="408"/>
      <c r="EH44" s="408"/>
      <c r="EI44" s="408"/>
      <c r="EJ44" s="408"/>
      <c r="EK44" s="408"/>
      <c r="EL44" s="408"/>
      <c r="EM44" s="408"/>
      <c r="EN44" s="408"/>
      <c r="EO44" s="408"/>
      <c r="EP44" s="408"/>
      <c r="EQ44" s="408"/>
      <c r="ER44" s="408"/>
      <c r="ES44" s="408"/>
      <c r="ET44" s="408"/>
      <c r="EU44" s="408"/>
      <c r="EV44" s="408"/>
      <c r="EW44" s="408"/>
      <c r="EX44" s="408"/>
      <c r="EY44" s="408"/>
      <c r="EZ44" s="412"/>
      <c r="FA44" s="411"/>
      <c r="FB44" s="408"/>
      <c r="FC44" s="408"/>
      <c r="FD44" s="408"/>
      <c r="FE44" s="408"/>
      <c r="FF44" s="408"/>
      <c r="FG44" s="408"/>
      <c r="FH44" s="408"/>
      <c r="FI44" s="408"/>
      <c r="FJ44" s="408"/>
      <c r="FK44" s="408"/>
      <c r="FL44" s="408"/>
      <c r="FM44" s="408"/>
      <c r="FN44" s="408"/>
      <c r="FO44" s="408"/>
      <c r="FP44" s="408"/>
      <c r="FQ44" s="408"/>
      <c r="FR44" s="408"/>
      <c r="FS44" s="408"/>
      <c r="FT44" s="408"/>
      <c r="FU44" s="408"/>
      <c r="FV44" s="408"/>
      <c r="FW44" s="408"/>
      <c r="FX44" s="408"/>
      <c r="FY44" s="412"/>
      <c r="FZ44" s="411"/>
      <c r="GA44" s="408"/>
      <c r="GB44" s="408"/>
      <c r="GC44" s="408"/>
      <c r="GD44" s="408"/>
      <c r="GE44" s="408"/>
      <c r="GF44" s="408"/>
      <c r="GG44" s="408"/>
      <c r="GH44" s="408"/>
      <c r="GI44" s="408"/>
      <c r="GJ44" s="408"/>
      <c r="GK44" s="408"/>
      <c r="GL44" s="408"/>
      <c r="GM44" s="408"/>
      <c r="GN44" s="408"/>
      <c r="GO44" s="408"/>
      <c r="GP44" s="408"/>
      <c r="GQ44" s="408"/>
      <c r="GR44" s="408"/>
      <c r="GS44" s="408"/>
      <c r="GT44" s="408"/>
      <c r="GU44" s="408"/>
      <c r="GV44" s="408"/>
      <c r="GW44" s="408"/>
      <c r="GX44" s="412"/>
      <c r="GY44" s="411"/>
      <c r="GZ44" s="408"/>
      <c r="HA44" s="408"/>
      <c r="HB44" s="408"/>
      <c r="HC44" s="408"/>
      <c r="HD44" s="408"/>
      <c r="HE44" s="408"/>
      <c r="HF44" s="408"/>
      <c r="HG44" s="408"/>
      <c r="HH44" s="408"/>
      <c r="HI44" s="408"/>
      <c r="HJ44" s="408"/>
      <c r="HK44" s="408"/>
      <c r="HL44" s="408"/>
      <c r="HM44" s="408"/>
      <c r="HN44" s="408"/>
      <c r="HO44" s="408"/>
      <c r="HP44" s="408"/>
      <c r="HQ44" s="408"/>
      <c r="HR44" s="408"/>
      <c r="HS44" s="408"/>
      <c r="HT44" s="408"/>
      <c r="HU44" s="408"/>
      <c r="HV44" s="408"/>
      <c r="HW44" s="412"/>
    </row>
    <row r="45" spans="1:463" ht="24" customHeight="1">
      <c r="A45" s="411"/>
      <c r="B45" s="40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12"/>
      <c r="AA45" s="408"/>
      <c r="AB45" s="408"/>
      <c r="AC45" s="408"/>
      <c r="AD45" s="408"/>
      <c r="AE45" s="408"/>
      <c r="AF45" s="411"/>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12"/>
      <c r="BE45" s="411"/>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12"/>
      <c r="CD45" s="411"/>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12"/>
      <c r="DC45" s="411"/>
      <c r="DD45" s="408"/>
      <c r="DE45" s="408"/>
      <c r="DF45" s="408"/>
      <c r="DG45" s="408"/>
      <c r="DH45" s="408"/>
      <c r="DI45" s="408"/>
      <c r="DJ45" s="408"/>
      <c r="DK45" s="408"/>
      <c r="DL45" s="408"/>
      <c r="DM45" s="408"/>
      <c r="DN45" s="408"/>
      <c r="DO45" s="408"/>
      <c r="DP45" s="408"/>
      <c r="DQ45" s="408"/>
      <c r="DR45" s="408"/>
      <c r="DS45" s="408"/>
      <c r="DT45" s="408"/>
      <c r="DU45" s="408"/>
      <c r="DV45" s="408"/>
      <c r="DW45" s="408"/>
      <c r="DX45" s="408"/>
      <c r="DY45" s="408"/>
      <c r="DZ45" s="408"/>
      <c r="EA45" s="412"/>
      <c r="EB45" s="411"/>
      <c r="EC45" s="408"/>
      <c r="ED45" s="408"/>
      <c r="EE45" s="408"/>
      <c r="EF45" s="408"/>
      <c r="EG45" s="408"/>
      <c r="EH45" s="408"/>
      <c r="EI45" s="408"/>
      <c r="EJ45" s="408"/>
      <c r="EK45" s="408"/>
      <c r="EL45" s="408"/>
      <c r="EM45" s="408"/>
      <c r="EN45" s="408"/>
      <c r="EO45" s="408"/>
      <c r="EP45" s="408"/>
      <c r="EQ45" s="408"/>
      <c r="ER45" s="408"/>
      <c r="ES45" s="408"/>
      <c r="ET45" s="408"/>
      <c r="EU45" s="408"/>
      <c r="EV45" s="408"/>
      <c r="EW45" s="408"/>
      <c r="EX45" s="408"/>
      <c r="EY45" s="408"/>
      <c r="EZ45" s="412"/>
      <c r="FA45" s="411"/>
      <c r="FB45" s="408"/>
      <c r="FC45" s="408"/>
      <c r="FD45" s="408"/>
      <c r="FE45" s="408"/>
      <c r="FF45" s="408"/>
      <c r="FG45" s="408"/>
      <c r="FH45" s="408"/>
      <c r="FI45" s="408"/>
      <c r="FJ45" s="408"/>
      <c r="FK45" s="408"/>
      <c r="FL45" s="408"/>
      <c r="FM45" s="408"/>
      <c r="FN45" s="408"/>
      <c r="FO45" s="408"/>
      <c r="FP45" s="408"/>
      <c r="FQ45" s="408"/>
      <c r="FR45" s="408"/>
      <c r="FS45" s="408"/>
      <c r="FT45" s="408"/>
      <c r="FU45" s="408"/>
      <c r="FV45" s="408"/>
      <c r="FW45" s="408"/>
      <c r="FX45" s="408"/>
      <c r="FY45" s="412"/>
      <c r="FZ45" s="411"/>
      <c r="GA45" s="408"/>
      <c r="GB45" s="408"/>
      <c r="GC45" s="408"/>
      <c r="GD45" s="408"/>
      <c r="GE45" s="408"/>
      <c r="GF45" s="408"/>
      <c r="GG45" s="408"/>
      <c r="GH45" s="408"/>
      <c r="GI45" s="408"/>
      <c r="GJ45" s="408"/>
      <c r="GK45" s="408"/>
      <c r="GL45" s="408"/>
      <c r="GM45" s="408"/>
      <c r="GN45" s="408"/>
      <c r="GO45" s="408"/>
      <c r="GP45" s="408"/>
      <c r="GQ45" s="408"/>
      <c r="GR45" s="408"/>
      <c r="GS45" s="408"/>
      <c r="GT45" s="408"/>
      <c r="GU45" s="408"/>
      <c r="GV45" s="408"/>
      <c r="GW45" s="408"/>
      <c r="GX45" s="412"/>
      <c r="GY45" s="411"/>
      <c r="GZ45" s="408"/>
      <c r="HA45" s="408"/>
      <c r="HB45" s="408"/>
      <c r="HC45" s="408"/>
      <c r="HD45" s="408"/>
      <c r="HE45" s="408"/>
      <c r="HF45" s="408"/>
      <c r="HG45" s="408"/>
      <c r="HH45" s="408"/>
      <c r="HI45" s="408"/>
      <c r="HJ45" s="408"/>
      <c r="HK45" s="408"/>
      <c r="HL45" s="408"/>
      <c r="HM45" s="408"/>
      <c r="HN45" s="408"/>
      <c r="HO45" s="408"/>
      <c r="HP45" s="408"/>
      <c r="HQ45" s="408"/>
      <c r="HR45" s="408"/>
      <c r="HS45" s="408"/>
      <c r="HT45" s="408"/>
      <c r="HU45" s="408"/>
      <c r="HV45" s="408"/>
      <c r="HW45" s="412"/>
    </row>
    <row r="46" spans="1:463" ht="24" customHeight="1" thickBot="1">
      <c r="A46" s="411"/>
      <c r="B46" s="40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12"/>
      <c r="AA46" s="408"/>
      <c r="AB46" s="408"/>
      <c r="AC46" s="408"/>
      <c r="AD46" s="408"/>
      <c r="AE46" s="408"/>
      <c r="AF46" s="411"/>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12"/>
      <c r="BE46" s="411"/>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12"/>
      <c r="CD46" s="411"/>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12"/>
      <c r="DC46" s="411"/>
      <c r="DD46" s="408"/>
      <c r="DE46" s="408"/>
      <c r="DF46" s="408"/>
      <c r="DG46" s="408"/>
      <c r="DH46" s="408"/>
      <c r="DI46" s="408"/>
      <c r="DJ46" s="408"/>
      <c r="DK46" s="408"/>
      <c r="DL46" s="408"/>
      <c r="DM46" s="408"/>
      <c r="DN46" s="408"/>
      <c r="DO46" s="408"/>
      <c r="DP46" s="408"/>
      <c r="DQ46" s="408"/>
      <c r="DR46" s="408"/>
      <c r="DS46" s="408"/>
      <c r="DT46" s="408"/>
      <c r="DU46" s="408"/>
      <c r="DV46" s="408"/>
      <c r="DW46" s="408"/>
      <c r="DX46" s="408"/>
      <c r="DY46" s="408"/>
      <c r="DZ46" s="408"/>
      <c r="EA46" s="412"/>
      <c r="EB46" s="411"/>
      <c r="EC46" s="408"/>
      <c r="ED46" s="408"/>
      <c r="EE46" s="408"/>
      <c r="EF46" s="408"/>
      <c r="EG46" s="408"/>
      <c r="EH46" s="408"/>
      <c r="EI46" s="408"/>
      <c r="EJ46" s="408"/>
      <c r="EK46" s="408"/>
      <c r="EL46" s="408"/>
      <c r="EM46" s="408"/>
      <c r="EN46" s="408"/>
      <c r="EO46" s="408"/>
      <c r="EP46" s="408"/>
      <c r="EQ46" s="408"/>
      <c r="ER46" s="408"/>
      <c r="ES46" s="408"/>
      <c r="ET46" s="408"/>
      <c r="EU46" s="408"/>
      <c r="EV46" s="408"/>
      <c r="EW46" s="408"/>
      <c r="EX46" s="408"/>
      <c r="EY46" s="408"/>
      <c r="EZ46" s="412"/>
      <c r="FA46" s="411"/>
      <c r="FB46" s="408"/>
      <c r="FC46" s="408"/>
      <c r="FD46" s="408"/>
      <c r="FE46" s="408"/>
      <c r="FF46" s="408"/>
      <c r="FG46" s="408"/>
      <c r="FH46" s="408"/>
      <c r="FI46" s="408"/>
      <c r="FJ46" s="408"/>
      <c r="FK46" s="408"/>
      <c r="FL46" s="408"/>
      <c r="FM46" s="408"/>
      <c r="FN46" s="408"/>
      <c r="FO46" s="408"/>
      <c r="FP46" s="408"/>
      <c r="FQ46" s="408"/>
      <c r="FR46" s="408"/>
      <c r="FS46" s="408"/>
      <c r="FT46" s="408"/>
      <c r="FU46" s="408"/>
      <c r="FV46" s="408"/>
      <c r="FW46" s="408"/>
      <c r="FX46" s="408"/>
      <c r="FY46" s="412"/>
      <c r="FZ46" s="411"/>
      <c r="GA46" s="408"/>
      <c r="GB46" s="408"/>
      <c r="GC46" s="408"/>
      <c r="GD46" s="408"/>
      <c r="GE46" s="408"/>
      <c r="GF46" s="408"/>
      <c r="GG46" s="408"/>
      <c r="GH46" s="408"/>
      <c r="GI46" s="408"/>
      <c r="GJ46" s="408"/>
      <c r="GK46" s="408"/>
      <c r="GL46" s="408"/>
      <c r="GM46" s="408"/>
      <c r="GN46" s="408"/>
      <c r="GO46" s="408"/>
      <c r="GP46" s="408"/>
      <c r="GQ46" s="408"/>
      <c r="GR46" s="408"/>
      <c r="GS46" s="408"/>
      <c r="GT46" s="408"/>
      <c r="GU46" s="408"/>
      <c r="GV46" s="408"/>
      <c r="GW46" s="408"/>
      <c r="GX46" s="412"/>
      <c r="GY46" s="411"/>
      <c r="GZ46" s="408"/>
      <c r="HA46" s="408"/>
      <c r="HB46" s="408"/>
      <c r="HC46" s="408"/>
      <c r="HD46" s="408"/>
      <c r="HE46" s="408"/>
      <c r="HF46" s="408"/>
      <c r="HG46" s="408"/>
      <c r="HH46" s="408"/>
      <c r="HI46" s="408"/>
      <c r="HJ46" s="408"/>
      <c r="HK46" s="408"/>
      <c r="HL46" s="408"/>
      <c r="HM46" s="408"/>
      <c r="HN46" s="408"/>
      <c r="HO46" s="408"/>
      <c r="HP46" s="408"/>
      <c r="HQ46" s="408"/>
      <c r="HR46" s="408"/>
      <c r="HS46" s="408"/>
      <c r="HT46" s="408"/>
      <c r="HU46" s="408"/>
      <c r="HV46" s="408"/>
      <c r="HW46" s="412"/>
    </row>
    <row r="47" spans="1:463" ht="24" customHeight="1" thickBot="1">
      <c r="A47" s="411"/>
      <c r="B47" s="40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12"/>
      <c r="AA47" s="408"/>
      <c r="AB47" s="408"/>
      <c r="AC47" s="408"/>
      <c r="AD47" s="408"/>
      <c r="AE47" s="408"/>
      <c r="AF47" s="411"/>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12"/>
      <c r="BE47" s="411"/>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12"/>
      <c r="CD47" s="411"/>
      <c r="CE47" s="408"/>
      <c r="CF47" s="408"/>
      <c r="CG47" s="408"/>
      <c r="CH47" s="408"/>
      <c r="CI47" s="408"/>
      <c r="CJ47" s="408"/>
      <c r="CK47" s="408"/>
      <c r="CL47" s="408"/>
      <c r="CM47" s="408"/>
      <c r="CN47" s="408"/>
      <c r="CO47" s="408"/>
      <c r="CP47" s="408"/>
      <c r="CQ47" s="408"/>
      <c r="CR47" s="408"/>
      <c r="CS47" s="408"/>
      <c r="CT47" s="408"/>
      <c r="CU47" s="408"/>
      <c r="CV47" s="408"/>
      <c r="CW47" s="408"/>
      <c r="CX47" s="408"/>
      <c r="CY47" s="408"/>
      <c r="CZ47" s="408"/>
      <c r="DA47" s="408"/>
      <c r="DB47" s="412"/>
      <c r="DC47" s="411"/>
      <c r="DD47" s="408"/>
      <c r="DE47" s="408"/>
      <c r="DF47" s="408"/>
      <c r="DG47" s="408"/>
      <c r="DH47" s="408"/>
      <c r="DI47" s="408"/>
      <c r="DJ47" s="408"/>
      <c r="DK47" s="408"/>
      <c r="DL47" s="408"/>
      <c r="DM47" s="408"/>
      <c r="DN47" s="408"/>
      <c r="DO47" s="408"/>
      <c r="DP47" s="408"/>
      <c r="DQ47" s="408"/>
      <c r="DR47" s="408"/>
      <c r="DS47" s="408"/>
      <c r="DT47" s="408"/>
      <c r="DU47" s="408"/>
      <c r="DV47" s="408"/>
      <c r="DW47" s="408"/>
      <c r="DX47" s="408"/>
      <c r="DY47" s="408"/>
      <c r="DZ47" s="408"/>
      <c r="EA47" s="412"/>
      <c r="EB47" s="411"/>
      <c r="EC47" s="408"/>
      <c r="ED47" s="408"/>
      <c r="EE47" s="408"/>
      <c r="EF47" s="408"/>
      <c r="EG47" s="408"/>
      <c r="EH47" s="408"/>
      <c r="EI47" s="408"/>
      <c r="EJ47" s="408"/>
      <c r="EK47" s="408"/>
      <c r="EL47" s="408"/>
      <c r="EM47" s="408"/>
      <c r="EN47" s="408"/>
      <c r="EO47" s="408"/>
      <c r="EP47" s="408"/>
      <c r="EQ47" s="408"/>
      <c r="ER47" s="408"/>
      <c r="ES47" s="408"/>
      <c r="ET47" s="408"/>
      <c r="EU47" s="408"/>
      <c r="EV47" s="408"/>
      <c r="EW47" s="408"/>
      <c r="EX47" s="408"/>
      <c r="EY47" s="408"/>
      <c r="EZ47" s="412"/>
      <c r="FA47" s="411"/>
      <c r="FB47" s="408"/>
      <c r="FC47" s="408"/>
      <c r="FD47" s="408"/>
      <c r="FE47" s="408"/>
      <c r="FF47" s="408"/>
      <c r="FG47" s="408"/>
      <c r="FH47" s="408"/>
      <c r="FI47" s="408"/>
      <c r="FJ47" s="408"/>
      <c r="FK47" s="408"/>
      <c r="FL47" s="408"/>
      <c r="FM47" s="408"/>
      <c r="FN47" s="408"/>
      <c r="FO47" s="408"/>
      <c r="FP47" s="408"/>
      <c r="FQ47" s="408"/>
      <c r="FR47" s="408"/>
      <c r="FS47" s="408"/>
      <c r="FT47" s="408"/>
      <c r="FU47" s="408"/>
      <c r="FV47" s="408"/>
      <c r="FW47" s="408"/>
      <c r="FX47" s="408"/>
      <c r="FY47" s="412"/>
      <c r="FZ47" s="411"/>
      <c r="GA47" s="408"/>
      <c r="GB47" s="408"/>
      <c r="GC47" s="408"/>
      <c r="GD47" s="408"/>
      <c r="GE47" s="408"/>
      <c r="GF47" s="408"/>
      <c r="GG47" s="408"/>
      <c r="GH47" s="408"/>
      <c r="GI47" s="408"/>
      <c r="GJ47" s="408"/>
      <c r="GK47" s="408"/>
      <c r="GL47" s="408"/>
      <c r="GM47" s="408"/>
      <c r="GN47" s="408"/>
      <c r="GO47" s="408"/>
      <c r="GP47" s="408"/>
      <c r="GQ47" s="408"/>
      <c r="GR47" s="408"/>
      <c r="GS47" s="408"/>
      <c r="GT47" s="408"/>
      <c r="GU47" s="408"/>
      <c r="GV47" s="408"/>
      <c r="GW47" s="408"/>
      <c r="GX47" s="412"/>
      <c r="GY47" s="411"/>
      <c r="GZ47" s="408"/>
      <c r="HA47" s="408"/>
      <c r="HB47" s="408"/>
      <c r="HC47" s="408"/>
      <c r="HD47" s="408"/>
      <c r="HE47" s="408"/>
      <c r="HF47" s="408"/>
      <c r="HG47" s="408"/>
      <c r="HH47" s="408"/>
      <c r="HI47" s="408"/>
      <c r="HJ47" s="408"/>
      <c r="HK47" s="408"/>
      <c r="HL47" s="408"/>
      <c r="HM47" s="408"/>
      <c r="HN47" s="408"/>
      <c r="HO47" s="408"/>
      <c r="HP47" s="408"/>
      <c r="HQ47" s="408"/>
      <c r="HR47" s="408"/>
      <c r="HS47" s="408"/>
      <c r="HT47" s="408"/>
      <c r="HU47" s="408"/>
      <c r="HV47" s="408"/>
      <c r="HW47" s="412"/>
      <c r="LB47" s="2113" t="s">
        <v>1111</v>
      </c>
      <c r="LC47" s="2114"/>
      <c r="LD47" s="2114"/>
      <c r="LE47" s="2114"/>
      <c r="LF47" s="2114"/>
      <c r="LG47" s="2114"/>
      <c r="LH47" s="2114"/>
      <c r="LI47" s="2114"/>
      <c r="LJ47" s="2114"/>
      <c r="LK47" s="2114"/>
      <c r="LL47" s="2114"/>
      <c r="LM47" s="2114"/>
      <c r="LN47" s="2114"/>
      <c r="LO47" s="2114"/>
      <c r="LP47" s="2114"/>
      <c r="LQ47" s="2114"/>
      <c r="LR47" s="2114"/>
      <c r="LS47" s="2114"/>
      <c r="LT47" s="2114"/>
      <c r="LU47" s="2114"/>
      <c r="LV47" s="2114"/>
      <c r="LW47" s="2114"/>
      <c r="LX47" s="2114"/>
      <c r="LY47" s="2114"/>
      <c r="LZ47" s="2115"/>
      <c r="MA47" s="2113" t="s">
        <v>1111</v>
      </c>
      <c r="MB47" s="2114"/>
      <c r="MC47" s="2114"/>
      <c r="MD47" s="2114"/>
      <c r="ME47" s="2114"/>
      <c r="MF47" s="2114"/>
      <c r="MG47" s="2114"/>
      <c r="MH47" s="2114"/>
      <c r="MI47" s="2114"/>
      <c r="MJ47" s="2114"/>
      <c r="MK47" s="2114"/>
      <c r="ML47" s="2114"/>
      <c r="MM47" s="2114"/>
      <c r="MN47" s="2114"/>
      <c r="MO47" s="2114"/>
      <c r="MP47" s="2114"/>
      <c r="MQ47" s="2114"/>
      <c r="MR47" s="2114"/>
      <c r="MS47" s="2114"/>
      <c r="MT47" s="2114"/>
      <c r="MU47" s="2114"/>
      <c r="MV47" s="2114"/>
      <c r="MW47" s="2114"/>
      <c r="MX47" s="2114"/>
      <c r="MY47" s="2115"/>
      <c r="MZ47" s="2113" t="s">
        <v>1111</v>
      </c>
      <c r="NA47" s="2114"/>
      <c r="NB47" s="2114"/>
      <c r="NC47" s="2114"/>
      <c r="ND47" s="2114"/>
      <c r="NE47" s="2114"/>
      <c r="NF47" s="2114"/>
      <c r="NG47" s="2114"/>
      <c r="NH47" s="2114"/>
      <c r="NI47" s="2114"/>
      <c r="NJ47" s="2114"/>
      <c r="NK47" s="2114"/>
      <c r="NL47" s="2114"/>
      <c r="NM47" s="2114"/>
      <c r="NN47" s="2114"/>
      <c r="NO47" s="2114"/>
      <c r="NP47" s="2114"/>
      <c r="NQ47" s="2114"/>
      <c r="NR47" s="2114"/>
      <c r="NS47" s="2114"/>
      <c r="NT47" s="2114"/>
      <c r="NU47" s="2114"/>
      <c r="NV47" s="2114"/>
      <c r="NW47" s="2114"/>
      <c r="NX47" s="2115"/>
      <c r="NY47" s="2113" t="s">
        <v>1111</v>
      </c>
      <c r="NZ47" s="2114"/>
      <c r="OA47" s="2114"/>
      <c r="OB47" s="2114"/>
      <c r="OC47" s="2114"/>
      <c r="OD47" s="2114"/>
      <c r="OE47" s="2114"/>
      <c r="OF47" s="2114"/>
      <c r="OG47" s="2114"/>
      <c r="OH47" s="2114"/>
      <c r="OI47" s="2114"/>
      <c r="OJ47" s="2114"/>
      <c r="OK47" s="2114"/>
      <c r="OL47" s="2114"/>
      <c r="OM47" s="2114"/>
      <c r="ON47" s="2114"/>
      <c r="OO47" s="2114"/>
      <c r="OP47" s="2114"/>
      <c r="OQ47" s="2114"/>
      <c r="OR47" s="2114"/>
      <c r="OS47" s="2114"/>
      <c r="OT47" s="2114"/>
      <c r="OU47" s="2114"/>
      <c r="OV47" s="2114"/>
      <c r="OW47" s="2115"/>
      <c r="OX47" s="2113" t="s">
        <v>1111</v>
      </c>
      <c r="OY47" s="2114"/>
      <c r="OZ47" s="2114"/>
      <c r="PA47" s="2114"/>
      <c r="PB47" s="2114"/>
      <c r="PC47" s="2114"/>
      <c r="PD47" s="2114"/>
      <c r="PE47" s="2114"/>
      <c r="PF47" s="2114"/>
      <c r="PG47" s="2114"/>
      <c r="PH47" s="2114"/>
      <c r="PI47" s="2114"/>
      <c r="PJ47" s="2114"/>
      <c r="PK47" s="2114"/>
      <c r="PL47" s="2114"/>
      <c r="PM47" s="2114"/>
      <c r="PN47" s="2114"/>
      <c r="PO47" s="2114"/>
      <c r="PP47" s="2114"/>
      <c r="PQ47" s="2114"/>
      <c r="PR47" s="2114"/>
      <c r="PS47" s="2114"/>
      <c r="PT47" s="2114"/>
      <c r="PU47" s="2114"/>
      <c r="PV47" s="2115"/>
      <c r="PW47" s="2113" t="s">
        <v>1111</v>
      </c>
      <c r="PX47" s="2114"/>
      <c r="PY47" s="2114"/>
      <c r="PZ47" s="2114"/>
      <c r="QA47" s="2114"/>
      <c r="QB47" s="2114"/>
      <c r="QC47" s="2114"/>
      <c r="QD47" s="2114"/>
      <c r="QE47" s="2114"/>
      <c r="QF47" s="2114"/>
      <c r="QG47" s="2114"/>
      <c r="QH47" s="2114"/>
      <c r="QI47" s="2114"/>
      <c r="QJ47" s="2114"/>
      <c r="QK47" s="2114"/>
      <c r="QL47" s="2114"/>
      <c r="QM47" s="2114"/>
      <c r="QN47" s="2114"/>
      <c r="QO47" s="2114"/>
      <c r="QP47" s="2114"/>
      <c r="QQ47" s="2114"/>
      <c r="QR47" s="2114"/>
      <c r="QS47" s="2114"/>
      <c r="QT47" s="2114"/>
      <c r="QU47" s="2115"/>
    </row>
    <row r="48" spans="1:463" ht="24" customHeight="1">
      <c r="A48" s="411"/>
      <c r="B48" s="408"/>
      <c r="C48" s="408"/>
      <c r="D48" s="408"/>
      <c r="E48" s="408"/>
      <c r="F48" s="408"/>
      <c r="G48" s="408"/>
      <c r="H48" s="408"/>
      <c r="I48" s="408"/>
      <c r="J48" s="408"/>
      <c r="K48" s="408"/>
      <c r="L48" s="408"/>
      <c r="U48" s="408"/>
      <c r="V48" s="408"/>
      <c r="W48" s="408"/>
      <c r="X48" s="408"/>
      <c r="Y48" s="408"/>
      <c r="Z48" s="412"/>
      <c r="AA48" s="408"/>
      <c r="AB48" s="408"/>
      <c r="AC48" s="408"/>
      <c r="AD48" s="408"/>
      <c r="AE48" s="408"/>
      <c r="AF48" s="411"/>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12"/>
      <c r="BE48" s="411"/>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12"/>
      <c r="CD48" s="411"/>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12"/>
      <c r="DC48" s="411"/>
      <c r="DD48" s="408"/>
      <c r="DE48" s="408"/>
      <c r="DF48" s="408"/>
      <c r="DG48" s="408"/>
      <c r="DH48" s="408"/>
      <c r="DI48" s="408"/>
      <c r="DJ48" s="408"/>
      <c r="DK48" s="408"/>
      <c r="DL48" s="408"/>
      <c r="DM48" s="408"/>
      <c r="DN48" s="408"/>
      <c r="DO48" s="408"/>
      <c r="DP48" s="408"/>
      <c r="DQ48" s="408"/>
      <c r="DR48" s="408"/>
      <c r="DS48" s="408"/>
      <c r="DT48" s="408"/>
      <c r="DU48" s="408"/>
      <c r="DV48" s="408"/>
      <c r="DW48" s="408"/>
      <c r="DX48" s="408"/>
      <c r="DY48" s="408"/>
      <c r="DZ48" s="408"/>
      <c r="EA48" s="412"/>
      <c r="EB48" s="411"/>
      <c r="EC48" s="408"/>
      <c r="ED48" s="408"/>
      <c r="EE48" s="408"/>
      <c r="EF48" s="408"/>
      <c r="EG48" s="408"/>
      <c r="EH48" s="408"/>
      <c r="EI48" s="408"/>
      <c r="EJ48" s="408"/>
      <c r="EK48" s="408"/>
      <c r="EL48" s="408"/>
      <c r="EM48" s="408"/>
      <c r="EN48" s="408"/>
      <c r="EO48" s="408"/>
      <c r="EP48" s="408"/>
      <c r="EQ48" s="408"/>
      <c r="ER48" s="408"/>
      <c r="ES48" s="408"/>
      <c r="ET48" s="408"/>
      <c r="EU48" s="408"/>
      <c r="EV48" s="408"/>
      <c r="EW48" s="408"/>
      <c r="EX48" s="408"/>
      <c r="EY48" s="408"/>
      <c r="EZ48" s="412"/>
      <c r="FA48" s="411"/>
      <c r="FB48" s="408"/>
      <c r="FC48" s="408"/>
      <c r="FD48" s="408"/>
      <c r="FE48" s="408"/>
      <c r="FF48" s="408"/>
      <c r="FG48" s="408"/>
      <c r="FH48" s="408"/>
      <c r="FI48" s="408"/>
      <c r="FJ48" s="408"/>
      <c r="FK48" s="408"/>
      <c r="FL48" s="408"/>
      <c r="FM48" s="408"/>
      <c r="FN48" s="408"/>
      <c r="FO48" s="408"/>
      <c r="FP48" s="408"/>
      <c r="FQ48" s="408"/>
      <c r="FR48" s="408"/>
      <c r="FS48" s="408"/>
      <c r="FT48" s="408"/>
      <c r="FU48" s="408"/>
      <c r="FV48" s="408"/>
      <c r="FW48" s="408"/>
      <c r="FX48" s="408"/>
      <c r="FY48" s="412"/>
      <c r="FZ48" s="411"/>
      <c r="GA48" s="408"/>
      <c r="GB48" s="408"/>
      <c r="GC48" s="408"/>
      <c r="GD48" s="408"/>
      <c r="GE48" s="408"/>
      <c r="GF48" s="408"/>
      <c r="GG48" s="408"/>
      <c r="GH48" s="408"/>
      <c r="GI48" s="408"/>
      <c r="GJ48" s="408"/>
      <c r="GK48" s="408"/>
      <c r="GL48" s="408"/>
      <c r="GM48" s="408"/>
      <c r="GN48" s="408"/>
      <c r="GO48" s="408"/>
      <c r="GP48" s="408"/>
      <c r="GQ48" s="408"/>
      <c r="GR48" s="408"/>
      <c r="GS48" s="408"/>
      <c r="GT48" s="408"/>
      <c r="GU48" s="408"/>
      <c r="GV48" s="408"/>
      <c r="GW48" s="408"/>
      <c r="GX48" s="412"/>
      <c r="GY48" s="411"/>
      <c r="GZ48" s="408"/>
      <c r="HA48" s="408"/>
      <c r="HB48" s="408"/>
      <c r="HC48" s="408"/>
      <c r="HD48" s="408"/>
      <c r="HE48" s="408"/>
      <c r="HF48" s="408"/>
      <c r="HG48" s="408"/>
      <c r="HH48" s="408"/>
      <c r="HI48" s="408"/>
      <c r="HJ48" s="408"/>
      <c r="HK48" s="408"/>
      <c r="HL48" s="408"/>
      <c r="HM48" s="408"/>
      <c r="HN48" s="408"/>
      <c r="HO48" s="408"/>
      <c r="HP48" s="408"/>
      <c r="HQ48" s="408"/>
      <c r="HR48" s="408"/>
      <c r="HS48" s="408"/>
      <c r="HT48" s="408"/>
      <c r="HU48" s="408"/>
      <c r="HV48" s="408"/>
      <c r="HW48" s="412"/>
      <c r="LB48" s="409"/>
      <c r="LC48" s="410"/>
      <c r="LD48" s="410"/>
      <c r="LE48" s="410"/>
      <c r="LF48" s="410"/>
      <c r="LG48" s="410"/>
      <c r="LH48" s="410"/>
      <c r="LI48" s="410"/>
      <c r="LJ48" s="410"/>
      <c r="LK48" s="410"/>
      <c r="LL48" s="410"/>
      <c r="LM48" s="410"/>
      <c r="LN48" s="410"/>
      <c r="LO48" s="410"/>
      <c r="LP48" s="410"/>
      <c r="LQ48" s="410"/>
      <c r="LR48" s="410"/>
      <c r="LS48" s="410"/>
      <c r="LT48" s="410"/>
      <c r="LU48" s="410"/>
      <c r="LV48" s="410"/>
      <c r="LW48" s="410"/>
      <c r="LX48" s="410"/>
      <c r="LY48" s="410"/>
      <c r="LZ48" s="419"/>
      <c r="MA48" s="409"/>
      <c r="MB48" s="410"/>
      <c r="MC48" s="410"/>
      <c r="MD48" s="410"/>
      <c r="ME48" s="410"/>
      <c r="MF48" s="410"/>
      <c r="MG48" s="410"/>
      <c r="MH48" s="410"/>
      <c r="MI48" s="410"/>
      <c r="MJ48" s="410"/>
      <c r="MK48" s="410"/>
      <c r="ML48" s="410"/>
      <c r="MM48" s="410"/>
      <c r="MN48" s="410"/>
      <c r="MO48" s="410"/>
      <c r="MP48" s="410"/>
      <c r="MQ48" s="410"/>
      <c r="MR48" s="410"/>
      <c r="MS48" s="410"/>
      <c r="MT48" s="410"/>
      <c r="MU48" s="410"/>
      <c r="MV48" s="410"/>
      <c r="MW48" s="410"/>
      <c r="MX48" s="410"/>
      <c r="MY48" s="419"/>
      <c r="MZ48" s="409"/>
      <c r="NA48" s="410"/>
      <c r="NB48" s="410"/>
      <c r="NC48" s="410"/>
      <c r="ND48" s="410"/>
      <c r="NE48" s="410"/>
      <c r="NF48" s="410"/>
      <c r="NG48" s="410"/>
      <c r="NH48" s="410"/>
      <c r="NI48" s="410"/>
      <c r="NJ48" s="410"/>
      <c r="NK48" s="410"/>
      <c r="NL48" s="410"/>
      <c r="NM48" s="410"/>
      <c r="NN48" s="410"/>
      <c r="NO48" s="410"/>
      <c r="NP48" s="410"/>
      <c r="NQ48" s="410"/>
      <c r="NR48" s="410"/>
      <c r="NS48" s="410"/>
      <c r="NT48" s="410"/>
      <c r="NU48" s="410"/>
      <c r="NV48" s="410"/>
      <c r="NW48" s="410"/>
      <c r="NX48" s="419"/>
      <c r="NY48" s="409"/>
      <c r="NZ48" s="410"/>
      <c r="OA48" s="410"/>
      <c r="OB48" s="410"/>
      <c r="OC48" s="410"/>
      <c r="OD48" s="410"/>
      <c r="OE48" s="410"/>
      <c r="OF48" s="410"/>
      <c r="OG48" s="410"/>
      <c r="OH48" s="410"/>
      <c r="OI48" s="410"/>
      <c r="OJ48" s="410"/>
      <c r="OK48" s="410"/>
      <c r="OL48" s="410"/>
      <c r="OM48" s="410"/>
      <c r="ON48" s="410"/>
      <c r="OO48" s="410"/>
      <c r="OP48" s="410"/>
      <c r="OQ48" s="410"/>
      <c r="OR48" s="410"/>
      <c r="OS48" s="410"/>
      <c r="OT48" s="410"/>
      <c r="OU48" s="410"/>
      <c r="OV48" s="410"/>
      <c r="OW48" s="419"/>
      <c r="OX48" s="409"/>
      <c r="OY48" s="410"/>
      <c r="OZ48" s="410"/>
      <c r="PA48" s="410"/>
      <c r="PB48" s="410"/>
      <c r="PC48" s="410"/>
      <c r="PD48" s="410"/>
      <c r="PE48" s="410"/>
      <c r="PF48" s="410"/>
      <c r="PG48" s="410"/>
      <c r="PH48" s="410"/>
      <c r="PI48" s="410"/>
      <c r="PJ48" s="410"/>
      <c r="PK48" s="410"/>
      <c r="PL48" s="410"/>
      <c r="PM48" s="410"/>
      <c r="PN48" s="410"/>
      <c r="PO48" s="410"/>
      <c r="PP48" s="410"/>
      <c r="PQ48" s="410"/>
      <c r="PR48" s="410"/>
      <c r="PS48" s="410"/>
      <c r="PT48" s="410"/>
      <c r="PU48" s="410"/>
      <c r="PV48" s="419"/>
      <c r="PW48" s="409"/>
      <c r="PX48" s="410"/>
      <c r="PY48" s="410"/>
      <c r="PZ48" s="410"/>
      <c r="QA48" s="410"/>
      <c r="QB48" s="410"/>
      <c r="QC48" s="410"/>
      <c r="QD48" s="410"/>
      <c r="QE48" s="410"/>
      <c r="QF48" s="410"/>
      <c r="QG48" s="410"/>
      <c r="QH48" s="410"/>
      <c r="QI48" s="410"/>
      <c r="QJ48" s="410"/>
      <c r="QK48" s="410"/>
      <c r="QL48" s="410"/>
      <c r="QM48" s="410"/>
      <c r="QN48" s="410"/>
      <c r="QO48" s="410"/>
      <c r="QP48" s="410"/>
      <c r="QQ48" s="410"/>
      <c r="QR48" s="410"/>
      <c r="QS48" s="410"/>
      <c r="QT48" s="410"/>
      <c r="QU48" s="419"/>
    </row>
    <row r="49" spans="1:463" ht="24" customHeight="1">
      <c r="A49" s="411"/>
      <c r="B49" s="40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12"/>
      <c r="AA49" s="408"/>
      <c r="AB49" s="408"/>
      <c r="AC49" s="408"/>
      <c r="AD49" s="408"/>
      <c r="AE49" s="408"/>
      <c r="AF49" s="411"/>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12"/>
      <c r="BE49" s="411"/>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12"/>
      <c r="CD49" s="411"/>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12"/>
      <c r="DC49" s="411"/>
      <c r="DD49" s="408"/>
      <c r="DE49" s="408"/>
      <c r="DF49" s="408"/>
      <c r="DG49" s="408"/>
      <c r="DH49" s="408"/>
      <c r="DI49" s="408"/>
      <c r="DJ49" s="408"/>
      <c r="DK49" s="408"/>
      <c r="DL49" s="408"/>
      <c r="DM49" s="408"/>
      <c r="DN49" s="408"/>
      <c r="DO49" s="408"/>
      <c r="DP49" s="408"/>
      <c r="DQ49" s="408"/>
      <c r="DR49" s="408"/>
      <c r="DS49" s="408"/>
      <c r="DT49" s="408"/>
      <c r="DU49" s="408"/>
      <c r="DV49" s="408"/>
      <c r="DW49" s="408"/>
      <c r="DX49" s="408"/>
      <c r="DY49" s="408"/>
      <c r="DZ49" s="408"/>
      <c r="EA49" s="412"/>
      <c r="EB49" s="411"/>
      <c r="EC49" s="408"/>
      <c r="ED49" s="408"/>
      <c r="EE49" s="408"/>
      <c r="EF49" s="408"/>
      <c r="EG49" s="408"/>
      <c r="EH49" s="408"/>
      <c r="EI49" s="408"/>
      <c r="EJ49" s="408"/>
      <c r="EK49" s="408"/>
      <c r="EL49" s="408"/>
      <c r="EM49" s="408"/>
      <c r="EN49" s="408"/>
      <c r="EO49" s="408"/>
      <c r="EP49" s="408"/>
      <c r="EQ49" s="408"/>
      <c r="ER49" s="408"/>
      <c r="ES49" s="408"/>
      <c r="ET49" s="408"/>
      <c r="EU49" s="408"/>
      <c r="EV49" s="408"/>
      <c r="EW49" s="408"/>
      <c r="EX49" s="408"/>
      <c r="EY49" s="408"/>
      <c r="EZ49" s="412"/>
      <c r="FA49" s="411"/>
      <c r="FB49" s="408"/>
      <c r="FC49" s="408"/>
      <c r="FD49" s="408"/>
      <c r="FE49" s="408"/>
      <c r="FF49" s="408"/>
      <c r="FG49" s="408"/>
      <c r="FH49" s="408"/>
      <c r="FI49" s="408"/>
      <c r="FJ49" s="408"/>
      <c r="FK49" s="408"/>
      <c r="FL49" s="408"/>
      <c r="FM49" s="408"/>
      <c r="FN49" s="408"/>
      <c r="FO49" s="408"/>
      <c r="FP49" s="408"/>
      <c r="FQ49" s="408"/>
      <c r="FR49" s="408"/>
      <c r="FS49" s="408"/>
      <c r="FT49" s="408"/>
      <c r="FU49" s="408"/>
      <c r="FV49" s="408"/>
      <c r="FW49" s="408"/>
      <c r="FX49" s="408"/>
      <c r="FY49" s="412"/>
      <c r="FZ49" s="411"/>
      <c r="GA49" s="408"/>
      <c r="GB49" s="408"/>
      <c r="GC49" s="408"/>
      <c r="GD49" s="408"/>
      <c r="GE49" s="408"/>
      <c r="GF49" s="408"/>
      <c r="GG49" s="408"/>
      <c r="GH49" s="408"/>
      <c r="GI49" s="408"/>
      <c r="GJ49" s="408"/>
      <c r="GK49" s="408"/>
      <c r="GL49" s="408"/>
      <c r="GM49" s="408"/>
      <c r="GN49" s="408"/>
      <c r="GO49" s="408"/>
      <c r="GP49" s="408"/>
      <c r="GQ49" s="408"/>
      <c r="GR49" s="408"/>
      <c r="GS49" s="408"/>
      <c r="GT49" s="408"/>
      <c r="GU49" s="408"/>
      <c r="GV49" s="408"/>
      <c r="GW49" s="408"/>
      <c r="GX49" s="412"/>
      <c r="GY49" s="411"/>
      <c r="GZ49" s="408"/>
      <c r="HA49" s="408"/>
      <c r="HB49" s="408"/>
      <c r="HC49" s="408"/>
      <c r="HD49" s="408"/>
      <c r="HE49" s="408"/>
      <c r="HF49" s="408"/>
      <c r="HG49" s="408"/>
      <c r="HH49" s="408"/>
      <c r="HI49" s="408"/>
      <c r="HJ49" s="408"/>
      <c r="HK49" s="408"/>
      <c r="HL49" s="408"/>
      <c r="HM49" s="408"/>
      <c r="HN49" s="408"/>
      <c r="HO49" s="408"/>
      <c r="HP49" s="408"/>
      <c r="HQ49" s="408"/>
      <c r="HR49" s="408"/>
      <c r="HS49" s="408"/>
      <c r="HT49" s="408"/>
      <c r="HU49" s="408"/>
      <c r="HV49" s="408"/>
      <c r="HW49" s="412"/>
      <c r="LB49" s="411"/>
      <c r="LC49" s="408"/>
      <c r="LD49" s="408"/>
      <c r="LE49" s="408"/>
      <c r="LF49" s="408"/>
      <c r="LG49" s="408"/>
      <c r="LH49" s="408"/>
      <c r="LI49" s="408"/>
      <c r="LJ49" s="408"/>
      <c r="LK49" s="408"/>
      <c r="LL49" s="408"/>
      <c r="LM49" s="408"/>
      <c r="LN49" s="408"/>
      <c r="LO49" s="408"/>
      <c r="LP49" s="408"/>
      <c r="LQ49" s="408"/>
      <c r="LR49" s="408"/>
      <c r="LS49" s="408"/>
      <c r="LT49" s="408"/>
      <c r="LU49" s="408"/>
      <c r="LV49" s="408"/>
      <c r="LW49" s="408"/>
      <c r="LX49" s="408"/>
      <c r="LY49" s="408"/>
      <c r="LZ49" s="412"/>
      <c r="MA49" s="411"/>
      <c r="MB49" s="408"/>
      <c r="MC49" s="408"/>
      <c r="MD49" s="408"/>
      <c r="ME49" s="408"/>
      <c r="MF49" s="408"/>
      <c r="MG49" s="408"/>
      <c r="MH49" s="408"/>
      <c r="MI49" s="408"/>
      <c r="MJ49" s="408"/>
      <c r="MK49" s="408"/>
      <c r="ML49" s="408"/>
      <c r="MM49" s="408"/>
      <c r="MN49" s="408"/>
      <c r="MO49" s="408"/>
      <c r="MP49" s="408"/>
      <c r="MQ49" s="408"/>
      <c r="MR49" s="408"/>
      <c r="MS49" s="408"/>
      <c r="MT49" s="408"/>
      <c r="MU49" s="408"/>
      <c r="MV49" s="408"/>
      <c r="MW49" s="408"/>
      <c r="MX49" s="408"/>
      <c r="MY49" s="412"/>
      <c r="MZ49" s="411"/>
      <c r="NA49" s="408"/>
      <c r="NB49" s="408"/>
      <c r="NC49" s="408"/>
      <c r="ND49" s="408"/>
      <c r="NE49" s="408"/>
      <c r="NF49" s="408"/>
      <c r="NG49" s="408"/>
      <c r="NH49" s="408"/>
      <c r="NI49" s="408"/>
      <c r="NJ49" s="408"/>
      <c r="NK49" s="408"/>
      <c r="NL49" s="408"/>
      <c r="NM49" s="408"/>
      <c r="NN49" s="408"/>
      <c r="NO49" s="408"/>
      <c r="NP49" s="408"/>
      <c r="NQ49" s="408"/>
      <c r="NR49" s="408"/>
      <c r="NS49" s="408"/>
      <c r="NT49" s="408"/>
      <c r="NU49" s="408"/>
      <c r="NV49" s="408"/>
      <c r="NW49" s="408"/>
      <c r="NX49" s="412"/>
      <c r="NY49" s="411"/>
      <c r="NZ49" s="408"/>
      <c r="OA49" s="408"/>
      <c r="OB49" s="408"/>
      <c r="OC49" s="408"/>
      <c r="OD49" s="408"/>
      <c r="OE49" s="408"/>
      <c r="OF49" s="408"/>
      <c r="OG49" s="408"/>
      <c r="OH49" s="408"/>
      <c r="OI49" s="408"/>
      <c r="OJ49" s="408"/>
      <c r="OK49" s="408"/>
      <c r="OL49" s="408"/>
      <c r="OM49" s="408"/>
      <c r="ON49" s="408"/>
      <c r="OO49" s="408"/>
      <c r="OP49" s="408"/>
      <c r="OQ49" s="408"/>
      <c r="OR49" s="408"/>
      <c r="OS49" s="408"/>
      <c r="OT49" s="408"/>
      <c r="OU49" s="408"/>
      <c r="OV49" s="408"/>
      <c r="OW49" s="412"/>
      <c r="OX49" s="411"/>
      <c r="OY49" s="408"/>
      <c r="OZ49" s="408"/>
      <c r="PA49" s="408"/>
      <c r="PB49" s="408"/>
      <c r="PC49" s="408"/>
      <c r="PD49" s="408"/>
      <c r="PE49" s="408"/>
      <c r="PF49" s="408"/>
      <c r="PG49" s="408"/>
      <c r="PH49" s="408"/>
      <c r="PI49" s="408"/>
      <c r="PJ49" s="408"/>
      <c r="PK49" s="408"/>
      <c r="PL49" s="408"/>
      <c r="PM49" s="408"/>
      <c r="PN49" s="408"/>
      <c r="PO49" s="408"/>
      <c r="PP49" s="408"/>
      <c r="PQ49" s="408"/>
      <c r="PR49" s="408"/>
      <c r="PS49" s="408"/>
      <c r="PT49" s="408"/>
      <c r="PU49" s="408"/>
      <c r="PV49" s="412"/>
      <c r="PW49" s="411"/>
      <c r="PX49" s="408"/>
      <c r="PY49" s="408"/>
      <c r="PZ49" s="408"/>
      <c r="QA49" s="408"/>
      <c r="QB49" s="408"/>
      <c r="QC49" s="408"/>
      <c r="QD49" s="408"/>
      <c r="QE49" s="408"/>
      <c r="QF49" s="408"/>
      <c r="QG49" s="408"/>
      <c r="QH49" s="408"/>
      <c r="QI49" s="408"/>
      <c r="QJ49" s="408"/>
      <c r="QK49" s="408"/>
      <c r="QL49" s="408"/>
      <c r="QM49" s="408"/>
      <c r="QN49" s="408"/>
      <c r="QO49" s="408"/>
      <c r="QP49" s="408"/>
      <c r="QQ49" s="408"/>
      <c r="QR49" s="408"/>
      <c r="QS49" s="408"/>
      <c r="QT49" s="408"/>
      <c r="QU49" s="412"/>
    </row>
    <row r="50" spans="1:463" ht="24" customHeight="1">
      <c r="A50" s="411"/>
      <c r="B50" s="40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12"/>
      <c r="AA50" s="408"/>
      <c r="AB50" s="408"/>
      <c r="AC50" s="408"/>
      <c r="AD50" s="408"/>
      <c r="AE50" s="408"/>
      <c r="AF50" s="411"/>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12"/>
      <c r="BE50" s="411"/>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12"/>
      <c r="CD50" s="411"/>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12"/>
      <c r="DC50" s="411"/>
      <c r="DD50" s="408"/>
      <c r="DE50" s="408"/>
      <c r="DF50" s="408"/>
      <c r="DG50" s="408"/>
      <c r="DH50" s="408"/>
      <c r="DI50" s="408"/>
      <c r="DJ50" s="408"/>
      <c r="DK50" s="408"/>
      <c r="DL50" s="408"/>
      <c r="DM50" s="408"/>
      <c r="DN50" s="408"/>
      <c r="DO50" s="408"/>
      <c r="DP50" s="408"/>
      <c r="DQ50" s="408"/>
      <c r="DR50" s="408"/>
      <c r="DS50" s="408"/>
      <c r="DT50" s="408"/>
      <c r="DU50" s="408"/>
      <c r="DV50" s="408"/>
      <c r="DW50" s="408"/>
      <c r="DX50" s="408"/>
      <c r="DY50" s="408"/>
      <c r="DZ50" s="408"/>
      <c r="EA50" s="412"/>
      <c r="EB50" s="411"/>
      <c r="EC50" s="408"/>
      <c r="ED50" s="408"/>
      <c r="EE50" s="408"/>
      <c r="EF50" s="408"/>
      <c r="EG50" s="408"/>
      <c r="EH50" s="408"/>
      <c r="EI50" s="408"/>
      <c r="EJ50" s="408"/>
      <c r="EK50" s="408"/>
      <c r="EL50" s="408"/>
      <c r="EM50" s="408"/>
      <c r="EN50" s="408"/>
      <c r="EO50" s="408"/>
      <c r="EP50" s="408"/>
      <c r="EQ50" s="408"/>
      <c r="ER50" s="408"/>
      <c r="ES50" s="408"/>
      <c r="ET50" s="408"/>
      <c r="EU50" s="408"/>
      <c r="EV50" s="408"/>
      <c r="EW50" s="408"/>
      <c r="EX50" s="408"/>
      <c r="EY50" s="408"/>
      <c r="EZ50" s="412"/>
      <c r="FA50" s="411"/>
      <c r="FB50" s="408"/>
      <c r="FC50" s="408"/>
      <c r="FD50" s="408"/>
      <c r="FE50" s="408"/>
      <c r="FF50" s="408"/>
      <c r="FG50" s="408"/>
      <c r="FH50" s="408"/>
      <c r="FI50" s="408"/>
      <c r="FJ50" s="408"/>
      <c r="FK50" s="408"/>
      <c r="FL50" s="408"/>
      <c r="FM50" s="408"/>
      <c r="FN50" s="408"/>
      <c r="FO50" s="408"/>
      <c r="FP50" s="408"/>
      <c r="FQ50" s="408"/>
      <c r="FR50" s="408"/>
      <c r="FS50" s="408"/>
      <c r="FT50" s="408"/>
      <c r="FU50" s="408"/>
      <c r="FV50" s="408"/>
      <c r="FW50" s="408"/>
      <c r="FX50" s="408"/>
      <c r="FY50" s="412"/>
      <c r="FZ50" s="411"/>
      <c r="GA50" s="408"/>
      <c r="GB50" s="408"/>
      <c r="GC50" s="408"/>
      <c r="GD50" s="408"/>
      <c r="GE50" s="408"/>
      <c r="GF50" s="408"/>
      <c r="GG50" s="408"/>
      <c r="GH50" s="408"/>
      <c r="GI50" s="408"/>
      <c r="GJ50" s="408"/>
      <c r="GK50" s="408"/>
      <c r="GL50" s="408"/>
      <c r="GM50" s="408"/>
      <c r="GN50" s="408"/>
      <c r="GO50" s="408"/>
      <c r="GP50" s="408"/>
      <c r="GQ50" s="408"/>
      <c r="GR50" s="408"/>
      <c r="GS50" s="408"/>
      <c r="GT50" s="408"/>
      <c r="GU50" s="408"/>
      <c r="GV50" s="408"/>
      <c r="GW50" s="408"/>
      <c r="GX50" s="412"/>
      <c r="GY50" s="411"/>
      <c r="GZ50" s="408"/>
      <c r="HA50" s="408"/>
      <c r="HB50" s="408"/>
      <c r="HC50" s="408"/>
      <c r="HD50" s="408"/>
      <c r="HE50" s="408"/>
      <c r="HF50" s="408"/>
      <c r="HG50" s="408"/>
      <c r="HH50" s="408"/>
      <c r="HI50" s="408"/>
      <c r="HJ50" s="408"/>
      <c r="HK50" s="408"/>
      <c r="HL50" s="408"/>
      <c r="HM50" s="408"/>
      <c r="HN50" s="408"/>
      <c r="HO50" s="408"/>
      <c r="HP50" s="408"/>
      <c r="HQ50" s="408"/>
      <c r="HR50" s="408"/>
      <c r="HS50" s="408"/>
      <c r="HT50" s="408"/>
      <c r="HU50" s="408"/>
      <c r="HV50" s="408"/>
      <c r="HW50" s="412"/>
      <c r="LB50" s="411"/>
      <c r="LC50" s="408"/>
      <c r="LD50" s="408"/>
      <c r="LE50" s="408"/>
      <c r="LF50" s="408"/>
      <c r="LG50" s="408"/>
      <c r="LH50" s="408"/>
      <c r="LI50" s="408"/>
      <c r="LJ50" s="408"/>
      <c r="LK50" s="408"/>
      <c r="LL50" s="408"/>
      <c r="LM50" s="408"/>
      <c r="LN50" s="408"/>
      <c r="LO50" s="408"/>
      <c r="LP50" s="408"/>
      <c r="LQ50" s="408"/>
      <c r="LR50" s="408"/>
      <c r="LS50" s="408"/>
      <c r="LT50" s="408"/>
      <c r="LU50" s="408"/>
      <c r="LV50" s="408"/>
      <c r="LW50" s="408"/>
      <c r="LX50" s="408"/>
      <c r="LY50" s="408"/>
      <c r="LZ50" s="412"/>
      <c r="MA50" s="411"/>
      <c r="MB50" s="408"/>
      <c r="MC50" s="408"/>
      <c r="MD50" s="408"/>
      <c r="ME50" s="408"/>
      <c r="MF50" s="408"/>
      <c r="MG50" s="408"/>
      <c r="MH50" s="408"/>
      <c r="MI50" s="408"/>
      <c r="MJ50" s="408"/>
      <c r="MK50" s="408"/>
      <c r="ML50" s="408"/>
      <c r="MM50" s="408"/>
      <c r="MN50" s="408"/>
      <c r="MO50" s="408"/>
      <c r="MP50" s="408"/>
      <c r="MQ50" s="408"/>
      <c r="MR50" s="408"/>
      <c r="MS50" s="408"/>
      <c r="MT50" s="408"/>
      <c r="MU50" s="408"/>
      <c r="MV50" s="408"/>
      <c r="MW50" s="408"/>
      <c r="MX50" s="408"/>
      <c r="MY50" s="412"/>
      <c r="MZ50" s="411"/>
      <c r="NA50" s="408"/>
      <c r="NB50" s="408"/>
      <c r="NC50" s="408"/>
      <c r="ND50" s="408"/>
      <c r="NE50" s="408"/>
      <c r="NF50" s="408"/>
      <c r="NG50" s="408"/>
      <c r="NH50" s="408"/>
      <c r="NI50" s="408"/>
      <c r="NJ50" s="408"/>
      <c r="NK50" s="408"/>
      <c r="NL50" s="408"/>
      <c r="NM50" s="408"/>
      <c r="NN50" s="408"/>
      <c r="NO50" s="408"/>
      <c r="NP50" s="408"/>
      <c r="NQ50" s="408"/>
      <c r="NR50" s="408"/>
      <c r="NS50" s="408"/>
      <c r="NT50" s="408"/>
      <c r="NU50" s="408"/>
      <c r="NV50" s="408"/>
      <c r="NW50" s="408"/>
      <c r="NX50" s="412"/>
      <c r="NY50" s="411"/>
      <c r="NZ50" s="408"/>
      <c r="OA50" s="408"/>
      <c r="OB50" s="408"/>
      <c r="OC50" s="408"/>
      <c r="OD50" s="408"/>
      <c r="OE50" s="408"/>
      <c r="OF50" s="408"/>
      <c r="OG50" s="408"/>
      <c r="OH50" s="408"/>
      <c r="OI50" s="408"/>
      <c r="OJ50" s="408"/>
      <c r="OK50" s="408"/>
      <c r="OL50" s="408"/>
      <c r="OM50" s="408"/>
      <c r="ON50" s="408"/>
      <c r="OO50" s="408"/>
      <c r="OP50" s="408"/>
      <c r="OQ50" s="408"/>
      <c r="OR50" s="408"/>
      <c r="OS50" s="408"/>
      <c r="OT50" s="408"/>
      <c r="OU50" s="408"/>
      <c r="OV50" s="408"/>
      <c r="OW50" s="412"/>
      <c r="OX50" s="411"/>
      <c r="OY50" s="408"/>
      <c r="OZ50" s="408"/>
      <c r="PA50" s="408"/>
      <c r="PB50" s="408"/>
      <c r="PC50" s="408"/>
      <c r="PD50" s="408"/>
      <c r="PE50" s="408"/>
      <c r="PF50" s="408"/>
      <c r="PG50" s="408"/>
      <c r="PH50" s="408"/>
      <c r="PI50" s="408"/>
      <c r="PJ50" s="408"/>
      <c r="PK50" s="408"/>
      <c r="PL50" s="408"/>
      <c r="PM50" s="408"/>
      <c r="PN50" s="408"/>
      <c r="PO50" s="408"/>
      <c r="PP50" s="408"/>
      <c r="PQ50" s="408"/>
      <c r="PR50" s="408"/>
      <c r="PS50" s="408"/>
      <c r="PT50" s="408"/>
      <c r="PU50" s="408"/>
      <c r="PV50" s="412"/>
      <c r="PW50" s="411"/>
      <c r="PX50" s="408"/>
      <c r="PY50" s="408"/>
      <c r="PZ50" s="408"/>
      <c r="QA50" s="408"/>
      <c r="QB50" s="408"/>
      <c r="QC50" s="408"/>
      <c r="QD50" s="408"/>
      <c r="QE50" s="408"/>
      <c r="QF50" s="408"/>
      <c r="QG50" s="408"/>
      <c r="QH50" s="408"/>
      <c r="QI50" s="408"/>
      <c r="QJ50" s="408"/>
      <c r="QK50" s="408"/>
      <c r="QL50" s="408"/>
      <c r="QM50" s="408"/>
      <c r="QN50" s="408"/>
      <c r="QO50" s="408"/>
      <c r="QP50" s="408"/>
      <c r="QQ50" s="408"/>
      <c r="QR50" s="408"/>
      <c r="QS50" s="408"/>
      <c r="QT50" s="408"/>
      <c r="QU50" s="412"/>
    </row>
    <row r="51" spans="1:463" ht="24" customHeight="1">
      <c r="A51" s="411"/>
      <c r="B51" s="40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12"/>
      <c r="AA51" s="408"/>
      <c r="AB51" s="408"/>
      <c r="AC51" s="408"/>
      <c r="AD51" s="408"/>
      <c r="AE51" s="408"/>
      <c r="AF51" s="411"/>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12"/>
      <c r="BE51" s="411"/>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12"/>
      <c r="CD51" s="411"/>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12"/>
      <c r="DC51" s="411"/>
      <c r="DD51" s="408"/>
      <c r="DE51" s="408"/>
      <c r="DF51" s="408"/>
      <c r="DG51" s="408"/>
      <c r="DH51" s="408"/>
      <c r="DI51" s="408"/>
      <c r="DJ51" s="408"/>
      <c r="DK51" s="408"/>
      <c r="DL51" s="408"/>
      <c r="DM51" s="408"/>
      <c r="DN51" s="408"/>
      <c r="DO51" s="408"/>
      <c r="DP51" s="408"/>
      <c r="DQ51" s="408"/>
      <c r="DR51" s="408"/>
      <c r="DS51" s="408"/>
      <c r="DT51" s="408"/>
      <c r="DU51" s="408"/>
      <c r="DV51" s="408"/>
      <c r="DW51" s="408"/>
      <c r="DX51" s="408"/>
      <c r="DY51" s="408"/>
      <c r="DZ51" s="408"/>
      <c r="EA51" s="412"/>
      <c r="EB51" s="411"/>
      <c r="EC51" s="408"/>
      <c r="ED51" s="408"/>
      <c r="EE51" s="408"/>
      <c r="EF51" s="408"/>
      <c r="EG51" s="408"/>
      <c r="EH51" s="408"/>
      <c r="EI51" s="408"/>
      <c r="EJ51" s="408"/>
      <c r="EK51" s="408"/>
      <c r="EL51" s="408"/>
      <c r="EM51" s="408"/>
      <c r="EN51" s="408"/>
      <c r="EO51" s="408"/>
      <c r="EP51" s="408"/>
      <c r="EQ51" s="408"/>
      <c r="ER51" s="408"/>
      <c r="ES51" s="408"/>
      <c r="ET51" s="408"/>
      <c r="EU51" s="408"/>
      <c r="EV51" s="408"/>
      <c r="EW51" s="408"/>
      <c r="EX51" s="408"/>
      <c r="EY51" s="408"/>
      <c r="EZ51" s="412"/>
      <c r="FA51" s="411"/>
      <c r="FB51" s="408"/>
      <c r="FC51" s="408"/>
      <c r="FD51" s="408"/>
      <c r="FE51" s="408"/>
      <c r="FF51" s="408"/>
      <c r="FG51" s="408"/>
      <c r="FH51" s="408"/>
      <c r="FI51" s="408"/>
      <c r="FJ51" s="408"/>
      <c r="FK51" s="408"/>
      <c r="FL51" s="408"/>
      <c r="FM51" s="408"/>
      <c r="FN51" s="408"/>
      <c r="FO51" s="408"/>
      <c r="FP51" s="408"/>
      <c r="FQ51" s="408"/>
      <c r="FR51" s="408"/>
      <c r="FS51" s="408"/>
      <c r="FT51" s="408"/>
      <c r="FU51" s="408"/>
      <c r="FV51" s="408"/>
      <c r="FW51" s="408"/>
      <c r="FX51" s="408"/>
      <c r="FY51" s="412"/>
      <c r="FZ51" s="411"/>
      <c r="GA51" s="408"/>
      <c r="GB51" s="408"/>
      <c r="GC51" s="408"/>
      <c r="GD51" s="408"/>
      <c r="GE51" s="408"/>
      <c r="GF51" s="408"/>
      <c r="GG51" s="408"/>
      <c r="GH51" s="408"/>
      <c r="GI51" s="408"/>
      <c r="GJ51" s="408"/>
      <c r="GK51" s="408"/>
      <c r="GL51" s="408"/>
      <c r="GM51" s="408"/>
      <c r="GN51" s="408"/>
      <c r="GO51" s="408"/>
      <c r="GP51" s="408"/>
      <c r="GQ51" s="408"/>
      <c r="GR51" s="408"/>
      <c r="GS51" s="408"/>
      <c r="GT51" s="408"/>
      <c r="GU51" s="408"/>
      <c r="GV51" s="408"/>
      <c r="GW51" s="408"/>
      <c r="GX51" s="412"/>
      <c r="GY51" s="411"/>
      <c r="GZ51" s="408"/>
      <c r="HA51" s="408"/>
      <c r="HB51" s="408"/>
      <c r="HC51" s="408"/>
      <c r="HD51" s="408"/>
      <c r="HE51" s="408"/>
      <c r="HF51" s="408"/>
      <c r="HG51" s="408"/>
      <c r="HH51" s="408"/>
      <c r="HI51" s="408"/>
      <c r="HJ51" s="408"/>
      <c r="HK51" s="408"/>
      <c r="HL51" s="408"/>
      <c r="HM51" s="408"/>
      <c r="HN51" s="408"/>
      <c r="HO51" s="408"/>
      <c r="HP51" s="408"/>
      <c r="HQ51" s="408"/>
      <c r="HR51" s="408"/>
      <c r="HS51" s="408"/>
      <c r="HT51" s="408"/>
      <c r="HU51" s="408"/>
      <c r="HV51" s="408"/>
      <c r="HW51" s="412"/>
      <c r="LB51" s="411"/>
      <c r="LC51" s="408"/>
      <c r="LD51" s="408"/>
      <c r="LE51" s="408"/>
      <c r="LF51" s="408"/>
      <c r="LG51" s="408"/>
      <c r="LH51" s="408"/>
      <c r="LI51" s="408"/>
      <c r="LJ51" s="408"/>
      <c r="LK51" s="408"/>
      <c r="LL51" s="408"/>
      <c r="LM51" s="408"/>
      <c r="LN51" s="408"/>
      <c r="LO51" s="408"/>
      <c r="LP51" s="408"/>
      <c r="LQ51" s="408"/>
      <c r="LR51" s="408"/>
      <c r="LS51" s="408"/>
      <c r="LT51" s="408"/>
      <c r="LU51" s="408"/>
      <c r="LV51" s="408"/>
      <c r="LW51" s="408"/>
      <c r="LX51" s="408"/>
      <c r="LY51" s="408"/>
      <c r="LZ51" s="412"/>
      <c r="MA51" s="411"/>
      <c r="MB51" s="408"/>
      <c r="MC51" s="408"/>
      <c r="MD51" s="408"/>
      <c r="ME51" s="408"/>
      <c r="MF51" s="408"/>
      <c r="MG51" s="408"/>
      <c r="MH51" s="408"/>
      <c r="MI51" s="408"/>
      <c r="MJ51" s="408"/>
      <c r="MK51" s="408"/>
      <c r="ML51" s="408"/>
      <c r="MM51" s="408"/>
      <c r="MN51" s="408"/>
      <c r="MO51" s="408"/>
      <c r="MP51" s="408"/>
      <c r="MQ51" s="408"/>
      <c r="MR51" s="408"/>
      <c r="MS51" s="408"/>
      <c r="MT51" s="408"/>
      <c r="MU51" s="408"/>
      <c r="MV51" s="408"/>
      <c r="MW51" s="408"/>
      <c r="MX51" s="408"/>
      <c r="MY51" s="412"/>
      <c r="MZ51" s="411"/>
      <c r="NA51" s="408"/>
      <c r="NB51" s="408"/>
      <c r="NC51" s="408"/>
      <c r="ND51" s="408"/>
      <c r="NE51" s="408"/>
      <c r="NF51" s="408"/>
      <c r="NG51" s="408"/>
      <c r="NH51" s="408"/>
      <c r="NI51" s="408"/>
      <c r="NJ51" s="408"/>
      <c r="NK51" s="408"/>
      <c r="NL51" s="408"/>
      <c r="NM51" s="408"/>
      <c r="NN51" s="408"/>
      <c r="NO51" s="408"/>
      <c r="NP51" s="408"/>
      <c r="NQ51" s="408"/>
      <c r="NR51" s="408"/>
      <c r="NS51" s="408"/>
      <c r="NT51" s="408"/>
      <c r="NU51" s="408"/>
      <c r="NV51" s="408"/>
      <c r="NW51" s="408"/>
      <c r="NX51" s="412"/>
      <c r="NY51" s="411"/>
      <c r="NZ51" s="408"/>
      <c r="OA51" s="408"/>
      <c r="OB51" s="408"/>
      <c r="OC51" s="408"/>
      <c r="OD51" s="408"/>
      <c r="OE51" s="408"/>
      <c r="OF51" s="408"/>
      <c r="OG51" s="408"/>
      <c r="OH51" s="408"/>
      <c r="OI51" s="408"/>
      <c r="OJ51" s="408"/>
      <c r="OK51" s="408"/>
      <c r="OL51" s="408"/>
      <c r="OM51" s="408"/>
      <c r="ON51" s="408"/>
      <c r="OO51" s="408"/>
      <c r="OP51" s="408"/>
      <c r="OQ51" s="408"/>
      <c r="OR51" s="408"/>
      <c r="OS51" s="408"/>
      <c r="OT51" s="408"/>
      <c r="OU51" s="408"/>
      <c r="OV51" s="408"/>
      <c r="OW51" s="412"/>
      <c r="OX51" s="411"/>
      <c r="OY51" s="408"/>
      <c r="OZ51" s="408"/>
      <c r="PA51" s="408"/>
      <c r="PB51" s="408"/>
      <c r="PC51" s="408"/>
      <c r="PD51" s="408"/>
      <c r="PE51" s="408"/>
      <c r="PF51" s="408"/>
      <c r="PG51" s="408"/>
      <c r="PH51" s="408"/>
      <c r="PI51" s="408"/>
      <c r="PJ51" s="408"/>
      <c r="PK51" s="408"/>
      <c r="PL51" s="408"/>
      <c r="PM51" s="408"/>
      <c r="PN51" s="408"/>
      <c r="PO51" s="408"/>
      <c r="PP51" s="408"/>
      <c r="PQ51" s="408"/>
      <c r="PR51" s="408"/>
      <c r="PS51" s="408"/>
      <c r="PT51" s="408"/>
      <c r="PU51" s="408"/>
      <c r="PV51" s="412"/>
      <c r="PW51" s="411"/>
      <c r="PX51" s="408"/>
      <c r="PY51" s="408"/>
      <c r="PZ51" s="408"/>
      <c r="QA51" s="408"/>
      <c r="QB51" s="408"/>
      <c r="QC51" s="408"/>
      <c r="QD51" s="408"/>
      <c r="QE51" s="408"/>
      <c r="QF51" s="408"/>
      <c r="QG51" s="408"/>
      <c r="QH51" s="408"/>
      <c r="QI51" s="408"/>
      <c r="QJ51" s="408"/>
      <c r="QK51" s="408"/>
      <c r="QL51" s="408"/>
      <c r="QM51" s="408"/>
      <c r="QN51" s="408"/>
      <c r="QO51" s="408"/>
      <c r="QP51" s="408"/>
      <c r="QQ51" s="408"/>
      <c r="QR51" s="408"/>
      <c r="QS51" s="408"/>
      <c r="QT51" s="408"/>
      <c r="QU51" s="412"/>
    </row>
    <row r="52" spans="1:463" ht="24" customHeight="1">
      <c r="A52" s="411"/>
      <c r="B52" s="40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12"/>
      <c r="AA52" s="408"/>
      <c r="AB52" s="408"/>
      <c r="AC52" s="408"/>
      <c r="AD52" s="408"/>
      <c r="AE52" s="408"/>
      <c r="AF52" s="411"/>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12"/>
      <c r="BE52" s="411"/>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12"/>
      <c r="CD52" s="411"/>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12"/>
      <c r="DC52" s="411"/>
      <c r="DD52" s="408"/>
      <c r="DE52" s="408"/>
      <c r="DF52" s="408"/>
      <c r="DG52" s="408"/>
      <c r="DH52" s="408"/>
      <c r="DI52" s="408"/>
      <c r="DJ52" s="408"/>
      <c r="DK52" s="408"/>
      <c r="DL52" s="408"/>
      <c r="DM52" s="408"/>
      <c r="DN52" s="408"/>
      <c r="DO52" s="408"/>
      <c r="DP52" s="408"/>
      <c r="DQ52" s="408"/>
      <c r="DR52" s="408"/>
      <c r="DS52" s="408"/>
      <c r="DT52" s="408"/>
      <c r="DU52" s="408"/>
      <c r="DV52" s="408"/>
      <c r="DW52" s="408"/>
      <c r="DX52" s="408"/>
      <c r="DY52" s="408"/>
      <c r="DZ52" s="408"/>
      <c r="EA52" s="412"/>
      <c r="EB52" s="411"/>
      <c r="EC52" s="408"/>
      <c r="ED52" s="408"/>
      <c r="EE52" s="408"/>
      <c r="EF52" s="408"/>
      <c r="EG52" s="408"/>
      <c r="EH52" s="408"/>
      <c r="EI52" s="408"/>
      <c r="EJ52" s="408"/>
      <c r="EK52" s="408"/>
      <c r="EL52" s="408"/>
      <c r="EM52" s="408"/>
      <c r="EN52" s="408"/>
      <c r="EO52" s="408"/>
      <c r="EP52" s="408"/>
      <c r="EQ52" s="408"/>
      <c r="ER52" s="408"/>
      <c r="ES52" s="408"/>
      <c r="ET52" s="408"/>
      <c r="EU52" s="408"/>
      <c r="EV52" s="408"/>
      <c r="EW52" s="408"/>
      <c r="EX52" s="408"/>
      <c r="EY52" s="408"/>
      <c r="EZ52" s="412"/>
      <c r="FA52" s="411"/>
      <c r="FB52" s="408"/>
      <c r="FC52" s="408"/>
      <c r="FD52" s="408"/>
      <c r="FE52" s="408"/>
      <c r="FF52" s="408"/>
      <c r="FG52" s="408"/>
      <c r="FH52" s="408"/>
      <c r="FI52" s="408"/>
      <c r="FJ52" s="408"/>
      <c r="FK52" s="408"/>
      <c r="FL52" s="408"/>
      <c r="FM52" s="408"/>
      <c r="FN52" s="408"/>
      <c r="FO52" s="408"/>
      <c r="FP52" s="408"/>
      <c r="FQ52" s="408"/>
      <c r="FR52" s="408"/>
      <c r="FS52" s="408"/>
      <c r="FT52" s="408"/>
      <c r="FU52" s="408"/>
      <c r="FV52" s="408"/>
      <c r="FW52" s="408"/>
      <c r="FX52" s="408"/>
      <c r="FY52" s="412"/>
      <c r="FZ52" s="411"/>
      <c r="GA52" s="408"/>
      <c r="GB52" s="408"/>
      <c r="GC52" s="408"/>
      <c r="GD52" s="408"/>
      <c r="GE52" s="408"/>
      <c r="GF52" s="408"/>
      <c r="GG52" s="408"/>
      <c r="GH52" s="408"/>
      <c r="GI52" s="408"/>
      <c r="GJ52" s="408"/>
      <c r="GK52" s="408"/>
      <c r="GL52" s="408"/>
      <c r="GM52" s="408"/>
      <c r="GN52" s="408"/>
      <c r="GO52" s="408"/>
      <c r="GP52" s="408"/>
      <c r="GQ52" s="408"/>
      <c r="GR52" s="408"/>
      <c r="GS52" s="408"/>
      <c r="GT52" s="408"/>
      <c r="GU52" s="408"/>
      <c r="GV52" s="408"/>
      <c r="GW52" s="408"/>
      <c r="GX52" s="412"/>
      <c r="GY52" s="411"/>
      <c r="GZ52" s="408"/>
      <c r="HA52" s="408"/>
      <c r="HB52" s="408"/>
      <c r="HC52" s="408"/>
      <c r="HD52" s="408"/>
      <c r="HE52" s="408"/>
      <c r="HF52" s="408"/>
      <c r="HG52" s="408"/>
      <c r="HH52" s="408"/>
      <c r="HI52" s="408"/>
      <c r="HJ52" s="408"/>
      <c r="HK52" s="408"/>
      <c r="HL52" s="408"/>
      <c r="HM52" s="408"/>
      <c r="HN52" s="408"/>
      <c r="HO52" s="408"/>
      <c r="HP52" s="408"/>
      <c r="HQ52" s="408"/>
      <c r="HR52" s="408"/>
      <c r="HS52" s="408"/>
      <c r="HT52" s="408"/>
      <c r="HU52" s="408"/>
      <c r="HV52" s="408"/>
      <c r="HW52" s="412"/>
      <c r="LB52" s="411"/>
      <c r="LC52" s="408"/>
      <c r="LD52" s="408"/>
      <c r="LE52" s="408"/>
      <c r="LF52" s="408"/>
      <c r="LG52" s="408"/>
      <c r="LH52" s="408"/>
      <c r="LI52" s="408"/>
      <c r="LJ52" s="408"/>
      <c r="LK52" s="408"/>
      <c r="LL52" s="408"/>
      <c r="LM52" s="408"/>
      <c r="LN52" s="408"/>
      <c r="LO52" s="408"/>
      <c r="LP52" s="408"/>
      <c r="LQ52" s="408"/>
      <c r="LR52" s="408"/>
      <c r="LS52" s="408"/>
      <c r="LT52" s="408"/>
      <c r="LU52" s="408"/>
      <c r="LV52" s="408"/>
      <c r="LW52" s="408"/>
      <c r="LX52" s="408"/>
      <c r="LY52" s="408"/>
      <c r="LZ52" s="412"/>
      <c r="MA52" s="411"/>
      <c r="MB52" s="408"/>
      <c r="MC52" s="408"/>
      <c r="MD52" s="408"/>
      <c r="ME52" s="408"/>
      <c r="MF52" s="408"/>
      <c r="MG52" s="408"/>
      <c r="MH52" s="408"/>
      <c r="MI52" s="408"/>
      <c r="MJ52" s="408"/>
      <c r="MK52" s="408"/>
      <c r="ML52" s="408"/>
      <c r="MM52" s="408"/>
      <c r="MN52" s="408"/>
      <c r="MO52" s="408"/>
      <c r="MP52" s="408"/>
      <c r="MQ52" s="408"/>
      <c r="MR52" s="408"/>
      <c r="MS52" s="408"/>
      <c r="MT52" s="408"/>
      <c r="MU52" s="408"/>
      <c r="MV52" s="408"/>
      <c r="MW52" s="408"/>
      <c r="MX52" s="408"/>
      <c r="MY52" s="412"/>
      <c r="MZ52" s="411"/>
      <c r="NA52" s="408"/>
      <c r="NB52" s="408"/>
      <c r="NC52" s="408"/>
      <c r="ND52" s="408"/>
      <c r="NE52" s="408"/>
      <c r="NF52" s="408"/>
      <c r="NG52" s="408"/>
      <c r="NH52" s="408"/>
      <c r="NI52" s="408"/>
      <c r="NJ52" s="408"/>
      <c r="NK52" s="408"/>
      <c r="NL52" s="408"/>
      <c r="NM52" s="408"/>
      <c r="NN52" s="408"/>
      <c r="NO52" s="408"/>
      <c r="NP52" s="408"/>
      <c r="NQ52" s="408"/>
      <c r="NR52" s="408"/>
      <c r="NS52" s="408"/>
      <c r="NT52" s="408"/>
      <c r="NU52" s="408"/>
      <c r="NV52" s="408"/>
      <c r="NW52" s="408"/>
      <c r="NX52" s="412"/>
      <c r="NY52" s="411"/>
      <c r="NZ52" s="408"/>
      <c r="OA52" s="408"/>
      <c r="OB52" s="408"/>
      <c r="OC52" s="408"/>
      <c r="OD52" s="408"/>
      <c r="OE52" s="408"/>
      <c r="OF52" s="408"/>
      <c r="OG52" s="408"/>
      <c r="OH52" s="408"/>
      <c r="OI52" s="408"/>
      <c r="OJ52" s="408"/>
      <c r="OK52" s="408"/>
      <c r="OL52" s="408"/>
      <c r="OM52" s="408"/>
      <c r="ON52" s="408"/>
      <c r="OO52" s="408"/>
      <c r="OP52" s="408"/>
      <c r="OQ52" s="408"/>
      <c r="OR52" s="408"/>
      <c r="OS52" s="408"/>
      <c r="OT52" s="408"/>
      <c r="OU52" s="408"/>
      <c r="OV52" s="408"/>
      <c r="OW52" s="412"/>
      <c r="OX52" s="411"/>
      <c r="OY52" s="408"/>
      <c r="OZ52" s="408"/>
      <c r="PA52" s="408"/>
      <c r="PB52" s="408"/>
      <c r="PC52" s="408"/>
      <c r="PD52" s="408"/>
      <c r="PE52" s="408"/>
      <c r="PF52" s="408"/>
      <c r="PG52" s="408"/>
      <c r="PH52" s="408"/>
      <c r="PI52" s="408"/>
      <c r="PJ52" s="408"/>
      <c r="PK52" s="408"/>
      <c r="PL52" s="408"/>
      <c r="PM52" s="408"/>
      <c r="PN52" s="408"/>
      <c r="PO52" s="408"/>
      <c r="PP52" s="408"/>
      <c r="PQ52" s="408"/>
      <c r="PR52" s="408"/>
      <c r="PS52" s="408"/>
      <c r="PT52" s="408"/>
      <c r="PU52" s="408"/>
      <c r="PV52" s="412"/>
      <c r="PW52" s="411"/>
      <c r="PX52" s="408"/>
      <c r="PY52" s="408"/>
      <c r="PZ52" s="408"/>
      <c r="QA52" s="408"/>
      <c r="QB52" s="408"/>
      <c r="QC52" s="408"/>
      <c r="QD52" s="408"/>
      <c r="QE52" s="408"/>
      <c r="QF52" s="408"/>
      <c r="QG52" s="408"/>
      <c r="QH52" s="408"/>
      <c r="QI52" s="408"/>
      <c r="QJ52" s="408"/>
      <c r="QK52" s="408"/>
      <c r="QL52" s="408"/>
      <c r="QM52" s="408"/>
      <c r="QN52" s="408"/>
      <c r="QO52" s="408"/>
      <c r="QP52" s="408"/>
      <c r="QQ52" s="408"/>
      <c r="QR52" s="408"/>
      <c r="QS52" s="408"/>
      <c r="QT52" s="408"/>
      <c r="QU52" s="412"/>
    </row>
    <row r="53" spans="1:463" ht="24" customHeight="1">
      <c r="A53" s="411"/>
      <c r="B53" s="40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12"/>
      <c r="AA53" s="408"/>
      <c r="AB53" s="408"/>
      <c r="AC53" s="408"/>
      <c r="AD53" s="408"/>
      <c r="AE53" s="408"/>
      <c r="AF53" s="411"/>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12"/>
      <c r="BE53" s="411"/>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12"/>
      <c r="CD53" s="411"/>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12"/>
      <c r="DC53" s="411"/>
      <c r="DD53" s="408"/>
      <c r="DE53" s="408"/>
      <c r="DF53" s="408"/>
      <c r="DG53" s="408"/>
      <c r="DH53" s="408"/>
      <c r="DI53" s="408"/>
      <c r="DJ53" s="408"/>
      <c r="DK53" s="408"/>
      <c r="DL53" s="408"/>
      <c r="DM53" s="408"/>
      <c r="DN53" s="408"/>
      <c r="DO53" s="408"/>
      <c r="DP53" s="408"/>
      <c r="DQ53" s="408"/>
      <c r="DR53" s="408"/>
      <c r="DS53" s="408"/>
      <c r="DT53" s="408"/>
      <c r="DU53" s="408"/>
      <c r="DV53" s="408"/>
      <c r="DW53" s="408"/>
      <c r="DX53" s="408"/>
      <c r="DY53" s="408"/>
      <c r="DZ53" s="408"/>
      <c r="EA53" s="412"/>
      <c r="EB53" s="411"/>
      <c r="EC53" s="408"/>
      <c r="ED53" s="408"/>
      <c r="EE53" s="408"/>
      <c r="EF53" s="408"/>
      <c r="EG53" s="408"/>
      <c r="EH53" s="408"/>
      <c r="EI53" s="408"/>
      <c r="EJ53" s="408"/>
      <c r="EK53" s="408"/>
      <c r="EL53" s="408"/>
      <c r="EM53" s="408"/>
      <c r="EN53" s="408"/>
      <c r="EO53" s="408"/>
      <c r="EP53" s="408"/>
      <c r="EQ53" s="408"/>
      <c r="ER53" s="408"/>
      <c r="ES53" s="408"/>
      <c r="ET53" s="408"/>
      <c r="EU53" s="408"/>
      <c r="EV53" s="408"/>
      <c r="EW53" s="408"/>
      <c r="EX53" s="408"/>
      <c r="EY53" s="408"/>
      <c r="EZ53" s="412"/>
      <c r="FA53" s="411"/>
      <c r="FB53" s="408"/>
      <c r="FC53" s="408"/>
      <c r="FD53" s="408"/>
      <c r="FE53" s="408"/>
      <c r="FF53" s="408"/>
      <c r="FG53" s="408"/>
      <c r="FH53" s="408"/>
      <c r="FI53" s="408"/>
      <c r="FJ53" s="408"/>
      <c r="FK53" s="408"/>
      <c r="FL53" s="408"/>
      <c r="FM53" s="408"/>
      <c r="FN53" s="408"/>
      <c r="FO53" s="408"/>
      <c r="FP53" s="408"/>
      <c r="FQ53" s="408"/>
      <c r="FR53" s="408"/>
      <c r="FS53" s="408"/>
      <c r="FT53" s="408"/>
      <c r="FU53" s="408"/>
      <c r="FV53" s="408"/>
      <c r="FW53" s="408"/>
      <c r="FX53" s="408"/>
      <c r="FY53" s="412"/>
      <c r="FZ53" s="411"/>
      <c r="GA53" s="408"/>
      <c r="GB53" s="408"/>
      <c r="GC53" s="408"/>
      <c r="GD53" s="408"/>
      <c r="GE53" s="408"/>
      <c r="GF53" s="408"/>
      <c r="GG53" s="408"/>
      <c r="GH53" s="408"/>
      <c r="GI53" s="408"/>
      <c r="GJ53" s="408"/>
      <c r="GK53" s="408"/>
      <c r="GL53" s="408"/>
      <c r="GM53" s="408"/>
      <c r="GN53" s="408"/>
      <c r="GO53" s="408"/>
      <c r="GP53" s="408"/>
      <c r="GQ53" s="408"/>
      <c r="GR53" s="408"/>
      <c r="GS53" s="408"/>
      <c r="GT53" s="408"/>
      <c r="GU53" s="408"/>
      <c r="GV53" s="408"/>
      <c r="GW53" s="408"/>
      <c r="GX53" s="412"/>
      <c r="GY53" s="411"/>
      <c r="GZ53" s="408"/>
      <c r="HA53" s="408"/>
      <c r="HB53" s="408"/>
      <c r="HC53" s="408"/>
      <c r="HD53" s="408"/>
      <c r="HE53" s="408"/>
      <c r="HF53" s="408"/>
      <c r="HG53" s="408"/>
      <c r="HH53" s="408"/>
      <c r="HI53" s="408"/>
      <c r="HJ53" s="408"/>
      <c r="HK53" s="408"/>
      <c r="HL53" s="408"/>
      <c r="HM53" s="408"/>
      <c r="HN53" s="408"/>
      <c r="HO53" s="408"/>
      <c r="HP53" s="408"/>
      <c r="HQ53" s="408"/>
      <c r="HR53" s="408"/>
      <c r="HS53" s="408"/>
      <c r="HT53" s="408"/>
      <c r="HU53" s="408"/>
      <c r="HV53" s="408"/>
      <c r="HW53" s="412"/>
      <c r="LB53" s="411"/>
      <c r="LC53" s="408"/>
      <c r="LD53" s="408"/>
      <c r="LE53" s="408"/>
      <c r="LF53" s="408"/>
      <c r="LG53" s="408"/>
      <c r="LH53" s="408"/>
      <c r="LI53" s="408"/>
      <c r="LJ53" s="408"/>
      <c r="LK53" s="408"/>
      <c r="LL53" s="408"/>
      <c r="LM53" s="408"/>
      <c r="LN53" s="408"/>
      <c r="LO53" s="408"/>
      <c r="LP53" s="408"/>
      <c r="LQ53" s="408"/>
      <c r="LR53" s="408"/>
      <c r="LS53" s="408"/>
      <c r="LT53" s="408"/>
      <c r="LU53" s="408"/>
      <c r="LV53" s="408"/>
      <c r="LW53" s="408"/>
      <c r="LX53" s="408"/>
      <c r="LY53" s="408"/>
      <c r="LZ53" s="412"/>
      <c r="MA53" s="411"/>
      <c r="MB53" s="408"/>
      <c r="MC53" s="408"/>
      <c r="MD53" s="408"/>
      <c r="ME53" s="408"/>
      <c r="MF53" s="408"/>
      <c r="MG53" s="408"/>
      <c r="MH53" s="408"/>
      <c r="MI53" s="408"/>
      <c r="MJ53" s="408"/>
      <c r="MK53" s="408"/>
      <c r="ML53" s="408"/>
      <c r="MM53" s="408"/>
      <c r="MN53" s="408"/>
      <c r="MO53" s="408"/>
      <c r="MP53" s="408"/>
      <c r="MQ53" s="408"/>
      <c r="MR53" s="408"/>
      <c r="MS53" s="408"/>
      <c r="MT53" s="408"/>
      <c r="MU53" s="408"/>
      <c r="MV53" s="408"/>
      <c r="MW53" s="408"/>
      <c r="MX53" s="408"/>
      <c r="MY53" s="412"/>
      <c r="MZ53" s="411"/>
      <c r="NA53" s="408"/>
      <c r="NB53" s="408"/>
      <c r="NC53" s="408"/>
      <c r="ND53" s="408"/>
      <c r="NE53" s="408"/>
      <c r="NF53" s="408"/>
      <c r="NG53" s="408"/>
      <c r="NH53" s="408"/>
      <c r="NI53" s="408"/>
      <c r="NJ53" s="408"/>
      <c r="NK53" s="408"/>
      <c r="NL53" s="408"/>
      <c r="NM53" s="408"/>
      <c r="NN53" s="408"/>
      <c r="NO53" s="408"/>
      <c r="NP53" s="408"/>
      <c r="NQ53" s="408"/>
      <c r="NR53" s="408"/>
      <c r="NS53" s="408"/>
      <c r="NT53" s="408"/>
      <c r="NU53" s="408"/>
      <c r="NV53" s="408"/>
      <c r="NW53" s="408"/>
      <c r="NX53" s="412"/>
      <c r="NY53" s="411"/>
      <c r="NZ53" s="408"/>
      <c r="OA53" s="408"/>
      <c r="OB53" s="408"/>
      <c r="OC53" s="408"/>
      <c r="OD53" s="408"/>
      <c r="OE53" s="408"/>
      <c r="OF53" s="408"/>
      <c r="OG53" s="408"/>
      <c r="OH53" s="408"/>
      <c r="OI53" s="408"/>
      <c r="OJ53" s="408"/>
      <c r="OK53" s="408"/>
      <c r="OL53" s="408"/>
      <c r="OM53" s="408"/>
      <c r="ON53" s="408"/>
      <c r="OO53" s="408"/>
      <c r="OP53" s="408"/>
      <c r="OQ53" s="408"/>
      <c r="OR53" s="408"/>
      <c r="OS53" s="408"/>
      <c r="OT53" s="408"/>
      <c r="OU53" s="408"/>
      <c r="OV53" s="408"/>
      <c r="OW53" s="412"/>
      <c r="OX53" s="411"/>
      <c r="OY53" s="408"/>
      <c r="OZ53" s="408"/>
      <c r="PA53" s="408"/>
      <c r="PB53" s="408"/>
      <c r="PC53" s="408"/>
      <c r="PD53" s="408"/>
      <c r="PE53" s="408"/>
      <c r="PF53" s="408"/>
      <c r="PG53" s="408"/>
      <c r="PH53" s="408"/>
      <c r="PI53" s="408"/>
      <c r="PJ53" s="408"/>
      <c r="PK53" s="408"/>
      <c r="PL53" s="408"/>
      <c r="PM53" s="408"/>
      <c r="PN53" s="408"/>
      <c r="PO53" s="408"/>
      <c r="PP53" s="408"/>
      <c r="PQ53" s="408"/>
      <c r="PR53" s="408"/>
      <c r="PS53" s="408"/>
      <c r="PT53" s="408"/>
      <c r="PU53" s="408"/>
      <c r="PV53" s="412"/>
      <c r="PW53" s="411"/>
      <c r="PX53" s="408"/>
      <c r="PY53" s="408"/>
      <c r="PZ53" s="408"/>
      <c r="QA53" s="408"/>
      <c r="QB53" s="408"/>
      <c r="QC53" s="408"/>
      <c r="QD53" s="408"/>
      <c r="QE53" s="408"/>
      <c r="QF53" s="408"/>
      <c r="QG53" s="408"/>
      <c r="QH53" s="408"/>
      <c r="QI53" s="408"/>
      <c r="QJ53" s="408"/>
      <c r="QK53" s="408"/>
      <c r="QL53" s="408"/>
      <c r="QM53" s="408"/>
      <c r="QN53" s="408"/>
      <c r="QO53" s="408"/>
      <c r="QP53" s="408"/>
      <c r="QQ53" s="408"/>
      <c r="QR53" s="408"/>
      <c r="QS53" s="408"/>
      <c r="QT53" s="408"/>
      <c r="QU53" s="412"/>
    </row>
    <row r="54" spans="1:463" ht="24" customHeight="1">
      <c r="A54" s="411"/>
      <c r="B54" s="40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12"/>
      <c r="AA54" s="408"/>
      <c r="AB54" s="408"/>
      <c r="AC54" s="408"/>
      <c r="AD54" s="408"/>
      <c r="AE54" s="408"/>
      <c r="AF54" s="411"/>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12"/>
      <c r="BE54" s="411"/>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12"/>
      <c r="CD54" s="411"/>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12"/>
      <c r="DC54" s="411"/>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12"/>
      <c r="EB54" s="411"/>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12"/>
      <c r="FA54" s="411"/>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12"/>
      <c r="FZ54" s="411"/>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12"/>
      <c r="GY54" s="411"/>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12"/>
      <c r="LB54" s="411"/>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12"/>
      <c r="MA54" s="411"/>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12"/>
      <c r="MZ54" s="411"/>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12"/>
      <c r="NY54" s="411"/>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12"/>
      <c r="OX54" s="411"/>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12"/>
      <c r="PW54" s="411"/>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12"/>
    </row>
    <row r="55" spans="1:463" ht="24" customHeight="1">
      <c r="A55" s="411"/>
      <c r="B55" s="40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12"/>
      <c r="AA55" s="408"/>
      <c r="AB55" s="408"/>
      <c r="AC55" s="408"/>
      <c r="AD55" s="408"/>
      <c r="AE55" s="408"/>
      <c r="AF55" s="411"/>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12"/>
      <c r="BE55" s="411"/>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12"/>
      <c r="CD55" s="411"/>
      <c r="CE55" s="408"/>
      <c r="CF55" s="408"/>
      <c r="CG55" s="408"/>
      <c r="CH55" s="408"/>
      <c r="CI55" s="408"/>
      <c r="CJ55" s="408"/>
      <c r="CK55" s="408"/>
      <c r="CL55" s="408"/>
      <c r="CM55" s="408"/>
      <c r="CN55" s="408"/>
      <c r="CO55" s="408"/>
      <c r="CP55" s="408"/>
      <c r="CQ55" s="408"/>
      <c r="CR55" s="408"/>
      <c r="CS55" s="408"/>
      <c r="CT55" s="408"/>
      <c r="CU55" s="408"/>
      <c r="CV55" s="408"/>
      <c r="CW55" s="408"/>
      <c r="CX55" s="408"/>
      <c r="CY55" s="408"/>
      <c r="CZ55" s="408"/>
      <c r="DA55" s="408"/>
      <c r="DB55" s="412"/>
      <c r="DC55" s="411"/>
      <c r="DD55" s="408"/>
      <c r="DE55" s="408"/>
      <c r="DF55" s="408"/>
      <c r="DG55" s="408"/>
      <c r="DH55" s="408"/>
      <c r="DI55" s="408"/>
      <c r="DJ55" s="408"/>
      <c r="DK55" s="408"/>
      <c r="DL55" s="408"/>
      <c r="DM55" s="408"/>
      <c r="DN55" s="408"/>
      <c r="DO55" s="408"/>
      <c r="DP55" s="408"/>
      <c r="DQ55" s="408"/>
      <c r="DR55" s="408"/>
      <c r="DS55" s="408"/>
      <c r="DT55" s="408"/>
      <c r="DU55" s="408"/>
      <c r="DV55" s="408"/>
      <c r="DW55" s="408"/>
      <c r="DX55" s="408"/>
      <c r="DY55" s="408"/>
      <c r="DZ55" s="408"/>
      <c r="EA55" s="412"/>
      <c r="EB55" s="411"/>
      <c r="EC55" s="408"/>
      <c r="ED55" s="408"/>
      <c r="EE55" s="408"/>
      <c r="EF55" s="408"/>
      <c r="EG55" s="408"/>
      <c r="EH55" s="408"/>
      <c r="EI55" s="408"/>
      <c r="EJ55" s="408"/>
      <c r="EK55" s="408"/>
      <c r="EL55" s="408"/>
      <c r="EM55" s="408"/>
      <c r="EN55" s="408"/>
      <c r="EO55" s="408"/>
      <c r="EP55" s="408"/>
      <c r="EQ55" s="408"/>
      <c r="ER55" s="408"/>
      <c r="ES55" s="408"/>
      <c r="ET55" s="408"/>
      <c r="EU55" s="408"/>
      <c r="EV55" s="408"/>
      <c r="EW55" s="408"/>
      <c r="EX55" s="408"/>
      <c r="EY55" s="408"/>
      <c r="EZ55" s="412"/>
      <c r="FA55" s="411"/>
      <c r="FB55" s="408"/>
      <c r="FC55" s="408"/>
      <c r="FD55" s="408"/>
      <c r="FE55" s="408"/>
      <c r="FF55" s="408"/>
      <c r="FG55" s="408"/>
      <c r="FH55" s="408"/>
      <c r="FI55" s="408"/>
      <c r="FJ55" s="408"/>
      <c r="FK55" s="408"/>
      <c r="FL55" s="408"/>
      <c r="FM55" s="408"/>
      <c r="FN55" s="408"/>
      <c r="FO55" s="408"/>
      <c r="FP55" s="408"/>
      <c r="FQ55" s="408"/>
      <c r="FR55" s="408"/>
      <c r="FS55" s="408"/>
      <c r="FT55" s="408"/>
      <c r="FU55" s="408"/>
      <c r="FV55" s="408"/>
      <c r="FW55" s="408"/>
      <c r="FX55" s="408"/>
      <c r="FY55" s="412"/>
      <c r="FZ55" s="411"/>
      <c r="GA55" s="408"/>
      <c r="GB55" s="408"/>
      <c r="GC55" s="408"/>
      <c r="GD55" s="408"/>
      <c r="GE55" s="408"/>
      <c r="GF55" s="408"/>
      <c r="GG55" s="408"/>
      <c r="GH55" s="408"/>
      <c r="GI55" s="408"/>
      <c r="GJ55" s="408"/>
      <c r="GK55" s="408"/>
      <c r="GL55" s="408"/>
      <c r="GM55" s="408"/>
      <c r="GN55" s="408"/>
      <c r="GO55" s="408"/>
      <c r="GP55" s="408"/>
      <c r="GQ55" s="408"/>
      <c r="GR55" s="408"/>
      <c r="GS55" s="408"/>
      <c r="GT55" s="408"/>
      <c r="GU55" s="408"/>
      <c r="GV55" s="408"/>
      <c r="GW55" s="408"/>
      <c r="GX55" s="412"/>
      <c r="GY55" s="411"/>
      <c r="GZ55" s="408"/>
      <c r="HA55" s="408"/>
      <c r="HB55" s="408"/>
      <c r="HC55" s="408"/>
      <c r="HD55" s="408"/>
      <c r="HE55" s="408"/>
      <c r="HF55" s="408"/>
      <c r="HG55" s="408"/>
      <c r="HH55" s="408"/>
      <c r="HI55" s="408"/>
      <c r="HJ55" s="408"/>
      <c r="HK55" s="408"/>
      <c r="HL55" s="408"/>
      <c r="HM55" s="408"/>
      <c r="HN55" s="408"/>
      <c r="HO55" s="408"/>
      <c r="HP55" s="408"/>
      <c r="HQ55" s="408"/>
      <c r="HR55" s="408"/>
      <c r="HS55" s="408"/>
      <c r="HT55" s="408"/>
      <c r="HU55" s="408"/>
      <c r="HV55" s="408"/>
      <c r="HW55" s="412"/>
      <c r="LB55" s="411"/>
      <c r="LC55" s="408"/>
      <c r="LD55" s="408"/>
      <c r="LE55" s="408"/>
      <c r="LF55" s="408"/>
      <c r="LG55" s="408"/>
      <c r="LH55" s="408"/>
      <c r="LI55" s="408"/>
      <c r="LJ55" s="408"/>
      <c r="LK55" s="408"/>
      <c r="LL55" s="408"/>
      <c r="LM55" s="408"/>
      <c r="LN55" s="408"/>
      <c r="LO55" s="408"/>
      <c r="LP55" s="408"/>
      <c r="LQ55" s="408"/>
      <c r="LR55" s="408"/>
      <c r="LS55" s="408"/>
      <c r="LT55" s="408"/>
      <c r="LU55" s="408"/>
      <c r="LV55" s="408"/>
      <c r="LW55" s="408"/>
      <c r="LX55" s="408"/>
      <c r="LY55" s="408"/>
      <c r="LZ55" s="412"/>
      <c r="MA55" s="411"/>
      <c r="MB55" s="408"/>
      <c r="MC55" s="408"/>
      <c r="MD55" s="408"/>
      <c r="ME55" s="408"/>
      <c r="MF55" s="408"/>
      <c r="MG55" s="408"/>
      <c r="MH55" s="408"/>
      <c r="MI55" s="408"/>
      <c r="MJ55" s="408"/>
      <c r="MK55" s="408"/>
      <c r="ML55" s="408"/>
      <c r="MM55" s="408"/>
      <c r="MN55" s="408"/>
      <c r="MO55" s="408"/>
      <c r="MP55" s="408"/>
      <c r="MQ55" s="408"/>
      <c r="MR55" s="408"/>
      <c r="MS55" s="408"/>
      <c r="MT55" s="408"/>
      <c r="MU55" s="408"/>
      <c r="MV55" s="408"/>
      <c r="MW55" s="408"/>
      <c r="MX55" s="408"/>
      <c r="MY55" s="412"/>
      <c r="MZ55" s="411"/>
      <c r="NA55" s="408"/>
      <c r="NB55" s="408"/>
      <c r="NC55" s="408"/>
      <c r="ND55" s="408"/>
      <c r="NE55" s="408"/>
      <c r="NF55" s="408"/>
      <c r="NG55" s="408"/>
      <c r="NH55" s="408"/>
      <c r="NI55" s="408"/>
      <c r="NJ55" s="408"/>
      <c r="NK55" s="408"/>
      <c r="NL55" s="408"/>
      <c r="NM55" s="408"/>
      <c r="NN55" s="408"/>
      <c r="NO55" s="408"/>
      <c r="NP55" s="408"/>
      <c r="NQ55" s="408"/>
      <c r="NR55" s="408"/>
      <c r="NS55" s="408"/>
      <c r="NT55" s="408"/>
      <c r="NU55" s="408"/>
      <c r="NV55" s="408"/>
      <c r="NW55" s="408"/>
      <c r="NX55" s="412"/>
      <c r="NY55" s="411"/>
      <c r="NZ55" s="408"/>
      <c r="OA55" s="408"/>
      <c r="OB55" s="408"/>
      <c r="OC55" s="408"/>
      <c r="OD55" s="408"/>
      <c r="OE55" s="408"/>
      <c r="OF55" s="408"/>
      <c r="OG55" s="408"/>
      <c r="OH55" s="408"/>
      <c r="OI55" s="408"/>
      <c r="OJ55" s="408"/>
      <c r="OK55" s="408"/>
      <c r="OL55" s="408"/>
      <c r="OM55" s="408"/>
      <c r="ON55" s="408"/>
      <c r="OO55" s="408"/>
      <c r="OP55" s="408"/>
      <c r="OQ55" s="408"/>
      <c r="OR55" s="408"/>
      <c r="OS55" s="408"/>
      <c r="OT55" s="408"/>
      <c r="OU55" s="408"/>
      <c r="OV55" s="408"/>
      <c r="OW55" s="412"/>
      <c r="OX55" s="411"/>
      <c r="OY55" s="408"/>
      <c r="OZ55" s="408"/>
      <c r="PA55" s="408"/>
      <c r="PB55" s="408"/>
      <c r="PC55" s="408"/>
      <c r="PD55" s="408"/>
      <c r="PE55" s="408"/>
      <c r="PF55" s="408"/>
      <c r="PG55" s="408"/>
      <c r="PH55" s="408"/>
      <c r="PI55" s="408"/>
      <c r="PJ55" s="408"/>
      <c r="PK55" s="408"/>
      <c r="PL55" s="408"/>
      <c r="PM55" s="408"/>
      <c r="PN55" s="408"/>
      <c r="PO55" s="408"/>
      <c r="PP55" s="408"/>
      <c r="PQ55" s="408"/>
      <c r="PR55" s="408"/>
      <c r="PS55" s="408"/>
      <c r="PT55" s="408"/>
      <c r="PU55" s="408"/>
      <c r="PV55" s="412"/>
      <c r="PW55" s="411"/>
      <c r="PX55" s="408"/>
      <c r="PY55" s="408"/>
      <c r="PZ55" s="408"/>
      <c r="QA55" s="408"/>
      <c r="QB55" s="408"/>
      <c r="QC55" s="408"/>
      <c r="QD55" s="408"/>
      <c r="QE55" s="408"/>
      <c r="QF55" s="408"/>
      <c r="QG55" s="408"/>
      <c r="QH55" s="408"/>
      <c r="QI55" s="408"/>
      <c r="QJ55" s="408"/>
      <c r="QK55" s="408"/>
      <c r="QL55" s="408"/>
      <c r="QM55" s="408"/>
      <c r="QN55" s="408"/>
      <c r="QO55" s="408"/>
      <c r="QP55" s="408"/>
      <c r="QQ55" s="408"/>
      <c r="QR55" s="408"/>
      <c r="QS55" s="408"/>
      <c r="QT55" s="408"/>
      <c r="QU55" s="412"/>
    </row>
    <row r="56" spans="1:463" ht="24" customHeight="1" thickBot="1">
      <c r="A56" s="411"/>
      <c r="B56" s="413"/>
      <c r="C56" s="413"/>
      <c r="D56" s="413"/>
      <c r="E56" s="408"/>
      <c r="F56" s="408"/>
      <c r="G56" s="408"/>
      <c r="H56" s="408"/>
      <c r="I56" s="408"/>
      <c r="J56" s="408"/>
      <c r="K56" s="408"/>
      <c r="L56" s="408"/>
      <c r="M56" s="408"/>
      <c r="N56" s="408"/>
      <c r="O56" s="408"/>
      <c r="P56" s="408"/>
      <c r="Q56" s="408"/>
      <c r="R56" s="408"/>
      <c r="S56" s="408"/>
      <c r="T56" s="408"/>
      <c r="U56" s="408"/>
      <c r="V56" s="408"/>
      <c r="W56" s="408"/>
      <c r="X56" s="408"/>
      <c r="Y56" s="408"/>
      <c r="Z56" s="412"/>
      <c r="AA56" s="408"/>
      <c r="AB56" s="408"/>
      <c r="AC56" s="408"/>
      <c r="AD56" s="408"/>
      <c r="AE56" s="408"/>
      <c r="AF56" s="411"/>
      <c r="AG56" s="413"/>
      <c r="AH56" s="413"/>
      <c r="AI56" s="413"/>
      <c r="AJ56" s="408"/>
      <c r="AK56" s="408"/>
      <c r="AL56" s="408"/>
      <c r="AM56" s="408"/>
      <c r="AN56" s="408"/>
      <c r="AO56" s="408"/>
      <c r="AP56" s="408"/>
      <c r="AQ56" s="408"/>
      <c r="AR56" s="408"/>
      <c r="AS56" s="408"/>
      <c r="AT56" s="408"/>
      <c r="AU56" s="408"/>
      <c r="AV56" s="408"/>
      <c r="AW56" s="408"/>
      <c r="AX56" s="408"/>
      <c r="AY56" s="408"/>
      <c r="AZ56" s="408"/>
      <c r="BA56" s="408"/>
      <c r="BB56" s="408"/>
      <c r="BC56" s="408"/>
      <c r="BD56" s="412"/>
      <c r="BE56" s="411"/>
      <c r="BF56" s="413"/>
      <c r="BG56" s="413"/>
      <c r="BH56" s="413"/>
      <c r="BI56" s="408"/>
      <c r="BJ56" s="408"/>
      <c r="BK56" s="408"/>
      <c r="BL56" s="408"/>
      <c r="BM56" s="408"/>
      <c r="BN56" s="408"/>
      <c r="BO56" s="408"/>
      <c r="BP56" s="408"/>
      <c r="BQ56" s="408"/>
      <c r="BR56" s="408"/>
      <c r="BS56" s="408"/>
      <c r="BT56" s="408"/>
      <c r="BU56" s="408"/>
      <c r="BV56" s="408"/>
      <c r="BW56" s="408"/>
      <c r="BX56" s="408"/>
      <c r="BY56" s="408"/>
      <c r="BZ56" s="408"/>
      <c r="CA56" s="408"/>
      <c r="CB56" s="408"/>
      <c r="CC56" s="412"/>
      <c r="CD56" s="411"/>
      <c r="CE56" s="413"/>
      <c r="CF56" s="413"/>
      <c r="CG56" s="413"/>
      <c r="CH56" s="408"/>
      <c r="CI56" s="408"/>
      <c r="CJ56" s="408"/>
      <c r="CK56" s="408"/>
      <c r="CL56" s="408"/>
      <c r="CM56" s="408"/>
      <c r="CN56" s="408"/>
      <c r="CO56" s="408"/>
      <c r="CP56" s="408"/>
      <c r="CQ56" s="408"/>
      <c r="CR56" s="408"/>
      <c r="CS56" s="408"/>
      <c r="CT56" s="408"/>
      <c r="CU56" s="408"/>
      <c r="CV56" s="408"/>
      <c r="CW56" s="408"/>
      <c r="CX56" s="408"/>
      <c r="CY56" s="408"/>
      <c r="CZ56" s="408"/>
      <c r="DA56" s="408"/>
      <c r="DB56" s="412"/>
      <c r="DC56" s="411"/>
      <c r="DD56" s="413"/>
      <c r="DE56" s="413"/>
      <c r="DF56" s="413"/>
      <c r="DG56" s="408"/>
      <c r="DH56" s="408"/>
      <c r="DI56" s="408"/>
      <c r="DJ56" s="408"/>
      <c r="DK56" s="408"/>
      <c r="DL56" s="408"/>
      <c r="DM56" s="408"/>
      <c r="DN56" s="408"/>
      <c r="DO56" s="408"/>
      <c r="DP56" s="408"/>
      <c r="DQ56" s="408"/>
      <c r="DR56" s="408"/>
      <c r="DS56" s="408"/>
      <c r="DT56" s="408"/>
      <c r="DU56" s="408"/>
      <c r="DV56" s="408"/>
      <c r="DW56" s="408"/>
      <c r="DX56" s="408"/>
      <c r="DY56" s="408"/>
      <c r="DZ56" s="408"/>
      <c r="EA56" s="412"/>
      <c r="EB56" s="411"/>
      <c r="EC56" s="413"/>
      <c r="ED56" s="413"/>
      <c r="EE56" s="413"/>
      <c r="EF56" s="408"/>
      <c r="EG56" s="408"/>
      <c r="EH56" s="408"/>
      <c r="EI56" s="408"/>
      <c r="EJ56" s="408"/>
      <c r="EK56" s="408"/>
      <c r="EL56" s="408"/>
      <c r="EM56" s="408"/>
      <c r="EN56" s="408"/>
      <c r="EO56" s="408"/>
      <c r="EP56" s="408"/>
      <c r="EQ56" s="408"/>
      <c r="ER56" s="408"/>
      <c r="ES56" s="408"/>
      <c r="ET56" s="408"/>
      <c r="EU56" s="408"/>
      <c r="EV56" s="408"/>
      <c r="EW56" s="408"/>
      <c r="EX56" s="408"/>
      <c r="EY56" s="408"/>
      <c r="EZ56" s="412"/>
      <c r="FA56" s="411"/>
      <c r="FB56" s="413"/>
      <c r="FC56" s="413"/>
      <c r="FD56" s="413"/>
      <c r="FE56" s="408"/>
      <c r="FF56" s="408"/>
      <c r="FG56" s="408"/>
      <c r="FH56" s="408"/>
      <c r="FI56" s="408"/>
      <c r="FJ56" s="408"/>
      <c r="FK56" s="408"/>
      <c r="FL56" s="408"/>
      <c r="FM56" s="408"/>
      <c r="FN56" s="408"/>
      <c r="FO56" s="408"/>
      <c r="FP56" s="408"/>
      <c r="FQ56" s="408"/>
      <c r="FR56" s="408"/>
      <c r="FS56" s="408"/>
      <c r="FT56" s="408"/>
      <c r="FU56" s="408"/>
      <c r="FV56" s="408"/>
      <c r="FW56" s="408"/>
      <c r="FX56" s="408"/>
      <c r="FY56" s="412"/>
      <c r="FZ56" s="411"/>
      <c r="GA56" s="413"/>
      <c r="GB56" s="413"/>
      <c r="GC56" s="413"/>
      <c r="GD56" s="408"/>
      <c r="GE56" s="408"/>
      <c r="GF56" s="408"/>
      <c r="GG56" s="408"/>
      <c r="GH56" s="408"/>
      <c r="GI56" s="408"/>
      <c r="GJ56" s="408"/>
      <c r="GK56" s="408"/>
      <c r="GL56" s="408"/>
      <c r="GM56" s="408"/>
      <c r="GN56" s="408"/>
      <c r="GO56" s="408"/>
      <c r="GP56" s="408"/>
      <c r="GQ56" s="408"/>
      <c r="GR56" s="408"/>
      <c r="GS56" s="408"/>
      <c r="GT56" s="408"/>
      <c r="GU56" s="408"/>
      <c r="GV56" s="408"/>
      <c r="GW56" s="408"/>
      <c r="GX56" s="412"/>
      <c r="GY56" s="411"/>
      <c r="GZ56" s="413"/>
      <c r="HA56" s="413"/>
      <c r="HB56" s="413"/>
      <c r="HC56" s="408"/>
      <c r="HD56" s="408"/>
      <c r="HE56" s="408"/>
      <c r="HF56" s="408"/>
      <c r="HG56" s="408"/>
      <c r="HH56" s="408"/>
      <c r="HI56" s="408"/>
      <c r="HJ56" s="408"/>
      <c r="HK56" s="408"/>
      <c r="HL56" s="408"/>
      <c r="HM56" s="408"/>
      <c r="HN56" s="408"/>
      <c r="HO56" s="408"/>
      <c r="HP56" s="408"/>
      <c r="HQ56" s="408"/>
      <c r="HR56" s="408"/>
      <c r="HS56" s="408"/>
      <c r="HT56" s="408"/>
      <c r="HU56" s="408"/>
      <c r="HV56" s="408"/>
      <c r="HW56" s="412"/>
      <c r="KE56" s="407"/>
      <c r="KF56" s="407"/>
      <c r="KG56" s="407"/>
      <c r="KH56" s="407"/>
      <c r="KI56" s="407"/>
      <c r="KJ56" s="407"/>
      <c r="KK56" s="407"/>
      <c r="KL56" s="407"/>
      <c r="KM56" s="407"/>
      <c r="LB56" s="411"/>
      <c r="LC56" s="408"/>
      <c r="LD56" s="408"/>
      <c r="LE56" s="408"/>
      <c r="LF56" s="408"/>
      <c r="LG56" s="408"/>
      <c r="LH56" s="408"/>
      <c r="LI56" s="408"/>
      <c r="LJ56" s="408"/>
      <c r="LK56" s="408"/>
      <c r="LL56" s="408"/>
      <c r="LM56" s="408"/>
      <c r="LN56" s="408"/>
      <c r="LO56" s="408"/>
      <c r="LP56" s="408"/>
      <c r="LQ56" s="408"/>
      <c r="LR56" s="408"/>
      <c r="LS56" s="408"/>
      <c r="LT56" s="408"/>
      <c r="LU56" s="408"/>
      <c r="LV56" s="408"/>
      <c r="LW56" s="408"/>
      <c r="LX56" s="408"/>
      <c r="LY56" s="408"/>
      <c r="LZ56" s="412"/>
      <c r="MA56" s="411"/>
      <c r="MB56" s="408"/>
      <c r="MC56" s="408"/>
      <c r="MD56" s="408"/>
      <c r="ME56" s="408"/>
      <c r="MF56" s="408"/>
      <c r="MG56" s="408"/>
      <c r="MH56" s="408"/>
      <c r="MI56" s="408"/>
      <c r="MJ56" s="408"/>
      <c r="MK56" s="408"/>
      <c r="ML56" s="408"/>
      <c r="MM56" s="408"/>
      <c r="MN56" s="408"/>
      <c r="MO56" s="408"/>
      <c r="MP56" s="408"/>
      <c r="MQ56" s="408"/>
      <c r="MR56" s="408"/>
      <c r="MS56" s="408"/>
      <c r="MT56" s="408"/>
      <c r="MU56" s="408"/>
      <c r="MV56" s="408"/>
      <c r="MW56" s="408"/>
      <c r="MX56" s="408"/>
      <c r="MY56" s="412"/>
      <c r="MZ56" s="411"/>
      <c r="NA56" s="408"/>
      <c r="NB56" s="408"/>
      <c r="NC56" s="408"/>
      <c r="ND56" s="408"/>
      <c r="NE56" s="408"/>
      <c r="NF56" s="408"/>
      <c r="NG56" s="408"/>
      <c r="NH56" s="408"/>
      <c r="NI56" s="408"/>
      <c r="NJ56" s="408"/>
      <c r="NK56" s="408"/>
      <c r="NL56" s="408"/>
      <c r="NM56" s="408"/>
      <c r="NN56" s="408"/>
      <c r="NO56" s="408"/>
      <c r="NP56" s="408"/>
      <c r="NQ56" s="408"/>
      <c r="NR56" s="408"/>
      <c r="NS56" s="408"/>
      <c r="NT56" s="408"/>
      <c r="NU56" s="408"/>
      <c r="NV56" s="408"/>
      <c r="NW56" s="408"/>
      <c r="NX56" s="412"/>
      <c r="NY56" s="411"/>
      <c r="NZ56" s="408"/>
      <c r="OA56" s="408"/>
      <c r="OB56" s="408"/>
      <c r="OC56" s="408"/>
      <c r="OD56" s="408"/>
      <c r="OE56" s="408"/>
      <c r="OF56" s="408"/>
      <c r="OG56" s="408"/>
      <c r="OH56" s="408"/>
      <c r="OI56" s="408"/>
      <c r="OJ56" s="408"/>
      <c r="OK56" s="408"/>
      <c r="OL56" s="408"/>
      <c r="OM56" s="408"/>
      <c r="ON56" s="408"/>
      <c r="OO56" s="408"/>
      <c r="OP56" s="408"/>
      <c r="OQ56" s="408"/>
      <c r="OR56" s="408"/>
      <c r="OS56" s="408"/>
      <c r="OT56" s="408"/>
      <c r="OU56" s="408"/>
      <c r="OV56" s="408"/>
      <c r="OW56" s="412"/>
      <c r="OX56" s="411"/>
      <c r="OY56" s="408"/>
      <c r="OZ56" s="408"/>
      <c r="PA56" s="408"/>
      <c r="PB56" s="408"/>
      <c r="PC56" s="408"/>
      <c r="PD56" s="408"/>
      <c r="PE56" s="408"/>
      <c r="PF56" s="408"/>
      <c r="PG56" s="408"/>
      <c r="PH56" s="408"/>
      <c r="PI56" s="408"/>
      <c r="PJ56" s="408"/>
      <c r="PK56" s="408"/>
      <c r="PL56" s="408"/>
      <c r="PM56" s="408"/>
      <c r="PN56" s="408"/>
      <c r="PO56" s="408"/>
      <c r="PP56" s="408"/>
      <c r="PQ56" s="408"/>
      <c r="PR56" s="408"/>
      <c r="PS56" s="408"/>
      <c r="PT56" s="408"/>
      <c r="PU56" s="408"/>
      <c r="PV56" s="412"/>
      <c r="PW56" s="411"/>
      <c r="PX56" s="408"/>
      <c r="PY56" s="408"/>
      <c r="PZ56" s="408"/>
      <c r="QA56" s="408"/>
      <c r="QB56" s="408"/>
      <c r="QC56" s="408"/>
      <c r="QD56" s="408"/>
      <c r="QE56" s="408"/>
      <c r="QF56" s="408"/>
      <c r="QG56" s="408"/>
      <c r="QH56" s="408"/>
      <c r="QI56" s="408"/>
      <c r="QJ56" s="408"/>
      <c r="QK56" s="408"/>
      <c r="QL56" s="408"/>
      <c r="QM56" s="408"/>
      <c r="QN56" s="408"/>
      <c r="QO56" s="408"/>
      <c r="QP56" s="408"/>
      <c r="QQ56" s="408"/>
      <c r="QR56" s="408"/>
      <c r="QS56" s="408"/>
      <c r="QT56" s="408"/>
      <c r="QU56" s="412"/>
    </row>
    <row r="57" spans="1:463" ht="24" customHeight="1" thickBot="1">
      <c r="A57" s="416"/>
      <c r="B57" s="2116" t="str">
        <f>'Вывод расчетов'!$AL$13</f>
        <v>Раздел 1</v>
      </c>
      <c r="C57" s="2114"/>
      <c r="D57" s="2114"/>
      <c r="E57" s="417"/>
      <c r="F57" s="2116" t="str">
        <f>'Вывод расчетов'!$AO$13</f>
        <v>Определение главных размеров асинхронного двигателя</v>
      </c>
      <c r="G57" s="2114"/>
      <c r="H57" s="2114"/>
      <c r="I57" s="2114"/>
      <c r="J57" s="2114"/>
      <c r="K57" s="2114"/>
      <c r="L57" s="2114"/>
      <c r="M57" s="2114"/>
      <c r="N57" s="2114"/>
      <c r="O57" s="2114"/>
      <c r="P57" s="2114"/>
      <c r="Q57" s="2114"/>
      <c r="R57" s="2117"/>
      <c r="S57" s="417"/>
      <c r="T57" s="2116" t="s">
        <v>1369</v>
      </c>
      <c r="U57" s="2114"/>
      <c r="V57" s="2117"/>
      <c r="W57" s="417"/>
      <c r="X57" s="2116">
        <v>3</v>
      </c>
      <c r="Y57" s="2117"/>
      <c r="Z57" s="418"/>
      <c r="AA57" s="546"/>
      <c r="AB57" s="546"/>
      <c r="AC57" s="546"/>
      <c r="AD57" s="546"/>
      <c r="AE57" s="546"/>
      <c r="AF57" s="416"/>
      <c r="AG57" s="2116" t="str">
        <f>'Вывод расчетов'!$CC$9</f>
        <v>Раздел 2</v>
      </c>
      <c r="AH57" s="2114"/>
      <c r="AI57" s="2114"/>
      <c r="AJ57" s="417"/>
      <c r="AK57" s="2116" t="str">
        <f>'Вывод расчетов'!$CF$9</f>
        <v>Расчет обмотки статора</v>
      </c>
      <c r="AL57" s="2114"/>
      <c r="AM57" s="2114"/>
      <c r="AN57" s="2114"/>
      <c r="AO57" s="2114"/>
      <c r="AP57" s="2114"/>
      <c r="AQ57" s="2114"/>
      <c r="AR57" s="2114"/>
      <c r="AS57" s="2114"/>
      <c r="AT57" s="2114"/>
      <c r="AU57" s="2114"/>
      <c r="AV57" s="2117"/>
      <c r="AW57" s="417"/>
      <c r="AX57" s="2116" t="s">
        <v>1369</v>
      </c>
      <c r="AY57" s="2114"/>
      <c r="AZ57" s="2117"/>
      <c r="BA57" s="417"/>
      <c r="BB57" s="2116">
        <v>10</v>
      </c>
      <c r="BC57" s="2117"/>
      <c r="BD57" s="418"/>
      <c r="BE57" s="416"/>
      <c r="BF57" s="2116" t="str">
        <f>'Вывод расчетов'!$CC$9</f>
        <v>Раздел 2</v>
      </c>
      <c r="BG57" s="2114"/>
      <c r="BH57" s="2114"/>
      <c r="BI57" s="417"/>
      <c r="BJ57" s="2116" t="str">
        <f>'Вывод расчетов'!$CF$9</f>
        <v>Расчет обмотки статора</v>
      </c>
      <c r="BK57" s="2114"/>
      <c r="BL57" s="2114"/>
      <c r="BM57" s="2114"/>
      <c r="BN57" s="2114"/>
      <c r="BO57" s="2114"/>
      <c r="BP57" s="2114"/>
      <c r="BQ57" s="2114"/>
      <c r="BR57" s="2114"/>
      <c r="BS57" s="2114"/>
      <c r="BT57" s="2114"/>
      <c r="BU57" s="2117"/>
      <c r="BV57" s="417"/>
      <c r="BW57" s="2116" t="s">
        <v>1369</v>
      </c>
      <c r="BX57" s="2114"/>
      <c r="BY57" s="2117"/>
      <c r="BZ57" s="417"/>
      <c r="CA57" s="2116">
        <v>11</v>
      </c>
      <c r="CB57" s="2117"/>
      <c r="CC57" s="418"/>
      <c r="CD57" s="416"/>
      <c r="CE57" s="2116" t="str">
        <f>'Вывод расчетов'!$CC$9</f>
        <v>Раздел 2</v>
      </c>
      <c r="CF57" s="2114"/>
      <c r="CG57" s="2114"/>
      <c r="CH57" s="417"/>
      <c r="CI57" s="2116" t="str">
        <f>'Вывод расчетов'!$CF$9</f>
        <v>Расчет обмотки статора</v>
      </c>
      <c r="CJ57" s="2114"/>
      <c r="CK57" s="2114"/>
      <c r="CL57" s="2114"/>
      <c r="CM57" s="2114"/>
      <c r="CN57" s="2114"/>
      <c r="CO57" s="2114"/>
      <c r="CP57" s="2114"/>
      <c r="CQ57" s="2114"/>
      <c r="CR57" s="2114"/>
      <c r="CS57" s="2114"/>
      <c r="CT57" s="2117"/>
      <c r="CU57" s="417"/>
      <c r="CV57" s="2116" t="s">
        <v>1369</v>
      </c>
      <c r="CW57" s="2114"/>
      <c r="CX57" s="2117"/>
      <c r="CY57" s="417"/>
      <c r="CZ57" s="2116">
        <v>11</v>
      </c>
      <c r="DA57" s="2117"/>
      <c r="DB57" s="418"/>
      <c r="DC57" s="416"/>
      <c r="DD57" s="2116" t="str">
        <f>'Вывод расчетов'!$CC$9</f>
        <v>Раздел 2</v>
      </c>
      <c r="DE57" s="2114"/>
      <c r="DF57" s="2114"/>
      <c r="DG57" s="417"/>
      <c r="DH57" s="2116" t="str">
        <f>'Вывод расчетов'!$CF$9</f>
        <v>Расчет обмотки статора</v>
      </c>
      <c r="DI57" s="2114"/>
      <c r="DJ57" s="2114"/>
      <c r="DK57" s="2114"/>
      <c r="DL57" s="2114"/>
      <c r="DM57" s="2114"/>
      <c r="DN57" s="2114"/>
      <c r="DO57" s="2114"/>
      <c r="DP57" s="2114"/>
      <c r="DQ57" s="2114"/>
      <c r="DR57" s="2114"/>
      <c r="DS57" s="2117"/>
      <c r="DT57" s="417"/>
      <c r="DU57" s="2116" t="s">
        <v>1369</v>
      </c>
      <c r="DV57" s="2114"/>
      <c r="DW57" s="2117"/>
      <c r="DX57" s="417"/>
      <c r="DY57" s="2116">
        <v>11</v>
      </c>
      <c r="DZ57" s="2117"/>
      <c r="EA57" s="418"/>
      <c r="EB57" s="416"/>
      <c r="EC57" s="2116" t="str">
        <f>'Вывод расчетов'!$CC$9</f>
        <v>Раздел 2</v>
      </c>
      <c r="ED57" s="2114"/>
      <c r="EE57" s="2114"/>
      <c r="EF57" s="417"/>
      <c r="EG57" s="2116" t="str">
        <f>'Вывод расчетов'!$CF$9</f>
        <v>Расчет обмотки статора</v>
      </c>
      <c r="EH57" s="2114"/>
      <c r="EI57" s="2114"/>
      <c r="EJ57" s="2114"/>
      <c r="EK57" s="2114"/>
      <c r="EL57" s="2114"/>
      <c r="EM57" s="2114"/>
      <c r="EN57" s="2114"/>
      <c r="EO57" s="2114"/>
      <c r="EP57" s="2114"/>
      <c r="EQ57" s="2114"/>
      <c r="ER57" s="2117"/>
      <c r="ES57" s="417"/>
      <c r="ET57" s="2116" t="s">
        <v>1369</v>
      </c>
      <c r="EU57" s="2114"/>
      <c r="EV57" s="2117"/>
      <c r="EW57" s="417"/>
      <c r="EX57" s="2116">
        <v>11</v>
      </c>
      <c r="EY57" s="2117"/>
      <c r="EZ57" s="418"/>
      <c r="FA57" s="416"/>
      <c r="FB57" s="2116" t="str">
        <f>'Вывод расчетов'!$CC$9</f>
        <v>Раздел 2</v>
      </c>
      <c r="FC57" s="2114"/>
      <c r="FD57" s="2114"/>
      <c r="FE57" s="417"/>
      <c r="FF57" s="2116" t="str">
        <f>'Вывод расчетов'!$CF$9</f>
        <v>Расчет обмотки статора</v>
      </c>
      <c r="FG57" s="2114"/>
      <c r="FH57" s="2114"/>
      <c r="FI57" s="2114"/>
      <c r="FJ57" s="2114"/>
      <c r="FK57" s="2114"/>
      <c r="FL57" s="2114"/>
      <c r="FM57" s="2114"/>
      <c r="FN57" s="2114"/>
      <c r="FO57" s="2114"/>
      <c r="FP57" s="2114"/>
      <c r="FQ57" s="2117"/>
      <c r="FR57" s="417"/>
      <c r="FS57" s="2116" t="s">
        <v>1369</v>
      </c>
      <c r="FT57" s="2114"/>
      <c r="FU57" s="2117"/>
      <c r="FV57" s="417"/>
      <c r="FW57" s="2116">
        <v>11</v>
      </c>
      <c r="FX57" s="2117"/>
      <c r="FY57" s="418"/>
      <c r="FZ57" s="416"/>
      <c r="GA57" s="2116" t="str">
        <f>'Вывод расчетов'!$CC$9</f>
        <v>Раздел 2</v>
      </c>
      <c r="GB57" s="2114"/>
      <c r="GC57" s="2114"/>
      <c r="GD57" s="417"/>
      <c r="GE57" s="2116" t="str">
        <f>'Вывод расчетов'!$CF$9</f>
        <v>Расчет обмотки статора</v>
      </c>
      <c r="GF57" s="2114"/>
      <c r="GG57" s="2114"/>
      <c r="GH57" s="2114"/>
      <c r="GI57" s="2114"/>
      <c r="GJ57" s="2114"/>
      <c r="GK57" s="2114"/>
      <c r="GL57" s="2114"/>
      <c r="GM57" s="2114"/>
      <c r="GN57" s="2114"/>
      <c r="GO57" s="2114"/>
      <c r="GP57" s="2117"/>
      <c r="GQ57" s="417"/>
      <c r="GR57" s="2116" t="s">
        <v>1369</v>
      </c>
      <c r="GS57" s="2114"/>
      <c r="GT57" s="2117"/>
      <c r="GU57" s="417"/>
      <c r="GV57" s="2116">
        <v>11</v>
      </c>
      <c r="GW57" s="2117"/>
      <c r="GX57" s="418"/>
      <c r="GY57" s="416"/>
      <c r="GZ57" s="2116" t="str">
        <f>'Вывод расчетов'!$CC$9</f>
        <v>Раздел 2</v>
      </c>
      <c r="HA57" s="2114"/>
      <c r="HB57" s="2114"/>
      <c r="HC57" s="417"/>
      <c r="HD57" s="2116" t="str">
        <f>'Вывод расчетов'!$CF$9</f>
        <v>Расчет обмотки статора</v>
      </c>
      <c r="HE57" s="2114"/>
      <c r="HF57" s="2114"/>
      <c r="HG57" s="2114"/>
      <c r="HH57" s="2114"/>
      <c r="HI57" s="2114"/>
      <c r="HJ57" s="2114"/>
      <c r="HK57" s="2114"/>
      <c r="HL57" s="2114"/>
      <c r="HM57" s="2114"/>
      <c r="HN57" s="2114"/>
      <c r="HO57" s="2117"/>
      <c r="HP57" s="417"/>
      <c r="HQ57" s="2116" t="s">
        <v>1369</v>
      </c>
      <c r="HR57" s="2114"/>
      <c r="HS57" s="2117"/>
      <c r="HT57" s="417"/>
      <c r="HU57" s="2116">
        <v>11</v>
      </c>
      <c r="HV57" s="2117"/>
      <c r="HW57" s="418"/>
      <c r="KE57" s="407"/>
      <c r="KF57" s="407"/>
      <c r="KG57" s="407"/>
      <c r="KH57" s="407"/>
      <c r="KI57" s="407"/>
      <c r="KJ57" s="407"/>
      <c r="KK57" s="407"/>
      <c r="KL57" s="407"/>
      <c r="KM57" s="407"/>
      <c r="LB57" s="411"/>
      <c r="LC57" s="408"/>
      <c r="LD57" s="408"/>
      <c r="LE57" s="408"/>
      <c r="LF57" s="408"/>
      <c r="LG57" s="408"/>
      <c r="LH57" s="408"/>
      <c r="LI57" s="408"/>
      <c r="LJ57" s="408"/>
      <c r="LK57" s="408"/>
      <c r="LL57" s="408"/>
      <c r="LM57" s="408"/>
      <c r="LN57" s="408"/>
      <c r="LO57" s="408"/>
      <c r="LP57" s="408"/>
      <c r="LQ57" s="408"/>
      <c r="LR57" s="408"/>
      <c r="LS57" s="408"/>
      <c r="LT57" s="408"/>
      <c r="LU57" s="408"/>
      <c r="LV57" s="408"/>
      <c r="LW57" s="408"/>
      <c r="LX57" s="408"/>
      <c r="LY57" s="408"/>
      <c r="LZ57" s="412"/>
      <c r="MA57" s="411"/>
      <c r="MB57" s="408"/>
      <c r="MC57" s="408"/>
      <c r="MD57" s="408"/>
      <c r="ME57" s="408"/>
      <c r="MF57" s="408"/>
      <c r="MG57" s="408"/>
      <c r="MH57" s="408"/>
      <c r="MI57" s="408"/>
      <c r="MJ57" s="408"/>
      <c r="MK57" s="408"/>
      <c r="ML57" s="408"/>
      <c r="MM57" s="408"/>
      <c r="MN57" s="408"/>
      <c r="MO57" s="408"/>
      <c r="MP57" s="408"/>
      <c r="MQ57" s="408"/>
      <c r="MR57" s="408"/>
      <c r="MS57" s="408"/>
      <c r="MT57" s="408"/>
      <c r="MU57" s="408"/>
      <c r="MV57" s="408"/>
      <c r="MW57" s="408"/>
      <c r="MX57" s="408"/>
      <c r="MY57" s="412"/>
      <c r="MZ57" s="411"/>
      <c r="NA57" s="408"/>
      <c r="NB57" s="408"/>
      <c r="NC57" s="408"/>
      <c r="ND57" s="408"/>
      <c r="NE57" s="408"/>
      <c r="NF57" s="408"/>
      <c r="NG57" s="408"/>
      <c r="NH57" s="408"/>
      <c r="NI57" s="408"/>
      <c r="NJ57" s="408"/>
      <c r="NK57" s="408"/>
      <c r="NL57" s="408"/>
      <c r="NM57" s="408"/>
      <c r="NN57" s="408"/>
      <c r="NO57" s="408"/>
      <c r="NP57" s="408"/>
      <c r="NQ57" s="408"/>
      <c r="NR57" s="408"/>
      <c r="NS57" s="408"/>
      <c r="NT57" s="408"/>
      <c r="NU57" s="408"/>
      <c r="NV57" s="408"/>
      <c r="NW57" s="408"/>
      <c r="NX57" s="412"/>
      <c r="NY57" s="411"/>
      <c r="NZ57" s="408"/>
      <c r="OA57" s="408"/>
      <c r="OB57" s="408"/>
      <c r="OC57" s="408"/>
      <c r="OD57" s="408"/>
      <c r="OE57" s="408"/>
      <c r="OF57" s="408"/>
      <c r="OG57" s="408"/>
      <c r="OH57" s="408"/>
      <c r="OI57" s="408"/>
      <c r="OJ57" s="408"/>
      <c r="OK57" s="408"/>
      <c r="OL57" s="408"/>
      <c r="OM57" s="408"/>
      <c r="ON57" s="408"/>
      <c r="OO57" s="408"/>
      <c r="OP57" s="408"/>
      <c r="OQ57" s="408"/>
      <c r="OR57" s="408"/>
      <c r="OS57" s="408"/>
      <c r="OT57" s="408"/>
      <c r="OU57" s="408"/>
      <c r="OV57" s="408"/>
      <c r="OW57" s="412"/>
      <c r="OX57" s="411"/>
      <c r="OY57" s="408"/>
      <c r="OZ57" s="408"/>
      <c r="PA57" s="408"/>
      <c r="PB57" s="408"/>
      <c r="PC57" s="408"/>
      <c r="PD57" s="408"/>
      <c r="PE57" s="408"/>
      <c r="PF57" s="408"/>
      <c r="PG57" s="408"/>
      <c r="PH57" s="408"/>
      <c r="PI57" s="408"/>
      <c r="PJ57" s="408"/>
      <c r="PK57" s="408"/>
      <c r="PL57" s="408"/>
      <c r="PM57" s="408"/>
      <c r="PN57" s="408"/>
      <c r="PO57" s="408"/>
      <c r="PP57" s="408"/>
      <c r="PQ57" s="408"/>
      <c r="PR57" s="408"/>
      <c r="PS57" s="408"/>
      <c r="PT57" s="408"/>
      <c r="PU57" s="408"/>
      <c r="PV57" s="412"/>
      <c r="PW57" s="411"/>
      <c r="PX57" s="408"/>
      <c r="PY57" s="408"/>
      <c r="PZ57" s="408"/>
      <c r="QA57" s="408"/>
      <c r="QB57" s="408"/>
      <c r="QC57" s="408"/>
      <c r="QD57" s="408"/>
      <c r="QE57" s="408"/>
      <c r="QF57" s="408"/>
      <c r="QG57" s="408"/>
      <c r="QH57" s="408"/>
      <c r="QI57" s="408"/>
      <c r="QJ57" s="408"/>
      <c r="QK57" s="408"/>
      <c r="QL57" s="408"/>
      <c r="QM57" s="408"/>
      <c r="QN57" s="408"/>
      <c r="QO57" s="408"/>
      <c r="QP57" s="408"/>
      <c r="QQ57" s="408"/>
      <c r="QR57" s="408"/>
      <c r="QS57" s="408"/>
      <c r="QT57" s="408"/>
      <c r="QU57" s="412"/>
    </row>
    <row r="58" spans="1:463" ht="24" customHeight="1" thickBot="1">
      <c r="A58" s="2113" t="s">
        <v>1111</v>
      </c>
      <c r="B58" s="2114"/>
      <c r="C58" s="2114"/>
      <c r="D58" s="2114"/>
      <c r="E58" s="2114"/>
      <c r="F58" s="2114"/>
      <c r="G58" s="2114"/>
      <c r="H58" s="2114"/>
      <c r="I58" s="2114"/>
      <c r="J58" s="2114"/>
      <c r="K58" s="2114"/>
      <c r="L58" s="2114"/>
      <c r="M58" s="2114"/>
      <c r="N58" s="2114"/>
      <c r="O58" s="2114"/>
      <c r="P58" s="2114"/>
      <c r="Q58" s="2114"/>
      <c r="R58" s="2114"/>
      <c r="S58" s="2114"/>
      <c r="T58" s="2114"/>
      <c r="U58" s="2114"/>
      <c r="V58" s="2114"/>
      <c r="W58" s="2114"/>
      <c r="X58" s="2114"/>
      <c r="Y58" s="2114"/>
      <c r="Z58" s="2115"/>
      <c r="AA58" s="543"/>
      <c r="AB58" s="543"/>
      <c r="AC58" s="543"/>
      <c r="AD58" s="543"/>
      <c r="AE58" s="543"/>
      <c r="AF58" s="2113" t="s">
        <v>1111</v>
      </c>
      <c r="AG58" s="2114"/>
      <c r="AH58" s="2114"/>
      <c r="AI58" s="2114"/>
      <c r="AJ58" s="2114"/>
      <c r="AK58" s="2114"/>
      <c r="AL58" s="2114"/>
      <c r="AM58" s="2114"/>
      <c r="AN58" s="2114"/>
      <c r="AO58" s="2114"/>
      <c r="AP58" s="2114"/>
      <c r="AQ58" s="2114"/>
      <c r="AR58" s="2114"/>
      <c r="AS58" s="2114"/>
      <c r="AT58" s="2114"/>
      <c r="AU58" s="2114"/>
      <c r="AV58" s="2114"/>
      <c r="AW58" s="2114"/>
      <c r="AX58" s="2114"/>
      <c r="AY58" s="2114"/>
      <c r="AZ58" s="2114"/>
      <c r="BA58" s="2114"/>
      <c r="BB58" s="2114"/>
      <c r="BC58" s="2114"/>
      <c r="BD58" s="2115"/>
      <c r="BE58" s="2113" t="s">
        <v>1111</v>
      </c>
      <c r="BF58" s="2114"/>
      <c r="BG58" s="2114"/>
      <c r="BH58" s="2114"/>
      <c r="BI58" s="2114"/>
      <c r="BJ58" s="2114"/>
      <c r="BK58" s="2114"/>
      <c r="BL58" s="2114"/>
      <c r="BM58" s="2114"/>
      <c r="BN58" s="2114"/>
      <c r="BO58" s="2114"/>
      <c r="BP58" s="2114"/>
      <c r="BQ58" s="2114"/>
      <c r="BR58" s="2114"/>
      <c r="BS58" s="2114"/>
      <c r="BT58" s="2114"/>
      <c r="BU58" s="2114"/>
      <c r="BV58" s="2114"/>
      <c r="BW58" s="2114"/>
      <c r="BX58" s="2114"/>
      <c r="BY58" s="2114"/>
      <c r="BZ58" s="2114"/>
      <c r="CA58" s="2114"/>
      <c r="CB58" s="2114"/>
      <c r="CC58" s="2115"/>
      <c r="CD58" s="2113" t="s">
        <v>1111</v>
      </c>
      <c r="CE58" s="2114"/>
      <c r="CF58" s="2114"/>
      <c r="CG58" s="2114"/>
      <c r="CH58" s="2114"/>
      <c r="CI58" s="2114"/>
      <c r="CJ58" s="2114"/>
      <c r="CK58" s="2114"/>
      <c r="CL58" s="2114"/>
      <c r="CM58" s="2114"/>
      <c r="CN58" s="2114"/>
      <c r="CO58" s="2114"/>
      <c r="CP58" s="2114"/>
      <c r="CQ58" s="2114"/>
      <c r="CR58" s="2114"/>
      <c r="CS58" s="2114"/>
      <c r="CT58" s="2114"/>
      <c r="CU58" s="2114"/>
      <c r="CV58" s="2114"/>
      <c r="CW58" s="2114"/>
      <c r="CX58" s="2114"/>
      <c r="CY58" s="2114"/>
      <c r="CZ58" s="2114"/>
      <c r="DA58" s="2114"/>
      <c r="DB58" s="2115"/>
      <c r="DC58" s="2113" t="s">
        <v>1111</v>
      </c>
      <c r="DD58" s="2114"/>
      <c r="DE58" s="2114"/>
      <c r="DF58" s="2114"/>
      <c r="DG58" s="2114"/>
      <c r="DH58" s="2114"/>
      <c r="DI58" s="2114"/>
      <c r="DJ58" s="2114"/>
      <c r="DK58" s="2114"/>
      <c r="DL58" s="2114"/>
      <c r="DM58" s="2114"/>
      <c r="DN58" s="2114"/>
      <c r="DO58" s="2114"/>
      <c r="DP58" s="2114"/>
      <c r="DQ58" s="2114"/>
      <c r="DR58" s="2114"/>
      <c r="DS58" s="2114"/>
      <c r="DT58" s="2114"/>
      <c r="DU58" s="2114"/>
      <c r="DV58" s="2114"/>
      <c r="DW58" s="2114"/>
      <c r="DX58" s="2114"/>
      <c r="DY58" s="2114"/>
      <c r="DZ58" s="2114"/>
      <c r="EA58" s="2115"/>
      <c r="EB58" s="2113" t="s">
        <v>1111</v>
      </c>
      <c r="EC58" s="2114"/>
      <c r="ED58" s="2114"/>
      <c r="EE58" s="2114"/>
      <c r="EF58" s="2114"/>
      <c r="EG58" s="2114"/>
      <c r="EH58" s="2114"/>
      <c r="EI58" s="2114"/>
      <c r="EJ58" s="2114"/>
      <c r="EK58" s="2114"/>
      <c r="EL58" s="2114"/>
      <c r="EM58" s="2114"/>
      <c r="EN58" s="2114"/>
      <c r="EO58" s="2114"/>
      <c r="EP58" s="2114"/>
      <c r="EQ58" s="2114"/>
      <c r="ER58" s="2114"/>
      <c r="ES58" s="2114"/>
      <c r="ET58" s="2114"/>
      <c r="EU58" s="2114"/>
      <c r="EV58" s="2114"/>
      <c r="EW58" s="2114"/>
      <c r="EX58" s="2114"/>
      <c r="EY58" s="2114"/>
      <c r="EZ58" s="2115"/>
      <c r="FA58" s="2113" t="s">
        <v>1111</v>
      </c>
      <c r="FB58" s="2114"/>
      <c r="FC58" s="2114"/>
      <c r="FD58" s="2114"/>
      <c r="FE58" s="2114"/>
      <c r="FF58" s="2114"/>
      <c r="FG58" s="2114"/>
      <c r="FH58" s="2114"/>
      <c r="FI58" s="2114"/>
      <c r="FJ58" s="2114"/>
      <c r="FK58" s="2114"/>
      <c r="FL58" s="2114"/>
      <c r="FM58" s="2114"/>
      <c r="FN58" s="2114"/>
      <c r="FO58" s="2114"/>
      <c r="FP58" s="2114"/>
      <c r="FQ58" s="2114"/>
      <c r="FR58" s="2114"/>
      <c r="FS58" s="2114"/>
      <c r="FT58" s="2114"/>
      <c r="FU58" s="2114"/>
      <c r="FV58" s="2114"/>
      <c r="FW58" s="2114"/>
      <c r="FX58" s="2114"/>
      <c r="FY58" s="2115"/>
      <c r="FZ58" s="2113" t="s">
        <v>1111</v>
      </c>
      <c r="GA58" s="2114"/>
      <c r="GB58" s="2114"/>
      <c r="GC58" s="2114"/>
      <c r="GD58" s="2114"/>
      <c r="GE58" s="2114"/>
      <c r="GF58" s="2114"/>
      <c r="GG58" s="2114"/>
      <c r="GH58" s="2114"/>
      <c r="GI58" s="2114"/>
      <c r="GJ58" s="2114"/>
      <c r="GK58" s="2114"/>
      <c r="GL58" s="2114"/>
      <c r="GM58" s="2114"/>
      <c r="GN58" s="2114"/>
      <c r="GO58" s="2114"/>
      <c r="GP58" s="2114"/>
      <c r="GQ58" s="2114"/>
      <c r="GR58" s="2114"/>
      <c r="GS58" s="2114"/>
      <c r="GT58" s="2114"/>
      <c r="GU58" s="2114"/>
      <c r="GV58" s="2114"/>
      <c r="GW58" s="2114"/>
      <c r="GX58" s="2115"/>
      <c r="GY58" s="2113" t="s">
        <v>1111</v>
      </c>
      <c r="GZ58" s="2114"/>
      <c r="HA58" s="2114"/>
      <c r="HB58" s="2114"/>
      <c r="HC58" s="2114"/>
      <c r="HD58" s="2114"/>
      <c r="HE58" s="2114"/>
      <c r="HF58" s="2114"/>
      <c r="HG58" s="2114"/>
      <c r="HH58" s="2114"/>
      <c r="HI58" s="2114"/>
      <c r="HJ58" s="2114"/>
      <c r="HK58" s="2114"/>
      <c r="HL58" s="2114"/>
      <c r="HM58" s="2114"/>
      <c r="HN58" s="2114"/>
      <c r="HO58" s="2114"/>
      <c r="HP58" s="2114"/>
      <c r="HQ58" s="2114"/>
      <c r="HR58" s="2114"/>
      <c r="HS58" s="2114"/>
      <c r="HT58" s="2114"/>
      <c r="HU58" s="2114"/>
      <c r="HV58" s="2114"/>
      <c r="HW58" s="2115"/>
      <c r="KE58" s="407"/>
      <c r="KF58" s="407"/>
      <c r="KG58" s="407"/>
      <c r="KH58" s="407"/>
      <c r="KI58" s="407"/>
      <c r="KJ58" s="407"/>
      <c r="KK58" s="407"/>
      <c r="KL58" s="407"/>
      <c r="KM58" s="407"/>
      <c r="LB58" s="411"/>
      <c r="LC58" s="408"/>
      <c r="LD58" s="408"/>
      <c r="LE58" s="408"/>
      <c r="LF58" s="408"/>
      <c r="LG58" s="408"/>
      <c r="LH58" s="408"/>
      <c r="LI58" s="408"/>
      <c r="LJ58" s="408"/>
      <c r="LK58" s="408"/>
      <c r="LL58" s="408"/>
      <c r="LM58" s="408"/>
      <c r="LN58" s="408"/>
      <c r="LO58" s="408"/>
      <c r="LP58" s="408"/>
      <c r="LQ58" s="408"/>
      <c r="LR58" s="408"/>
      <c r="LS58" s="408"/>
      <c r="LT58" s="408"/>
      <c r="LU58" s="408"/>
      <c r="LV58" s="408"/>
      <c r="LW58" s="408"/>
      <c r="LX58" s="408"/>
      <c r="LY58" s="408"/>
      <c r="LZ58" s="412"/>
      <c r="MA58" s="411"/>
      <c r="MB58" s="408"/>
      <c r="MC58" s="408"/>
      <c r="MD58" s="408"/>
      <c r="ME58" s="408"/>
      <c r="MF58" s="408"/>
      <c r="MG58" s="408"/>
      <c r="MH58" s="408"/>
      <c r="MI58" s="408"/>
      <c r="MJ58" s="408"/>
      <c r="MK58" s="408"/>
      <c r="ML58" s="408"/>
      <c r="MM58" s="408"/>
      <c r="MN58" s="408"/>
      <c r="MO58" s="408"/>
      <c r="MP58" s="408"/>
      <c r="MQ58" s="408"/>
      <c r="MR58" s="408"/>
      <c r="MS58" s="408"/>
      <c r="MT58" s="408"/>
      <c r="MU58" s="408"/>
      <c r="MV58" s="408"/>
      <c r="MW58" s="408"/>
      <c r="MX58" s="408"/>
      <c r="MY58" s="412"/>
      <c r="MZ58" s="411"/>
      <c r="NA58" s="408"/>
      <c r="NB58" s="408"/>
      <c r="NC58" s="408"/>
      <c r="ND58" s="408"/>
      <c r="NE58" s="408"/>
      <c r="NF58" s="408"/>
      <c r="NG58" s="408"/>
      <c r="NH58" s="408"/>
      <c r="NI58" s="408"/>
      <c r="NJ58" s="408"/>
      <c r="NK58" s="408"/>
      <c r="NL58" s="408"/>
      <c r="NM58" s="408"/>
      <c r="NN58" s="408"/>
      <c r="NO58" s="408"/>
      <c r="NP58" s="408"/>
      <c r="NQ58" s="408"/>
      <c r="NR58" s="408"/>
      <c r="NS58" s="408"/>
      <c r="NT58" s="408"/>
      <c r="NU58" s="408"/>
      <c r="NV58" s="408"/>
      <c r="NW58" s="408"/>
      <c r="NX58" s="412"/>
      <c r="NY58" s="411"/>
      <c r="NZ58" s="408"/>
      <c r="OA58" s="408"/>
      <c r="OB58" s="408"/>
      <c r="OC58" s="408"/>
      <c r="OD58" s="408"/>
      <c r="OE58" s="408"/>
      <c r="OF58" s="408"/>
      <c r="OG58" s="408"/>
      <c r="OH58" s="408"/>
      <c r="OI58" s="408"/>
      <c r="OJ58" s="408"/>
      <c r="OK58" s="408"/>
      <c r="OL58" s="408"/>
      <c r="OM58" s="408"/>
      <c r="ON58" s="408"/>
      <c r="OO58" s="408"/>
      <c r="OP58" s="408"/>
      <c r="OQ58" s="408"/>
      <c r="OR58" s="408"/>
      <c r="OS58" s="408"/>
      <c r="OT58" s="408"/>
      <c r="OU58" s="408"/>
      <c r="OV58" s="408"/>
      <c r="OW58" s="412"/>
      <c r="OX58" s="411"/>
      <c r="OY58" s="408"/>
      <c r="OZ58" s="408"/>
      <c r="PA58" s="408"/>
      <c r="PB58" s="408"/>
      <c r="PC58" s="408"/>
      <c r="PD58" s="408"/>
      <c r="PE58" s="408"/>
      <c r="PF58" s="408"/>
      <c r="PG58" s="408"/>
      <c r="PH58" s="408"/>
      <c r="PI58" s="408"/>
      <c r="PJ58" s="408"/>
      <c r="PK58" s="408"/>
      <c r="PL58" s="408"/>
      <c r="PM58" s="408"/>
      <c r="PN58" s="408"/>
      <c r="PO58" s="408"/>
      <c r="PP58" s="408"/>
      <c r="PQ58" s="408"/>
      <c r="PR58" s="408"/>
      <c r="PS58" s="408"/>
      <c r="PT58" s="408"/>
      <c r="PU58" s="408"/>
      <c r="PV58" s="412"/>
      <c r="PW58" s="411"/>
      <c r="PX58" s="408"/>
      <c r="PY58" s="408"/>
      <c r="PZ58" s="408"/>
      <c r="QA58" s="408"/>
      <c r="QB58" s="408"/>
      <c r="QC58" s="408"/>
      <c r="QD58" s="408"/>
      <c r="QE58" s="408"/>
      <c r="QF58" s="408"/>
      <c r="QG58" s="408"/>
      <c r="QH58" s="408"/>
      <c r="QI58" s="408"/>
      <c r="QJ58" s="408"/>
      <c r="QK58" s="408"/>
      <c r="QL58" s="408"/>
      <c r="QM58" s="408"/>
      <c r="QN58" s="408"/>
      <c r="QO58" s="408"/>
      <c r="QP58" s="408"/>
      <c r="QQ58" s="408"/>
      <c r="QR58" s="408"/>
      <c r="QS58" s="408"/>
      <c r="QT58" s="408"/>
      <c r="QU58" s="412"/>
    </row>
    <row r="59" spans="1:463" ht="24" customHeight="1">
      <c r="A59" s="409"/>
      <c r="B59" s="410"/>
      <c r="C59" s="410"/>
      <c r="D59" s="410"/>
      <c r="E59" s="410"/>
      <c r="F59" s="410"/>
      <c r="G59" s="410"/>
      <c r="H59" s="410"/>
      <c r="I59" s="410"/>
      <c r="J59" s="410"/>
      <c r="K59" s="410"/>
      <c r="L59" s="410"/>
      <c r="M59" s="410"/>
      <c r="N59" s="410"/>
      <c r="O59" s="410"/>
      <c r="P59" s="410"/>
      <c r="Q59" s="410"/>
      <c r="R59" s="410"/>
      <c r="S59" s="410"/>
      <c r="T59" s="410"/>
      <c r="U59" s="410"/>
      <c r="V59" s="410"/>
      <c r="W59" s="410"/>
      <c r="X59" s="410"/>
      <c r="Y59" s="410"/>
      <c r="Z59" s="419"/>
      <c r="AA59" s="410"/>
      <c r="AB59" s="410"/>
      <c r="AC59" s="410"/>
      <c r="AD59" s="410"/>
      <c r="AE59" s="410"/>
      <c r="AF59" s="409"/>
      <c r="AG59" s="410"/>
      <c r="AH59" s="410"/>
      <c r="AI59" s="410"/>
      <c r="AJ59" s="410"/>
      <c r="AK59" s="410"/>
      <c r="AL59" s="410"/>
      <c r="AM59" s="410"/>
      <c r="AN59" s="410"/>
      <c r="AO59" s="410"/>
      <c r="AP59" s="410"/>
      <c r="AQ59" s="410"/>
      <c r="AR59" s="410"/>
      <c r="AS59" s="410"/>
      <c r="AT59" s="410"/>
      <c r="AU59" s="410"/>
      <c r="AV59" s="410"/>
      <c r="AW59" s="410"/>
      <c r="AX59" s="410"/>
      <c r="AY59" s="410"/>
      <c r="AZ59" s="410"/>
      <c r="BA59" s="410"/>
      <c r="BB59" s="410"/>
      <c r="BC59" s="410"/>
      <c r="BD59" s="419"/>
      <c r="BE59" s="409"/>
      <c r="BF59" s="410"/>
      <c r="BG59" s="410"/>
      <c r="BH59" s="410"/>
      <c r="BI59" s="410"/>
      <c r="BJ59" s="410"/>
      <c r="BK59" s="410"/>
      <c r="BL59" s="410"/>
      <c r="BM59" s="410"/>
      <c r="BN59" s="410"/>
      <c r="BO59" s="410"/>
      <c r="BP59" s="410"/>
      <c r="BQ59" s="410"/>
      <c r="BR59" s="410"/>
      <c r="BS59" s="410"/>
      <c r="BT59" s="410"/>
      <c r="BU59" s="410"/>
      <c r="BV59" s="410"/>
      <c r="BW59" s="410"/>
      <c r="BX59" s="410"/>
      <c r="BY59" s="410"/>
      <c r="BZ59" s="410"/>
      <c r="CA59" s="410"/>
      <c r="CB59" s="410"/>
      <c r="CC59" s="419"/>
      <c r="CD59" s="409"/>
      <c r="CE59" s="410"/>
      <c r="CF59" s="410"/>
      <c r="CG59" s="410"/>
      <c r="CH59" s="410"/>
      <c r="CI59" s="410"/>
      <c r="CJ59" s="410"/>
      <c r="CK59" s="410"/>
      <c r="CL59" s="410"/>
      <c r="CM59" s="410"/>
      <c r="CN59" s="410"/>
      <c r="CO59" s="410"/>
      <c r="CP59" s="410"/>
      <c r="CQ59" s="410"/>
      <c r="CR59" s="410"/>
      <c r="CS59" s="410"/>
      <c r="CT59" s="410"/>
      <c r="CU59" s="410"/>
      <c r="CV59" s="410"/>
      <c r="CW59" s="410"/>
      <c r="CX59" s="410"/>
      <c r="CY59" s="410"/>
      <c r="CZ59" s="410"/>
      <c r="DA59" s="410"/>
      <c r="DB59" s="419"/>
      <c r="DC59" s="409"/>
      <c r="DD59" s="410"/>
      <c r="DE59" s="410"/>
      <c r="DF59" s="410"/>
      <c r="DG59" s="410"/>
      <c r="DH59" s="410"/>
      <c r="DI59" s="410"/>
      <c r="DJ59" s="410"/>
      <c r="DK59" s="410"/>
      <c r="DL59" s="410"/>
      <c r="DM59" s="410"/>
      <c r="DN59" s="410"/>
      <c r="DO59" s="410"/>
      <c r="DP59" s="410"/>
      <c r="DQ59" s="410"/>
      <c r="DR59" s="410"/>
      <c r="DS59" s="410"/>
      <c r="DT59" s="410"/>
      <c r="DU59" s="410"/>
      <c r="DV59" s="410"/>
      <c r="DW59" s="410"/>
      <c r="DX59" s="410"/>
      <c r="DY59" s="410"/>
      <c r="DZ59" s="410"/>
      <c r="EA59" s="419"/>
      <c r="EB59" s="409"/>
      <c r="EC59" s="410"/>
      <c r="ED59" s="410"/>
      <c r="EE59" s="410"/>
      <c r="EF59" s="410"/>
      <c r="EG59" s="410"/>
      <c r="EH59" s="410"/>
      <c r="EI59" s="410"/>
      <c r="EJ59" s="410"/>
      <c r="EK59" s="410"/>
      <c r="EL59" s="410"/>
      <c r="EM59" s="410"/>
      <c r="EN59" s="410"/>
      <c r="EO59" s="410"/>
      <c r="EP59" s="410"/>
      <c r="EQ59" s="410"/>
      <c r="ER59" s="410"/>
      <c r="ES59" s="410"/>
      <c r="ET59" s="410"/>
      <c r="EU59" s="410"/>
      <c r="EV59" s="410"/>
      <c r="EW59" s="410"/>
      <c r="EX59" s="410"/>
      <c r="EY59" s="410"/>
      <c r="EZ59" s="419"/>
      <c r="FA59" s="409"/>
      <c r="FB59" s="410"/>
      <c r="FC59" s="410"/>
      <c r="FD59" s="410"/>
      <c r="FE59" s="410"/>
      <c r="FF59" s="410"/>
      <c r="FG59" s="410"/>
      <c r="FH59" s="410"/>
      <c r="FI59" s="410"/>
      <c r="FJ59" s="410"/>
      <c r="FK59" s="410"/>
      <c r="FL59" s="410"/>
      <c r="FM59" s="410"/>
      <c r="FN59" s="410"/>
      <c r="FO59" s="410"/>
      <c r="FP59" s="410"/>
      <c r="FQ59" s="410"/>
      <c r="FR59" s="410"/>
      <c r="FS59" s="410"/>
      <c r="FT59" s="410"/>
      <c r="FU59" s="410"/>
      <c r="FV59" s="410"/>
      <c r="FW59" s="410"/>
      <c r="FX59" s="410"/>
      <c r="FY59" s="419"/>
      <c r="FZ59" s="409"/>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9"/>
      <c r="GY59" s="409"/>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419"/>
      <c r="KC59" s="407"/>
      <c r="KD59" s="407"/>
      <c r="KE59" s="407"/>
      <c r="KF59" s="407"/>
      <c r="KG59" s="407"/>
      <c r="KH59" s="407"/>
      <c r="KI59" s="407"/>
      <c r="KJ59" s="407"/>
      <c r="KK59" s="407"/>
      <c r="KL59" s="407"/>
      <c r="KM59" s="407"/>
      <c r="LB59" s="411"/>
      <c r="LC59" s="408"/>
      <c r="LD59" s="408"/>
      <c r="LE59" s="408"/>
      <c r="LF59" s="408"/>
      <c r="LG59" s="408"/>
      <c r="LH59" s="408"/>
      <c r="LI59" s="408"/>
      <c r="LJ59" s="408"/>
      <c r="LK59" s="408"/>
      <c r="LL59" s="408"/>
      <c r="LM59" s="408"/>
      <c r="LN59" s="408"/>
      <c r="LO59" s="408"/>
      <c r="LP59" s="408"/>
      <c r="LQ59" s="408"/>
      <c r="LR59" s="408"/>
      <c r="LS59" s="408"/>
      <c r="LT59" s="408"/>
      <c r="LU59" s="408"/>
      <c r="LV59" s="408"/>
      <c r="LW59" s="408"/>
      <c r="LX59" s="408"/>
      <c r="LY59" s="408"/>
      <c r="LZ59" s="412"/>
      <c r="MA59" s="411"/>
      <c r="MB59" s="408"/>
      <c r="MC59" s="408"/>
      <c r="MD59" s="408"/>
      <c r="ME59" s="408"/>
      <c r="MF59" s="408"/>
      <c r="MG59" s="408"/>
      <c r="MH59" s="408"/>
      <c r="MI59" s="408"/>
      <c r="MJ59" s="408"/>
      <c r="MK59" s="408"/>
      <c r="ML59" s="408"/>
      <c r="MM59" s="408"/>
      <c r="MN59" s="408"/>
      <c r="MO59" s="408"/>
      <c r="MP59" s="408"/>
      <c r="MQ59" s="408"/>
      <c r="MR59" s="408"/>
      <c r="MS59" s="408"/>
      <c r="MT59" s="408"/>
      <c r="MU59" s="408"/>
      <c r="MV59" s="408"/>
      <c r="MW59" s="408"/>
      <c r="MX59" s="408"/>
      <c r="MY59" s="412"/>
      <c r="MZ59" s="411"/>
      <c r="NA59" s="408"/>
      <c r="NB59" s="408"/>
      <c r="NC59" s="408"/>
      <c r="ND59" s="408"/>
      <c r="NE59" s="408"/>
      <c r="NF59" s="408"/>
      <c r="NG59" s="408"/>
      <c r="NH59" s="408"/>
      <c r="NI59" s="408"/>
      <c r="NJ59" s="408"/>
      <c r="NK59" s="408"/>
      <c r="NL59" s="408"/>
      <c r="NM59" s="408"/>
      <c r="NN59" s="408"/>
      <c r="NO59" s="408"/>
      <c r="NP59" s="408"/>
      <c r="NQ59" s="408"/>
      <c r="NR59" s="408"/>
      <c r="NS59" s="408"/>
      <c r="NT59" s="408"/>
      <c r="NU59" s="408"/>
      <c r="NV59" s="408"/>
      <c r="NW59" s="408"/>
      <c r="NX59" s="412"/>
      <c r="NY59" s="411"/>
      <c r="NZ59" s="408"/>
      <c r="OA59" s="408"/>
      <c r="OB59" s="408"/>
      <c r="OC59" s="408"/>
      <c r="OD59" s="408"/>
      <c r="OE59" s="408"/>
      <c r="OF59" s="408"/>
      <c r="OG59" s="408"/>
      <c r="OH59" s="408"/>
      <c r="OI59" s="408"/>
      <c r="OJ59" s="408"/>
      <c r="OK59" s="408"/>
      <c r="OL59" s="408"/>
      <c r="OM59" s="408"/>
      <c r="ON59" s="408"/>
      <c r="OO59" s="408"/>
      <c r="OP59" s="408"/>
      <c r="OQ59" s="408"/>
      <c r="OR59" s="408"/>
      <c r="OS59" s="408"/>
      <c r="OT59" s="408"/>
      <c r="OU59" s="408"/>
      <c r="OV59" s="408"/>
      <c r="OW59" s="412"/>
      <c r="OX59" s="411"/>
      <c r="OY59" s="408"/>
      <c r="OZ59" s="408"/>
      <c r="PA59" s="408"/>
      <c r="PB59" s="408"/>
      <c r="PC59" s="408"/>
      <c r="PD59" s="408"/>
      <c r="PE59" s="408"/>
      <c r="PF59" s="408"/>
      <c r="PG59" s="408"/>
      <c r="PH59" s="408"/>
      <c r="PI59" s="408"/>
      <c r="PJ59" s="408"/>
      <c r="PK59" s="408"/>
      <c r="PL59" s="408"/>
      <c r="PM59" s="408"/>
      <c r="PN59" s="408"/>
      <c r="PO59" s="408"/>
      <c r="PP59" s="408"/>
      <c r="PQ59" s="408"/>
      <c r="PR59" s="408"/>
      <c r="PS59" s="408"/>
      <c r="PT59" s="408"/>
      <c r="PU59" s="408"/>
      <c r="PV59" s="412"/>
      <c r="PW59" s="411"/>
      <c r="PX59" s="408"/>
      <c r="PY59" s="408"/>
      <c r="PZ59" s="408"/>
      <c r="QA59" s="408"/>
      <c r="QB59" s="408"/>
      <c r="QC59" s="408"/>
      <c r="QD59" s="408"/>
      <c r="QE59" s="408"/>
      <c r="QF59" s="408"/>
      <c r="QG59" s="408"/>
      <c r="QH59" s="408"/>
      <c r="QI59" s="408"/>
      <c r="QJ59" s="408"/>
      <c r="QK59" s="408"/>
      <c r="QL59" s="408"/>
      <c r="QM59" s="408"/>
      <c r="QN59" s="408"/>
      <c r="QO59" s="408"/>
      <c r="QP59" s="408"/>
      <c r="QQ59" s="408"/>
      <c r="QR59" s="408"/>
      <c r="QS59" s="408"/>
      <c r="QT59" s="408"/>
      <c r="QU59" s="412"/>
    </row>
    <row r="60" spans="1:463" ht="24" customHeight="1">
      <c r="A60" s="411"/>
      <c r="B60" s="40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12"/>
      <c r="AA60" s="408"/>
      <c r="AB60" s="408"/>
      <c r="AC60" s="408"/>
      <c r="AD60" s="408"/>
      <c r="AE60" s="408"/>
      <c r="AF60" s="411"/>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12"/>
      <c r="BE60" s="411"/>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12"/>
      <c r="CD60" s="411"/>
      <c r="CE60" s="408"/>
      <c r="CF60" s="408"/>
      <c r="CG60" s="408"/>
      <c r="CH60" s="408"/>
      <c r="CI60" s="408"/>
      <c r="CJ60" s="408"/>
      <c r="CK60" s="408"/>
      <c r="CL60" s="408"/>
      <c r="CM60" s="408"/>
      <c r="CN60" s="408"/>
      <c r="CO60" s="408"/>
      <c r="CP60" s="408"/>
      <c r="CQ60" s="408"/>
      <c r="CR60" s="408"/>
      <c r="CS60" s="408"/>
      <c r="CT60" s="408"/>
      <c r="CU60" s="408"/>
      <c r="CV60" s="408"/>
      <c r="CW60" s="408"/>
      <c r="CX60" s="408"/>
      <c r="CY60" s="408"/>
      <c r="CZ60" s="408"/>
      <c r="DA60" s="408"/>
      <c r="DB60" s="412"/>
      <c r="DC60" s="411"/>
      <c r="DD60" s="408"/>
      <c r="DE60" s="408"/>
      <c r="DF60" s="408"/>
      <c r="DG60" s="408"/>
      <c r="DH60" s="408"/>
      <c r="DI60" s="408"/>
      <c r="DJ60" s="408"/>
      <c r="DK60" s="408"/>
      <c r="DL60" s="408"/>
      <c r="DM60" s="408"/>
      <c r="DN60" s="408"/>
      <c r="DO60" s="408"/>
      <c r="DP60" s="408"/>
      <c r="DQ60" s="408"/>
      <c r="DR60" s="408"/>
      <c r="DS60" s="408"/>
      <c r="DT60" s="408"/>
      <c r="DU60" s="408"/>
      <c r="DV60" s="408"/>
      <c r="DW60" s="408"/>
      <c r="DX60" s="408"/>
      <c r="DY60" s="408"/>
      <c r="DZ60" s="408"/>
      <c r="EA60" s="412"/>
      <c r="EB60" s="411"/>
      <c r="EC60" s="408"/>
      <c r="ED60" s="408"/>
      <c r="EE60" s="408"/>
      <c r="EF60" s="408"/>
      <c r="EG60" s="408"/>
      <c r="EH60" s="408"/>
      <c r="EI60" s="408"/>
      <c r="EJ60" s="408"/>
      <c r="EK60" s="408"/>
      <c r="EL60" s="408"/>
      <c r="EM60" s="408"/>
      <c r="EN60" s="408"/>
      <c r="EO60" s="408"/>
      <c r="EP60" s="408"/>
      <c r="EQ60" s="408"/>
      <c r="ER60" s="408"/>
      <c r="ES60" s="408"/>
      <c r="ET60" s="408"/>
      <c r="EU60" s="408"/>
      <c r="EV60" s="408"/>
      <c r="EW60" s="408"/>
      <c r="EX60" s="408"/>
      <c r="EY60" s="408"/>
      <c r="EZ60" s="412"/>
      <c r="FA60" s="411"/>
      <c r="FB60" s="408"/>
      <c r="FC60" s="408"/>
      <c r="FD60" s="408"/>
      <c r="FE60" s="408"/>
      <c r="FF60" s="408"/>
      <c r="FG60" s="408"/>
      <c r="FH60" s="408"/>
      <c r="FI60" s="408"/>
      <c r="FJ60" s="408"/>
      <c r="FK60" s="408"/>
      <c r="FL60" s="408"/>
      <c r="FM60" s="408"/>
      <c r="FN60" s="408"/>
      <c r="FO60" s="408"/>
      <c r="FP60" s="408"/>
      <c r="FQ60" s="408"/>
      <c r="FR60" s="408"/>
      <c r="FS60" s="408"/>
      <c r="FT60" s="408"/>
      <c r="FU60" s="408"/>
      <c r="FV60" s="408"/>
      <c r="FW60" s="408"/>
      <c r="FX60" s="408"/>
      <c r="FY60" s="412"/>
      <c r="FZ60" s="411"/>
      <c r="GA60" s="408"/>
      <c r="GB60" s="408"/>
      <c r="GC60" s="408"/>
      <c r="GD60" s="408"/>
      <c r="GE60" s="408"/>
      <c r="GF60" s="408"/>
      <c r="GG60" s="408"/>
      <c r="GH60" s="408"/>
      <c r="GI60" s="408"/>
      <c r="GJ60" s="408"/>
      <c r="GK60" s="408"/>
      <c r="GL60" s="408"/>
      <c r="GM60" s="408"/>
      <c r="GN60" s="408"/>
      <c r="GO60" s="408"/>
      <c r="GP60" s="408"/>
      <c r="GQ60" s="408"/>
      <c r="GR60" s="408"/>
      <c r="GS60" s="408"/>
      <c r="GT60" s="408"/>
      <c r="GU60" s="408"/>
      <c r="GV60" s="408"/>
      <c r="GW60" s="408"/>
      <c r="GX60" s="412"/>
      <c r="GY60" s="411"/>
      <c r="GZ60" s="408"/>
      <c r="HA60" s="408"/>
      <c r="HB60" s="408"/>
      <c r="HC60" s="408"/>
      <c r="HD60" s="408"/>
      <c r="HE60" s="408"/>
      <c r="HF60" s="408"/>
      <c r="HG60" s="408"/>
      <c r="HH60" s="408"/>
      <c r="HI60" s="408"/>
      <c r="HJ60" s="408"/>
      <c r="HK60" s="408"/>
      <c r="HL60" s="408"/>
      <c r="HM60" s="408"/>
      <c r="HN60" s="408"/>
      <c r="HO60" s="408"/>
      <c r="HP60" s="408"/>
      <c r="HQ60" s="408"/>
      <c r="HR60" s="408"/>
      <c r="HS60" s="408"/>
      <c r="HT60" s="408"/>
      <c r="HU60" s="408"/>
      <c r="HV60" s="408"/>
      <c r="HW60" s="412"/>
      <c r="KC60" s="407"/>
      <c r="KD60" s="407"/>
      <c r="KE60" s="407"/>
      <c r="KF60" s="407"/>
      <c r="KG60" s="407"/>
      <c r="KH60" s="407"/>
      <c r="KI60" s="407"/>
      <c r="KJ60" s="407"/>
      <c r="KK60" s="407"/>
      <c r="KL60" s="407"/>
      <c r="KM60" s="407"/>
      <c r="LB60" s="411"/>
      <c r="LC60" s="408"/>
      <c r="LD60" s="408"/>
      <c r="LE60" s="408"/>
      <c r="LF60" s="408"/>
      <c r="LG60" s="408"/>
      <c r="LH60" s="408"/>
      <c r="LI60" s="408"/>
      <c r="LJ60" s="408"/>
      <c r="LK60" s="408"/>
      <c r="LL60" s="408"/>
      <c r="LM60" s="408"/>
      <c r="LN60" s="408"/>
      <c r="LO60" s="408"/>
      <c r="LP60" s="408"/>
      <c r="LQ60" s="408"/>
      <c r="LR60" s="408"/>
      <c r="LS60" s="408"/>
      <c r="LT60" s="408"/>
      <c r="LU60" s="408"/>
      <c r="LV60" s="408"/>
      <c r="LW60" s="408"/>
      <c r="LX60" s="408"/>
      <c r="LY60" s="408"/>
      <c r="LZ60" s="412"/>
      <c r="MA60" s="411"/>
      <c r="MB60" s="408"/>
      <c r="MC60" s="408"/>
      <c r="MD60" s="408"/>
      <c r="ME60" s="408"/>
      <c r="MF60" s="408"/>
      <c r="MG60" s="408"/>
      <c r="MH60" s="408"/>
      <c r="MI60" s="408"/>
      <c r="MJ60" s="408"/>
      <c r="MK60" s="408"/>
      <c r="ML60" s="408"/>
      <c r="MM60" s="408"/>
      <c r="MN60" s="408"/>
      <c r="MO60" s="408"/>
      <c r="MP60" s="408"/>
      <c r="MQ60" s="408"/>
      <c r="MR60" s="408"/>
      <c r="MS60" s="408"/>
      <c r="MT60" s="408"/>
      <c r="MU60" s="408"/>
      <c r="MV60" s="408"/>
      <c r="MW60" s="408"/>
      <c r="MX60" s="408"/>
      <c r="MY60" s="412"/>
      <c r="MZ60" s="411"/>
      <c r="NA60" s="408"/>
      <c r="NB60" s="408"/>
      <c r="NC60" s="408"/>
      <c r="ND60" s="408"/>
      <c r="NE60" s="408"/>
      <c r="NF60" s="408"/>
      <c r="NG60" s="408"/>
      <c r="NH60" s="408"/>
      <c r="NI60" s="408"/>
      <c r="NJ60" s="408"/>
      <c r="NK60" s="408"/>
      <c r="NL60" s="408"/>
      <c r="NM60" s="408"/>
      <c r="NN60" s="408"/>
      <c r="NO60" s="408"/>
      <c r="NP60" s="408"/>
      <c r="NQ60" s="408"/>
      <c r="NR60" s="408"/>
      <c r="NS60" s="408"/>
      <c r="NT60" s="408"/>
      <c r="NU60" s="408"/>
      <c r="NV60" s="408"/>
      <c r="NW60" s="408"/>
      <c r="NX60" s="412"/>
      <c r="NY60" s="411"/>
      <c r="NZ60" s="408"/>
      <c r="OA60" s="408"/>
      <c r="OB60" s="408"/>
      <c r="OC60" s="408"/>
      <c r="OD60" s="408"/>
      <c r="OE60" s="408"/>
      <c r="OF60" s="408"/>
      <c r="OG60" s="408"/>
      <c r="OH60" s="408"/>
      <c r="OI60" s="408"/>
      <c r="OJ60" s="408"/>
      <c r="OK60" s="408"/>
      <c r="OL60" s="408"/>
      <c r="OM60" s="408"/>
      <c r="ON60" s="408"/>
      <c r="OO60" s="408"/>
      <c r="OP60" s="408"/>
      <c r="OQ60" s="408"/>
      <c r="OR60" s="408"/>
      <c r="OS60" s="408"/>
      <c r="OT60" s="408"/>
      <c r="OU60" s="408"/>
      <c r="OV60" s="408"/>
      <c r="OW60" s="412"/>
      <c r="OX60" s="411"/>
      <c r="OY60" s="408"/>
      <c r="OZ60" s="408"/>
      <c r="PA60" s="408"/>
      <c r="PB60" s="408"/>
      <c r="PC60" s="408"/>
      <c r="PD60" s="408"/>
      <c r="PE60" s="408"/>
      <c r="PF60" s="408"/>
      <c r="PG60" s="408"/>
      <c r="PH60" s="408"/>
      <c r="PI60" s="408"/>
      <c r="PJ60" s="408"/>
      <c r="PK60" s="408"/>
      <c r="PL60" s="408"/>
      <c r="PM60" s="408"/>
      <c r="PN60" s="408"/>
      <c r="PO60" s="408"/>
      <c r="PP60" s="408"/>
      <c r="PQ60" s="408"/>
      <c r="PR60" s="408"/>
      <c r="PS60" s="408"/>
      <c r="PT60" s="408"/>
      <c r="PU60" s="408"/>
      <c r="PV60" s="412"/>
      <c r="PW60" s="411"/>
      <c r="PX60" s="408"/>
      <c r="PY60" s="408"/>
      <c r="PZ60" s="408"/>
      <c r="QA60" s="408"/>
      <c r="QB60" s="408"/>
      <c r="QC60" s="408"/>
      <c r="QD60" s="408"/>
      <c r="QE60" s="408"/>
      <c r="QF60" s="408"/>
      <c r="QG60" s="408"/>
      <c r="QH60" s="408"/>
      <c r="QI60" s="408"/>
      <c r="QJ60" s="408"/>
      <c r="QK60" s="408"/>
      <c r="QL60" s="408"/>
      <c r="QM60" s="408"/>
      <c r="QN60" s="408"/>
      <c r="QO60" s="408"/>
      <c r="QP60" s="408"/>
      <c r="QQ60" s="408"/>
      <c r="QR60" s="408"/>
      <c r="QS60" s="408"/>
      <c r="QT60" s="408"/>
      <c r="QU60" s="412"/>
    </row>
    <row r="61" spans="1:463" ht="24" customHeight="1">
      <c r="A61" s="411"/>
      <c r="B61" s="40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12"/>
      <c r="AA61" s="408"/>
      <c r="AB61" s="408"/>
      <c r="AC61" s="408"/>
      <c r="AD61" s="408"/>
      <c r="AE61" s="408"/>
      <c r="AF61" s="411"/>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12"/>
      <c r="BE61" s="411"/>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12"/>
      <c r="CD61" s="411"/>
      <c r="CE61" s="408"/>
      <c r="CF61" s="408"/>
      <c r="CG61" s="408"/>
      <c r="CH61" s="408"/>
      <c r="CI61" s="408"/>
      <c r="CJ61" s="408"/>
      <c r="CK61" s="408"/>
      <c r="CL61" s="408"/>
      <c r="CM61" s="408"/>
      <c r="CN61" s="408"/>
      <c r="CO61" s="408"/>
      <c r="CP61" s="408"/>
      <c r="CQ61" s="408"/>
      <c r="CR61" s="408"/>
      <c r="CS61" s="408"/>
      <c r="CT61" s="408"/>
      <c r="CU61" s="408"/>
      <c r="CV61" s="408"/>
      <c r="CW61" s="408"/>
      <c r="CX61" s="408"/>
      <c r="CY61" s="408"/>
      <c r="CZ61" s="408"/>
      <c r="DA61" s="408"/>
      <c r="DB61" s="412"/>
      <c r="DC61" s="411"/>
      <c r="DD61" s="408"/>
      <c r="DE61" s="408"/>
      <c r="DF61" s="408"/>
      <c r="DG61" s="408"/>
      <c r="DH61" s="408"/>
      <c r="DI61" s="408"/>
      <c r="DJ61" s="408"/>
      <c r="DK61" s="408"/>
      <c r="DL61" s="408"/>
      <c r="DM61" s="408"/>
      <c r="DN61" s="408"/>
      <c r="DO61" s="408"/>
      <c r="DP61" s="408"/>
      <c r="DQ61" s="408"/>
      <c r="DR61" s="408"/>
      <c r="DS61" s="408"/>
      <c r="DT61" s="408"/>
      <c r="DU61" s="408"/>
      <c r="DV61" s="408"/>
      <c r="DW61" s="408"/>
      <c r="DX61" s="408"/>
      <c r="DY61" s="408"/>
      <c r="DZ61" s="408"/>
      <c r="EA61" s="412"/>
      <c r="EB61" s="411"/>
      <c r="EC61" s="408"/>
      <c r="ED61" s="408"/>
      <c r="EE61" s="408"/>
      <c r="EF61" s="408"/>
      <c r="EG61" s="408"/>
      <c r="EH61" s="408"/>
      <c r="EI61" s="408"/>
      <c r="EJ61" s="408"/>
      <c r="EK61" s="408"/>
      <c r="EL61" s="408"/>
      <c r="EM61" s="408"/>
      <c r="EN61" s="408"/>
      <c r="EO61" s="408"/>
      <c r="EP61" s="408"/>
      <c r="EQ61" s="408"/>
      <c r="ER61" s="408"/>
      <c r="ES61" s="408"/>
      <c r="ET61" s="408"/>
      <c r="EU61" s="408"/>
      <c r="EV61" s="408"/>
      <c r="EW61" s="408"/>
      <c r="EX61" s="408"/>
      <c r="EY61" s="408"/>
      <c r="EZ61" s="412"/>
      <c r="FA61" s="411"/>
      <c r="FB61" s="408"/>
      <c r="FC61" s="408"/>
      <c r="FD61" s="408"/>
      <c r="FE61" s="408"/>
      <c r="FF61" s="408"/>
      <c r="FG61" s="408"/>
      <c r="FH61" s="408"/>
      <c r="FI61" s="408"/>
      <c r="FJ61" s="408"/>
      <c r="FK61" s="408"/>
      <c r="FL61" s="408"/>
      <c r="FM61" s="408"/>
      <c r="FN61" s="408"/>
      <c r="FO61" s="408"/>
      <c r="FP61" s="408"/>
      <c r="FQ61" s="408"/>
      <c r="FR61" s="408"/>
      <c r="FS61" s="408"/>
      <c r="FT61" s="408"/>
      <c r="FU61" s="408"/>
      <c r="FV61" s="408"/>
      <c r="FW61" s="408"/>
      <c r="FX61" s="408"/>
      <c r="FY61" s="412"/>
      <c r="FZ61" s="411"/>
      <c r="GA61" s="408"/>
      <c r="GB61" s="408"/>
      <c r="GC61" s="408"/>
      <c r="GD61" s="408"/>
      <c r="GE61" s="408"/>
      <c r="GF61" s="408"/>
      <c r="GG61" s="408"/>
      <c r="GH61" s="408"/>
      <c r="GI61" s="408"/>
      <c r="GJ61" s="408"/>
      <c r="GK61" s="408"/>
      <c r="GL61" s="408"/>
      <c r="GM61" s="408"/>
      <c r="GN61" s="408"/>
      <c r="GO61" s="408"/>
      <c r="GP61" s="408"/>
      <c r="GQ61" s="408"/>
      <c r="GR61" s="408"/>
      <c r="GS61" s="408"/>
      <c r="GT61" s="408"/>
      <c r="GU61" s="408"/>
      <c r="GV61" s="408"/>
      <c r="GW61" s="408"/>
      <c r="GX61" s="412"/>
      <c r="GY61" s="411"/>
      <c r="GZ61" s="408"/>
      <c r="HA61" s="408"/>
      <c r="HB61" s="408"/>
      <c r="HC61" s="408"/>
      <c r="HD61" s="408"/>
      <c r="HE61" s="408"/>
      <c r="HF61" s="408"/>
      <c r="HG61" s="408"/>
      <c r="HH61" s="408"/>
      <c r="HI61" s="408"/>
      <c r="HJ61" s="408"/>
      <c r="HK61" s="408"/>
      <c r="HL61" s="408"/>
      <c r="HM61" s="408"/>
      <c r="HN61" s="408"/>
      <c r="HO61" s="408"/>
      <c r="HP61" s="408"/>
      <c r="HQ61" s="408"/>
      <c r="HR61" s="408"/>
      <c r="HS61" s="408"/>
      <c r="HT61" s="408"/>
      <c r="HU61" s="408"/>
      <c r="HV61" s="408"/>
      <c r="HW61" s="412"/>
      <c r="KC61" s="407"/>
      <c r="KD61" s="407"/>
      <c r="KE61" s="407"/>
      <c r="KF61" s="407"/>
      <c r="KG61" s="407"/>
      <c r="KH61" s="407"/>
      <c r="KI61" s="407"/>
      <c r="KJ61" s="407"/>
      <c r="KK61" s="407"/>
      <c r="KL61" s="407"/>
      <c r="KM61" s="407"/>
      <c r="LB61" s="411"/>
      <c r="LC61" s="408"/>
      <c r="LD61" s="408"/>
      <c r="LE61" s="408"/>
      <c r="LF61" s="408"/>
      <c r="LG61" s="408"/>
      <c r="LH61" s="408"/>
      <c r="LI61" s="408"/>
      <c r="LJ61" s="408"/>
      <c r="LK61" s="408"/>
      <c r="LL61" s="408"/>
      <c r="LM61" s="408"/>
      <c r="LN61" s="408"/>
      <c r="LO61" s="408"/>
      <c r="LP61" s="408"/>
      <c r="LQ61" s="408"/>
      <c r="LR61" s="408"/>
      <c r="LS61" s="408"/>
      <c r="LT61" s="408"/>
      <c r="LU61" s="408"/>
      <c r="LV61" s="408"/>
      <c r="LW61" s="408"/>
      <c r="LX61" s="408"/>
      <c r="LY61" s="408"/>
      <c r="LZ61" s="412"/>
      <c r="MA61" s="411"/>
      <c r="MB61" s="408"/>
      <c r="MC61" s="408"/>
      <c r="MD61" s="408"/>
      <c r="ME61" s="408"/>
      <c r="MF61" s="408"/>
      <c r="MG61" s="408"/>
      <c r="MH61" s="408"/>
      <c r="MI61" s="408"/>
      <c r="MJ61" s="408"/>
      <c r="MK61" s="408"/>
      <c r="ML61" s="408"/>
      <c r="MM61" s="408"/>
      <c r="MN61" s="408"/>
      <c r="MO61" s="408"/>
      <c r="MP61" s="408"/>
      <c r="MQ61" s="408"/>
      <c r="MR61" s="408"/>
      <c r="MS61" s="408"/>
      <c r="MT61" s="408"/>
      <c r="MU61" s="408"/>
      <c r="MV61" s="408"/>
      <c r="MW61" s="408"/>
      <c r="MX61" s="408"/>
      <c r="MY61" s="412"/>
      <c r="MZ61" s="411"/>
      <c r="NA61" s="408"/>
      <c r="NB61" s="408"/>
      <c r="NC61" s="408"/>
      <c r="ND61" s="408"/>
      <c r="NE61" s="408"/>
      <c r="NF61" s="408"/>
      <c r="NG61" s="408"/>
      <c r="NH61" s="408"/>
      <c r="NI61" s="408"/>
      <c r="NJ61" s="408"/>
      <c r="NK61" s="408"/>
      <c r="NL61" s="408"/>
      <c r="NM61" s="408"/>
      <c r="NN61" s="408"/>
      <c r="NO61" s="408"/>
      <c r="NP61" s="408"/>
      <c r="NQ61" s="408"/>
      <c r="NR61" s="408"/>
      <c r="NS61" s="408"/>
      <c r="NT61" s="408"/>
      <c r="NU61" s="408"/>
      <c r="NV61" s="408"/>
      <c r="NW61" s="408"/>
      <c r="NX61" s="412"/>
      <c r="NY61" s="411"/>
      <c r="NZ61" s="408"/>
      <c r="OA61" s="408"/>
      <c r="OB61" s="408"/>
      <c r="OC61" s="408"/>
      <c r="OD61" s="408"/>
      <c r="OE61" s="408"/>
      <c r="OF61" s="408"/>
      <c r="OG61" s="408"/>
      <c r="OH61" s="408"/>
      <c r="OI61" s="408"/>
      <c r="OJ61" s="408"/>
      <c r="OK61" s="408"/>
      <c r="OL61" s="408"/>
      <c r="OM61" s="408"/>
      <c r="ON61" s="408"/>
      <c r="OO61" s="408"/>
      <c r="OP61" s="408"/>
      <c r="OQ61" s="408"/>
      <c r="OR61" s="408"/>
      <c r="OS61" s="408"/>
      <c r="OT61" s="408"/>
      <c r="OU61" s="408"/>
      <c r="OV61" s="408"/>
      <c r="OW61" s="412"/>
      <c r="OX61" s="411"/>
      <c r="OY61" s="408"/>
      <c r="OZ61" s="408"/>
      <c r="PA61" s="408"/>
      <c r="PB61" s="408"/>
      <c r="PC61" s="408"/>
      <c r="PD61" s="408"/>
      <c r="PE61" s="408"/>
      <c r="PF61" s="408"/>
      <c r="PG61" s="408"/>
      <c r="PH61" s="408"/>
      <c r="PI61" s="408"/>
      <c r="PJ61" s="408"/>
      <c r="PK61" s="408"/>
      <c r="PL61" s="408"/>
      <c r="PM61" s="408"/>
      <c r="PN61" s="408"/>
      <c r="PO61" s="408"/>
      <c r="PP61" s="408"/>
      <c r="PQ61" s="408"/>
      <c r="PR61" s="408"/>
      <c r="PS61" s="408"/>
      <c r="PT61" s="408"/>
      <c r="PU61" s="408"/>
      <c r="PV61" s="412"/>
      <c r="PW61" s="411"/>
      <c r="PX61" s="408"/>
      <c r="PY61" s="408"/>
      <c r="PZ61" s="408"/>
      <c r="QA61" s="408"/>
      <c r="QB61" s="408"/>
      <c r="QC61" s="408"/>
      <c r="QD61" s="408"/>
      <c r="QE61" s="408"/>
      <c r="QF61" s="408"/>
      <c r="QG61" s="408"/>
      <c r="QH61" s="408"/>
      <c r="QI61" s="408"/>
      <c r="QJ61" s="408"/>
      <c r="QK61" s="408"/>
      <c r="QL61" s="408"/>
      <c r="QM61" s="408"/>
      <c r="QN61" s="408"/>
      <c r="QO61" s="408"/>
      <c r="QP61" s="408"/>
      <c r="QQ61" s="408"/>
      <c r="QR61" s="408"/>
      <c r="QS61" s="408"/>
      <c r="QT61" s="408"/>
      <c r="QU61" s="412"/>
    </row>
    <row r="62" spans="1:463" ht="24" customHeight="1">
      <c r="A62" s="411"/>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12"/>
      <c r="AA62" s="408"/>
      <c r="AB62" s="408"/>
      <c r="AC62" s="408"/>
      <c r="AD62" s="408"/>
      <c r="AE62" s="408"/>
      <c r="AF62" s="411"/>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12"/>
      <c r="BE62" s="411"/>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12"/>
      <c r="CD62" s="411"/>
      <c r="CE62" s="408"/>
      <c r="CF62" s="408"/>
      <c r="CG62" s="408"/>
      <c r="CH62" s="408"/>
      <c r="CI62" s="408"/>
      <c r="CJ62" s="408"/>
      <c r="CK62" s="408"/>
      <c r="CL62" s="408"/>
      <c r="CM62" s="408"/>
      <c r="CN62" s="408"/>
      <c r="CO62" s="408"/>
      <c r="CP62" s="408"/>
      <c r="CQ62" s="408"/>
      <c r="CR62" s="408"/>
      <c r="CS62" s="408"/>
      <c r="CT62" s="408"/>
      <c r="CU62" s="408"/>
      <c r="CV62" s="408"/>
      <c r="CW62" s="408"/>
      <c r="CX62" s="408"/>
      <c r="CY62" s="408"/>
      <c r="CZ62" s="408"/>
      <c r="DA62" s="408"/>
      <c r="DB62" s="412"/>
      <c r="DC62" s="411"/>
      <c r="DD62" s="408"/>
      <c r="DE62" s="408"/>
      <c r="DF62" s="408"/>
      <c r="DG62" s="408"/>
      <c r="DH62" s="408"/>
      <c r="DI62" s="408"/>
      <c r="DJ62" s="408"/>
      <c r="DK62" s="408"/>
      <c r="DL62" s="408"/>
      <c r="DM62" s="408"/>
      <c r="DN62" s="408"/>
      <c r="DO62" s="408"/>
      <c r="DP62" s="408"/>
      <c r="DQ62" s="408"/>
      <c r="DR62" s="408"/>
      <c r="DS62" s="408"/>
      <c r="DT62" s="408"/>
      <c r="DU62" s="408"/>
      <c r="DV62" s="408"/>
      <c r="DW62" s="408"/>
      <c r="DX62" s="408"/>
      <c r="DY62" s="408"/>
      <c r="DZ62" s="408"/>
      <c r="EA62" s="412"/>
      <c r="EB62" s="411"/>
      <c r="EC62" s="408"/>
      <c r="ED62" s="408"/>
      <c r="EE62" s="408"/>
      <c r="EF62" s="408"/>
      <c r="EG62" s="408"/>
      <c r="EH62" s="408"/>
      <c r="EI62" s="408"/>
      <c r="EJ62" s="408"/>
      <c r="EK62" s="408"/>
      <c r="EL62" s="408"/>
      <c r="EM62" s="408"/>
      <c r="EN62" s="408"/>
      <c r="EO62" s="408"/>
      <c r="EP62" s="408"/>
      <c r="EQ62" s="408"/>
      <c r="ER62" s="408"/>
      <c r="ES62" s="408"/>
      <c r="ET62" s="408"/>
      <c r="EU62" s="408"/>
      <c r="EV62" s="408"/>
      <c r="EW62" s="408"/>
      <c r="EX62" s="408"/>
      <c r="EY62" s="408"/>
      <c r="EZ62" s="412"/>
      <c r="FA62" s="411"/>
      <c r="FB62" s="408"/>
      <c r="FC62" s="408"/>
      <c r="FD62" s="408"/>
      <c r="FE62" s="408"/>
      <c r="FF62" s="408"/>
      <c r="FG62" s="408"/>
      <c r="FH62" s="408"/>
      <c r="FI62" s="408"/>
      <c r="FJ62" s="408"/>
      <c r="FK62" s="408"/>
      <c r="FL62" s="408"/>
      <c r="FM62" s="408"/>
      <c r="FN62" s="408"/>
      <c r="FO62" s="408"/>
      <c r="FP62" s="408"/>
      <c r="FQ62" s="408"/>
      <c r="FR62" s="408"/>
      <c r="FS62" s="408"/>
      <c r="FT62" s="408"/>
      <c r="FU62" s="408"/>
      <c r="FV62" s="408"/>
      <c r="FW62" s="408"/>
      <c r="FX62" s="408"/>
      <c r="FY62" s="412"/>
      <c r="FZ62" s="411"/>
      <c r="GA62" s="408"/>
      <c r="GB62" s="408"/>
      <c r="GC62" s="408"/>
      <c r="GD62" s="408"/>
      <c r="GE62" s="408"/>
      <c r="GF62" s="408"/>
      <c r="GG62" s="408"/>
      <c r="GH62" s="408"/>
      <c r="GI62" s="408"/>
      <c r="GJ62" s="408"/>
      <c r="GK62" s="408"/>
      <c r="GL62" s="408"/>
      <c r="GM62" s="408"/>
      <c r="GN62" s="408"/>
      <c r="GO62" s="408"/>
      <c r="GP62" s="408"/>
      <c r="GQ62" s="408"/>
      <c r="GR62" s="408"/>
      <c r="GS62" s="408"/>
      <c r="GT62" s="408"/>
      <c r="GU62" s="408"/>
      <c r="GV62" s="408"/>
      <c r="GW62" s="408"/>
      <c r="GX62" s="412"/>
      <c r="GY62" s="411"/>
      <c r="GZ62" s="408"/>
      <c r="HA62" s="408"/>
      <c r="HB62" s="408"/>
      <c r="HC62" s="408"/>
      <c r="HD62" s="408"/>
      <c r="HE62" s="408"/>
      <c r="HF62" s="408"/>
      <c r="HG62" s="408"/>
      <c r="HH62" s="408"/>
      <c r="HI62" s="408"/>
      <c r="HJ62" s="408"/>
      <c r="HK62" s="408"/>
      <c r="HL62" s="408"/>
      <c r="HM62" s="408"/>
      <c r="HN62" s="408"/>
      <c r="HO62" s="408"/>
      <c r="HP62" s="408"/>
      <c r="HQ62" s="408"/>
      <c r="HR62" s="408"/>
      <c r="HS62" s="408"/>
      <c r="HT62" s="408"/>
      <c r="HU62" s="408"/>
      <c r="HV62" s="408"/>
      <c r="HW62" s="412"/>
      <c r="KE62" s="407"/>
      <c r="KF62" s="407"/>
      <c r="KG62" s="407"/>
      <c r="KH62" s="407"/>
      <c r="KI62" s="407"/>
      <c r="KJ62" s="407"/>
      <c r="KK62" s="407"/>
      <c r="KL62" s="407"/>
      <c r="KM62" s="407"/>
      <c r="LB62" s="411"/>
      <c r="LC62" s="408"/>
      <c r="LD62" s="408"/>
      <c r="LE62" s="408"/>
      <c r="LF62" s="408"/>
      <c r="LG62" s="408"/>
      <c r="LH62" s="408"/>
      <c r="LI62" s="408"/>
      <c r="LJ62" s="408"/>
      <c r="LK62" s="408"/>
      <c r="LL62" s="408"/>
      <c r="LM62" s="408"/>
      <c r="LN62" s="408"/>
      <c r="LO62" s="408"/>
      <c r="LP62" s="408"/>
      <c r="LQ62" s="408"/>
      <c r="LR62" s="408"/>
      <c r="LS62" s="408"/>
      <c r="LT62" s="408"/>
      <c r="LU62" s="408"/>
      <c r="LV62" s="408"/>
      <c r="LW62" s="408"/>
      <c r="LX62" s="408"/>
      <c r="LY62" s="408"/>
      <c r="LZ62" s="412"/>
      <c r="MA62" s="411"/>
      <c r="MB62" s="408"/>
      <c r="MC62" s="408"/>
      <c r="MD62" s="408"/>
      <c r="ME62" s="408"/>
      <c r="MF62" s="408"/>
      <c r="MG62" s="408"/>
      <c r="MH62" s="408"/>
      <c r="MI62" s="408"/>
      <c r="MJ62" s="408"/>
      <c r="MK62" s="408"/>
      <c r="ML62" s="408"/>
      <c r="MM62" s="408"/>
      <c r="MN62" s="408"/>
      <c r="MO62" s="408"/>
      <c r="MP62" s="408"/>
      <c r="MQ62" s="408"/>
      <c r="MR62" s="408"/>
      <c r="MS62" s="408"/>
      <c r="MT62" s="408"/>
      <c r="MU62" s="408"/>
      <c r="MV62" s="408"/>
      <c r="MW62" s="408"/>
      <c r="MX62" s="408"/>
      <c r="MY62" s="412"/>
      <c r="MZ62" s="411"/>
      <c r="NA62" s="408"/>
      <c r="NB62" s="408"/>
      <c r="NC62" s="408"/>
      <c r="ND62" s="408"/>
      <c r="NE62" s="408"/>
      <c r="NF62" s="408"/>
      <c r="NG62" s="408"/>
      <c r="NH62" s="408"/>
      <c r="NI62" s="408"/>
      <c r="NJ62" s="408"/>
      <c r="NK62" s="408"/>
      <c r="NL62" s="408"/>
      <c r="NM62" s="408"/>
      <c r="NN62" s="408"/>
      <c r="NO62" s="408"/>
      <c r="NP62" s="408"/>
      <c r="NQ62" s="408"/>
      <c r="NR62" s="408"/>
      <c r="NS62" s="408"/>
      <c r="NT62" s="408"/>
      <c r="NU62" s="408"/>
      <c r="NV62" s="408"/>
      <c r="NW62" s="408"/>
      <c r="NX62" s="412"/>
      <c r="NY62" s="411"/>
      <c r="NZ62" s="408"/>
      <c r="OA62" s="408"/>
      <c r="OB62" s="408"/>
      <c r="OC62" s="408"/>
      <c r="OD62" s="408"/>
      <c r="OE62" s="408"/>
      <c r="OF62" s="408"/>
      <c r="OG62" s="408"/>
      <c r="OH62" s="408"/>
      <c r="OI62" s="408"/>
      <c r="OJ62" s="408"/>
      <c r="OK62" s="408"/>
      <c r="OL62" s="408"/>
      <c r="OM62" s="408"/>
      <c r="ON62" s="408"/>
      <c r="OO62" s="408"/>
      <c r="OP62" s="408"/>
      <c r="OQ62" s="408"/>
      <c r="OR62" s="408"/>
      <c r="OS62" s="408"/>
      <c r="OT62" s="408"/>
      <c r="OU62" s="408"/>
      <c r="OV62" s="408"/>
      <c r="OW62" s="412"/>
      <c r="OX62" s="411"/>
      <c r="OY62" s="408"/>
      <c r="OZ62" s="408"/>
      <c r="PA62" s="408"/>
      <c r="PB62" s="408"/>
      <c r="PC62" s="408"/>
      <c r="PD62" s="408"/>
      <c r="PE62" s="408"/>
      <c r="PF62" s="408"/>
      <c r="PG62" s="408"/>
      <c r="PH62" s="408"/>
      <c r="PI62" s="408"/>
      <c r="PJ62" s="408"/>
      <c r="PK62" s="408"/>
      <c r="PL62" s="408"/>
      <c r="PM62" s="408"/>
      <c r="PN62" s="408"/>
      <c r="PO62" s="408"/>
      <c r="PP62" s="408"/>
      <c r="PQ62" s="408"/>
      <c r="PR62" s="408"/>
      <c r="PS62" s="408"/>
      <c r="PT62" s="408"/>
      <c r="PU62" s="408"/>
      <c r="PV62" s="412"/>
      <c r="PW62" s="411"/>
      <c r="PX62" s="408"/>
      <c r="PY62" s="408"/>
      <c r="PZ62" s="408"/>
      <c r="QA62" s="408"/>
      <c r="QB62" s="408"/>
      <c r="QC62" s="408"/>
      <c r="QD62" s="408"/>
      <c r="QE62" s="408"/>
      <c r="QF62" s="408"/>
      <c r="QG62" s="408"/>
      <c r="QH62" s="408"/>
      <c r="QI62" s="408"/>
      <c r="QJ62" s="408"/>
      <c r="QK62" s="408"/>
      <c r="QL62" s="408"/>
      <c r="QM62" s="408"/>
      <c r="QN62" s="408"/>
      <c r="QO62" s="408"/>
      <c r="QP62" s="408"/>
      <c r="QQ62" s="408"/>
      <c r="QR62" s="408"/>
      <c r="QS62" s="408"/>
      <c r="QT62" s="408"/>
      <c r="QU62" s="412"/>
    </row>
    <row r="63" spans="1:463" ht="24" customHeight="1" thickBot="1">
      <c r="A63" s="41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12"/>
      <c r="AA63" s="408"/>
      <c r="AB63" s="408"/>
      <c r="AC63" s="408"/>
      <c r="AD63" s="408"/>
      <c r="AE63" s="408"/>
      <c r="AF63" s="411"/>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12"/>
      <c r="BE63" s="411"/>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12"/>
      <c r="CD63" s="411"/>
      <c r="CE63" s="408"/>
      <c r="CF63" s="408"/>
      <c r="CG63" s="408"/>
      <c r="CH63" s="408"/>
      <c r="CI63" s="408"/>
      <c r="CJ63" s="408"/>
      <c r="CK63" s="408"/>
      <c r="CL63" s="408"/>
      <c r="CM63" s="408"/>
      <c r="CN63" s="408"/>
      <c r="CO63" s="408"/>
      <c r="CP63" s="408"/>
      <c r="CQ63" s="408"/>
      <c r="CR63" s="408"/>
      <c r="CS63" s="408"/>
      <c r="CT63" s="408"/>
      <c r="CU63" s="408"/>
      <c r="CV63" s="408"/>
      <c r="CW63" s="408"/>
      <c r="CX63" s="408"/>
      <c r="CY63" s="408"/>
      <c r="CZ63" s="408"/>
      <c r="DA63" s="408"/>
      <c r="DB63" s="412"/>
      <c r="DC63" s="411"/>
      <c r="DD63" s="408"/>
      <c r="DE63" s="408"/>
      <c r="DF63" s="408"/>
      <c r="DG63" s="408"/>
      <c r="DH63" s="408"/>
      <c r="DI63" s="408"/>
      <c r="DJ63" s="408"/>
      <c r="DK63" s="408"/>
      <c r="DL63" s="408"/>
      <c r="DM63" s="408"/>
      <c r="DN63" s="408"/>
      <c r="DO63" s="408"/>
      <c r="DP63" s="408"/>
      <c r="DQ63" s="408"/>
      <c r="DR63" s="408"/>
      <c r="DS63" s="408"/>
      <c r="DT63" s="408"/>
      <c r="DU63" s="408"/>
      <c r="DV63" s="408"/>
      <c r="DW63" s="408"/>
      <c r="DX63" s="408"/>
      <c r="DY63" s="408"/>
      <c r="DZ63" s="408"/>
      <c r="EA63" s="412"/>
      <c r="EB63" s="411"/>
      <c r="EC63" s="408"/>
      <c r="ED63" s="408"/>
      <c r="EE63" s="408"/>
      <c r="EF63" s="408"/>
      <c r="EG63" s="408"/>
      <c r="EH63" s="408"/>
      <c r="EI63" s="408"/>
      <c r="EJ63" s="408"/>
      <c r="EK63" s="408"/>
      <c r="EL63" s="408"/>
      <c r="EM63" s="408"/>
      <c r="EN63" s="408"/>
      <c r="EO63" s="408"/>
      <c r="EP63" s="408"/>
      <c r="EQ63" s="408"/>
      <c r="ER63" s="408"/>
      <c r="ES63" s="408"/>
      <c r="ET63" s="408"/>
      <c r="EU63" s="408"/>
      <c r="EV63" s="408"/>
      <c r="EW63" s="408"/>
      <c r="EX63" s="408"/>
      <c r="EY63" s="408"/>
      <c r="EZ63" s="412"/>
      <c r="FA63" s="411"/>
      <c r="FB63" s="408"/>
      <c r="FC63" s="408"/>
      <c r="FD63" s="408"/>
      <c r="FE63" s="408"/>
      <c r="FF63" s="408"/>
      <c r="FG63" s="408"/>
      <c r="FH63" s="408"/>
      <c r="FI63" s="408"/>
      <c r="FJ63" s="408"/>
      <c r="FK63" s="408"/>
      <c r="FL63" s="408"/>
      <c r="FM63" s="408"/>
      <c r="FN63" s="408"/>
      <c r="FO63" s="408"/>
      <c r="FP63" s="408"/>
      <c r="FQ63" s="408"/>
      <c r="FR63" s="408"/>
      <c r="FS63" s="408"/>
      <c r="FT63" s="408"/>
      <c r="FU63" s="408"/>
      <c r="FV63" s="408"/>
      <c r="FW63" s="408"/>
      <c r="FX63" s="408"/>
      <c r="FY63" s="412"/>
      <c r="FZ63" s="411"/>
      <c r="GA63" s="408"/>
      <c r="GB63" s="408"/>
      <c r="GC63" s="408"/>
      <c r="GD63" s="408"/>
      <c r="GE63" s="408"/>
      <c r="GF63" s="408"/>
      <c r="GG63" s="408"/>
      <c r="GH63" s="408"/>
      <c r="GI63" s="408"/>
      <c r="GJ63" s="408"/>
      <c r="GK63" s="408"/>
      <c r="GL63" s="408"/>
      <c r="GM63" s="408"/>
      <c r="GN63" s="408"/>
      <c r="GO63" s="408"/>
      <c r="GP63" s="408"/>
      <c r="GQ63" s="408"/>
      <c r="GR63" s="408"/>
      <c r="GS63" s="408"/>
      <c r="GT63" s="408"/>
      <c r="GU63" s="408"/>
      <c r="GV63" s="408"/>
      <c r="GW63" s="408"/>
      <c r="GX63" s="412"/>
      <c r="GY63" s="411"/>
      <c r="GZ63" s="408"/>
      <c r="HA63" s="408"/>
      <c r="HB63" s="408"/>
      <c r="HC63" s="408"/>
      <c r="HD63" s="408"/>
      <c r="HE63" s="408"/>
      <c r="HF63" s="408"/>
      <c r="HG63" s="408"/>
      <c r="HH63" s="408"/>
      <c r="HI63" s="408"/>
      <c r="HJ63" s="408"/>
      <c r="HK63" s="408"/>
      <c r="HL63" s="408"/>
      <c r="HM63" s="408"/>
      <c r="HN63" s="408"/>
      <c r="HO63" s="408"/>
      <c r="HP63" s="408"/>
      <c r="HQ63" s="408"/>
      <c r="HR63" s="408"/>
      <c r="HS63" s="408"/>
      <c r="HT63" s="408"/>
      <c r="HU63" s="408"/>
      <c r="HV63" s="408"/>
      <c r="HW63" s="412"/>
      <c r="KE63" s="407"/>
      <c r="KF63" s="407"/>
      <c r="KG63" s="407"/>
      <c r="KH63" s="407"/>
      <c r="KI63" s="407"/>
      <c r="KJ63" s="407"/>
      <c r="KK63" s="407"/>
      <c r="KL63" s="407"/>
      <c r="KM63" s="407"/>
      <c r="LB63" s="411"/>
      <c r="LC63" s="408"/>
      <c r="LD63" s="408"/>
      <c r="LE63" s="408"/>
      <c r="LF63" s="408"/>
      <c r="LG63" s="408"/>
      <c r="LH63" s="408"/>
      <c r="LI63" s="408"/>
      <c r="LJ63" s="408"/>
      <c r="LK63" s="408"/>
      <c r="LL63" s="408"/>
      <c r="LM63" s="408"/>
      <c r="LN63" s="408"/>
      <c r="LO63" s="408"/>
      <c r="LP63" s="408"/>
      <c r="LQ63" s="408"/>
      <c r="LR63" s="408"/>
      <c r="LS63" s="408"/>
      <c r="LT63" s="408"/>
      <c r="LU63" s="408"/>
      <c r="LV63" s="408"/>
      <c r="LW63" s="408"/>
      <c r="LX63" s="408"/>
      <c r="LY63" s="408"/>
      <c r="LZ63" s="412"/>
      <c r="MA63" s="411"/>
      <c r="MB63" s="408"/>
      <c r="MC63" s="408"/>
      <c r="MD63" s="408"/>
      <c r="ME63" s="408"/>
      <c r="MF63" s="408"/>
      <c r="MG63" s="408"/>
      <c r="MH63" s="408"/>
      <c r="MI63" s="408"/>
      <c r="MJ63" s="408"/>
      <c r="MK63" s="408"/>
      <c r="ML63" s="408"/>
      <c r="MM63" s="408"/>
      <c r="MN63" s="408"/>
      <c r="MO63" s="408"/>
      <c r="MP63" s="408"/>
      <c r="MQ63" s="408"/>
      <c r="MR63" s="408"/>
      <c r="MS63" s="408"/>
      <c r="MT63" s="408"/>
      <c r="MU63" s="408"/>
      <c r="MV63" s="408"/>
      <c r="MW63" s="408"/>
      <c r="MX63" s="408"/>
      <c r="MY63" s="412"/>
      <c r="MZ63" s="411"/>
      <c r="NA63" s="408"/>
      <c r="NB63" s="408"/>
      <c r="NC63" s="408"/>
      <c r="ND63" s="408"/>
      <c r="NE63" s="408"/>
      <c r="NF63" s="408"/>
      <c r="NG63" s="408"/>
      <c r="NH63" s="408"/>
      <c r="NI63" s="408"/>
      <c r="NJ63" s="408"/>
      <c r="NK63" s="408"/>
      <c r="NL63" s="408"/>
      <c r="NM63" s="408"/>
      <c r="NN63" s="408"/>
      <c r="NO63" s="408"/>
      <c r="NP63" s="408"/>
      <c r="NQ63" s="408"/>
      <c r="NR63" s="408"/>
      <c r="NS63" s="408"/>
      <c r="NT63" s="408"/>
      <c r="NU63" s="408"/>
      <c r="NV63" s="408"/>
      <c r="NW63" s="408"/>
      <c r="NX63" s="412"/>
      <c r="NY63" s="411"/>
      <c r="NZ63" s="408"/>
      <c r="OA63" s="408"/>
      <c r="OB63" s="408"/>
      <c r="OC63" s="408"/>
      <c r="OD63" s="408"/>
      <c r="OE63" s="408"/>
      <c r="OF63" s="408"/>
      <c r="OG63" s="408"/>
      <c r="OH63" s="408"/>
      <c r="OI63" s="408"/>
      <c r="OJ63" s="408"/>
      <c r="OK63" s="408"/>
      <c r="OL63" s="408"/>
      <c r="OM63" s="408"/>
      <c r="ON63" s="408"/>
      <c r="OO63" s="408"/>
      <c r="OP63" s="408"/>
      <c r="OQ63" s="408"/>
      <c r="OR63" s="408"/>
      <c r="OS63" s="408"/>
      <c r="OT63" s="408"/>
      <c r="OU63" s="408"/>
      <c r="OV63" s="408"/>
      <c r="OW63" s="412"/>
      <c r="OX63" s="411"/>
      <c r="OY63" s="408"/>
      <c r="OZ63" s="408"/>
      <c r="PA63" s="408"/>
      <c r="PB63" s="408"/>
      <c r="PC63" s="408"/>
      <c r="PD63" s="408"/>
      <c r="PE63" s="408"/>
      <c r="PF63" s="408"/>
      <c r="PG63" s="408"/>
      <c r="PH63" s="408"/>
      <c r="PI63" s="408"/>
      <c r="PJ63" s="408"/>
      <c r="PK63" s="408"/>
      <c r="PL63" s="408"/>
      <c r="PM63" s="408"/>
      <c r="PN63" s="408"/>
      <c r="PO63" s="408"/>
      <c r="PP63" s="408"/>
      <c r="PQ63" s="408"/>
      <c r="PR63" s="408"/>
      <c r="PS63" s="408"/>
      <c r="PT63" s="408"/>
      <c r="PU63" s="408"/>
      <c r="PV63" s="412"/>
      <c r="PW63" s="411"/>
      <c r="PX63" s="408"/>
      <c r="PY63" s="408"/>
      <c r="PZ63" s="408"/>
      <c r="QA63" s="408"/>
      <c r="QB63" s="408"/>
      <c r="QC63" s="408"/>
      <c r="QD63" s="408"/>
      <c r="QE63" s="408"/>
      <c r="QF63" s="408"/>
      <c r="QG63" s="408"/>
      <c r="QH63" s="408"/>
      <c r="QI63" s="408"/>
      <c r="QJ63" s="408"/>
      <c r="QK63" s="408"/>
      <c r="QL63" s="408"/>
      <c r="QM63" s="408"/>
      <c r="QN63" s="408"/>
      <c r="QO63" s="408"/>
      <c r="QP63" s="408"/>
      <c r="QQ63" s="408"/>
      <c r="QR63" s="408"/>
      <c r="QS63" s="408"/>
      <c r="QT63" s="408"/>
      <c r="QU63" s="412"/>
    </row>
    <row r="64" spans="1:463" ht="24" customHeight="1" thickBot="1">
      <c r="A64" s="411"/>
      <c r="B64" s="40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12"/>
      <c r="AA64" s="408"/>
      <c r="AB64" s="408"/>
      <c r="AC64" s="408"/>
      <c r="AD64" s="408"/>
      <c r="AE64" s="408"/>
      <c r="AF64" s="411"/>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12"/>
      <c r="BE64" s="411"/>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12"/>
      <c r="CD64" s="411"/>
      <c r="CE64" s="408"/>
      <c r="CF64" s="408"/>
      <c r="CG64" s="408"/>
      <c r="CH64" s="408"/>
      <c r="CI64" s="408"/>
      <c r="CJ64" s="408"/>
      <c r="CK64" s="408"/>
      <c r="CL64" s="408"/>
      <c r="CM64" s="408"/>
      <c r="CN64" s="408"/>
      <c r="CO64" s="408"/>
      <c r="CP64" s="408"/>
      <c r="CQ64" s="408"/>
      <c r="CR64" s="408"/>
      <c r="CS64" s="408"/>
      <c r="CT64" s="408"/>
      <c r="CU64" s="408"/>
      <c r="CV64" s="408"/>
      <c r="CW64" s="408"/>
      <c r="CX64" s="408"/>
      <c r="CY64" s="408"/>
      <c r="CZ64" s="408"/>
      <c r="DA64" s="408"/>
      <c r="DB64" s="412"/>
      <c r="DC64" s="411"/>
      <c r="DD64" s="408"/>
      <c r="DE64" s="408"/>
      <c r="DF64" s="408"/>
      <c r="DG64" s="408"/>
      <c r="DH64" s="408"/>
      <c r="DI64" s="408"/>
      <c r="DJ64" s="408"/>
      <c r="DK64" s="408"/>
      <c r="DL64" s="408"/>
      <c r="DM64" s="408"/>
      <c r="DN64" s="408"/>
      <c r="DO64" s="408"/>
      <c r="DP64" s="408"/>
      <c r="DQ64" s="408"/>
      <c r="DR64" s="408"/>
      <c r="DS64" s="408"/>
      <c r="DT64" s="408"/>
      <c r="DU64" s="408"/>
      <c r="DV64" s="408"/>
      <c r="DW64" s="408"/>
      <c r="DX64" s="408"/>
      <c r="DY64" s="408"/>
      <c r="DZ64" s="408"/>
      <c r="EA64" s="412"/>
      <c r="EB64" s="411"/>
      <c r="EC64" s="408"/>
      <c r="ED64" s="408"/>
      <c r="EE64" s="408"/>
      <c r="EF64" s="408"/>
      <c r="EG64" s="408"/>
      <c r="EH64" s="408"/>
      <c r="EI64" s="408"/>
      <c r="EJ64" s="408"/>
      <c r="EK64" s="408"/>
      <c r="EL64" s="408"/>
      <c r="EM64" s="408"/>
      <c r="EN64" s="408"/>
      <c r="EO64" s="408"/>
      <c r="EP64" s="408"/>
      <c r="EQ64" s="408"/>
      <c r="ER64" s="408"/>
      <c r="ES64" s="408"/>
      <c r="ET64" s="408"/>
      <c r="EU64" s="408"/>
      <c r="EV64" s="408"/>
      <c r="EW64" s="408"/>
      <c r="EX64" s="408"/>
      <c r="EY64" s="408"/>
      <c r="EZ64" s="412"/>
      <c r="FA64" s="411"/>
      <c r="FB64" s="408"/>
      <c r="FC64" s="408"/>
      <c r="FD64" s="408"/>
      <c r="FE64" s="408"/>
      <c r="FF64" s="408"/>
      <c r="FG64" s="408"/>
      <c r="FH64" s="408"/>
      <c r="FI64" s="408"/>
      <c r="FJ64" s="408"/>
      <c r="FK64" s="408"/>
      <c r="FL64" s="408"/>
      <c r="FM64" s="408"/>
      <c r="FN64" s="408"/>
      <c r="FO64" s="408"/>
      <c r="FP64" s="408"/>
      <c r="FQ64" s="408"/>
      <c r="FR64" s="408"/>
      <c r="FS64" s="408"/>
      <c r="FT64" s="408"/>
      <c r="FU64" s="408"/>
      <c r="FV64" s="408"/>
      <c r="FW64" s="408"/>
      <c r="FX64" s="408"/>
      <c r="FY64" s="412"/>
      <c r="FZ64" s="411"/>
      <c r="GA64" s="408"/>
      <c r="GB64" s="408"/>
      <c r="GC64" s="408"/>
      <c r="GD64" s="408"/>
      <c r="GE64" s="408"/>
      <c r="GF64" s="408"/>
      <c r="GG64" s="408"/>
      <c r="GH64" s="408"/>
      <c r="GI64" s="408"/>
      <c r="GJ64" s="408"/>
      <c r="GK64" s="408"/>
      <c r="GL64" s="408"/>
      <c r="GM64" s="408"/>
      <c r="GN64" s="408"/>
      <c r="GO64" s="408"/>
      <c r="GP64" s="408"/>
      <c r="GQ64" s="408"/>
      <c r="GR64" s="408"/>
      <c r="GS64" s="408"/>
      <c r="GT64" s="408"/>
      <c r="GU64" s="408"/>
      <c r="GV64" s="408"/>
      <c r="GW64" s="408"/>
      <c r="GX64" s="412"/>
      <c r="GY64" s="411"/>
      <c r="GZ64" s="408"/>
      <c r="HA64" s="408"/>
      <c r="HB64" s="408"/>
      <c r="HC64" s="408"/>
      <c r="HD64" s="408"/>
      <c r="HE64" s="408"/>
      <c r="HF64" s="408"/>
      <c r="HG64" s="408"/>
      <c r="HH64" s="408"/>
      <c r="HI64" s="408"/>
      <c r="HJ64" s="408"/>
      <c r="HK64" s="408"/>
      <c r="HL64" s="408"/>
      <c r="HM64" s="408"/>
      <c r="HN64" s="408"/>
      <c r="HO64" s="408"/>
      <c r="HP64" s="408"/>
      <c r="HQ64" s="408"/>
      <c r="HR64" s="408"/>
      <c r="HS64" s="408"/>
      <c r="HT64" s="408"/>
      <c r="HU64" s="408"/>
      <c r="HV64" s="408"/>
      <c r="HW64" s="412"/>
      <c r="KE64" s="407"/>
      <c r="KG64" s="418"/>
      <c r="KH64" s="421"/>
      <c r="LB64" s="411"/>
      <c r="LC64" s="413"/>
      <c r="LD64" s="413"/>
      <c r="LE64" s="413"/>
      <c r="LF64" s="408"/>
      <c r="LG64" s="408"/>
      <c r="LH64" s="408"/>
      <c r="LI64" s="408"/>
      <c r="LJ64" s="408"/>
      <c r="LK64" s="408"/>
      <c r="LL64" s="408"/>
      <c r="LM64" s="408"/>
      <c r="LN64" s="408"/>
      <c r="LO64" s="408"/>
      <c r="LP64" s="408"/>
      <c r="LQ64" s="408"/>
      <c r="LR64" s="408"/>
      <c r="LS64" s="408"/>
      <c r="LT64" s="408"/>
      <c r="LU64" s="408"/>
      <c r="LV64" s="408"/>
      <c r="LW64" s="408"/>
      <c r="LX64" s="408"/>
      <c r="LY64" s="408"/>
      <c r="LZ64" s="412"/>
      <c r="MA64" s="411"/>
      <c r="MB64" s="413"/>
      <c r="MC64" s="413"/>
      <c r="MD64" s="413"/>
      <c r="ME64" s="408"/>
      <c r="MF64" s="408"/>
      <c r="MG64" s="408"/>
      <c r="MH64" s="408"/>
      <c r="MI64" s="408"/>
      <c r="MJ64" s="408"/>
      <c r="MK64" s="408"/>
      <c r="ML64" s="408"/>
      <c r="MM64" s="408"/>
      <c r="MN64" s="408"/>
      <c r="MO64" s="408"/>
      <c r="MP64" s="408"/>
      <c r="MQ64" s="408"/>
      <c r="MR64" s="408"/>
      <c r="MS64" s="408"/>
      <c r="MT64" s="408"/>
      <c r="MU64" s="408"/>
      <c r="MV64" s="408"/>
      <c r="MW64" s="408"/>
      <c r="MX64" s="408"/>
      <c r="MY64" s="412"/>
      <c r="MZ64" s="411"/>
      <c r="NA64" s="413"/>
      <c r="NB64" s="413"/>
      <c r="NC64" s="413"/>
      <c r="ND64" s="408"/>
      <c r="NE64" s="408"/>
      <c r="NF64" s="408"/>
      <c r="NG64" s="408"/>
      <c r="NH64" s="408"/>
      <c r="NI64" s="408"/>
      <c r="NJ64" s="408"/>
      <c r="NK64" s="408"/>
      <c r="NL64" s="408"/>
      <c r="NM64" s="408"/>
      <c r="NN64" s="408"/>
      <c r="NO64" s="408"/>
      <c r="NP64" s="408"/>
      <c r="NQ64" s="408"/>
      <c r="NR64" s="408"/>
      <c r="NS64" s="408"/>
      <c r="NT64" s="408"/>
      <c r="NU64" s="408"/>
      <c r="NV64" s="408"/>
      <c r="NW64" s="408"/>
      <c r="NX64" s="412"/>
      <c r="NY64" s="411"/>
      <c r="NZ64" s="413"/>
      <c r="OA64" s="413"/>
      <c r="OB64" s="413"/>
      <c r="OC64" s="408"/>
      <c r="OD64" s="408"/>
      <c r="OE64" s="408"/>
      <c r="OF64" s="408"/>
      <c r="OG64" s="408"/>
      <c r="OH64" s="408"/>
      <c r="OI64" s="408"/>
      <c r="OJ64" s="408"/>
      <c r="OK64" s="408"/>
      <c r="OL64" s="408"/>
      <c r="OM64" s="408"/>
      <c r="ON64" s="408"/>
      <c r="OO64" s="408"/>
      <c r="OP64" s="408"/>
      <c r="OQ64" s="408"/>
      <c r="OR64" s="408"/>
      <c r="OS64" s="408"/>
      <c r="OT64" s="408"/>
      <c r="OU64" s="408"/>
      <c r="OV64" s="408"/>
      <c r="OW64" s="412"/>
      <c r="OX64" s="411"/>
      <c r="OY64" s="413"/>
      <c r="OZ64" s="413"/>
      <c r="PA64" s="413"/>
      <c r="PB64" s="408"/>
      <c r="PC64" s="408"/>
      <c r="PD64" s="408"/>
      <c r="PE64" s="408"/>
      <c r="PF64" s="408"/>
      <c r="PG64" s="408"/>
      <c r="PH64" s="408"/>
      <c r="PI64" s="408"/>
      <c r="PJ64" s="408"/>
      <c r="PK64" s="408"/>
      <c r="PL64" s="408"/>
      <c r="PM64" s="408"/>
      <c r="PN64" s="408"/>
      <c r="PO64" s="408"/>
      <c r="PP64" s="408"/>
      <c r="PQ64" s="408"/>
      <c r="PR64" s="408"/>
      <c r="PS64" s="408"/>
      <c r="PT64" s="408"/>
      <c r="PU64" s="408"/>
      <c r="PV64" s="412"/>
      <c r="PW64" s="411"/>
      <c r="PX64" s="413"/>
      <c r="PY64" s="413"/>
      <c r="PZ64" s="413"/>
      <c r="QA64" s="408"/>
      <c r="QB64" s="408"/>
      <c r="QC64" s="408"/>
      <c r="QD64" s="408"/>
      <c r="QE64" s="408"/>
      <c r="QF64" s="408"/>
      <c r="QG64" s="408"/>
      <c r="QH64" s="408"/>
      <c r="QI64" s="408"/>
      <c r="QJ64" s="408"/>
      <c r="QK64" s="408"/>
      <c r="QL64" s="408"/>
      <c r="QM64" s="408"/>
      <c r="QN64" s="408"/>
      <c r="QO64" s="408"/>
      <c r="QP64" s="408"/>
      <c r="QQ64" s="408"/>
      <c r="QR64" s="408"/>
      <c r="QS64" s="408"/>
      <c r="QT64" s="408"/>
      <c r="QU64" s="412"/>
    </row>
    <row r="65" spans="1:463" ht="24" customHeight="1" thickBot="1">
      <c r="A65" s="411"/>
      <c r="B65" s="40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12"/>
      <c r="AA65" s="408"/>
      <c r="AB65" s="408"/>
      <c r="AC65" s="408"/>
      <c r="AD65" s="408"/>
      <c r="AE65" s="408"/>
      <c r="AF65" s="411"/>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12"/>
      <c r="BE65" s="411"/>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12"/>
      <c r="CD65" s="411"/>
      <c r="CE65" s="408"/>
      <c r="CF65" s="408"/>
      <c r="CG65" s="408"/>
      <c r="CH65" s="408"/>
      <c r="CI65" s="408"/>
      <c r="CJ65" s="408"/>
      <c r="CK65" s="408"/>
      <c r="CL65" s="408"/>
      <c r="CM65" s="408"/>
      <c r="CN65" s="408"/>
      <c r="CO65" s="408"/>
      <c r="CP65" s="408"/>
      <c r="CQ65" s="408"/>
      <c r="CR65" s="408"/>
      <c r="CS65" s="408"/>
      <c r="CT65" s="408"/>
      <c r="CU65" s="408"/>
      <c r="CV65" s="408"/>
      <c r="CW65" s="408"/>
      <c r="CX65" s="408"/>
      <c r="CY65" s="408"/>
      <c r="CZ65" s="408"/>
      <c r="DA65" s="408"/>
      <c r="DB65" s="412"/>
      <c r="DC65" s="411"/>
      <c r="DD65" s="408"/>
      <c r="DE65" s="408"/>
      <c r="DF65" s="408"/>
      <c r="DG65" s="408"/>
      <c r="DH65" s="408"/>
      <c r="DI65" s="408"/>
      <c r="DJ65" s="408"/>
      <c r="DK65" s="408"/>
      <c r="DL65" s="408"/>
      <c r="DM65" s="408"/>
      <c r="DN65" s="408"/>
      <c r="DO65" s="408"/>
      <c r="DP65" s="408"/>
      <c r="DQ65" s="408"/>
      <c r="DR65" s="408"/>
      <c r="DS65" s="408"/>
      <c r="DT65" s="408"/>
      <c r="DU65" s="408"/>
      <c r="DV65" s="408"/>
      <c r="DW65" s="408"/>
      <c r="DX65" s="408"/>
      <c r="DY65" s="408"/>
      <c r="DZ65" s="408"/>
      <c r="EA65" s="412"/>
      <c r="EB65" s="411"/>
      <c r="EC65" s="408"/>
      <c r="ED65" s="408"/>
      <c r="EE65" s="408"/>
      <c r="EF65" s="408"/>
      <c r="EG65" s="408"/>
      <c r="EH65" s="408"/>
      <c r="EI65" s="408"/>
      <c r="EJ65" s="408"/>
      <c r="EK65" s="408"/>
      <c r="EL65" s="408"/>
      <c r="EM65" s="408"/>
      <c r="EN65" s="408"/>
      <c r="EO65" s="408"/>
      <c r="EP65" s="408"/>
      <c r="EQ65" s="408"/>
      <c r="ER65" s="408"/>
      <c r="ES65" s="408"/>
      <c r="ET65" s="408"/>
      <c r="EU65" s="408"/>
      <c r="EV65" s="408"/>
      <c r="EW65" s="408"/>
      <c r="EX65" s="408"/>
      <c r="EY65" s="408"/>
      <c r="EZ65" s="412"/>
      <c r="FA65" s="411"/>
      <c r="FB65" s="408"/>
      <c r="FC65" s="408"/>
      <c r="FD65" s="408"/>
      <c r="FE65" s="408"/>
      <c r="FF65" s="408"/>
      <c r="FG65" s="408"/>
      <c r="FH65" s="408"/>
      <c r="FI65" s="408"/>
      <c r="FJ65" s="408"/>
      <c r="FK65" s="408"/>
      <c r="FL65" s="408"/>
      <c r="FM65" s="408"/>
      <c r="FN65" s="408"/>
      <c r="FO65" s="408"/>
      <c r="FP65" s="408"/>
      <c r="FQ65" s="408"/>
      <c r="FR65" s="408"/>
      <c r="FS65" s="408"/>
      <c r="FT65" s="408"/>
      <c r="FU65" s="408"/>
      <c r="FV65" s="408"/>
      <c r="FW65" s="408"/>
      <c r="FX65" s="408"/>
      <c r="FY65" s="412"/>
      <c r="FZ65" s="411"/>
      <c r="GA65" s="408"/>
      <c r="GB65" s="408"/>
      <c r="GC65" s="408"/>
      <c r="GD65" s="408"/>
      <c r="GE65" s="408"/>
      <c r="GF65" s="408"/>
      <c r="GG65" s="408"/>
      <c r="GH65" s="408"/>
      <c r="GI65" s="408"/>
      <c r="GJ65" s="408"/>
      <c r="GK65" s="408"/>
      <c r="GL65" s="408"/>
      <c r="GM65" s="408"/>
      <c r="GN65" s="408"/>
      <c r="GO65" s="408"/>
      <c r="GP65" s="408"/>
      <c r="GQ65" s="408"/>
      <c r="GR65" s="408"/>
      <c r="GS65" s="408"/>
      <c r="GT65" s="408"/>
      <c r="GU65" s="408"/>
      <c r="GV65" s="408"/>
      <c r="GW65" s="408"/>
      <c r="GX65" s="412"/>
      <c r="GY65" s="411"/>
      <c r="GZ65" s="408"/>
      <c r="HA65" s="408"/>
      <c r="HB65" s="408"/>
      <c r="HC65" s="408"/>
      <c r="HD65" s="408"/>
      <c r="HE65" s="408"/>
      <c r="HF65" s="408"/>
      <c r="HG65" s="408"/>
      <c r="HH65" s="408"/>
      <c r="HI65" s="408"/>
      <c r="HJ65" s="408"/>
      <c r="HK65" s="408"/>
      <c r="HL65" s="408"/>
      <c r="HM65" s="408"/>
      <c r="HN65" s="408"/>
      <c r="HO65" s="408"/>
      <c r="HP65" s="408"/>
      <c r="HQ65" s="408"/>
      <c r="HR65" s="408"/>
      <c r="HS65" s="408"/>
      <c r="HT65" s="408"/>
      <c r="HU65" s="408"/>
      <c r="HV65" s="408"/>
      <c r="HW65" s="412"/>
      <c r="KE65" s="407"/>
      <c r="LB65" s="416"/>
      <c r="LC65" s="2116" t="str">
        <f>'Вывод расчетов'!$CC$9</f>
        <v>Раздел 2</v>
      </c>
      <c r="LD65" s="2114"/>
      <c r="LE65" s="2114"/>
      <c r="LF65" s="417"/>
      <c r="LG65" s="2116" t="str">
        <f>'Вывод расчетов'!$CF$9</f>
        <v>Расчет обмотки статора</v>
      </c>
      <c r="LH65" s="2114"/>
      <c r="LI65" s="2114"/>
      <c r="LJ65" s="2114"/>
      <c r="LK65" s="2114"/>
      <c r="LL65" s="2114"/>
      <c r="LM65" s="2114"/>
      <c r="LN65" s="2114"/>
      <c r="LO65" s="2114"/>
      <c r="LP65" s="2114"/>
      <c r="LQ65" s="2114"/>
      <c r="LR65" s="2117"/>
      <c r="LS65" s="417"/>
      <c r="LT65" s="2116" t="s">
        <v>1369</v>
      </c>
      <c r="LU65" s="2114"/>
      <c r="LV65" s="2117"/>
      <c r="LW65" s="417"/>
      <c r="LX65" s="2116">
        <v>11</v>
      </c>
      <c r="LY65" s="2117"/>
      <c r="LZ65" s="418"/>
      <c r="MA65" s="416"/>
      <c r="MB65" s="2116" t="str">
        <f>'Вывод расчетов'!$CC$9</f>
        <v>Раздел 2</v>
      </c>
      <c r="MC65" s="2114"/>
      <c r="MD65" s="2114"/>
      <c r="ME65" s="417"/>
      <c r="MF65" s="2116" t="str">
        <f>'Вывод расчетов'!$CF$9</f>
        <v>Расчет обмотки статора</v>
      </c>
      <c r="MG65" s="2114"/>
      <c r="MH65" s="2114"/>
      <c r="MI65" s="2114"/>
      <c r="MJ65" s="2114"/>
      <c r="MK65" s="2114"/>
      <c r="ML65" s="2114"/>
      <c r="MM65" s="2114"/>
      <c r="MN65" s="2114"/>
      <c r="MO65" s="2114"/>
      <c r="MP65" s="2114"/>
      <c r="MQ65" s="2117"/>
      <c r="MR65" s="417"/>
      <c r="MS65" s="2116" t="s">
        <v>1369</v>
      </c>
      <c r="MT65" s="2114"/>
      <c r="MU65" s="2117"/>
      <c r="MV65" s="417"/>
      <c r="MW65" s="2116">
        <v>11</v>
      </c>
      <c r="MX65" s="2117"/>
      <c r="MY65" s="418"/>
      <c r="MZ65" s="416"/>
      <c r="NA65" s="2116" t="str">
        <f>'Вывод расчетов'!$CC$9</f>
        <v>Раздел 2</v>
      </c>
      <c r="NB65" s="2114"/>
      <c r="NC65" s="2114"/>
      <c r="ND65" s="417"/>
      <c r="NE65" s="2116" t="str">
        <f>'Вывод расчетов'!$CF$9</f>
        <v>Расчет обмотки статора</v>
      </c>
      <c r="NF65" s="2114"/>
      <c r="NG65" s="2114"/>
      <c r="NH65" s="2114"/>
      <c r="NI65" s="2114"/>
      <c r="NJ65" s="2114"/>
      <c r="NK65" s="2114"/>
      <c r="NL65" s="2114"/>
      <c r="NM65" s="2114"/>
      <c r="NN65" s="2114"/>
      <c r="NO65" s="2114"/>
      <c r="NP65" s="2117"/>
      <c r="NQ65" s="417"/>
      <c r="NR65" s="2116" t="s">
        <v>1369</v>
      </c>
      <c r="NS65" s="2114"/>
      <c r="NT65" s="2117"/>
      <c r="NU65" s="417"/>
      <c r="NV65" s="2116">
        <v>11</v>
      </c>
      <c r="NW65" s="2117"/>
      <c r="NX65" s="418"/>
      <c r="NY65" s="416"/>
      <c r="NZ65" s="2116" t="str">
        <f>'Вывод расчетов'!$CC$9</f>
        <v>Раздел 2</v>
      </c>
      <c r="OA65" s="2114"/>
      <c r="OB65" s="2114"/>
      <c r="OC65" s="417"/>
      <c r="OD65" s="2116" t="str">
        <f>'Вывод расчетов'!$CF$9</f>
        <v>Расчет обмотки статора</v>
      </c>
      <c r="OE65" s="2114"/>
      <c r="OF65" s="2114"/>
      <c r="OG65" s="2114"/>
      <c r="OH65" s="2114"/>
      <c r="OI65" s="2114"/>
      <c r="OJ65" s="2114"/>
      <c r="OK65" s="2114"/>
      <c r="OL65" s="2114"/>
      <c r="OM65" s="2114"/>
      <c r="ON65" s="2114"/>
      <c r="OO65" s="2117"/>
      <c r="OP65" s="417"/>
      <c r="OQ65" s="2116" t="s">
        <v>1369</v>
      </c>
      <c r="OR65" s="2114"/>
      <c r="OS65" s="2117"/>
      <c r="OT65" s="417"/>
      <c r="OU65" s="2116">
        <v>11</v>
      </c>
      <c r="OV65" s="2117"/>
      <c r="OW65" s="418"/>
      <c r="OX65" s="416"/>
      <c r="OY65" s="2116" t="str">
        <f>'Вывод расчетов'!$CC$9</f>
        <v>Раздел 2</v>
      </c>
      <c r="OZ65" s="2114"/>
      <c r="PA65" s="2114"/>
      <c r="PB65" s="417"/>
      <c r="PC65" s="2116" t="str">
        <f>'Вывод расчетов'!$CF$9</f>
        <v>Расчет обмотки статора</v>
      </c>
      <c r="PD65" s="2114"/>
      <c r="PE65" s="2114"/>
      <c r="PF65" s="2114"/>
      <c r="PG65" s="2114"/>
      <c r="PH65" s="2114"/>
      <c r="PI65" s="2114"/>
      <c r="PJ65" s="2114"/>
      <c r="PK65" s="2114"/>
      <c r="PL65" s="2114"/>
      <c r="PM65" s="2114"/>
      <c r="PN65" s="2117"/>
      <c r="PO65" s="417"/>
      <c r="PP65" s="2116" t="s">
        <v>1369</v>
      </c>
      <c r="PQ65" s="2114"/>
      <c r="PR65" s="2117"/>
      <c r="PS65" s="417"/>
      <c r="PT65" s="2116">
        <v>11</v>
      </c>
      <c r="PU65" s="2117"/>
      <c r="PV65" s="418"/>
      <c r="PW65" s="416"/>
      <c r="PX65" s="2116" t="str">
        <f>'Вывод расчетов'!$CC$9</f>
        <v>Раздел 2</v>
      </c>
      <c r="PY65" s="2114"/>
      <c r="PZ65" s="2114"/>
      <c r="QA65" s="417"/>
      <c r="QB65" s="2116" t="str">
        <f>'Вывод расчетов'!$CF$9</f>
        <v>Расчет обмотки статора</v>
      </c>
      <c r="QC65" s="2114"/>
      <c r="QD65" s="2114"/>
      <c r="QE65" s="2114"/>
      <c r="QF65" s="2114"/>
      <c r="QG65" s="2114"/>
      <c r="QH65" s="2114"/>
      <c r="QI65" s="2114"/>
      <c r="QJ65" s="2114"/>
      <c r="QK65" s="2114"/>
      <c r="QL65" s="2114"/>
      <c r="QM65" s="2117"/>
      <c r="QN65" s="417"/>
      <c r="QO65" s="2116" t="s">
        <v>1369</v>
      </c>
      <c r="QP65" s="2114"/>
      <c r="QQ65" s="2117"/>
      <c r="QR65" s="417"/>
      <c r="QS65" s="2116">
        <v>11</v>
      </c>
      <c r="QT65" s="2117"/>
      <c r="QU65" s="418"/>
    </row>
    <row r="66" spans="1:463" ht="24" customHeight="1">
      <c r="A66" s="411"/>
      <c r="B66" s="40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12"/>
      <c r="AA66" s="408"/>
      <c r="AB66" s="408"/>
      <c r="AC66" s="408"/>
      <c r="AD66" s="408"/>
      <c r="AE66" s="408"/>
      <c r="AF66" s="411"/>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12"/>
      <c r="BE66" s="411"/>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12"/>
      <c r="CD66" s="411"/>
      <c r="CE66" s="408"/>
      <c r="CF66" s="408"/>
      <c r="CG66" s="408"/>
      <c r="CH66" s="408"/>
      <c r="CI66" s="408"/>
      <c r="CJ66" s="408"/>
      <c r="CK66" s="408"/>
      <c r="CL66" s="408"/>
      <c r="CM66" s="408"/>
      <c r="CN66" s="408"/>
      <c r="CO66" s="408"/>
      <c r="CP66" s="408"/>
      <c r="CQ66" s="408"/>
      <c r="CR66" s="408"/>
      <c r="CS66" s="408"/>
      <c r="CT66" s="408"/>
      <c r="CU66" s="408"/>
      <c r="CV66" s="408"/>
      <c r="CW66" s="408"/>
      <c r="CX66" s="408"/>
      <c r="CY66" s="408"/>
      <c r="CZ66" s="408"/>
      <c r="DA66" s="408"/>
      <c r="DB66" s="412"/>
      <c r="DC66" s="411"/>
      <c r="DD66" s="408"/>
      <c r="DE66" s="408"/>
      <c r="DF66" s="408"/>
      <c r="DG66" s="408"/>
      <c r="DH66" s="408"/>
      <c r="DI66" s="408"/>
      <c r="DJ66" s="408"/>
      <c r="DK66" s="408"/>
      <c r="DL66" s="408"/>
      <c r="DM66" s="408"/>
      <c r="DN66" s="408"/>
      <c r="DO66" s="408"/>
      <c r="DP66" s="408"/>
      <c r="DQ66" s="408"/>
      <c r="DR66" s="408"/>
      <c r="DS66" s="408"/>
      <c r="DT66" s="408"/>
      <c r="DU66" s="408"/>
      <c r="DV66" s="408"/>
      <c r="DW66" s="408"/>
      <c r="DX66" s="408"/>
      <c r="DY66" s="408"/>
      <c r="DZ66" s="408"/>
      <c r="EA66" s="412"/>
      <c r="EB66" s="411"/>
      <c r="EC66" s="408"/>
      <c r="ED66" s="408"/>
      <c r="EE66" s="408"/>
      <c r="EF66" s="408"/>
      <c r="EG66" s="408"/>
      <c r="EH66" s="408"/>
      <c r="EI66" s="408"/>
      <c r="EJ66" s="408"/>
      <c r="EK66" s="408"/>
      <c r="EL66" s="408"/>
      <c r="EM66" s="408"/>
      <c r="EN66" s="408"/>
      <c r="EO66" s="408"/>
      <c r="EP66" s="408"/>
      <c r="EQ66" s="408"/>
      <c r="ER66" s="408"/>
      <c r="ES66" s="408"/>
      <c r="ET66" s="408"/>
      <c r="EU66" s="408"/>
      <c r="EV66" s="408"/>
      <c r="EW66" s="408"/>
      <c r="EX66" s="408"/>
      <c r="EY66" s="408"/>
      <c r="EZ66" s="412"/>
      <c r="FA66" s="411"/>
      <c r="FB66" s="408"/>
      <c r="FC66" s="408"/>
      <c r="FD66" s="408"/>
      <c r="FE66" s="408"/>
      <c r="FF66" s="408"/>
      <c r="FG66" s="408"/>
      <c r="FH66" s="408"/>
      <c r="FI66" s="408"/>
      <c r="FJ66" s="408"/>
      <c r="FK66" s="408"/>
      <c r="FL66" s="408"/>
      <c r="FM66" s="408"/>
      <c r="FN66" s="408"/>
      <c r="FO66" s="408"/>
      <c r="FP66" s="408"/>
      <c r="FQ66" s="408"/>
      <c r="FR66" s="408"/>
      <c r="FS66" s="408"/>
      <c r="FT66" s="408"/>
      <c r="FU66" s="408"/>
      <c r="FV66" s="408"/>
      <c r="FW66" s="408"/>
      <c r="FX66" s="408"/>
      <c r="FY66" s="412"/>
      <c r="FZ66" s="411"/>
      <c r="GA66" s="408"/>
      <c r="GB66" s="408"/>
      <c r="GC66" s="408"/>
      <c r="GD66" s="408"/>
      <c r="GE66" s="408"/>
      <c r="GF66" s="408"/>
      <c r="GG66" s="408"/>
      <c r="GH66" s="408"/>
      <c r="GI66" s="408"/>
      <c r="GJ66" s="408"/>
      <c r="GK66" s="408"/>
      <c r="GL66" s="408"/>
      <c r="GM66" s="408"/>
      <c r="GN66" s="408"/>
      <c r="GO66" s="408"/>
      <c r="GP66" s="408"/>
      <c r="GQ66" s="408"/>
      <c r="GR66" s="408"/>
      <c r="GS66" s="408"/>
      <c r="GT66" s="408"/>
      <c r="GU66" s="408"/>
      <c r="GV66" s="408"/>
      <c r="GW66" s="408"/>
      <c r="GX66" s="412"/>
      <c r="GY66" s="411"/>
      <c r="GZ66" s="408"/>
      <c r="HA66" s="408"/>
      <c r="HB66" s="408"/>
      <c r="HC66" s="408"/>
      <c r="HD66" s="408"/>
      <c r="HE66" s="408"/>
      <c r="HF66" s="408"/>
      <c r="HG66" s="408"/>
      <c r="HH66" s="408"/>
      <c r="HI66" s="408"/>
      <c r="HJ66" s="408"/>
      <c r="HK66" s="408"/>
      <c r="HL66" s="408"/>
      <c r="HM66" s="408"/>
      <c r="HN66" s="408"/>
      <c r="HO66" s="408"/>
      <c r="HP66" s="408"/>
      <c r="HQ66" s="408"/>
      <c r="HR66" s="408"/>
      <c r="HS66" s="408"/>
      <c r="HT66" s="408"/>
      <c r="HU66" s="408"/>
      <c r="HV66" s="408"/>
      <c r="HW66" s="412"/>
    </row>
    <row r="67" spans="1:463" ht="24" customHeight="1">
      <c r="A67" s="411"/>
      <c r="B67" s="40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12"/>
      <c r="AA67" s="408"/>
      <c r="AB67" s="408"/>
      <c r="AC67" s="408"/>
      <c r="AD67" s="408"/>
      <c r="AE67" s="408"/>
      <c r="AF67" s="411"/>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12"/>
      <c r="BE67" s="411"/>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12"/>
      <c r="CD67" s="411"/>
      <c r="CE67" s="408"/>
      <c r="CF67" s="408"/>
      <c r="CG67" s="408"/>
      <c r="CH67" s="408"/>
      <c r="CI67" s="408"/>
      <c r="CJ67" s="408"/>
      <c r="CK67" s="408"/>
      <c r="CL67" s="408"/>
      <c r="CM67" s="408"/>
      <c r="CN67" s="408"/>
      <c r="CO67" s="408"/>
      <c r="CP67" s="408"/>
      <c r="CQ67" s="408"/>
      <c r="CR67" s="408"/>
      <c r="CS67" s="408"/>
      <c r="CT67" s="408"/>
      <c r="CU67" s="408"/>
      <c r="CV67" s="408"/>
      <c r="CW67" s="408"/>
      <c r="CX67" s="408"/>
      <c r="CY67" s="408"/>
      <c r="CZ67" s="408"/>
      <c r="DA67" s="408"/>
      <c r="DB67" s="412"/>
      <c r="DC67" s="411"/>
      <c r="DD67" s="408"/>
      <c r="DE67" s="408"/>
      <c r="DF67" s="408"/>
      <c r="DG67" s="408"/>
      <c r="DH67" s="408"/>
      <c r="DI67" s="408"/>
      <c r="DJ67" s="408"/>
      <c r="DK67" s="408"/>
      <c r="DL67" s="408"/>
      <c r="DM67" s="408"/>
      <c r="DN67" s="408"/>
      <c r="DO67" s="408"/>
      <c r="DP67" s="408"/>
      <c r="DQ67" s="408"/>
      <c r="DR67" s="408"/>
      <c r="DS67" s="408"/>
      <c r="DT67" s="408"/>
      <c r="DU67" s="408"/>
      <c r="DV67" s="408"/>
      <c r="DW67" s="408"/>
      <c r="DX67" s="408"/>
      <c r="DY67" s="408"/>
      <c r="DZ67" s="408"/>
      <c r="EA67" s="412"/>
      <c r="EB67" s="411"/>
      <c r="EC67" s="408"/>
      <c r="ED67" s="408"/>
      <c r="EE67" s="408"/>
      <c r="EF67" s="408"/>
      <c r="EG67" s="408"/>
      <c r="EH67" s="408"/>
      <c r="EI67" s="408"/>
      <c r="EJ67" s="408"/>
      <c r="EK67" s="408"/>
      <c r="EL67" s="408"/>
      <c r="EM67" s="408"/>
      <c r="EN67" s="408"/>
      <c r="EO67" s="408"/>
      <c r="EP67" s="408"/>
      <c r="EQ67" s="408"/>
      <c r="ER67" s="408"/>
      <c r="ES67" s="408"/>
      <c r="ET67" s="408"/>
      <c r="EU67" s="408"/>
      <c r="EV67" s="408"/>
      <c r="EW67" s="408"/>
      <c r="EX67" s="408"/>
      <c r="EY67" s="408"/>
      <c r="EZ67" s="412"/>
      <c r="FA67" s="411"/>
      <c r="FB67" s="408"/>
      <c r="FC67" s="408"/>
      <c r="FD67" s="408"/>
      <c r="FE67" s="408"/>
      <c r="FF67" s="408"/>
      <c r="FG67" s="408"/>
      <c r="FH67" s="408"/>
      <c r="FI67" s="408"/>
      <c r="FJ67" s="408"/>
      <c r="FK67" s="408"/>
      <c r="FL67" s="408"/>
      <c r="FM67" s="408"/>
      <c r="FN67" s="408"/>
      <c r="FO67" s="408"/>
      <c r="FP67" s="408"/>
      <c r="FQ67" s="408"/>
      <c r="FR67" s="408"/>
      <c r="FS67" s="408"/>
      <c r="FT67" s="408"/>
      <c r="FU67" s="408"/>
      <c r="FV67" s="408"/>
      <c r="FW67" s="408"/>
      <c r="FX67" s="408"/>
      <c r="FY67" s="412"/>
      <c r="FZ67" s="411"/>
      <c r="GA67" s="408"/>
      <c r="GB67" s="408"/>
      <c r="GC67" s="408"/>
      <c r="GD67" s="408"/>
      <c r="GE67" s="408"/>
      <c r="GF67" s="408"/>
      <c r="GG67" s="408"/>
      <c r="GH67" s="408"/>
      <c r="GI67" s="408"/>
      <c r="GJ67" s="408"/>
      <c r="GK67" s="408"/>
      <c r="GL67" s="408"/>
      <c r="GM67" s="408"/>
      <c r="GN67" s="408"/>
      <c r="GO67" s="408"/>
      <c r="GP67" s="408"/>
      <c r="GQ67" s="408"/>
      <c r="GR67" s="408"/>
      <c r="GS67" s="408"/>
      <c r="GT67" s="408"/>
      <c r="GU67" s="408"/>
      <c r="GV67" s="408"/>
      <c r="GW67" s="408"/>
      <c r="GX67" s="412"/>
      <c r="GY67" s="411"/>
      <c r="GZ67" s="408"/>
      <c r="HA67" s="408"/>
      <c r="HB67" s="408"/>
      <c r="HC67" s="408"/>
      <c r="HD67" s="408"/>
      <c r="HE67" s="408"/>
      <c r="HF67" s="408"/>
      <c r="HG67" s="408"/>
      <c r="HH67" s="408"/>
      <c r="HI67" s="408"/>
      <c r="HJ67" s="408"/>
      <c r="HK67" s="408"/>
      <c r="HL67" s="408"/>
      <c r="HM67" s="408"/>
      <c r="HN67" s="408"/>
      <c r="HO67" s="408"/>
      <c r="HP67" s="408"/>
      <c r="HQ67" s="408"/>
      <c r="HR67" s="408"/>
      <c r="HS67" s="408"/>
      <c r="HT67" s="408"/>
      <c r="HU67" s="408"/>
      <c r="HV67" s="408"/>
      <c r="HW67" s="412"/>
    </row>
    <row r="68" spans="1:463" ht="24" customHeight="1">
      <c r="A68" s="411"/>
      <c r="B68" s="40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12"/>
      <c r="AA68" s="408"/>
      <c r="AB68" s="408"/>
      <c r="AC68" s="408"/>
      <c r="AD68" s="408"/>
      <c r="AE68" s="408"/>
      <c r="AF68" s="411"/>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12"/>
      <c r="BE68" s="411"/>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12"/>
      <c r="CD68" s="411"/>
      <c r="CE68" s="408"/>
      <c r="CF68" s="408"/>
      <c r="CG68" s="408"/>
      <c r="CH68" s="408"/>
      <c r="CI68" s="408"/>
      <c r="CJ68" s="408"/>
      <c r="CK68" s="408"/>
      <c r="CL68" s="408"/>
      <c r="CM68" s="408"/>
      <c r="CN68" s="408"/>
      <c r="CO68" s="408"/>
      <c r="CP68" s="408"/>
      <c r="CQ68" s="408"/>
      <c r="CR68" s="408"/>
      <c r="CS68" s="408"/>
      <c r="CT68" s="408"/>
      <c r="CU68" s="408"/>
      <c r="CV68" s="408"/>
      <c r="CW68" s="408"/>
      <c r="CX68" s="408"/>
      <c r="CY68" s="408"/>
      <c r="CZ68" s="408"/>
      <c r="DA68" s="408"/>
      <c r="DB68" s="412"/>
      <c r="DC68" s="411"/>
      <c r="DD68" s="408"/>
      <c r="DE68" s="408"/>
      <c r="DF68" s="408"/>
      <c r="DG68" s="408"/>
      <c r="DH68" s="408"/>
      <c r="DI68" s="408"/>
      <c r="DJ68" s="408"/>
      <c r="DK68" s="408"/>
      <c r="DL68" s="408"/>
      <c r="DM68" s="408"/>
      <c r="DN68" s="408"/>
      <c r="DO68" s="408"/>
      <c r="DP68" s="408"/>
      <c r="DQ68" s="408"/>
      <c r="DR68" s="408"/>
      <c r="DS68" s="408"/>
      <c r="DT68" s="408"/>
      <c r="DU68" s="408"/>
      <c r="DV68" s="408"/>
      <c r="DW68" s="408"/>
      <c r="DX68" s="408"/>
      <c r="DY68" s="408"/>
      <c r="DZ68" s="408"/>
      <c r="EA68" s="412"/>
      <c r="EB68" s="411"/>
      <c r="EC68" s="408"/>
      <c r="ED68" s="408"/>
      <c r="EE68" s="408"/>
      <c r="EF68" s="408"/>
      <c r="EG68" s="408"/>
      <c r="EH68" s="408"/>
      <c r="EI68" s="408"/>
      <c r="EJ68" s="408"/>
      <c r="EK68" s="408"/>
      <c r="EL68" s="408"/>
      <c r="EM68" s="408"/>
      <c r="EN68" s="408"/>
      <c r="EO68" s="408"/>
      <c r="EP68" s="408"/>
      <c r="EQ68" s="408"/>
      <c r="ER68" s="408"/>
      <c r="ES68" s="408"/>
      <c r="ET68" s="408"/>
      <c r="EU68" s="408"/>
      <c r="EV68" s="408"/>
      <c r="EW68" s="408"/>
      <c r="EX68" s="408"/>
      <c r="EY68" s="408"/>
      <c r="EZ68" s="412"/>
      <c r="FA68" s="411"/>
      <c r="FB68" s="408"/>
      <c r="FC68" s="408"/>
      <c r="FD68" s="408"/>
      <c r="FE68" s="408"/>
      <c r="FF68" s="408"/>
      <c r="FG68" s="408"/>
      <c r="FH68" s="408"/>
      <c r="FI68" s="408"/>
      <c r="FJ68" s="408"/>
      <c r="FK68" s="408"/>
      <c r="FL68" s="408"/>
      <c r="FM68" s="408"/>
      <c r="FN68" s="408"/>
      <c r="FO68" s="408"/>
      <c r="FP68" s="408"/>
      <c r="FQ68" s="408"/>
      <c r="FR68" s="408"/>
      <c r="FS68" s="408"/>
      <c r="FT68" s="408"/>
      <c r="FU68" s="408"/>
      <c r="FV68" s="408"/>
      <c r="FW68" s="408"/>
      <c r="FX68" s="408"/>
      <c r="FY68" s="412"/>
      <c r="FZ68" s="411"/>
      <c r="GA68" s="408"/>
      <c r="GB68" s="408"/>
      <c r="GC68" s="408"/>
      <c r="GD68" s="408"/>
      <c r="GE68" s="408"/>
      <c r="GF68" s="408"/>
      <c r="GG68" s="408"/>
      <c r="GH68" s="408"/>
      <c r="GI68" s="408"/>
      <c r="GJ68" s="408"/>
      <c r="GK68" s="408"/>
      <c r="GL68" s="408"/>
      <c r="GM68" s="408"/>
      <c r="GN68" s="408"/>
      <c r="GO68" s="408"/>
      <c r="GP68" s="408"/>
      <c r="GQ68" s="408"/>
      <c r="GR68" s="408"/>
      <c r="GS68" s="408"/>
      <c r="GT68" s="408"/>
      <c r="GU68" s="408"/>
      <c r="GV68" s="408"/>
      <c r="GW68" s="408"/>
      <c r="GX68" s="412"/>
      <c r="GY68" s="411"/>
      <c r="GZ68" s="408"/>
      <c r="HA68" s="408"/>
      <c r="HB68" s="408"/>
      <c r="HC68" s="408"/>
      <c r="HD68" s="408"/>
      <c r="HE68" s="408"/>
      <c r="HF68" s="408"/>
      <c r="HG68" s="408"/>
      <c r="HH68" s="408"/>
      <c r="HI68" s="408"/>
      <c r="HJ68" s="408"/>
      <c r="HK68" s="408"/>
      <c r="HL68" s="408"/>
      <c r="HM68" s="408"/>
      <c r="HN68" s="408"/>
      <c r="HO68" s="408"/>
      <c r="HP68" s="408"/>
      <c r="HQ68" s="408"/>
      <c r="HR68" s="408"/>
      <c r="HS68" s="408"/>
      <c r="HT68" s="408"/>
      <c r="HU68" s="408"/>
      <c r="HV68" s="408"/>
      <c r="HW68" s="412"/>
    </row>
    <row r="69" spans="1:463" ht="24" customHeight="1">
      <c r="A69" s="411"/>
      <c r="B69" s="40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12"/>
      <c r="AA69" s="408"/>
      <c r="AB69" s="408"/>
      <c r="AC69" s="408"/>
      <c r="AD69" s="408"/>
      <c r="AE69" s="408"/>
      <c r="AF69" s="411"/>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12"/>
      <c r="BE69" s="411"/>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12"/>
      <c r="CD69" s="411"/>
      <c r="CE69" s="408"/>
      <c r="CF69" s="408"/>
      <c r="CG69" s="408"/>
      <c r="CH69" s="408"/>
      <c r="CI69" s="408"/>
      <c r="CJ69" s="408"/>
      <c r="CK69" s="408"/>
      <c r="CL69" s="408"/>
      <c r="CM69" s="408"/>
      <c r="CN69" s="408"/>
      <c r="CO69" s="408"/>
      <c r="CP69" s="408"/>
      <c r="CQ69" s="408"/>
      <c r="CR69" s="408"/>
      <c r="CS69" s="408"/>
      <c r="CT69" s="408"/>
      <c r="CU69" s="408"/>
      <c r="CV69" s="408"/>
      <c r="CW69" s="408"/>
      <c r="CX69" s="408"/>
      <c r="CY69" s="408"/>
      <c r="CZ69" s="408"/>
      <c r="DA69" s="408"/>
      <c r="DB69" s="412"/>
      <c r="DC69" s="411"/>
      <c r="DD69" s="408"/>
      <c r="DE69" s="408"/>
      <c r="DF69" s="408"/>
      <c r="DG69" s="408"/>
      <c r="DH69" s="408"/>
      <c r="DI69" s="408"/>
      <c r="DJ69" s="408"/>
      <c r="DK69" s="408"/>
      <c r="DL69" s="408"/>
      <c r="DM69" s="408"/>
      <c r="DN69" s="408"/>
      <c r="DO69" s="408"/>
      <c r="DP69" s="408"/>
      <c r="DQ69" s="408"/>
      <c r="DR69" s="408"/>
      <c r="DS69" s="408"/>
      <c r="DT69" s="408"/>
      <c r="DU69" s="408"/>
      <c r="DV69" s="408"/>
      <c r="DW69" s="408"/>
      <c r="DX69" s="408"/>
      <c r="DY69" s="408"/>
      <c r="DZ69" s="408"/>
      <c r="EA69" s="412"/>
      <c r="EB69" s="411"/>
      <c r="EC69" s="408"/>
      <c r="ED69" s="408"/>
      <c r="EE69" s="408"/>
      <c r="EF69" s="408"/>
      <c r="EG69" s="408"/>
      <c r="EH69" s="408"/>
      <c r="EI69" s="408"/>
      <c r="EJ69" s="408"/>
      <c r="EK69" s="408"/>
      <c r="EL69" s="408"/>
      <c r="EM69" s="408"/>
      <c r="EN69" s="408"/>
      <c r="EO69" s="408"/>
      <c r="EP69" s="408"/>
      <c r="EQ69" s="408"/>
      <c r="ER69" s="408"/>
      <c r="ES69" s="408"/>
      <c r="ET69" s="408"/>
      <c r="EU69" s="408"/>
      <c r="EV69" s="408"/>
      <c r="EW69" s="408"/>
      <c r="EX69" s="408"/>
      <c r="EY69" s="408"/>
      <c r="EZ69" s="412"/>
      <c r="FA69" s="411"/>
      <c r="FB69" s="408"/>
      <c r="FC69" s="408"/>
      <c r="FD69" s="408"/>
      <c r="FE69" s="408"/>
      <c r="FF69" s="408"/>
      <c r="FG69" s="408"/>
      <c r="FH69" s="408"/>
      <c r="FI69" s="408"/>
      <c r="FJ69" s="408"/>
      <c r="FK69" s="408"/>
      <c r="FL69" s="408"/>
      <c r="FM69" s="408"/>
      <c r="FN69" s="408"/>
      <c r="FO69" s="408"/>
      <c r="FP69" s="408"/>
      <c r="FQ69" s="408"/>
      <c r="FR69" s="408"/>
      <c r="FS69" s="408"/>
      <c r="FT69" s="408"/>
      <c r="FU69" s="408"/>
      <c r="FV69" s="408"/>
      <c r="FW69" s="408"/>
      <c r="FX69" s="408"/>
      <c r="FY69" s="412"/>
      <c r="FZ69" s="411"/>
      <c r="GA69" s="408"/>
      <c r="GB69" s="408"/>
      <c r="GC69" s="408"/>
      <c r="GD69" s="408"/>
      <c r="GE69" s="408"/>
      <c r="GF69" s="408"/>
      <c r="GG69" s="408"/>
      <c r="GH69" s="408"/>
      <c r="GI69" s="408"/>
      <c r="GJ69" s="408"/>
      <c r="GK69" s="408"/>
      <c r="GL69" s="408"/>
      <c r="GM69" s="408"/>
      <c r="GN69" s="408"/>
      <c r="GO69" s="408"/>
      <c r="GP69" s="408"/>
      <c r="GQ69" s="408"/>
      <c r="GR69" s="408"/>
      <c r="GS69" s="408"/>
      <c r="GT69" s="408"/>
      <c r="GU69" s="408"/>
      <c r="GV69" s="408"/>
      <c r="GW69" s="408"/>
      <c r="GX69" s="412"/>
      <c r="GY69" s="411"/>
      <c r="GZ69" s="408"/>
      <c r="HA69" s="408"/>
      <c r="HB69" s="408"/>
      <c r="HC69" s="408"/>
      <c r="HD69" s="408"/>
      <c r="HE69" s="408"/>
      <c r="HF69" s="408"/>
      <c r="HG69" s="408"/>
      <c r="HH69" s="408"/>
      <c r="HI69" s="408"/>
      <c r="HJ69" s="408"/>
      <c r="HK69" s="408"/>
      <c r="HL69" s="408"/>
      <c r="HM69" s="408"/>
      <c r="HN69" s="408"/>
      <c r="HO69" s="408"/>
      <c r="HP69" s="408"/>
      <c r="HQ69" s="408"/>
      <c r="HR69" s="408"/>
      <c r="HS69" s="408"/>
      <c r="HT69" s="408"/>
      <c r="HU69" s="408"/>
      <c r="HV69" s="408"/>
      <c r="HW69" s="412"/>
    </row>
    <row r="70" spans="1:463" ht="24" customHeight="1">
      <c r="A70" s="411"/>
      <c r="B70" s="40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12"/>
      <c r="AA70" s="408"/>
      <c r="AB70" s="408"/>
      <c r="AC70" s="408"/>
      <c r="AD70" s="408"/>
      <c r="AE70" s="408"/>
      <c r="AF70" s="411"/>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12"/>
      <c r="BE70" s="411"/>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12"/>
      <c r="CD70" s="411"/>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12"/>
      <c r="DC70" s="411"/>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12"/>
      <c r="EB70" s="411"/>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12"/>
      <c r="FA70" s="411"/>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12"/>
      <c r="FZ70" s="411"/>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12"/>
      <c r="GY70" s="411"/>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12"/>
    </row>
    <row r="71" spans="1:463" ht="24" customHeight="1">
      <c r="A71" s="411"/>
      <c r="B71" s="40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12"/>
      <c r="AA71" s="408"/>
      <c r="AB71" s="408"/>
      <c r="AC71" s="408"/>
      <c r="AD71" s="408"/>
      <c r="AE71" s="408"/>
      <c r="AF71" s="411"/>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12"/>
      <c r="BE71" s="411"/>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12"/>
      <c r="CD71" s="411"/>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12"/>
      <c r="DC71" s="411"/>
      <c r="DD71" s="408"/>
      <c r="DE71" s="408"/>
      <c r="DF71" s="408"/>
      <c r="DG71" s="408"/>
      <c r="DH71" s="408"/>
      <c r="DI71" s="408"/>
      <c r="DJ71" s="408"/>
      <c r="DK71" s="408"/>
      <c r="DL71" s="408"/>
      <c r="DM71" s="408"/>
      <c r="DN71" s="408"/>
      <c r="DO71" s="408"/>
      <c r="DP71" s="408"/>
      <c r="DQ71" s="408"/>
      <c r="DR71" s="408"/>
      <c r="DS71" s="408"/>
      <c r="DT71" s="408"/>
      <c r="DU71" s="408"/>
      <c r="DV71" s="408"/>
      <c r="DW71" s="408"/>
      <c r="DX71" s="408"/>
      <c r="DY71" s="408"/>
      <c r="DZ71" s="408"/>
      <c r="EA71" s="412"/>
      <c r="EB71" s="411"/>
      <c r="EC71" s="408"/>
      <c r="ED71" s="408"/>
      <c r="EE71" s="408"/>
      <c r="EF71" s="408"/>
      <c r="EG71" s="408"/>
      <c r="EH71" s="408"/>
      <c r="EI71" s="408"/>
      <c r="EJ71" s="408"/>
      <c r="EK71" s="408"/>
      <c r="EL71" s="408"/>
      <c r="EM71" s="408"/>
      <c r="EN71" s="408"/>
      <c r="EO71" s="408"/>
      <c r="EP71" s="408"/>
      <c r="EQ71" s="408"/>
      <c r="ER71" s="408"/>
      <c r="ES71" s="408"/>
      <c r="ET71" s="408"/>
      <c r="EU71" s="408"/>
      <c r="EV71" s="408"/>
      <c r="EW71" s="408"/>
      <c r="EX71" s="408"/>
      <c r="EY71" s="408"/>
      <c r="EZ71" s="412"/>
      <c r="FA71" s="411"/>
      <c r="FB71" s="408"/>
      <c r="FC71" s="408"/>
      <c r="FD71" s="408"/>
      <c r="FE71" s="408"/>
      <c r="FF71" s="408"/>
      <c r="FG71" s="408"/>
      <c r="FH71" s="408"/>
      <c r="FI71" s="408"/>
      <c r="FJ71" s="408"/>
      <c r="FK71" s="408"/>
      <c r="FL71" s="408"/>
      <c r="FM71" s="408"/>
      <c r="FN71" s="408"/>
      <c r="FO71" s="408"/>
      <c r="FP71" s="408"/>
      <c r="FQ71" s="408"/>
      <c r="FR71" s="408"/>
      <c r="FS71" s="408"/>
      <c r="FT71" s="408"/>
      <c r="FU71" s="408"/>
      <c r="FV71" s="408"/>
      <c r="FW71" s="408"/>
      <c r="FX71" s="408"/>
      <c r="FY71" s="412"/>
      <c r="FZ71" s="411"/>
      <c r="GA71" s="408"/>
      <c r="GB71" s="408"/>
      <c r="GC71" s="408"/>
      <c r="GD71" s="408"/>
      <c r="GE71" s="408"/>
      <c r="GF71" s="408"/>
      <c r="GG71" s="408"/>
      <c r="GH71" s="408"/>
      <c r="GI71" s="408"/>
      <c r="GJ71" s="408"/>
      <c r="GK71" s="408"/>
      <c r="GL71" s="408"/>
      <c r="GM71" s="408"/>
      <c r="GN71" s="408"/>
      <c r="GO71" s="408"/>
      <c r="GP71" s="408"/>
      <c r="GQ71" s="408"/>
      <c r="GR71" s="408"/>
      <c r="GS71" s="408"/>
      <c r="GT71" s="408"/>
      <c r="GU71" s="408"/>
      <c r="GV71" s="408"/>
      <c r="GW71" s="408"/>
      <c r="GX71" s="412"/>
      <c r="GY71" s="411"/>
      <c r="GZ71" s="408"/>
      <c r="HA71" s="408"/>
      <c r="HB71" s="408"/>
      <c r="HC71" s="408"/>
      <c r="HD71" s="408"/>
      <c r="HE71" s="408"/>
      <c r="HF71" s="408"/>
      <c r="HG71" s="408"/>
      <c r="HH71" s="408"/>
      <c r="HI71" s="408"/>
      <c r="HJ71" s="408"/>
      <c r="HK71" s="408"/>
      <c r="HL71" s="408"/>
      <c r="HM71" s="408"/>
      <c r="HN71" s="408"/>
      <c r="HO71" s="408"/>
      <c r="HP71" s="408"/>
      <c r="HQ71" s="408"/>
      <c r="HR71" s="408"/>
      <c r="HS71" s="408"/>
      <c r="HT71" s="408"/>
      <c r="HU71" s="408"/>
      <c r="HV71" s="408"/>
      <c r="HW71" s="412"/>
    </row>
    <row r="72" spans="1:463" ht="24" customHeight="1">
      <c r="A72" s="411"/>
      <c r="B72" s="40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12"/>
      <c r="AA72" s="408"/>
      <c r="AB72" s="408"/>
      <c r="AC72" s="408"/>
      <c r="AD72" s="408"/>
      <c r="AE72" s="408"/>
      <c r="AF72" s="411"/>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12"/>
      <c r="BE72" s="411"/>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12"/>
      <c r="CD72" s="411"/>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12"/>
      <c r="DC72" s="411"/>
      <c r="DD72" s="408"/>
      <c r="DE72" s="408"/>
      <c r="DF72" s="408"/>
      <c r="DG72" s="408"/>
      <c r="DH72" s="408"/>
      <c r="DI72" s="408"/>
      <c r="DJ72" s="408"/>
      <c r="DK72" s="408"/>
      <c r="DL72" s="408"/>
      <c r="DM72" s="408"/>
      <c r="DN72" s="408"/>
      <c r="DO72" s="408"/>
      <c r="DP72" s="408"/>
      <c r="DQ72" s="408"/>
      <c r="DR72" s="408"/>
      <c r="DS72" s="408"/>
      <c r="DT72" s="408"/>
      <c r="DU72" s="408"/>
      <c r="DV72" s="408"/>
      <c r="DW72" s="408"/>
      <c r="DX72" s="408"/>
      <c r="DY72" s="408"/>
      <c r="DZ72" s="408"/>
      <c r="EA72" s="412"/>
      <c r="EB72" s="411"/>
      <c r="EC72" s="408"/>
      <c r="ED72" s="408"/>
      <c r="EE72" s="408"/>
      <c r="EF72" s="408"/>
      <c r="EG72" s="408"/>
      <c r="EH72" s="408"/>
      <c r="EI72" s="408"/>
      <c r="EJ72" s="408"/>
      <c r="EK72" s="408"/>
      <c r="EL72" s="408"/>
      <c r="EM72" s="408"/>
      <c r="EN72" s="408"/>
      <c r="EO72" s="408"/>
      <c r="EP72" s="408"/>
      <c r="EQ72" s="408"/>
      <c r="ER72" s="408"/>
      <c r="ES72" s="408"/>
      <c r="ET72" s="408"/>
      <c r="EU72" s="408"/>
      <c r="EV72" s="408"/>
      <c r="EW72" s="408"/>
      <c r="EX72" s="408"/>
      <c r="EY72" s="408"/>
      <c r="EZ72" s="412"/>
      <c r="FA72" s="411"/>
      <c r="FB72" s="408"/>
      <c r="FC72" s="408"/>
      <c r="FD72" s="408"/>
      <c r="FE72" s="408"/>
      <c r="FF72" s="408"/>
      <c r="FG72" s="408"/>
      <c r="FH72" s="408"/>
      <c r="FI72" s="408"/>
      <c r="FJ72" s="408"/>
      <c r="FK72" s="408"/>
      <c r="FL72" s="408"/>
      <c r="FM72" s="408"/>
      <c r="FN72" s="408"/>
      <c r="FO72" s="408"/>
      <c r="FP72" s="408"/>
      <c r="FQ72" s="408"/>
      <c r="FR72" s="408"/>
      <c r="FS72" s="408"/>
      <c r="FT72" s="408"/>
      <c r="FU72" s="408"/>
      <c r="FV72" s="408"/>
      <c r="FW72" s="408"/>
      <c r="FX72" s="408"/>
      <c r="FY72" s="412"/>
      <c r="FZ72" s="411"/>
      <c r="GA72" s="408"/>
      <c r="GB72" s="408"/>
      <c r="GC72" s="408"/>
      <c r="GD72" s="408"/>
      <c r="GE72" s="408"/>
      <c r="GF72" s="408"/>
      <c r="GG72" s="408"/>
      <c r="GH72" s="408"/>
      <c r="GI72" s="408"/>
      <c r="GJ72" s="408"/>
      <c r="GK72" s="408"/>
      <c r="GL72" s="408"/>
      <c r="GM72" s="408"/>
      <c r="GN72" s="408"/>
      <c r="GO72" s="408"/>
      <c r="GP72" s="408"/>
      <c r="GQ72" s="408"/>
      <c r="GR72" s="408"/>
      <c r="GS72" s="408"/>
      <c r="GT72" s="408"/>
      <c r="GU72" s="408"/>
      <c r="GV72" s="408"/>
      <c r="GW72" s="408"/>
      <c r="GX72" s="412"/>
      <c r="GY72" s="411"/>
      <c r="GZ72" s="408"/>
      <c r="HA72" s="408"/>
      <c r="HB72" s="408"/>
      <c r="HC72" s="408"/>
      <c r="HD72" s="408"/>
      <c r="HE72" s="408"/>
      <c r="HF72" s="408"/>
      <c r="HG72" s="408"/>
      <c r="HH72" s="408"/>
      <c r="HI72" s="408"/>
      <c r="HJ72" s="408"/>
      <c r="HK72" s="408"/>
      <c r="HL72" s="408"/>
      <c r="HM72" s="408"/>
      <c r="HN72" s="408"/>
      <c r="HO72" s="408"/>
      <c r="HP72" s="408"/>
      <c r="HQ72" s="408"/>
      <c r="HR72" s="408"/>
      <c r="HS72" s="408"/>
      <c r="HT72" s="408"/>
      <c r="HU72" s="408"/>
      <c r="HV72" s="408"/>
      <c r="HW72" s="412"/>
    </row>
    <row r="73" spans="1:463" ht="24" customHeight="1">
      <c r="A73" s="411"/>
      <c r="B73" s="40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12"/>
      <c r="AA73" s="408"/>
      <c r="AB73" s="408"/>
      <c r="AC73" s="408"/>
      <c r="AD73" s="408"/>
      <c r="AE73" s="408"/>
      <c r="AF73" s="411"/>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12"/>
      <c r="BE73" s="411"/>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12"/>
      <c r="CD73" s="411"/>
      <c r="CE73" s="408"/>
      <c r="CF73" s="408"/>
      <c r="CG73" s="408"/>
      <c r="CH73" s="408"/>
      <c r="CI73" s="408"/>
      <c r="CJ73" s="408"/>
      <c r="CK73" s="408"/>
      <c r="CL73" s="408"/>
      <c r="CM73" s="408"/>
      <c r="CN73" s="408"/>
      <c r="CO73" s="408"/>
      <c r="CP73" s="408"/>
      <c r="CQ73" s="408"/>
      <c r="CR73" s="408"/>
      <c r="CS73" s="408"/>
      <c r="CT73" s="408"/>
      <c r="CU73" s="408"/>
      <c r="CV73" s="408"/>
      <c r="CW73" s="408"/>
      <c r="CX73" s="408"/>
      <c r="CY73" s="408"/>
      <c r="CZ73" s="408"/>
      <c r="DA73" s="408"/>
      <c r="DB73" s="412"/>
      <c r="DC73" s="411"/>
      <c r="DD73" s="408"/>
      <c r="DE73" s="408"/>
      <c r="DF73" s="408"/>
      <c r="DG73" s="408"/>
      <c r="DH73" s="408"/>
      <c r="DI73" s="408"/>
      <c r="DJ73" s="408"/>
      <c r="DK73" s="408"/>
      <c r="DL73" s="408"/>
      <c r="DM73" s="408"/>
      <c r="DN73" s="408"/>
      <c r="DO73" s="408"/>
      <c r="DP73" s="408"/>
      <c r="DQ73" s="408"/>
      <c r="DR73" s="408"/>
      <c r="DS73" s="408"/>
      <c r="DT73" s="408"/>
      <c r="DU73" s="408"/>
      <c r="DV73" s="408"/>
      <c r="DW73" s="408"/>
      <c r="DX73" s="408"/>
      <c r="DY73" s="408"/>
      <c r="DZ73" s="408"/>
      <c r="EA73" s="412"/>
      <c r="EB73" s="411"/>
      <c r="EC73" s="408"/>
      <c r="ED73" s="408"/>
      <c r="EE73" s="408"/>
      <c r="EF73" s="408"/>
      <c r="EG73" s="408"/>
      <c r="EH73" s="408"/>
      <c r="EI73" s="408"/>
      <c r="EJ73" s="408"/>
      <c r="EK73" s="408"/>
      <c r="EL73" s="408"/>
      <c r="EM73" s="408"/>
      <c r="EN73" s="408"/>
      <c r="EO73" s="408"/>
      <c r="EP73" s="408"/>
      <c r="EQ73" s="408"/>
      <c r="ER73" s="408"/>
      <c r="ES73" s="408"/>
      <c r="ET73" s="408"/>
      <c r="EU73" s="408"/>
      <c r="EV73" s="408"/>
      <c r="EW73" s="408"/>
      <c r="EX73" s="408"/>
      <c r="EY73" s="408"/>
      <c r="EZ73" s="412"/>
      <c r="FA73" s="411"/>
      <c r="FB73" s="408"/>
      <c r="FC73" s="408"/>
      <c r="FD73" s="408"/>
      <c r="FE73" s="408"/>
      <c r="FF73" s="408"/>
      <c r="FG73" s="408"/>
      <c r="FH73" s="408"/>
      <c r="FI73" s="408"/>
      <c r="FJ73" s="408"/>
      <c r="FK73" s="408"/>
      <c r="FL73" s="408"/>
      <c r="FM73" s="408"/>
      <c r="FN73" s="408"/>
      <c r="FO73" s="408"/>
      <c r="FP73" s="408"/>
      <c r="FQ73" s="408"/>
      <c r="FR73" s="408"/>
      <c r="FS73" s="408"/>
      <c r="FT73" s="408"/>
      <c r="FU73" s="408"/>
      <c r="FV73" s="408"/>
      <c r="FW73" s="408"/>
      <c r="FX73" s="408"/>
      <c r="FY73" s="412"/>
      <c r="FZ73" s="411"/>
      <c r="GA73" s="408"/>
      <c r="GB73" s="408"/>
      <c r="GC73" s="408"/>
      <c r="GD73" s="408"/>
      <c r="GE73" s="408"/>
      <c r="GF73" s="408"/>
      <c r="GG73" s="408"/>
      <c r="GH73" s="408"/>
      <c r="GI73" s="408"/>
      <c r="GJ73" s="408"/>
      <c r="GK73" s="408"/>
      <c r="GL73" s="408"/>
      <c r="GM73" s="408"/>
      <c r="GN73" s="408"/>
      <c r="GO73" s="408"/>
      <c r="GP73" s="408"/>
      <c r="GQ73" s="408"/>
      <c r="GR73" s="408"/>
      <c r="GS73" s="408"/>
      <c r="GT73" s="408"/>
      <c r="GU73" s="408"/>
      <c r="GV73" s="408"/>
      <c r="GW73" s="408"/>
      <c r="GX73" s="412"/>
      <c r="GY73" s="411"/>
      <c r="GZ73" s="408"/>
      <c r="HA73" s="408"/>
      <c r="HB73" s="408"/>
      <c r="HC73" s="408"/>
      <c r="HD73" s="408"/>
      <c r="HE73" s="408"/>
      <c r="HF73" s="408"/>
      <c r="HG73" s="408"/>
      <c r="HH73" s="408"/>
      <c r="HI73" s="408"/>
      <c r="HJ73" s="408"/>
      <c r="HK73" s="408"/>
      <c r="HL73" s="408"/>
      <c r="HM73" s="408"/>
      <c r="HN73" s="408"/>
      <c r="HO73" s="408"/>
      <c r="HP73" s="408"/>
      <c r="HQ73" s="408"/>
      <c r="HR73" s="408"/>
      <c r="HS73" s="408"/>
      <c r="HT73" s="408"/>
      <c r="HU73" s="408"/>
      <c r="HV73" s="408"/>
      <c r="HW73" s="412"/>
    </row>
    <row r="74" spans="1:463" ht="24" customHeight="1">
      <c r="A74" s="411"/>
      <c r="B74" s="40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12"/>
      <c r="AA74" s="408"/>
      <c r="AB74" s="408"/>
      <c r="AC74" s="408"/>
      <c r="AD74" s="408"/>
      <c r="AE74" s="408"/>
      <c r="AF74" s="411"/>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12"/>
      <c r="BE74" s="411"/>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12"/>
      <c r="CD74" s="411"/>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12"/>
      <c r="DC74" s="411"/>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12"/>
      <c r="EB74" s="411"/>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12"/>
      <c r="FA74" s="411"/>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12"/>
      <c r="FZ74" s="411"/>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12"/>
      <c r="GY74" s="411"/>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12"/>
    </row>
    <row r="75" spans="1:463" ht="24" customHeight="1" thickBot="1">
      <c r="A75" s="411"/>
      <c r="B75" s="413"/>
      <c r="C75" s="413"/>
      <c r="D75" s="413"/>
      <c r="E75" s="408"/>
      <c r="F75" s="408"/>
      <c r="G75" s="408"/>
      <c r="H75" s="408"/>
      <c r="I75" s="408"/>
      <c r="J75" s="408"/>
      <c r="K75" s="408"/>
      <c r="L75" s="408"/>
      <c r="M75" s="408"/>
      <c r="N75" s="408"/>
      <c r="O75" s="408"/>
      <c r="P75" s="408"/>
      <c r="Q75" s="408"/>
      <c r="R75" s="408"/>
      <c r="S75" s="408"/>
      <c r="T75" s="408"/>
      <c r="U75" s="408"/>
      <c r="V75" s="408"/>
      <c r="W75" s="408"/>
      <c r="X75" s="408"/>
      <c r="Y75" s="408"/>
      <c r="Z75" s="412"/>
      <c r="AA75" s="408"/>
      <c r="AB75" s="408"/>
      <c r="AC75" s="408"/>
      <c r="AD75" s="408"/>
      <c r="AE75" s="408"/>
      <c r="AF75" s="411"/>
      <c r="AG75" s="413"/>
      <c r="AH75" s="413"/>
      <c r="AI75" s="413"/>
      <c r="AJ75" s="408"/>
      <c r="AK75" s="408"/>
      <c r="AL75" s="408"/>
      <c r="AM75" s="408"/>
      <c r="AN75" s="408"/>
      <c r="AO75" s="408"/>
      <c r="AP75" s="408"/>
      <c r="AQ75" s="408"/>
      <c r="AR75" s="408"/>
      <c r="AS75" s="408"/>
      <c r="AT75" s="408"/>
      <c r="AU75" s="408"/>
      <c r="AV75" s="408"/>
      <c r="AW75" s="408"/>
      <c r="AX75" s="408"/>
      <c r="AY75" s="408"/>
      <c r="AZ75" s="408"/>
      <c r="BA75" s="408"/>
      <c r="BB75" s="408"/>
      <c r="BC75" s="408"/>
      <c r="BD75" s="412"/>
      <c r="BE75" s="411"/>
      <c r="BF75" s="413"/>
      <c r="BG75" s="413"/>
      <c r="BH75" s="413"/>
      <c r="BI75" s="408"/>
      <c r="BJ75" s="408"/>
      <c r="BK75" s="408"/>
      <c r="BL75" s="408"/>
      <c r="BM75" s="408"/>
      <c r="BN75" s="408"/>
      <c r="BO75" s="408"/>
      <c r="BP75" s="408"/>
      <c r="BQ75" s="408"/>
      <c r="BR75" s="408"/>
      <c r="BS75" s="408"/>
      <c r="BT75" s="408"/>
      <c r="BU75" s="408"/>
      <c r="BV75" s="408"/>
      <c r="BW75" s="408"/>
      <c r="BX75" s="408"/>
      <c r="BY75" s="408"/>
      <c r="BZ75" s="408"/>
      <c r="CA75" s="408"/>
      <c r="CB75" s="408"/>
      <c r="CC75" s="412"/>
      <c r="CD75" s="411"/>
      <c r="CE75" s="413"/>
      <c r="CF75" s="413"/>
      <c r="CG75" s="413"/>
      <c r="CH75" s="408"/>
      <c r="CI75" s="408"/>
      <c r="CJ75" s="408"/>
      <c r="CK75" s="408"/>
      <c r="CL75" s="408"/>
      <c r="CM75" s="408"/>
      <c r="CN75" s="408"/>
      <c r="CO75" s="408"/>
      <c r="CP75" s="408"/>
      <c r="CQ75" s="408"/>
      <c r="CR75" s="408"/>
      <c r="CS75" s="408"/>
      <c r="CT75" s="408"/>
      <c r="CU75" s="408"/>
      <c r="CV75" s="408"/>
      <c r="CW75" s="408"/>
      <c r="CX75" s="408"/>
      <c r="CY75" s="408"/>
      <c r="CZ75" s="408"/>
      <c r="DA75" s="408"/>
      <c r="DB75" s="412"/>
      <c r="DC75" s="411"/>
      <c r="DD75" s="413"/>
      <c r="DE75" s="413"/>
      <c r="DF75" s="413"/>
      <c r="DG75" s="408"/>
      <c r="DH75" s="408"/>
      <c r="DI75" s="408"/>
      <c r="DJ75" s="408"/>
      <c r="DK75" s="408"/>
      <c r="DL75" s="408"/>
      <c r="DM75" s="408"/>
      <c r="DN75" s="408"/>
      <c r="DO75" s="408"/>
      <c r="DP75" s="408"/>
      <c r="DQ75" s="408"/>
      <c r="DR75" s="408"/>
      <c r="DS75" s="408"/>
      <c r="DT75" s="408"/>
      <c r="DU75" s="408"/>
      <c r="DV75" s="408"/>
      <c r="DW75" s="408"/>
      <c r="DX75" s="408"/>
      <c r="DY75" s="408"/>
      <c r="DZ75" s="408"/>
      <c r="EA75" s="412"/>
      <c r="EB75" s="411"/>
      <c r="EC75" s="413"/>
      <c r="ED75" s="413"/>
      <c r="EE75" s="413"/>
      <c r="EF75" s="408"/>
      <c r="EG75" s="408"/>
      <c r="EH75" s="408"/>
      <c r="EI75" s="408"/>
      <c r="EJ75" s="408"/>
      <c r="EK75" s="408"/>
      <c r="EL75" s="408"/>
      <c r="EM75" s="408"/>
      <c r="EN75" s="408"/>
      <c r="EO75" s="408"/>
      <c r="EP75" s="408"/>
      <c r="EQ75" s="408"/>
      <c r="ER75" s="408"/>
      <c r="ES75" s="408"/>
      <c r="ET75" s="408"/>
      <c r="EU75" s="408"/>
      <c r="EV75" s="408"/>
      <c r="EW75" s="408"/>
      <c r="EX75" s="408"/>
      <c r="EY75" s="408"/>
      <c r="EZ75" s="412"/>
      <c r="FA75" s="411"/>
      <c r="FB75" s="413"/>
      <c r="FC75" s="413"/>
      <c r="FD75" s="413"/>
      <c r="FE75" s="408"/>
      <c r="FF75" s="408"/>
      <c r="FG75" s="408"/>
      <c r="FH75" s="408"/>
      <c r="FI75" s="408"/>
      <c r="FJ75" s="408"/>
      <c r="FK75" s="408"/>
      <c r="FL75" s="408"/>
      <c r="FM75" s="408"/>
      <c r="FN75" s="408"/>
      <c r="FO75" s="408"/>
      <c r="FP75" s="408"/>
      <c r="FQ75" s="408"/>
      <c r="FR75" s="408"/>
      <c r="FS75" s="408"/>
      <c r="FT75" s="408"/>
      <c r="FU75" s="408"/>
      <c r="FV75" s="408"/>
      <c r="FW75" s="408"/>
      <c r="FX75" s="408"/>
      <c r="FY75" s="412"/>
      <c r="FZ75" s="411"/>
      <c r="GA75" s="413"/>
      <c r="GB75" s="413"/>
      <c r="GC75" s="413"/>
      <c r="GD75" s="408"/>
      <c r="GE75" s="408"/>
      <c r="GF75" s="408"/>
      <c r="GG75" s="408"/>
      <c r="GH75" s="408"/>
      <c r="GI75" s="408"/>
      <c r="GJ75" s="408"/>
      <c r="GK75" s="408"/>
      <c r="GL75" s="408"/>
      <c r="GM75" s="408"/>
      <c r="GN75" s="408"/>
      <c r="GO75" s="408"/>
      <c r="GP75" s="408"/>
      <c r="GQ75" s="408"/>
      <c r="GR75" s="408"/>
      <c r="GS75" s="408"/>
      <c r="GT75" s="408"/>
      <c r="GU75" s="408"/>
      <c r="GV75" s="408"/>
      <c r="GW75" s="408"/>
      <c r="GX75" s="412"/>
      <c r="GY75" s="411"/>
      <c r="GZ75" s="413"/>
      <c r="HA75" s="413"/>
      <c r="HB75" s="413"/>
      <c r="HC75" s="408"/>
      <c r="HD75" s="408"/>
      <c r="HE75" s="408"/>
      <c r="HF75" s="408"/>
      <c r="HG75" s="408"/>
      <c r="HH75" s="408"/>
      <c r="HI75" s="408"/>
      <c r="HJ75" s="408"/>
      <c r="HK75" s="408"/>
      <c r="HL75" s="408"/>
      <c r="HM75" s="408"/>
      <c r="HN75" s="408"/>
      <c r="HO75" s="408"/>
      <c r="HP75" s="408"/>
      <c r="HQ75" s="408"/>
      <c r="HR75" s="408"/>
      <c r="HS75" s="408"/>
      <c r="HT75" s="408"/>
      <c r="HU75" s="408"/>
      <c r="HV75" s="408"/>
      <c r="HW75" s="412"/>
    </row>
    <row r="76" spans="1:463" ht="24" customHeight="1" thickBot="1">
      <c r="A76" s="416"/>
      <c r="B76" s="2116" t="str">
        <f>'Вывод расчетов'!$AL$13</f>
        <v>Раздел 1</v>
      </c>
      <c r="C76" s="2114"/>
      <c r="D76" s="2114"/>
      <c r="E76" s="417"/>
      <c r="F76" s="2116" t="str">
        <f>'Вывод расчетов'!$AO$13</f>
        <v>Определение главных размеров асинхронного двигателя</v>
      </c>
      <c r="G76" s="2114"/>
      <c r="H76" s="2114"/>
      <c r="I76" s="2114"/>
      <c r="J76" s="2114"/>
      <c r="K76" s="2114"/>
      <c r="L76" s="2114"/>
      <c r="M76" s="2114"/>
      <c r="N76" s="2114"/>
      <c r="O76" s="2114"/>
      <c r="P76" s="2114"/>
      <c r="Q76" s="2114"/>
      <c r="R76" s="2117"/>
      <c r="S76" s="417"/>
      <c r="T76" s="2116" t="s">
        <v>1369</v>
      </c>
      <c r="U76" s="2114"/>
      <c r="V76" s="2117"/>
      <c r="W76" s="417"/>
      <c r="X76" s="2116">
        <v>4</v>
      </c>
      <c r="Y76" s="2117"/>
      <c r="Z76" s="418"/>
      <c r="AA76" s="546"/>
      <c r="AB76" s="546"/>
      <c r="AC76" s="546"/>
      <c r="AD76" s="546"/>
      <c r="AE76" s="546"/>
      <c r="AF76" s="416"/>
      <c r="AG76" s="2116" t="str">
        <f>'Вывод расчетов'!$CC$9</f>
        <v>Раздел 2</v>
      </c>
      <c r="AH76" s="2114"/>
      <c r="AI76" s="2114"/>
      <c r="AJ76" s="417"/>
      <c r="AK76" s="2116" t="str">
        <f>'Вывод расчетов'!$CF$9</f>
        <v>Расчет обмотки статора</v>
      </c>
      <c r="AL76" s="2114"/>
      <c r="AM76" s="2114"/>
      <c r="AN76" s="2114"/>
      <c r="AO76" s="2114"/>
      <c r="AP76" s="2114"/>
      <c r="AQ76" s="2114"/>
      <c r="AR76" s="2114"/>
      <c r="AS76" s="2114"/>
      <c r="AT76" s="2114"/>
      <c r="AU76" s="2114"/>
      <c r="AV76" s="2117"/>
      <c r="AW76" s="417"/>
      <c r="AX76" s="2116" t="s">
        <v>1369</v>
      </c>
      <c r="AY76" s="2114"/>
      <c r="AZ76" s="2117"/>
      <c r="BA76" s="417"/>
      <c r="BB76" s="2116">
        <v>11</v>
      </c>
      <c r="BC76" s="2117"/>
      <c r="BD76" s="418"/>
      <c r="BE76" s="416"/>
      <c r="BF76" s="2116" t="str">
        <f>'Вывод расчетов'!$CC$9</f>
        <v>Раздел 2</v>
      </c>
      <c r="BG76" s="2114"/>
      <c r="BH76" s="2114"/>
      <c r="BI76" s="417"/>
      <c r="BJ76" s="2116" t="str">
        <f>'Вывод расчетов'!$CF$9</f>
        <v>Расчет обмотки статора</v>
      </c>
      <c r="BK76" s="2114"/>
      <c r="BL76" s="2114"/>
      <c r="BM76" s="2114"/>
      <c r="BN76" s="2114"/>
      <c r="BO76" s="2114"/>
      <c r="BP76" s="2114"/>
      <c r="BQ76" s="2114"/>
      <c r="BR76" s="2114"/>
      <c r="BS76" s="2114"/>
      <c r="BT76" s="2114"/>
      <c r="BU76" s="2117"/>
      <c r="BV76" s="417"/>
      <c r="BW76" s="2116" t="s">
        <v>1369</v>
      </c>
      <c r="BX76" s="2114"/>
      <c r="BY76" s="2117"/>
      <c r="BZ76" s="417"/>
      <c r="CA76" s="2116">
        <v>11</v>
      </c>
      <c r="CB76" s="2117"/>
      <c r="CC76" s="418"/>
      <c r="CD76" s="416"/>
      <c r="CE76" s="2116" t="str">
        <f>'Вывод расчетов'!$CC$9</f>
        <v>Раздел 2</v>
      </c>
      <c r="CF76" s="2114"/>
      <c r="CG76" s="2114"/>
      <c r="CH76" s="417"/>
      <c r="CI76" s="2116" t="str">
        <f>'Вывод расчетов'!$CF$9</f>
        <v>Расчет обмотки статора</v>
      </c>
      <c r="CJ76" s="2114"/>
      <c r="CK76" s="2114"/>
      <c r="CL76" s="2114"/>
      <c r="CM76" s="2114"/>
      <c r="CN76" s="2114"/>
      <c r="CO76" s="2114"/>
      <c r="CP76" s="2114"/>
      <c r="CQ76" s="2114"/>
      <c r="CR76" s="2114"/>
      <c r="CS76" s="2114"/>
      <c r="CT76" s="2117"/>
      <c r="CU76" s="417"/>
      <c r="CV76" s="2116" t="s">
        <v>1369</v>
      </c>
      <c r="CW76" s="2114"/>
      <c r="CX76" s="2117"/>
      <c r="CY76" s="417"/>
      <c r="CZ76" s="2116">
        <v>11</v>
      </c>
      <c r="DA76" s="2117"/>
      <c r="DB76" s="418"/>
      <c r="DC76" s="416"/>
      <c r="DD76" s="2116" t="str">
        <f>'Вывод расчетов'!$CC$9</f>
        <v>Раздел 2</v>
      </c>
      <c r="DE76" s="2114"/>
      <c r="DF76" s="2114"/>
      <c r="DG76" s="417"/>
      <c r="DH76" s="2116" t="str">
        <f>'Вывод расчетов'!$CF$9</f>
        <v>Расчет обмотки статора</v>
      </c>
      <c r="DI76" s="2114"/>
      <c r="DJ76" s="2114"/>
      <c r="DK76" s="2114"/>
      <c r="DL76" s="2114"/>
      <c r="DM76" s="2114"/>
      <c r="DN76" s="2114"/>
      <c r="DO76" s="2114"/>
      <c r="DP76" s="2114"/>
      <c r="DQ76" s="2114"/>
      <c r="DR76" s="2114"/>
      <c r="DS76" s="2117"/>
      <c r="DT76" s="417"/>
      <c r="DU76" s="2116" t="s">
        <v>1369</v>
      </c>
      <c r="DV76" s="2114"/>
      <c r="DW76" s="2117"/>
      <c r="DX76" s="417"/>
      <c r="DY76" s="2116">
        <v>11</v>
      </c>
      <c r="DZ76" s="2117"/>
      <c r="EA76" s="418"/>
      <c r="EB76" s="416"/>
      <c r="EC76" s="2116" t="str">
        <f>'Вывод расчетов'!$CC$9</f>
        <v>Раздел 2</v>
      </c>
      <c r="ED76" s="2114"/>
      <c r="EE76" s="2114"/>
      <c r="EF76" s="417"/>
      <c r="EG76" s="2116" t="str">
        <f>'Вывод расчетов'!$CF$9</f>
        <v>Расчет обмотки статора</v>
      </c>
      <c r="EH76" s="2114"/>
      <c r="EI76" s="2114"/>
      <c r="EJ76" s="2114"/>
      <c r="EK76" s="2114"/>
      <c r="EL76" s="2114"/>
      <c r="EM76" s="2114"/>
      <c r="EN76" s="2114"/>
      <c r="EO76" s="2114"/>
      <c r="EP76" s="2114"/>
      <c r="EQ76" s="2114"/>
      <c r="ER76" s="2117"/>
      <c r="ES76" s="417"/>
      <c r="ET76" s="2116" t="s">
        <v>1369</v>
      </c>
      <c r="EU76" s="2114"/>
      <c r="EV76" s="2117"/>
      <c r="EW76" s="417"/>
      <c r="EX76" s="2116">
        <v>11</v>
      </c>
      <c r="EY76" s="2117"/>
      <c r="EZ76" s="418"/>
      <c r="FA76" s="416"/>
      <c r="FB76" s="2116" t="str">
        <f>'Вывод расчетов'!$CC$9</f>
        <v>Раздел 2</v>
      </c>
      <c r="FC76" s="2114"/>
      <c r="FD76" s="2114"/>
      <c r="FE76" s="417"/>
      <c r="FF76" s="2116" t="str">
        <f>'Вывод расчетов'!$CF$9</f>
        <v>Расчет обмотки статора</v>
      </c>
      <c r="FG76" s="2114"/>
      <c r="FH76" s="2114"/>
      <c r="FI76" s="2114"/>
      <c r="FJ76" s="2114"/>
      <c r="FK76" s="2114"/>
      <c r="FL76" s="2114"/>
      <c r="FM76" s="2114"/>
      <c r="FN76" s="2114"/>
      <c r="FO76" s="2114"/>
      <c r="FP76" s="2114"/>
      <c r="FQ76" s="2117"/>
      <c r="FR76" s="417"/>
      <c r="FS76" s="2116" t="s">
        <v>1369</v>
      </c>
      <c r="FT76" s="2114"/>
      <c r="FU76" s="2117"/>
      <c r="FV76" s="417"/>
      <c r="FW76" s="2116">
        <v>11</v>
      </c>
      <c r="FX76" s="2117"/>
      <c r="FY76" s="418"/>
      <c r="FZ76" s="416"/>
      <c r="GA76" s="2116" t="str">
        <f>'Вывод расчетов'!$CC$9</f>
        <v>Раздел 2</v>
      </c>
      <c r="GB76" s="2114"/>
      <c r="GC76" s="2114"/>
      <c r="GD76" s="417"/>
      <c r="GE76" s="2116" t="str">
        <f>'Вывод расчетов'!$CF$9</f>
        <v>Расчет обмотки статора</v>
      </c>
      <c r="GF76" s="2114"/>
      <c r="GG76" s="2114"/>
      <c r="GH76" s="2114"/>
      <c r="GI76" s="2114"/>
      <c r="GJ76" s="2114"/>
      <c r="GK76" s="2114"/>
      <c r="GL76" s="2114"/>
      <c r="GM76" s="2114"/>
      <c r="GN76" s="2114"/>
      <c r="GO76" s="2114"/>
      <c r="GP76" s="2117"/>
      <c r="GQ76" s="417"/>
      <c r="GR76" s="2116" t="s">
        <v>1369</v>
      </c>
      <c r="GS76" s="2114"/>
      <c r="GT76" s="2117"/>
      <c r="GU76" s="417"/>
      <c r="GV76" s="2116">
        <v>11</v>
      </c>
      <c r="GW76" s="2117"/>
      <c r="GX76" s="418"/>
      <c r="GY76" s="416"/>
      <c r="GZ76" s="2116" t="str">
        <f>'Вывод расчетов'!$CC$9</f>
        <v>Раздел 2</v>
      </c>
      <c r="HA76" s="2114"/>
      <c r="HB76" s="2114"/>
      <c r="HC76" s="417"/>
      <c r="HD76" s="2116" t="str">
        <f>'Вывод расчетов'!$CF$9</f>
        <v>Расчет обмотки статора</v>
      </c>
      <c r="HE76" s="2114"/>
      <c r="HF76" s="2114"/>
      <c r="HG76" s="2114"/>
      <c r="HH76" s="2114"/>
      <c r="HI76" s="2114"/>
      <c r="HJ76" s="2114"/>
      <c r="HK76" s="2114"/>
      <c r="HL76" s="2114"/>
      <c r="HM76" s="2114"/>
      <c r="HN76" s="2114"/>
      <c r="HO76" s="2117"/>
      <c r="HP76" s="417"/>
      <c r="HQ76" s="2116" t="s">
        <v>1369</v>
      </c>
      <c r="HR76" s="2114"/>
      <c r="HS76" s="2117"/>
      <c r="HT76" s="417"/>
      <c r="HU76" s="2116">
        <v>11</v>
      </c>
      <c r="HV76" s="2117"/>
      <c r="HW76" s="418"/>
    </row>
    <row r="77" spans="1:463" ht="24" customHeight="1" thickBot="1">
      <c r="A77" s="2113" t="s">
        <v>1111</v>
      </c>
      <c r="B77" s="2114"/>
      <c r="C77" s="2114"/>
      <c r="D77" s="2114"/>
      <c r="E77" s="2114"/>
      <c r="F77" s="2114"/>
      <c r="G77" s="2114"/>
      <c r="H77" s="2114"/>
      <c r="I77" s="2114"/>
      <c r="J77" s="2114"/>
      <c r="K77" s="2114"/>
      <c r="L77" s="2114"/>
      <c r="M77" s="2114"/>
      <c r="N77" s="2114"/>
      <c r="O77" s="2114"/>
      <c r="P77" s="2114"/>
      <c r="Q77" s="2114"/>
      <c r="R77" s="2114"/>
      <c r="S77" s="2114"/>
      <c r="T77" s="2114"/>
      <c r="U77" s="2114"/>
      <c r="V77" s="2114"/>
      <c r="W77" s="2114"/>
      <c r="X77" s="2114"/>
      <c r="Y77" s="2114"/>
      <c r="Z77" s="2115"/>
      <c r="AA77" s="543"/>
      <c r="AB77" s="543"/>
      <c r="AC77" s="543"/>
      <c r="AD77" s="543"/>
      <c r="AE77" s="543"/>
      <c r="AF77" s="2113" t="s">
        <v>1111</v>
      </c>
      <c r="AG77" s="2114"/>
      <c r="AH77" s="2114"/>
      <c r="AI77" s="2114"/>
      <c r="AJ77" s="2114"/>
      <c r="AK77" s="2114"/>
      <c r="AL77" s="2114"/>
      <c r="AM77" s="2114"/>
      <c r="AN77" s="2114"/>
      <c r="AO77" s="2114"/>
      <c r="AP77" s="2114"/>
      <c r="AQ77" s="2114"/>
      <c r="AR77" s="2114"/>
      <c r="AS77" s="2114"/>
      <c r="AT77" s="2114"/>
      <c r="AU77" s="2114"/>
      <c r="AV77" s="2114"/>
      <c r="AW77" s="2114"/>
      <c r="AX77" s="2114"/>
      <c r="AY77" s="2114"/>
      <c r="AZ77" s="2114"/>
      <c r="BA77" s="2114"/>
      <c r="BB77" s="2114"/>
      <c r="BC77" s="2114"/>
      <c r="BD77" s="2115"/>
      <c r="BE77" s="2113" t="s">
        <v>1111</v>
      </c>
      <c r="BF77" s="2114"/>
      <c r="BG77" s="2114"/>
      <c r="BH77" s="2114"/>
      <c r="BI77" s="2114"/>
      <c r="BJ77" s="2114"/>
      <c r="BK77" s="2114"/>
      <c r="BL77" s="2114"/>
      <c r="BM77" s="2114"/>
      <c r="BN77" s="2114"/>
      <c r="BO77" s="2114"/>
      <c r="BP77" s="2114"/>
      <c r="BQ77" s="2114"/>
      <c r="BR77" s="2114"/>
      <c r="BS77" s="2114"/>
      <c r="BT77" s="2114"/>
      <c r="BU77" s="2114"/>
      <c r="BV77" s="2114"/>
      <c r="BW77" s="2114"/>
      <c r="BX77" s="2114"/>
      <c r="BY77" s="2114"/>
      <c r="BZ77" s="2114"/>
      <c r="CA77" s="2114"/>
      <c r="CB77" s="2114"/>
      <c r="CC77" s="2115"/>
      <c r="CD77" s="2113" t="s">
        <v>1111</v>
      </c>
      <c r="CE77" s="2114"/>
      <c r="CF77" s="2114"/>
      <c r="CG77" s="2114"/>
      <c r="CH77" s="2114"/>
      <c r="CI77" s="2114"/>
      <c r="CJ77" s="2114"/>
      <c r="CK77" s="2114"/>
      <c r="CL77" s="2114"/>
      <c r="CM77" s="2114"/>
      <c r="CN77" s="2114"/>
      <c r="CO77" s="2114"/>
      <c r="CP77" s="2114"/>
      <c r="CQ77" s="2114"/>
      <c r="CR77" s="2114"/>
      <c r="CS77" s="2114"/>
      <c r="CT77" s="2114"/>
      <c r="CU77" s="2114"/>
      <c r="CV77" s="2114"/>
      <c r="CW77" s="2114"/>
      <c r="CX77" s="2114"/>
      <c r="CY77" s="2114"/>
      <c r="CZ77" s="2114"/>
      <c r="DA77" s="2114"/>
      <c r="DB77" s="2115"/>
      <c r="DC77" s="2113" t="s">
        <v>1111</v>
      </c>
      <c r="DD77" s="2114"/>
      <c r="DE77" s="2114"/>
      <c r="DF77" s="2114"/>
      <c r="DG77" s="2114"/>
      <c r="DH77" s="2114"/>
      <c r="DI77" s="2114"/>
      <c r="DJ77" s="2114"/>
      <c r="DK77" s="2114"/>
      <c r="DL77" s="2114"/>
      <c r="DM77" s="2114"/>
      <c r="DN77" s="2114"/>
      <c r="DO77" s="2114"/>
      <c r="DP77" s="2114"/>
      <c r="DQ77" s="2114"/>
      <c r="DR77" s="2114"/>
      <c r="DS77" s="2114"/>
      <c r="DT77" s="2114"/>
      <c r="DU77" s="2114"/>
      <c r="DV77" s="2114"/>
      <c r="DW77" s="2114"/>
      <c r="DX77" s="2114"/>
      <c r="DY77" s="2114"/>
      <c r="DZ77" s="2114"/>
      <c r="EA77" s="2115"/>
      <c r="EB77" s="2113" t="s">
        <v>1111</v>
      </c>
      <c r="EC77" s="2114"/>
      <c r="ED77" s="2114"/>
      <c r="EE77" s="2114"/>
      <c r="EF77" s="2114"/>
      <c r="EG77" s="2114"/>
      <c r="EH77" s="2114"/>
      <c r="EI77" s="2114"/>
      <c r="EJ77" s="2114"/>
      <c r="EK77" s="2114"/>
      <c r="EL77" s="2114"/>
      <c r="EM77" s="2114"/>
      <c r="EN77" s="2114"/>
      <c r="EO77" s="2114"/>
      <c r="EP77" s="2114"/>
      <c r="EQ77" s="2114"/>
      <c r="ER77" s="2114"/>
      <c r="ES77" s="2114"/>
      <c r="ET77" s="2114"/>
      <c r="EU77" s="2114"/>
      <c r="EV77" s="2114"/>
      <c r="EW77" s="2114"/>
      <c r="EX77" s="2114"/>
      <c r="EY77" s="2114"/>
      <c r="EZ77" s="2115"/>
      <c r="FA77" s="2113" t="s">
        <v>1111</v>
      </c>
      <c r="FB77" s="2114"/>
      <c r="FC77" s="2114"/>
      <c r="FD77" s="2114"/>
      <c r="FE77" s="2114"/>
      <c r="FF77" s="2114"/>
      <c r="FG77" s="2114"/>
      <c r="FH77" s="2114"/>
      <c r="FI77" s="2114"/>
      <c r="FJ77" s="2114"/>
      <c r="FK77" s="2114"/>
      <c r="FL77" s="2114"/>
      <c r="FM77" s="2114"/>
      <c r="FN77" s="2114"/>
      <c r="FO77" s="2114"/>
      <c r="FP77" s="2114"/>
      <c r="FQ77" s="2114"/>
      <c r="FR77" s="2114"/>
      <c r="FS77" s="2114"/>
      <c r="FT77" s="2114"/>
      <c r="FU77" s="2114"/>
      <c r="FV77" s="2114"/>
      <c r="FW77" s="2114"/>
      <c r="FX77" s="2114"/>
      <c r="FY77" s="2115"/>
      <c r="FZ77" s="2113" t="s">
        <v>1111</v>
      </c>
      <c r="GA77" s="2114"/>
      <c r="GB77" s="2114"/>
      <c r="GC77" s="2114"/>
      <c r="GD77" s="2114"/>
      <c r="GE77" s="2114"/>
      <c r="GF77" s="2114"/>
      <c r="GG77" s="2114"/>
      <c r="GH77" s="2114"/>
      <c r="GI77" s="2114"/>
      <c r="GJ77" s="2114"/>
      <c r="GK77" s="2114"/>
      <c r="GL77" s="2114"/>
      <c r="GM77" s="2114"/>
      <c r="GN77" s="2114"/>
      <c r="GO77" s="2114"/>
      <c r="GP77" s="2114"/>
      <c r="GQ77" s="2114"/>
      <c r="GR77" s="2114"/>
      <c r="GS77" s="2114"/>
      <c r="GT77" s="2114"/>
      <c r="GU77" s="2114"/>
      <c r="GV77" s="2114"/>
      <c r="GW77" s="2114"/>
      <c r="GX77" s="2115"/>
      <c r="GY77" s="2113" t="s">
        <v>1111</v>
      </c>
      <c r="GZ77" s="2114"/>
      <c r="HA77" s="2114"/>
      <c r="HB77" s="2114"/>
      <c r="HC77" s="2114"/>
      <c r="HD77" s="2114"/>
      <c r="HE77" s="2114"/>
      <c r="HF77" s="2114"/>
      <c r="HG77" s="2114"/>
      <c r="HH77" s="2114"/>
      <c r="HI77" s="2114"/>
      <c r="HJ77" s="2114"/>
      <c r="HK77" s="2114"/>
      <c r="HL77" s="2114"/>
      <c r="HM77" s="2114"/>
      <c r="HN77" s="2114"/>
      <c r="HO77" s="2114"/>
      <c r="HP77" s="2114"/>
      <c r="HQ77" s="2114"/>
      <c r="HR77" s="2114"/>
      <c r="HS77" s="2114"/>
      <c r="HT77" s="2114"/>
      <c r="HU77" s="2114"/>
      <c r="HV77" s="2114"/>
      <c r="HW77" s="2115"/>
    </row>
    <row r="78" spans="1:463" ht="24" customHeight="1">
      <c r="A78" s="409"/>
      <c r="B78" s="410"/>
      <c r="C78" s="410"/>
      <c r="D78" s="410"/>
      <c r="E78" s="410"/>
      <c r="F78" s="410"/>
      <c r="G78" s="410"/>
      <c r="H78" s="410"/>
      <c r="I78" s="410"/>
      <c r="J78" s="410"/>
      <c r="K78" s="410"/>
      <c r="L78" s="410"/>
      <c r="M78" s="410"/>
      <c r="N78" s="410"/>
      <c r="O78" s="410"/>
      <c r="P78" s="410"/>
      <c r="Q78" s="410"/>
      <c r="R78" s="410"/>
      <c r="S78" s="410"/>
      <c r="T78" s="410"/>
      <c r="U78" s="410"/>
      <c r="V78" s="410"/>
      <c r="W78" s="410"/>
      <c r="X78" s="410"/>
      <c r="Y78" s="410"/>
      <c r="Z78" s="419"/>
      <c r="AA78" s="410"/>
      <c r="AB78" s="410"/>
      <c r="AC78" s="410"/>
      <c r="AD78" s="410"/>
      <c r="AE78" s="410"/>
      <c r="AF78" s="409"/>
      <c r="AG78" s="410"/>
      <c r="AH78" s="410"/>
      <c r="AI78" s="410"/>
      <c r="AJ78" s="410"/>
      <c r="AK78" s="410"/>
      <c r="AL78" s="410"/>
      <c r="AM78" s="410"/>
      <c r="AN78" s="410"/>
      <c r="AO78" s="410"/>
      <c r="AP78" s="410"/>
      <c r="AQ78" s="410"/>
      <c r="AR78" s="410"/>
      <c r="AS78" s="410"/>
      <c r="AT78" s="410"/>
      <c r="AU78" s="410"/>
      <c r="AV78" s="410"/>
      <c r="AW78" s="410"/>
      <c r="AX78" s="410"/>
      <c r="AY78" s="410"/>
      <c r="AZ78" s="410"/>
      <c r="BA78" s="410"/>
      <c r="BB78" s="410"/>
      <c r="BC78" s="410"/>
      <c r="BD78" s="419"/>
      <c r="BE78" s="409"/>
      <c r="BF78" s="410"/>
      <c r="BG78" s="410"/>
      <c r="BH78" s="410"/>
      <c r="BI78" s="410"/>
      <c r="BJ78" s="410"/>
      <c r="BK78" s="410"/>
      <c r="BL78" s="410"/>
      <c r="BM78" s="410"/>
      <c r="BN78" s="410"/>
      <c r="BO78" s="410"/>
      <c r="BP78" s="410"/>
      <c r="BQ78" s="410"/>
      <c r="BR78" s="410"/>
      <c r="BS78" s="410"/>
      <c r="BT78" s="410"/>
      <c r="BU78" s="410"/>
      <c r="BV78" s="410"/>
      <c r="BW78" s="410"/>
      <c r="BX78" s="410"/>
      <c r="BY78" s="410"/>
      <c r="BZ78" s="410"/>
      <c r="CA78" s="410"/>
      <c r="CB78" s="410"/>
      <c r="CC78" s="419"/>
      <c r="CD78" s="409"/>
      <c r="CE78" s="410"/>
      <c r="CF78" s="410"/>
      <c r="CG78" s="410"/>
      <c r="CH78" s="410"/>
      <c r="CI78" s="410"/>
      <c r="CJ78" s="410"/>
      <c r="CK78" s="410"/>
      <c r="CL78" s="410"/>
      <c r="CM78" s="410"/>
      <c r="CN78" s="410"/>
      <c r="CO78" s="410"/>
      <c r="CP78" s="410"/>
      <c r="CQ78" s="410"/>
      <c r="CR78" s="410"/>
      <c r="CS78" s="410"/>
      <c r="CT78" s="410"/>
      <c r="CU78" s="410"/>
      <c r="CV78" s="410"/>
      <c r="CW78" s="410"/>
      <c r="CX78" s="410"/>
      <c r="CY78" s="410"/>
      <c r="CZ78" s="410"/>
      <c r="DA78" s="410"/>
      <c r="DB78" s="419"/>
      <c r="DC78" s="409"/>
      <c r="DD78" s="410"/>
      <c r="DE78" s="410"/>
      <c r="DF78" s="410"/>
      <c r="DG78" s="410"/>
      <c r="DH78" s="410"/>
      <c r="DI78" s="410"/>
      <c r="DJ78" s="410"/>
      <c r="DK78" s="410"/>
      <c r="DL78" s="410"/>
      <c r="DM78" s="410"/>
      <c r="DN78" s="410"/>
      <c r="DO78" s="410"/>
      <c r="DP78" s="410"/>
      <c r="DQ78" s="410"/>
      <c r="DR78" s="410"/>
      <c r="DS78" s="410"/>
      <c r="DT78" s="410"/>
      <c r="DU78" s="410"/>
      <c r="DV78" s="410"/>
      <c r="DW78" s="410"/>
      <c r="DX78" s="410"/>
      <c r="DY78" s="410"/>
      <c r="DZ78" s="410"/>
      <c r="EA78" s="419"/>
      <c r="EB78" s="409"/>
      <c r="EC78" s="410"/>
      <c r="ED78" s="410"/>
      <c r="EE78" s="410"/>
      <c r="EF78" s="410"/>
      <c r="EG78" s="410"/>
      <c r="EH78" s="410"/>
      <c r="EI78" s="410"/>
      <c r="EJ78" s="410"/>
      <c r="EK78" s="410"/>
      <c r="EL78" s="410"/>
      <c r="EM78" s="410"/>
      <c r="EN78" s="410"/>
      <c r="EO78" s="410"/>
      <c r="EP78" s="410"/>
      <c r="EQ78" s="410"/>
      <c r="ER78" s="410"/>
      <c r="ES78" s="410"/>
      <c r="ET78" s="410"/>
      <c r="EU78" s="410"/>
      <c r="EV78" s="410"/>
      <c r="EW78" s="410"/>
      <c r="EX78" s="410"/>
      <c r="EY78" s="410"/>
      <c r="EZ78" s="419"/>
      <c r="FA78" s="409"/>
      <c r="FB78" s="410"/>
      <c r="FC78" s="410"/>
      <c r="FD78" s="410"/>
      <c r="FE78" s="410"/>
      <c r="FF78" s="410"/>
      <c r="FG78" s="410"/>
      <c r="FH78" s="410"/>
      <c r="FI78" s="410"/>
      <c r="FJ78" s="410"/>
      <c r="FK78" s="410"/>
      <c r="FL78" s="410"/>
      <c r="FM78" s="410"/>
      <c r="FN78" s="410"/>
      <c r="FO78" s="410"/>
      <c r="FP78" s="410"/>
      <c r="FQ78" s="410"/>
      <c r="FR78" s="410"/>
      <c r="FS78" s="410"/>
      <c r="FT78" s="410"/>
      <c r="FU78" s="410"/>
      <c r="FV78" s="410"/>
      <c r="FW78" s="410"/>
      <c r="FX78" s="410"/>
      <c r="FY78" s="419"/>
      <c r="FZ78" s="409"/>
      <c r="GA78" s="410"/>
      <c r="GB78" s="410"/>
      <c r="GC78" s="410"/>
      <c r="GD78" s="410"/>
      <c r="GE78" s="410"/>
      <c r="GF78" s="410"/>
      <c r="GG78" s="410"/>
      <c r="GH78" s="410"/>
      <c r="GI78" s="410"/>
      <c r="GJ78" s="410"/>
      <c r="GK78" s="410"/>
      <c r="GL78" s="410"/>
      <c r="GM78" s="410"/>
      <c r="GN78" s="410"/>
      <c r="GO78" s="410"/>
      <c r="GP78" s="410"/>
      <c r="GQ78" s="410"/>
      <c r="GR78" s="410"/>
      <c r="GS78" s="410"/>
      <c r="GT78" s="410"/>
      <c r="GU78" s="410"/>
      <c r="GV78" s="410"/>
      <c r="GW78" s="410"/>
      <c r="GX78" s="419"/>
      <c r="GY78" s="409"/>
      <c r="GZ78" s="410"/>
      <c r="HA78" s="410"/>
      <c r="HB78" s="410"/>
      <c r="HC78" s="410"/>
      <c r="HD78" s="410"/>
      <c r="HE78" s="410"/>
      <c r="HF78" s="410"/>
      <c r="HG78" s="410"/>
      <c r="HH78" s="410"/>
      <c r="HI78" s="410"/>
      <c r="HJ78" s="410"/>
      <c r="HK78" s="410"/>
      <c r="HL78" s="410"/>
      <c r="HM78" s="410"/>
      <c r="HN78" s="410"/>
      <c r="HO78" s="410"/>
      <c r="HP78" s="410"/>
      <c r="HQ78" s="410"/>
      <c r="HR78" s="410"/>
      <c r="HS78" s="410"/>
      <c r="HT78" s="410"/>
      <c r="HU78" s="410"/>
      <c r="HV78" s="410"/>
      <c r="HW78" s="419"/>
    </row>
    <row r="79" spans="1:463" ht="24" customHeight="1">
      <c r="A79" s="411"/>
      <c r="B79" s="408"/>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12"/>
      <c r="AA79" s="408"/>
      <c r="AB79" s="408"/>
      <c r="AC79" s="408"/>
      <c r="AD79" s="408"/>
      <c r="AE79" s="408"/>
      <c r="AF79" s="411"/>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12"/>
      <c r="BE79" s="411"/>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12"/>
      <c r="CD79" s="411"/>
      <c r="CE79" s="408"/>
      <c r="CF79" s="408"/>
      <c r="CG79" s="408"/>
      <c r="CH79" s="408"/>
      <c r="CI79" s="408"/>
      <c r="CJ79" s="408"/>
      <c r="CK79" s="408"/>
      <c r="CL79" s="408"/>
      <c r="CM79" s="408"/>
      <c r="CN79" s="408"/>
      <c r="CO79" s="408"/>
      <c r="CP79" s="408"/>
      <c r="CQ79" s="408"/>
      <c r="CR79" s="408"/>
      <c r="CS79" s="408"/>
      <c r="CT79" s="408"/>
      <c r="CU79" s="408"/>
      <c r="CV79" s="408"/>
      <c r="CW79" s="408"/>
      <c r="CX79" s="408"/>
      <c r="CY79" s="408"/>
      <c r="CZ79" s="408"/>
      <c r="DA79" s="408"/>
      <c r="DB79" s="412"/>
      <c r="DC79" s="411"/>
      <c r="DD79" s="408"/>
      <c r="DE79" s="408"/>
      <c r="DF79" s="408"/>
      <c r="DG79" s="408"/>
      <c r="DH79" s="408"/>
      <c r="DI79" s="408"/>
      <c r="DJ79" s="408"/>
      <c r="DK79" s="408"/>
      <c r="DL79" s="408"/>
      <c r="DM79" s="408"/>
      <c r="DN79" s="408"/>
      <c r="DO79" s="408"/>
      <c r="DP79" s="408"/>
      <c r="DQ79" s="408"/>
      <c r="DR79" s="408"/>
      <c r="DS79" s="408"/>
      <c r="DT79" s="408"/>
      <c r="DU79" s="408"/>
      <c r="DV79" s="408"/>
      <c r="DW79" s="408"/>
      <c r="DX79" s="408"/>
      <c r="DY79" s="408"/>
      <c r="DZ79" s="408"/>
      <c r="EA79" s="412"/>
      <c r="EB79" s="411"/>
      <c r="EC79" s="408"/>
      <c r="ED79" s="408"/>
      <c r="EE79" s="408"/>
      <c r="EF79" s="408"/>
      <c r="EG79" s="408"/>
      <c r="EH79" s="408"/>
      <c r="EI79" s="408"/>
      <c r="EJ79" s="408"/>
      <c r="EK79" s="408"/>
      <c r="EL79" s="408"/>
      <c r="EM79" s="408"/>
      <c r="EN79" s="408"/>
      <c r="EO79" s="408"/>
      <c r="EP79" s="408"/>
      <c r="EQ79" s="408"/>
      <c r="ER79" s="408"/>
      <c r="ES79" s="408"/>
      <c r="ET79" s="408"/>
      <c r="EU79" s="408"/>
      <c r="EV79" s="408"/>
      <c r="EW79" s="408"/>
      <c r="EX79" s="408"/>
      <c r="EY79" s="408"/>
      <c r="EZ79" s="412"/>
      <c r="FA79" s="411"/>
      <c r="FB79" s="408"/>
      <c r="FC79" s="408"/>
      <c r="FD79" s="408"/>
      <c r="FE79" s="408"/>
      <c r="FF79" s="408"/>
      <c r="FG79" s="408"/>
      <c r="FH79" s="408"/>
      <c r="FI79" s="408"/>
      <c r="FJ79" s="408"/>
      <c r="FK79" s="408"/>
      <c r="FL79" s="408"/>
      <c r="FM79" s="408"/>
      <c r="FN79" s="408"/>
      <c r="FO79" s="408"/>
      <c r="FP79" s="408"/>
      <c r="FQ79" s="408"/>
      <c r="FR79" s="408"/>
      <c r="FS79" s="408"/>
      <c r="FT79" s="408"/>
      <c r="FU79" s="408"/>
      <c r="FV79" s="408"/>
      <c r="FW79" s="408"/>
      <c r="FX79" s="408"/>
      <c r="FY79" s="412"/>
      <c r="FZ79" s="411"/>
      <c r="GA79" s="408"/>
      <c r="GB79" s="408"/>
      <c r="GC79" s="408"/>
      <c r="GD79" s="408"/>
      <c r="GE79" s="408"/>
      <c r="GF79" s="408"/>
      <c r="GG79" s="408"/>
      <c r="GH79" s="408"/>
      <c r="GI79" s="408"/>
      <c r="GJ79" s="408"/>
      <c r="GK79" s="408"/>
      <c r="GL79" s="408"/>
      <c r="GM79" s="408"/>
      <c r="GN79" s="408"/>
      <c r="GO79" s="408"/>
      <c r="GP79" s="408"/>
      <c r="GQ79" s="408"/>
      <c r="GR79" s="408"/>
      <c r="GS79" s="408"/>
      <c r="GT79" s="408"/>
      <c r="GU79" s="408"/>
      <c r="GV79" s="408"/>
      <c r="GW79" s="408"/>
      <c r="GX79" s="412"/>
      <c r="GY79" s="411"/>
      <c r="GZ79" s="408"/>
      <c r="HA79" s="408"/>
      <c r="HB79" s="408"/>
      <c r="HC79" s="408"/>
      <c r="HD79" s="408"/>
      <c r="HE79" s="408"/>
      <c r="HF79" s="408"/>
      <c r="HG79" s="408"/>
      <c r="HH79" s="408"/>
      <c r="HI79" s="408"/>
      <c r="HJ79" s="408"/>
      <c r="HK79" s="408"/>
      <c r="HL79" s="408"/>
      <c r="HM79" s="408"/>
      <c r="HN79" s="408"/>
      <c r="HO79" s="408"/>
      <c r="HP79" s="408"/>
      <c r="HQ79" s="408"/>
      <c r="HR79" s="408"/>
      <c r="HS79" s="408"/>
      <c r="HT79" s="408"/>
      <c r="HU79" s="408"/>
      <c r="HV79" s="408"/>
      <c r="HW79" s="412"/>
    </row>
    <row r="80" spans="1:463" ht="24" customHeight="1">
      <c r="A80" s="411"/>
      <c r="B80" s="408"/>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12"/>
      <c r="AA80" s="408"/>
      <c r="AB80" s="408"/>
      <c r="AC80" s="408"/>
      <c r="AD80" s="408"/>
      <c r="AE80" s="408"/>
      <c r="AF80" s="411"/>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12"/>
      <c r="BE80" s="411"/>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12"/>
      <c r="CD80" s="411"/>
      <c r="CE80" s="408"/>
      <c r="CF80" s="408"/>
      <c r="CG80" s="408"/>
      <c r="CH80" s="408"/>
      <c r="CI80" s="408"/>
      <c r="CJ80" s="408"/>
      <c r="CK80" s="408"/>
      <c r="CL80" s="408"/>
      <c r="CM80" s="408"/>
      <c r="CN80" s="408"/>
      <c r="CO80" s="408"/>
      <c r="CP80" s="408"/>
      <c r="CQ80" s="408"/>
      <c r="CR80" s="408"/>
      <c r="CS80" s="408"/>
      <c r="CT80" s="408"/>
      <c r="CU80" s="408"/>
      <c r="CV80" s="408"/>
      <c r="CW80" s="408"/>
      <c r="CX80" s="408"/>
      <c r="CY80" s="408"/>
      <c r="CZ80" s="408"/>
      <c r="DA80" s="408"/>
      <c r="DB80" s="412"/>
      <c r="DC80" s="411"/>
      <c r="DD80" s="408"/>
      <c r="DE80" s="408"/>
      <c r="DF80" s="408"/>
      <c r="DG80" s="408"/>
      <c r="DH80" s="408"/>
      <c r="DI80" s="408"/>
      <c r="DJ80" s="408"/>
      <c r="DK80" s="408"/>
      <c r="DL80" s="408"/>
      <c r="DM80" s="408"/>
      <c r="DN80" s="408"/>
      <c r="DO80" s="408"/>
      <c r="DP80" s="408"/>
      <c r="DQ80" s="408"/>
      <c r="DR80" s="408"/>
      <c r="DS80" s="408"/>
      <c r="DT80" s="408"/>
      <c r="DU80" s="408"/>
      <c r="DV80" s="408"/>
      <c r="DW80" s="408"/>
      <c r="DX80" s="408"/>
      <c r="DY80" s="408"/>
      <c r="DZ80" s="408"/>
      <c r="EA80" s="412"/>
      <c r="EB80" s="411"/>
      <c r="EC80" s="408"/>
      <c r="ED80" s="408"/>
      <c r="EE80" s="408"/>
      <c r="EF80" s="408"/>
      <c r="EG80" s="408"/>
      <c r="EH80" s="408"/>
      <c r="EI80" s="408"/>
      <c r="EJ80" s="408"/>
      <c r="EK80" s="408"/>
      <c r="EL80" s="408"/>
      <c r="EM80" s="408"/>
      <c r="EN80" s="408"/>
      <c r="EO80" s="408"/>
      <c r="EP80" s="408"/>
      <c r="EQ80" s="408"/>
      <c r="ER80" s="408"/>
      <c r="ES80" s="408"/>
      <c r="ET80" s="408"/>
      <c r="EU80" s="408"/>
      <c r="EV80" s="408"/>
      <c r="EW80" s="408"/>
      <c r="EX80" s="408"/>
      <c r="EY80" s="408"/>
      <c r="EZ80" s="412"/>
      <c r="FA80" s="411"/>
      <c r="FB80" s="408"/>
      <c r="FC80" s="408"/>
      <c r="FD80" s="408"/>
      <c r="FE80" s="408"/>
      <c r="FF80" s="408"/>
      <c r="FG80" s="408"/>
      <c r="FH80" s="408"/>
      <c r="FI80" s="408"/>
      <c r="FJ80" s="408"/>
      <c r="FK80" s="408"/>
      <c r="FL80" s="408"/>
      <c r="FM80" s="408"/>
      <c r="FN80" s="408"/>
      <c r="FO80" s="408"/>
      <c r="FP80" s="408"/>
      <c r="FQ80" s="408"/>
      <c r="FR80" s="408"/>
      <c r="FS80" s="408"/>
      <c r="FT80" s="408"/>
      <c r="FU80" s="408"/>
      <c r="FV80" s="408"/>
      <c r="FW80" s="408"/>
      <c r="FX80" s="408"/>
      <c r="FY80" s="412"/>
      <c r="FZ80" s="411"/>
      <c r="GA80" s="408"/>
      <c r="GB80" s="408"/>
      <c r="GC80" s="408"/>
      <c r="GD80" s="408"/>
      <c r="GE80" s="408"/>
      <c r="GF80" s="408"/>
      <c r="GG80" s="408"/>
      <c r="GH80" s="408"/>
      <c r="GI80" s="408"/>
      <c r="GJ80" s="408"/>
      <c r="GK80" s="408"/>
      <c r="GL80" s="408"/>
      <c r="GM80" s="408"/>
      <c r="GN80" s="408"/>
      <c r="GO80" s="408"/>
      <c r="GP80" s="408"/>
      <c r="GQ80" s="408"/>
      <c r="GR80" s="408"/>
      <c r="GS80" s="408"/>
      <c r="GT80" s="408"/>
      <c r="GU80" s="408"/>
      <c r="GV80" s="408"/>
      <c r="GW80" s="408"/>
      <c r="GX80" s="412"/>
      <c r="GY80" s="411"/>
      <c r="GZ80" s="408"/>
      <c r="HA80" s="408"/>
      <c r="HB80" s="408"/>
      <c r="HC80" s="408"/>
      <c r="HD80" s="408"/>
      <c r="HE80" s="408"/>
      <c r="HF80" s="408"/>
      <c r="HG80" s="408"/>
      <c r="HH80" s="408"/>
      <c r="HI80" s="408"/>
      <c r="HJ80" s="408"/>
      <c r="HK80" s="408"/>
      <c r="HL80" s="408"/>
      <c r="HM80" s="408"/>
      <c r="HN80" s="408"/>
      <c r="HO80" s="408"/>
      <c r="HP80" s="408"/>
      <c r="HQ80" s="408"/>
      <c r="HR80" s="408"/>
      <c r="HS80" s="408"/>
      <c r="HT80" s="408"/>
      <c r="HU80" s="408"/>
      <c r="HV80" s="408"/>
      <c r="HW80" s="412"/>
    </row>
    <row r="81" spans="1:231" ht="24" customHeight="1">
      <c r="A81" s="411"/>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12"/>
      <c r="AA81" s="408"/>
      <c r="AB81" s="408"/>
      <c r="AC81" s="408"/>
      <c r="AD81" s="408"/>
      <c r="AE81" s="408"/>
      <c r="AF81" s="411"/>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12"/>
      <c r="BE81" s="411"/>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12"/>
      <c r="CD81" s="411"/>
      <c r="CE81" s="408"/>
      <c r="CF81" s="408"/>
      <c r="CG81" s="408"/>
      <c r="CH81" s="408"/>
      <c r="CI81" s="408"/>
      <c r="CJ81" s="408"/>
      <c r="CK81" s="408"/>
      <c r="CL81" s="408"/>
      <c r="CM81" s="408"/>
      <c r="CN81" s="408"/>
      <c r="CO81" s="408"/>
      <c r="CP81" s="408"/>
      <c r="CQ81" s="408"/>
      <c r="CR81" s="408"/>
      <c r="CS81" s="408"/>
      <c r="CT81" s="408"/>
      <c r="CU81" s="408"/>
      <c r="CV81" s="408"/>
      <c r="CW81" s="408"/>
      <c r="CX81" s="408"/>
      <c r="CY81" s="408"/>
      <c r="CZ81" s="408"/>
      <c r="DA81" s="408"/>
      <c r="DB81" s="412"/>
      <c r="DC81" s="411"/>
      <c r="DD81" s="408"/>
      <c r="DE81" s="408"/>
      <c r="DF81" s="408"/>
      <c r="DG81" s="408"/>
      <c r="DH81" s="408"/>
      <c r="DI81" s="408"/>
      <c r="DJ81" s="408"/>
      <c r="DK81" s="408"/>
      <c r="DL81" s="408"/>
      <c r="DM81" s="408"/>
      <c r="DN81" s="408"/>
      <c r="DO81" s="408"/>
      <c r="DP81" s="408"/>
      <c r="DQ81" s="408"/>
      <c r="DR81" s="408"/>
      <c r="DS81" s="408"/>
      <c r="DT81" s="408"/>
      <c r="DU81" s="408"/>
      <c r="DV81" s="408"/>
      <c r="DW81" s="408"/>
      <c r="DX81" s="408"/>
      <c r="DY81" s="408"/>
      <c r="DZ81" s="408"/>
      <c r="EA81" s="412"/>
      <c r="EB81" s="411"/>
      <c r="EC81" s="408"/>
      <c r="ED81" s="408"/>
      <c r="EE81" s="408"/>
      <c r="EF81" s="408"/>
      <c r="EG81" s="408"/>
      <c r="EH81" s="408"/>
      <c r="EI81" s="408"/>
      <c r="EJ81" s="408"/>
      <c r="EK81" s="408"/>
      <c r="EL81" s="408"/>
      <c r="EM81" s="408"/>
      <c r="EN81" s="408"/>
      <c r="EO81" s="408"/>
      <c r="EP81" s="408"/>
      <c r="EQ81" s="408"/>
      <c r="ER81" s="408"/>
      <c r="ES81" s="408"/>
      <c r="ET81" s="408"/>
      <c r="EU81" s="408"/>
      <c r="EV81" s="408"/>
      <c r="EW81" s="408"/>
      <c r="EX81" s="408"/>
      <c r="EY81" s="408"/>
      <c r="EZ81" s="412"/>
      <c r="FA81" s="411"/>
      <c r="FB81" s="408"/>
      <c r="FC81" s="408"/>
      <c r="FD81" s="408"/>
      <c r="FE81" s="408"/>
      <c r="FF81" s="408"/>
      <c r="FG81" s="408"/>
      <c r="FH81" s="408"/>
      <c r="FI81" s="408"/>
      <c r="FJ81" s="408"/>
      <c r="FK81" s="408"/>
      <c r="FL81" s="408"/>
      <c r="FM81" s="408"/>
      <c r="FN81" s="408"/>
      <c r="FO81" s="408"/>
      <c r="FP81" s="408"/>
      <c r="FQ81" s="408"/>
      <c r="FR81" s="408"/>
      <c r="FS81" s="408"/>
      <c r="FT81" s="408"/>
      <c r="FU81" s="408"/>
      <c r="FV81" s="408"/>
      <c r="FW81" s="408"/>
      <c r="FX81" s="408"/>
      <c r="FY81" s="412"/>
      <c r="FZ81" s="411"/>
      <c r="GA81" s="408"/>
      <c r="GB81" s="408"/>
      <c r="GC81" s="408"/>
      <c r="GD81" s="408"/>
      <c r="GE81" s="408"/>
      <c r="GF81" s="408"/>
      <c r="GG81" s="408"/>
      <c r="GH81" s="408"/>
      <c r="GI81" s="408"/>
      <c r="GJ81" s="408"/>
      <c r="GK81" s="408"/>
      <c r="GL81" s="408"/>
      <c r="GM81" s="408"/>
      <c r="GN81" s="408"/>
      <c r="GO81" s="408"/>
      <c r="GP81" s="408"/>
      <c r="GQ81" s="408"/>
      <c r="GR81" s="408"/>
      <c r="GS81" s="408"/>
      <c r="GT81" s="408"/>
      <c r="GU81" s="408"/>
      <c r="GV81" s="408"/>
      <c r="GW81" s="408"/>
      <c r="GX81" s="412"/>
      <c r="GY81" s="411"/>
      <c r="GZ81" s="408"/>
      <c r="HA81" s="408"/>
      <c r="HB81" s="408"/>
      <c r="HC81" s="408"/>
      <c r="HD81" s="408"/>
      <c r="HE81" s="408"/>
      <c r="HF81" s="408"/>
      <c r="HG81" s="408"/>
      <c r="HH81" s="408"/>
      <c r="HI81" s="408"/>
      <c r="HJ81" s="408"/>
      <c r="HK81" s="408"/>
      <c r="HL81" s="408"/>
      <c r="HM81" s="408"/>
      <c r="HN81" s="408"/>
      <c r="HO81" s="408"/>
      <c r="HP81" s="408"/>
      <c r="HQ81" s="408"/>
      <c r="HR81" s="408"/>
      <c r="HS81" s="408"/>
      <c r="HT81" s="408"/>
      <c r="HU81" s="408"/>
      <c r="HV81" s="408"/>
      <c r="HW81" s="412"/>
    </row>
    <row r="82" spans="1:231" ht="24" customHeight="1">
      <c r="A82" s="411"/>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12"/>
      <c r="AA82" s="408"/>
      <c r="AB82" s="408"/>
      <c r="AC82" s="408"/>
      <c r="AD82" s="408"/>
      <c r="AE82" s="408"/>
      <c r="AF82" s="411"/>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12"/>
      <c r="BE82" s="411"/>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12"/>
      <c r="CD82" s="411"/>
      <c r="CE82" s="408"/>
      <c r="CF82" s="408"/>
      <c r="CG82" s="408"/>
      <c r="CH82" s="408"/>
      <c r="CI82" s="408"/>
      <c r="CJ82" s="408"/>
      <c r="CK82" s="408"/>
      <c r="CL82" s="408"/>
      <c r="CM82" s="408"/>
      <c r="CN82" s="408"/>
      <c r="CO82" s="408"/>
      <c r="CP82" s="408"/>
      <c r="CQ82" s="408"/>
      <c r="CR82" s="408"/>
      <c r="CS82" s="408"/>
      <c r="CT82" s="408"/>
      <c r="CU82" s="408"/>
      <c r="CV82" s="408"/>
      <c r="CW82" s="408"/>
      <c r="CX82" s="408"/>
      <c r="CY82" s="408"/>
      <c r="CZ82" s="408"/>
      <c r="DA82" s="408"/>
      <c r="DB82" s="412"/>
      <c r="DC82" s="411"/>
      <c r="DD82" s="408"/>
      <c r="DE82" s="408"/>
      <c r="DF82" s="408"/>
      <c r="DG82" s="408"/>
      <c r="DH82" s="408"/>
      <c r="DI82" s="408"/>
      <c r="DJ82" s="408"/>
      <c r="DK82" s="408"/>
      <c r="DL82" s="408"/>
      <c r="DM82" s="408"/>
      <c r="DN82" s="408"/>
      <c r="DO82" s="408"/>
      <c r="DP82" s="408"/>
      <c r="DQ82" s="408"/>
      <c r="DR82" s="408"/>
      <c r="DS82" s="408"/>
      <c r="DT82" s="408"/>
      <c r="DU82" s="408"/>
      <c r="DV82" s="408"/>
      <c r="DW82" s="408"/>
      <c r="DX82" s="408"/>
      <c r="DY82" s="408"/>
      <c r="DZ82" s="408"/>
      <c r="EA82" s="412"/>
      <c r="EB82" s="411"/>
      <c r="EC82" s="408"/>
      <c r="ED82" s="408"/>
      <c r="EE82" s="408"/>
      <c r="EF82" s="408"/>
      <c r="EG82" s="408"/>
      <c r="EH82" s="408"/>
      <c r="EI82" s="408"/>
      <c r="EJ82" s="408"/>
      <c r="EK82" s="408"/>
      <c r="EL82" s="408"/>
      <c r="EM82" s="408"/>
      <c r="EN82" s="408"/>
      <c r="EO82" s="408"/>
      <c r="EP82" s="408"/>
      <c r="EQ82" s="408"/>
      <c r="ER82" s="408"/>
      <c r="ES82" s="408"/>
      <c r="ET82" s="408"/>
      <c r="EU82" s="408"/>
      <c r="EV82" s="408"/>
      <c r="EW82" s="408"/>
      <c r="EX82" s="408"/>
      <c r="EY82" s="408"/>
      <c r="EZ82" s="412"/>
      <c r="FA82" s="411"/>
      <c r="FB82" s="408"/>
      <c r="FC82" s="408"/>
      <c r="FD82" s="408"/>
      <c r="FE82" s="408"/>
      <c r="FF82" s="408"/>
      <c r="FG82" s="408"/>
      <c r="FH82" s="408"/>
      <c r="FI82" s="408"/>
      <c r="FJ82" s="408"/>
      <c r="FK82" s="408"/>
      <c r="FL82" s="408"/>
      <c r="FM82" s="408"/>
      <c r="FN82" s="408"/>
      <c r="FO82" s="408"/>
      <c r="FP82" s="408"/>
      <c r="FQ82" s="408"/>
      <c r="FR82" s="408"/>
      <c r="FS82" s="408"/>
      <c r="FT82" s="408"/>
      <c r="FU82" s="408"/>
      <c r="FV82" s="408"/>
      <c r="FW82" s="408"/>
      <c r="FX82" s="408"/>
      <c r="FY82" s="412"/>
      <c r="FZ82" s="411"/>
      <c r="GA82" s="408"/>
      <c r="GB82" s="408"/>
      <c r="GC82" s="408"/>
      <c r="GD82" s="408"/>
      <c r="GE82" s="408"/>
      <c r="GF82" s="408"/>
      <c r="GG82" s="408"/>
      <c r="GH82" s="408"/>
      <c r="GI82" s="408"/>
      <c r="GJ82" s="408"/>
      <c r="GK82" s="408"/>
      <c r="GL82" s="408"/>
      <c r="GM82" s="408"/>
      <c r="GN82" s="408"/>
      <c r="GO82" s="408"/>
      <c r="GP82" s="408"/>
      <c r="GQ82" s="408"/>
      <c r="GR82" s="408"/>
      <c r="GS82" s="408"/>
      <c r="GT82" s="408"/>
      <c r="GU82" s="408"/>
      <c r="GV82" s="408"/>
      <c r="GW82" s="408"/>
      <c r="GX82" s="412"/>
      <c r="GY82" s="411"/>
      <c r="GZ82" s="408"/>
      <c r="HA82" s="408"/>
      <c r="HB82" s="408"/>
      <c r="HC82" s="408"/>
      <c r="HD82" s="408"/>
      <c r="HE82" s="408"/>
      <c r="HF82" s="408"/>
      <c r="HG82" s="408"/>
      <c r="HH82" s="408"/>
      <c r="HI82" s="408"/>
      <c r="HJ82" s="408"/>
      <c r="HK82" s="408"/>
      <c r="HL82" s="408"/>
      <c r="HM82" s="408"/>
      <c r="HN82" s="408"/>
      <c r="HO82" s="408"/>
      <c r="HP82" s="408"/>
      <c r="HQ82" s="408"/>
      <c r="HR82" s="408"/>
      <c r="HS82" s="408"/>
      <c r="HT82" s="408"/>
      <c r="HU82" s="408"/>
      <c r="HV82" s="408"/>
      <c r="HW82" s="412"/>
    </row>
    <row r="83" spans="1:231" ht="24" customHeight="1">
      <c r="A83" s="411"/>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12"/>
      <c r="AA83" s="408"/>
      <c r="AB83" s="408"/>
      <c r="AC83" s="408"/>
      <c r="AD83" s="408"/>
      <c r="AE83" s="408"/>
      <c r="AF83" s="411"/>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12"/>
      <c r="BE83" s="411"/>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12"/>
      <c r="CD83" s="411"/>
      <c r="CE83" s="408"/>
      <c r="CF83" s="408"/>
      <c r="CG83" s="408"/>
      <c r="CH83" s="408"/>
      <c r="CI83" s="408"/>
      <c r="CJ83" s="408"/>
      <c r="CK83" s="408"/>
      <c r="CL83" s="408"/>
      <c r="CM83" s="408"/>
      <c r="CN83" s="408"/>
      <c r="CO83" s="408"/>
      <c r="CP83" s="408"/>
      <c r="CQ83" s="408"/>
      <c r="CR83" s="408"/>
      <c r="CS83" s="408"/>
      <c r="CT83" s="408"/>
      <c r="CU83" s="408"/>
      <c r="CV83" s="408"/>
      <c r="CW83" s="408"/>
      <c r="CX83" s="408"/>
      <c r="CY83" s="408"/>
      <c r="CZ83" s="408"/>
      <c r="DA83" s="408"/>
      <c r="DB83" s="412"/>
      <c r="DC83" s="411"/>
      <c r="DD83" s="408"/>
      <c r="DE83" s="408"/>
      <c r="DF83" s="408"/>
      <c r="DG83" s="408"/>
      <c r="DH83" s="408"/>
      <c r="DI83" s="408"/>
      <c r="DJ83" s="408"/>
      <c r="DK83" s="408"/>
      <c r="DL83" s="408"/>
      <c r="DM83" s="408"/>
      <c r="DN83" s="408"/>
      <c r="DO83" s="408"/>
      <c r="DP83" s="408"/>
      <c r="DQ83" s="408"/>
      <c r="DR83" s="408"/>
      <c r="DS83" s="408"/>
      <c r="DT83" s="408"/>
      <c r="DU83" s="408"/>
      <c r="DV83" s="408"/>
      <c r="DW83" s="408"/>
      <c r="DX83" s="408"/>
      <c r="DY83" s="408"/>
      <c r="DZ83" s="408"/>
      <c r="EA83" s="412"/>
      <c r="EB83" s="411"/>
      <c r="EC83" s="408"/>
      <c r="ED83" s="408"/>
      <c r="EE83" s="408"/>
      <c r="EF83" s="408"/>
      <c r="EG83" s="408"/>
      <c r="EH83" s="408"/>
      <c r="EI83" s="408"/>
      <c r="EJ83" s="408"/>
      <c r="EK83" s="408"/>
      <c r="EL83" s="408"/>
      <c r="EM83" s="408"/>
      <c r="EN83" s="408"/>
      <c r="EO83" s="408"/>
      <c r="EP83" s="408"/>
      <c r="EQ83" s="408"/>
      <c r="ER83" s="408"/>
      <c r="ES83" s="408"/>
      <c r="ET83" s="408"/>
      <c r="EU83" s="408"/>
      <c r="EV83" s="408"/>
      <c r="EW83" s="408"/>
      <c r="EX83" s="408"/>
      <c r="EY83" s="408"/>
      <c r="EZ83" s="412"/>
      <c r="FA83" s="411"/>
      <c r="FB83" s="408"/>
      <c r="FC83" s="408"/>
      <c r="FD83" s="408"/>
      <c r="FE83" s="408"/>
      <c r="FF83" s="408"/>
      <c r="FG83" s="408"/>
      <c r="FH83" s="408"/>
      <c r="FI83" s="408"/>
      <c r="FJ83" s="408"/>
      <c r="FK83" s="408"/>
      <c r="FL83" s="408"/>
      <c r="FM83" s="408"/>
      <c r="FN83" s="408"/>
      <c r="FO83" s="408"/>
      <c r="FP83" s="408"/>
      <c r="FQ83" s="408"/>
      <c r="FR83" s="408"/>
      <c r="FS83" s="408"/>
      <c r="FT83" s="408"/>
      <c r="FU83" s="408"/>
      <c r="FV83" s="408"/>
      <c r="FW83" s="408"/>
      <c r="FX83" s="408"/>
      <c r="FY83" s="412"/>
      <c r="FZ83" s="411"/>
      <c r="GA83" s="408"/>
      <c r="GB83" s="408"/>
      <c r="GC83" s="408"/>
      <c r="GD83" s="408"/>
      <c r="GE83" s="408"/>
      <c r="GF83" s="408"/>
      <c r="GG83" s="408"/>
      <c r="GH83" s="408"/>
      <c r="GI83" s="408"/>
      <c r="GJ83" s="408"/>
      <c r="GK83" s="408"/>
      <c r="GL83" s="408"/>
      <c r="GM83" s="408"/>
      <c r="GN83" s="408"/>
      <c r="GO83" s="408"/>
      <c r="GP83" s="408"/>
      <c r="GQ83" s="408"/>
      <c r="GR83" s="408"/>
      <c r="GS83" s="408"/>
      <c r="GT83" s="408"/>
      <c r="GU83" s="408"/>
      <c r="GV83" s="408"/>
      <c r="GW83" s="408"/>
      <c r="GX83" s="412"/>
      <c r="GY83" s="411"/>
      <c r="GZ83" s="408"/>
      <c r="HA83" s="408"/>
      <c r="HB83" s="408"/>
      <c r="HC83" s="408"/>
      <c r="HD83" s="408"/>
      <c r="HE83" s="408"/>
      <c r="HF83" s="408"/>
      <c r="HG83" s="408"/>
      <c r="HH83" s="408"/>
      <c r="HI83" s="408"/>
      <c r="HJ83" s="408"/>
      <c r="HK83" s="408"/>
      <c r="HL83" s="408"/>
      <c r="HM83" s="408"/>
      <c r="HN83" s="408"/>
      <c r="HO83" s="408"/>
      <c r="HP83" s="408"/>
      <c r="HQ83" s="408"/>
      <c r="HR83" s="408"/>
      <c r="HS83" s="408"/>
      <c r="HT83" s="408"/>
      <c r="HU83" s="408"/>
      <c r="HV83" s="408"/>
      <c r="HW83" s="412"/>
    </row>
    <row r="84" spans="1:231" ht="24" customHeight="1">
      <c r="A84" s="411"/>
      <c r="B84" s="40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12"/>
      <c r="AA84" s="408"/>
      <c r="AB84" s="408"/>
      <c r="AC84" s="408"/>
      <c r="AD84" s="408"/>
      <c r="AE84" s="408"/>
      <c r="AF84" s="411"/>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s="408"/>
      <c r="BC84" s="408"/>
      <c r="BD84" s="412"/>
      <c r="BE84" s="411"/>
      <c r="BF84" s="408"/>
      <c r="BG84" s="408"/>
      <c r="BH84" s="408"/>
      <c r="BI84" s="408"/>
      <c r="BJ84" s="408"/>
      <c r="BK84" s="408"/>
      <c r="BL84" s="408"/>
      <c r="BM84" s="408"/>
      <c r="BN84" s="408"/>
      <c r="BO84" s="408"/>
      <c r="BP84" s="408"/>
      <c r="BQ84" s="408"/>
      <c r="BR84" s="408"/>
      <c r="BS84" s="408"/>
      <c r="BT84" s="408"/>
      <c r="BU84" s="408"/>
      <c r="BV84" s="408"/>
      <c r="BW84" s="408"/>
      <c r="BX84" s="408"/>
      <c r="BY84" s="408"/>
      <c r="BZ84" s="408"/>
      <c r="CA84" s="408"/>
      <c r="CB84" s="408"/>
      <c r="CC84" s="412"/>
      <c r="CD84" s="411"/>
      <c r="CE84" s="408"/>
      <c r="CF84" s="408"/>
      <c r="CG84" s="408"/>
      <c r="CH84" s="408"/>
      <c r="CI84" s="408"/>
      <c r="CJ84" s="408"/>
      <c r="CK84" s="408"/>
      <c r="CL84" s="408"/>
      <c r="CM84" s="408"/>
      <c r="CN84" s="408"/>
      <c r="CO84" s="408"/>
      <c r="CP84" s="408"/>
      <c r="CQ84" s="408"/>
      <c r="CR84" s="408"/>
      <c r="CS84" s="408"/>
      <c r="CT84" s="408"/>
      <c r="CU84" s="408"/>
      <c r="CV84" s="408"/>
      <c r="CW84" s="408"/>
      <c r="CX84" s="408"/>
      <c r="CY84" s="408"/>
      <c r="CZ84" s="408"/>
      <c r="DA84" s="408"/>
      <c r="DB84" s="412"/>
      <c r="DC84" s="411"/>
      <c r="DD84" s="408"/>
      <c r="DE84" s="408"/>
      <c r="DF84" s="408"/>
      <c r="DG84" s="408"/>
      <c r="DH84" s="408"/>
      <c r="DI84" s="408"/>
      <c r="DJ84" s="408"/>
      <c r="DK84" s="408"/>
      <c r="DL84" s="408"/>
      <c r="DM84" s="408"/>
      <c r="DN84" s="408"/>
      <c r="DO84" s="408"/>
      <c r="DP84" s="408"/>
      <c r="DQ84" s="408"/>
      <c r="DR84" s="408"/>
      <c r="DS84" s="408"/>
      <c r="DT84" s="408"/>
      <c r="DU84" s="408"/>
      <c r="DV84" s="408"/>
      <c r="DW84" s="408"/>
      <c r="DX84" s="408"/>
      <c r="DY84" s="408"/>
      <c r="DZ84" s="408"/>
      <c r="EA84" s="412"/>
      <c r="EB84" s="411"/>
      <c r="EC84" s="408"/>
      <c r="ED84" s="408"/>
      <c r="EE84" s="408"/>
      <c r="EF84" s="408"/>
      <c r="EG84" s="408"/>
      <c r="EH84" s="408"/>
      <c r="EI84" s="408"/>
      <c r="EJ84" s="408"/>
      <c r="EK84" s="408"/>
      <c r="EL84" s="408"/>
      <c r="EM84" s="408"/>
      <c r="EN84" s="408"/>
      <c r="EO84" s="408"/>
      <c r="EP84" s="408"/>
      <c r="EQ84" s="408"/>
      <c r="ER84" s="408"/>
      <c r="ES84" s="408"/>
      <c r="ET84" s="408"/>
      <c r="EU84" s="408"/>
      <c r="EV84" s="408"/>
      <c r="EW84" s="408"/>
      <c r="EX84" s="408"/>
      <c r="EY84" s="408"/>
      <c r="EZ84" s="412"/>
      <c r="FA84" s="411"/>
      <c r="FB84" s="408"/>
      <c r="FC84" s="408"/>
      <c r="FD84" s="408"/>
      <c r="FE84" s="408"/>
      <c r="FF84" s="408"/>
      <c r="FG84" s="408"/>
      <c r="FH84" s="408"/>
      <c r="FI84" s="408"/>
      <c r="FJ84" s="408"/>
      <c r="FK84" s="408"/>
      <c r="FL84" s="408"/>
      <c r="FM84" s="408"/>
      <c r="FN84" s="408"/>
      <c r="FO84" s="408"/>
      <c r="FP84" s="408"/>
      <c r="FQ84" s="408"/>
      <c r="FR84" s="408"/>
      <c r="FS84" s="408"/>
      <c r="FT84" s="408"/>
      <c r="FU84" s="408"/>
      <c r="FV84" s="408"/>
      <c r="FW84" s="408"/>
      <c r="FX84" s="408"/>
      <c r="FY84" s="412"/>
      <c r="FZ84" s="411"/>
      <c r="GA84" s="408"/>
      <c r="GB84" s="408"/>
      <c r="GC84" s="408"/>
      <c r="GD84" s="408"/>
      <c r="GE84" s="408"/>
      <c r="GF84" s="408"/>
      <c r="GG84" s="408"/>
      <c r="GH84" s="408"/>
      <c r="GI84" s="408"/>
      <c r="GJ84" s="408"/>
      <c r="GK84" s="408"/>
      <c r="GL84" s="408"/>
      <c r="GM84" s="408"/>
      <c r="GN84" s="408"/>
      <c r="GO84" s="408"/>
      <c r="GP84" s="408"/>
      <c r="GQ84" s="408"/>
      <c r="GR84" s="408"/>
      <c r="GS84" s="408"/>
      <c r="GT84" s="408"/>
      <c r="GU84" s="408"/>
      <c r="GV84" s="408"/>
      <c r="GW84" s="408"/>
      <c r="GX84" s="412"/>
      <c r="GY84" s="411"/>
      <c r="GZ84" s="408"/>
      <c r="HA84" s="408"/>
      <c r="HB84" s="408"/>
      <c r="HC84" s="408"/>
      <c r="HD84" s="408"/>
      <c r="HE84" s="408"/>
      <c r="HF84" s="408"/>
      <c r="HG84" s="408"/>
      <c r="HH84" s="408"/>
      <c r="HI84" s="408"/>
      <c r="HJ84" s="408"/>
      <c r="HK84" s="408"/>
      <c r="HL84" s="408"/>
      <c r="HM84" s="408"/>
      <c r="HN84" s="408"/>
      <c r="HO84" s="408"/>
      <c r="HP84" s="408"/>
      <c r="HQ84" s="408"/>
      <c r="HR84" s="408"/>
      <c r="HS84" s="408"/>
      <c r="HT84" s="408"/>
      <c r="HU84" s="408"/>
      <c r="HV84" s="408"/>
      <c r="HW84" s="412"/>
    </row>
    <row r="85" spans="1:231" ht="24" customHeight="1">
      <c r="A85" s="411"/>
      <c r="B85" s="40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12"/>
      <c r="AA85" s="408"/>
      <c r="AB85" s="408"/>
      <c r="AC85" s="408"/>
      <c r="AD85" s="408"/>
      <c r="AE85" s="408"/>
      <c r="AF85" s="411"/>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s="408"/>
      <c r="BC85" s="408"/>
      <c r="BD85" s="412"/>
      <c r="BE85" s="411"/>
      <c r="BF85" s="408"/>
      <c r="BG85" s="408"/>
      <c r="BH85" s="408"/>
      <c r="BI85" s="408"/>
      <c r="BJ85" s="408"/>
      <c r="BK85" s="408"/>
      <c r="BL85" s="408"/>
      <c r="BM85" s="408"/>
      <c r="BN85" s="408"/>
      <c r="BO85" s="408"/>
      <c r="BP85" s="408"/>
      <c r="BQ85" s="408"/>
      <c r="BR85" s="408"/>
      <c r="BS85" s="408"/>
      <c r="BT85" s="408"/>
      <c r="BU85" s="408"/>
      <c r="BV85" s="408"/>
      <c r="BW85" s="408"/>
      <c r="BX85" s="408"/>
      <c r="BY85" s="408"/>
      <c r="BZ85" s="408"/>
      <c r="CA85" s="408"/>
      <c r="CB85" s="408"/>
      <c r="CC85" s="412"/>
      <c r="CD85" s="411"/>
      <c r="CE85" s="408"/>
      <c r="CF85" s="408"/>
      <c r="CG85" s="408"/>
      <c r="CH85" s="408"/>
      <c r="CI85" s="408"/>
      <c r="CJ85" s="408"/>
      <c r="CK85" s="408"/>
      <c r="CL85" s="408"/>
      <c r="CM85" s="408"/>
      <c r="CN85" s="408"/>
      <c r="CO85" s="408"/>
      <c r="CP85" s="408"/>
      <c r="CQ85" s="408"/>
      <c r="CR85" s="408"/>
      <c r="CS85" s="408"/>
      <c r="CT85" s="408"/>
      <c r="CU85" s="408"/>
      <c r="CV85" s="408"/>
      <c r="CW85" s="408"/>
      <c r="CX85" s="408"/>
      <c r="CY85" s="408"/>
      <c r="CZ85" s="408"/>
      <c r="DA85" s="408"/>
      <c r="DB85" s="412"/>
      <c r="DC85" s="411"/>
      <c r="DD85" s="408"/>
      <c r="DE85" s="408"/>
      <c r="DF85" s="408"/>
      <c r="DG85" s="408"/>
      <c r="DH85" s="408"/>
      <c r="DI85" s="408"/>
      <c r="DJ85" s="408"/>
      <c r="DK85" s="408"/>
      <c r="DL85" s="408"/>
      <c r="DM85" s="408"/>
      <c r="DN85" s="408"/>
      <c r="DO85" s="408"/>
      <c r="DP85" s="408"/>
      <c r="DQ85" s="408"/>
      <c r="DR85" s="408"/>
      <c r="DS85" s="408"/>
      <c r="DT85" s="408"/>
      <c r="DU85" s="408"/>
      <c r="DV85" s="408"/>
      <c r="DW85" s="408"/>
      <c r="DX85" s="408"/>
      <c r="DY85" s="408"/>
      <c r="DZ85" s="408"/>
      <c r="EA85" s="412"/>
      <c r="EB85" s="411"/>
      <c r="EC85" s="408"/>
      <c r="ED85" s="408"/>
      <c r="EE85" s="408"/>
      <c r="EF85" s="408"/>
      <c r="EG85" s="408"/>
      <c r="EH85" s="408"/>
      <c r="EI85" s="408"/>
      <c r="EJ85" s="408"/>
      <c r="EK85" s="408"/>
      <c r="EL85" s="408"/>
      <c r="EM85" s="408"/>
      <c r="EN85" s="408"/>
      <c r="EO85" s="408"/>
      <c r="EP85" s="408"/>
      <c r="EQ85" s="408"/>
      <c r="ER85" s="408"/>
      <c r="ES85" s="408"/>
      <c r="ET85" s="408"/>
      <c r="EU85" s="408"/>
      <c r="EV85" s="408"/>
      <c r="EW85" s="408"/>
      <c r="EX85" s="408"/>
      <c r="EY85" s="408"/>
      <c r="EZ85" s="412"/>
      <c r="FA85" s="411"/>
      <c r="FB85" s="408"/>
      <c r="FC85" s="408"/>
      <c r="FD85" s="408"/>
      <c r="FE85" s="408"/>
      <c r="FF85" s="408"/>
      <c r="FG85" s="408"/>
      <c r="FH85" s="408"/>
      <c r="FI85" s="408"/>
      <c r="FJ85" s="408"/>
      <c r="FK85" s="408"/>
      <c r="FL85" s="408"/>
      <c r="FM85" s="408"/>
      <c r="FN85" s="408"/>
      <c r="FO85" s="408"/>
      <c r="FP85" s="408"/>
      <c r="FQ85" s="408"/>
      <c r="FR85" s="408"/>
      <c r="FS85" s="408"/>
      <c r="FT85" s="408"/>
      <c r="FU85" s="408"/>
      <c r="FV85" s="408"/>
      <c r="FW85" s="408"/>
      <c r="FX85" s="408"/>
      <c r="FY85" s="412"/>
      <c r="FZ85" s="411"/>
      <c r="GA85" s="408"/>
      <c r="GB85" s="408"/>
      <c r="GC85" s="408"/>
      <c r="GD85" s="408"/>
      <c r="GE85" s="408"/>
      <c r="GF85" s="408"/>
      <c r="GG85" s="408"/>
      <c r="GH85" s="408"/>
      <c r="GI85" s="408"/>
      <c r="GJ85" s="408"/>
      <c r="GK85" s="408"/>
      <c r="GL85" s="408"/>
      <c r="GM85" s="408"/>
      <c r="GN85" s="408"/>
      <c r="GO85" s="408"/>
      <c r="GP85" s="408"/>
      <c r="GQ85" s="408"/>
      <c r="GR85" s="408"/>
      <c r="GS85" s="408"/>
      <c r="GT85" s="408"/>
      <c r="GU85" s="408"/>
      <c r="GV85" s="408"/>
      <c r="GW85" s="408"/>
      <c r="GX85" s="412"/>
      <c r="GY85" s="411"/>
      <c r="GZ85" s="408"/>
      <c r="HA85" s="408"/>
      <c r="HB85" s="408"/>
      <c r="HC85" s="408"/>
      <c r="HD85" s="408"/>
      <c r="HE85" s="408"/>
      <c r="HF85" s="408"/>
      <c r="HG85" s="408"/>
      <c r="HH85" s="408"/>
      <c r="HI85" s="408"/>
      <c r="HJ85" s="408"/>
      <c r="HK85" s="408"/>
      <c r="HL85" s="408"/>
      <c r="HM85" s="408"/>
      <c r="HN85" s="408"/>
      <c r="HO85" s="408"/>
      <c r="HP85" s="408"/>
      <c r="HQ85" s="408"/>
      <c r="HR85" s="408"/>
      <c r="HS85" s="408"/>
      <c r="HT85" s="408"/>
      <c r="HU85" s="408"/>
      <c r="HV85" s="408"/>
      <c r="HW85" s="412"/>
    </row>
    <row r="86" spans="1:231" ht="24" customHeight="1">
      <c r="A86" s="411"/>
      <c r="B86" s="408"/>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12"/>
      <c r="AA86" s="408"/>
      <c r="AB86" s="408"/>
      <c r="AC86" s="408"/>
      <c r="AD86" s="408"/>
      <c r="AE86" s="408"/>
      <c r="AF86" s="411"/>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s="408"/>
      <c r="BC86" s="408"/>
      <c r="BD86" s="412"/>
      <c r="BE86" s="411"/>
      <c r="BF86" s="408"/>
      <c r="BG86" s="408"/>
      <c r="BH86" s="408"/>
      <c r="BI86" s="408"/>
      <c r="BJ86" s="408"/>
      <c r="BK86" s="408"/>
      <c r="BL86" s="408"/>
      <c r="BM86" s="408"/>
      <c r="BN86" s="408"/>
      <c r="BO86" s="408"/>
      <c r="BP86" s="408"/>
      <c r="BQ86" s="408"/>
      <c r="BR86" s="408"/>
      <c r="BS86" s="408"/>
      <c r="BT86" s="408"/>
      <c r="BU86" s="408"/>
      <c r="BV86" s="408"/>
      <c r="BW86" s="408"/>
      <c r="BX86" s="408"/>
      <c r="BY86" s="408"/>
      <c r="BZ86" s="408"/>
      <c r="CA86" s="408"/>
      <c r="CB86" s="408"/>
      <c r="CC86" s="412"/>
      <c r="CD86" s="411"/>
      <c r="CE86" s="408"/>
      <c r="CF86" s="408"/>
      <c r="CG86" s="408"/>
      <c r="CH86" s="408"/>
      <c r="CI86" s="408"/>
      <c r="CJ86" s="408"/>
      <c r="CK86" s="408"/>
      <c r="CL86" s="408"/>
      <c r="CM86" s="408"/>
      <c r="CN86" s="408"/>
      <c r="CO86" s="408"/>
      <c r="CP86" s="408"/>
      <c r="CQ86" s="408"/>
      <c r="CR86" s="408"/>
      <c r="CS86" s="408"/>
      <c r="CT86" s="408"/>
      <c r="CU86" s="408"/>
      <c r="CV86" s="408"/>
      <c r="CW86" s="408"/>
      <c r="CX86" s="408"/>
      <c r="CY86" s="408"/>
      <c r="CZ86" s="408"/>
      <c r="DA86" s="408"/>
      <c r="DB86" s="412"/>
      <c r="DC86" s="411"/>
      <c r="DD86" s="408"/>
      <c r="DE86" s="408"/>
      <c r="DF86" s="408"/>
      <c r="DG86" s="408"/>
      <c r="DH86" s="408"/>
      <c r="DI86" s="408"/>
      <c r="DJ86" s="408"/>
      <c r="DK86" s="408"/>
      <c r="DL86" s="408"/>
      <c r="DM86" s="408"/>
      <c r="DN86" s="408"/>
      <c r="DO86" s="408"/>
      <c r="DP86" s="408"/>
      <c r="DQ86" s="408"/>
      <c r="DR86" s="408"/>
      <c r="DS86" s="408"/>
      <c r="DT86" s="408"/>
      <c r="DU86" s="408"/>
      <c r="DV86" s="408"/>
      <c r="DW86" s="408"/>
      <c r="DX86" s="408"/>
      <c r="DY86" s="408"/>
      <c r="DZ86" s="408"/>
      <c r="EA86" s="412"/>
      <c r="EB86" s="411"/>
      <c r="EC86" s="408"/>
      <c r="ED86" s="408"/>
      <c r="EE86" s="408"/>
      <c r="EF86" s="408"/>
      <c r="EG86" s="408"/>
      <c r="EH86" s="408"/>
      <c r="EI86" s="408"/>
      <c r="EJ86" s="408"/>
      <c r="EK86" s="408"/>
      <c r="EL86" s="408"/>
      <c r="EM86" s="408"/>
      <c r="EN86" s="408"/>
      <c r="EO86" s="408"/>
      <c r="EP86" s="408"/>
      <c r="EQ86" s="408"/>
      <c r="ER86" s="408"/>
      <c r="ES86" s="408"/>
      <c r="ET86" s="408"/>
      <c r="EU86" s="408"/>
      <c r="EV86" s="408"/>
      <c r="EW86" s="408"/>
      <c r="EX86" s="408"/>
      <c r="EY86" s="408"/>
      <c r="EZ86" s="412"/>
      <c r="FA86" s="411"/>
      <c r="FB86" s="408"/>
      <c r="FC86" s="408"/>
      <c r="FD86" s="408"/>
      <c r="FE86" s="408"/>
      <c r="FF86" s="408"/>
      <c r="FG86" s="408"/>
      <c r="FH86" s="408"/>
      <c r="FI86" s="408"/>
      <c r="FJ86" s="408"/>
      <c r="FK86" s="408"/>
      <c r="FL86" s="408"/>
      <c r="FM86" s="408"/>
      <c r="FN86" s="408"/>
      <c r="FO86" s="408"/>
      <c r="FP86" s="408"/>
      <c r="FQ86" s="408"/>
      <c r="FR86" s="408"/>
      <c r="FS86" s="408"/>
      <c r="FT86" s="408"/>
      <c r="FU86" s="408"/>
      <c r="FV86" s="408"/>
      <c r="FW86" s="408"/>
      <c r="FX86" s="408"/>
      <c r="FY86" s="412"/>
      <c r="FZ86" s="411"/>
      <c r="GA86" s="408"/>
      <c r="GB86" s="408"/>
      <c r="GC86" s="408"/>
      <c r="GD86" s="408"/>
      <c r="GE86" s="408"/>
      <c r="GF86" s="408"/>
      <c r="GG86" s="408"/>
      <c r="GH86" s="408"/>
      <c r="GI86" s="408"/>
      <c r="GJ86" s="408"/>
      <c r="GK86" s="408"/>
      <c r="GL86" s="408"/>
      <c r="GM86" s="408"/>
      <c r="GN86" s="408"/>
      <c r="GO86" s="408"/>
      <c r="GP86" s="408"/>
      <c r="GQ86" s="408"/>
      <c r="GR86" s="408"/>
      <c r="GS86" s="408"/>
      <c r="GT86" s="408"/>
      <c r="GU86" s="408"/>
      <c r="GV86" s="408"/>
      <c r="GW86" s="408"/>
      <c r="GX86" s="412"/>
      <c r="GY86" s="411"/>
      <c r="GZ86" s="408"/>
      <c r="HA86" s="408"/>
      <c r="HB86" s="408"/>
      <c r="HC86" s="408"/>
      <c r="HD86" s="408"/>
      <c r="HE86" s="408"/>
      <c r="HF86" s="408"/>
      <c r="HG86" s="408"/>
      <c r="HH86" s="408"/>
      <c r="HI86" s="408"/>
      <c r="HJ86" s="408"/>
      <c r="HK86" s="408"/>
      <c r="HL86" s="408"/>
      <c r="HM86" s="408"/>
      <c r="HN86" s="408"/>
      <c r="HO86" s="408"/>
      <c r="HP86" s="408"/>
      <c r="HQ86" s="408"/>
      <c r="HR86" s="408"/>
      <c r="HS86" s="408"/>
      <c r="HT86" s="408"/>
      <c r="HU86" s="408"/>
      <c r="HV86" s="408"/>
      <c r="HW86" s="412"/>
    </row>
    <row r="87" spans="1:231" ht="24" customHeight="1">
      <c r="A87" s="411"/>
      <c r="B87" s="408"/>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12"/>
      <c r="AA87" s="408"/>
      <c r="AB87" s="408"/>
      <c r="AC87" s="408"/>
      <c r="AD87" s="408"/>
      <c r="AE87" s="408"/>
      <c r="AF87" s="411"/>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s="408"/>
      <c r="BC87" s="408"/>
      <c r="BD87" s="412"/>
      <c r="BE87" s="411"/>
      <c r="BF87" s="408"/>
      <c r="BG87" s="408"/>
      <c r="BH87" s="408"/>
      <c r="BI87" s="408"/>
      <c r="BJ87" s="408"/>
      <c r="BK87" s="408"/>
      <c r="BL87" s="408"/>
      <c r="BM87" s="408"/>
      <c r="BN87" s="408"/>
      <c r="BO87" s="408"/>
      <c r="BP87" s="408"/>
      <c r="BQ87" s="408"/>
      <c r="BR87" s="408"/>
      <c r="BS87" s="408"/>
      <c r="BT87" s="408"/>
      <c r="BU87" s="408"/>
      <c r="BV87" s="408"/>
      <c r="BW87" s="408"/>
      <c r="BX87" s="408"/>
      <c r="BY87" s="408"/>
      <c r="BZ87" s="408"/>
      <c r="CA87" s="408"/>
      <c r="CB87" s="408"/>
      <c r="CC87" s="412"/>
      <c r="CD87" s="411"/>
      <c r="CE87" s="408"/>
      <c r="CF87" s="408"/>
      <c r="CG87" s="408"/>
      <c r="CH87" s="408"/>
      <c r="CI87" s="408"/>
      <c r="CJ87" s="408"/>
      <c r="CK87" s="408"/>
      <c r="CL87" s="408"/>
      <c r="CM87" s="408"/>
      <c r="CN87" s="408"/>
      <c r="CO87" s="408"/>
      <c r="CP87" s="408"/>
      <c r="CQ87" s="408"/>
      <c r="CR87" s="408"/>
      <c r="CS87" s="408"/>
      <c r="CT87" s="408"/>
      <c r="CU87" s="408"/>
      <c r="CV87" s="408"/>
      <c r="CW87" s="408"/>
      <c r="CX87" s="408"/>
      <c r="CY87" s="408"/>
      <c r="CZ87" s="408"/>
      <c r="DA87" s="408"/>
      <c r="DB87" s="412"/>
      <c r="DC87" s="411"/>
      <c r="DD87" s="408"/>
      <c r="DE87" s="408"/>
      <c r="DF87" s="408"/>
      <c r="DG87" s="408"/>
      <c r="DH87" s="408"/>
      <c r="DI87" s="408"/>
      <c r="DJ87" s="408"/>
      <c r="DK87" s="408"/>
      <c r="DL87" s="408"/>
      <c r="DM87" s="408"/>
      <c r="DN87" s="408"/>
      <c r="DO87" s="408"/>
      <c r="DP87" s="408"/>
      <c r="DQ87" s="408"/>
      <c r="DR87" s="408"/>
      <c r="DS87" s="408"/>
      <c r="DT87" s="408"/>
      <c r="DU87" s="408"/>
      <c r="DV87" s="408"/>
      <c r="DW87" s="408"/>
      <c r="DX87" s="408"/>
      <c r="DY87" s="408"/>
      <c r="DZ87" s="408"/>
      <c r="EA87" s="412"/>
      <c r="EB87" s="411"/>
      <c r="EC87" s="408"/>
      <c r="ED87" s="408"/>
      <c r="EE87" s="408"/>
      <c r="EF87" s="408"/>
      <c r="EG87" s="408"/>
      <c r="EH87" s="408"/>
      <c r="EI87" s="408"/>
      <c r="EJ87" s="408"/>
      <c r="EK87" s="408"/>
      <c r="EL87" s="408"/>
      <c r="EM87" s="408"/>
      <c r="EN87" s="408"/>
      <c r="EO87" s="408"/>
      <c r="EP87" s="408"/>
      <c r="EQ87" s="408"/>
      <c r="ER87" s="408"/>
      <c r="ES87" s="408"/>
      <c r="ET87" s="408"/>
      <c r="EU87" s="408"/>
      <c r="EV87" s="408"/>
      <c r="EW87" s="408"/>
      <c r="EX87" s="408"/>
      <c r="EY87" s="408"/>
      <c r="EZ87" s="412"/>
      <c r="FA87" s="411"/>
      <c r="FB87" s="408"/>
      <c r="FC87" s="408"/>
      <c r="FD87" s="408"/>
      <c r="FE87" s="408"/>
      <c r="FF87" s="408"/>
      <c r="FG87" s="408"/>
      <c r="FH87" s="408"/>
      <c r="FI87" s="408"/>
      <c r="FJ87" s="408"/>
      <c r="FK87" s="408"/>
      <c r="FL87" s="408"/>
      <c r="FM87" s="408"/>
      <c r="FN87" s="408"/>
      <c r="FO87" s="408"/>
      <c r="FP87" s="408"/>
      <c r="FQ87" s="408"/>
      <c r="FR87" s="408"/>
      <c r="FS87" s="408"/>
      <c r="FT87" s="408"/>
      <c r="FU87" s="408"/>
      <c r="FV87" s="408"/>
      <c r="FW87" s="408"/>
      <c r="FX87" s="408"/>
      <c r="FY87" s="412"/>
      <c r="FZ87" s="411"/>
      <c r="GA87" s="408"/>
      <c r="GB87" s="408"/>
      <c r="GC87" s="408"/>
      <c r="GD87" s="408"/>
      <c r="GE87" s="408"/>
      <c r="GF87" s="408"/>
      <c r="GG87" s="408"/>
      <c r="GH87" s="408"/>
      <c r="GI87" s="408"/>
      <c r="GJ87" s="408"/>
      <c r="GK87" s="408"/>
      <c r="GL87" s="408"/>
      <c r="GM87" s="408"/>
      <c r="GN87" s="408"/>
      <c r="GO87" s="408"/>
      <c r="GP87" s="408"/>
      <c r="GQ87" s="408"/>
      <c r="GR87" s="408"/>
      <c r="GS87" s="408"/>
      <c r="GT87" s="408"/>
      <c r="GU87" s="408"/>
      <c r="GV87" s="408"/>
      <c r="GW87" s="408"/>
      <c r="GX87" s="412"/>
      <c r="GY87" s="411"/>
      <c r="GZ87" s="408"/>
      <c r="HA87" s="408"/>
      <c r="HB87" s="408"/>
      <c r="HC87" s="408"/>
      <c r="HD87" s="408"/>
      <c r="HE87" s="408"/>
      <c r="HF87" s="408"/>
      <c r="HG87" s="408"/>
      <c r="HH87" s="408"/>
      <c r="HI87" s="408"/>
      <c r="HJ87" s="408"/>
      <c r="HK87" s="408"/>
      <c r="HL87" s="408"/>
      <c r="HM87" s="408"/>
      <c r="HN87" s="408"/>
      <c r="HO87" s="408"/>
      <c r="HP87" s="408"/>
      <c r="HQ87" s="408"/>
      <c r="HR87" s="408"/>
      <c r="HS87" s="408"/>
      <c r="HT87" s="408"/>
      <c r="HU87" s="408"/>
      <c r="HV87" s="408"/>
      <c r="HW87" s="412"/>
    </row>
    <row r="88" spans="1:231" ht="24" customHeight="1">
      <c r="A88" s="411"/>
      <c r="B88" s="408"/>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12"/>
      <c r="AA88" s="408"/>
      <c r="AB88" s="408"/>
      <c r="AC88" s="408"/>
      <c r="AD88" s="408"/>
      <c r="AE88" s="408"/>
      <c r="AF88" s="411"/>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s="408"/>
      <c r="BC88" s="408"/>
      <c r="BD88" s="412"/>
      <c r="BE88" s="411"/>
      <c r="BF88" s="408"/>
      <c r="BG88" s="408"/>
      <c r="BH88" s="408"/>
      <c r="BI88" s="408"/>
      <c r="BJ88" s="408"/>
      <c r="BK88" s="408"/>
      <c r="BL88" s="408"/>
      <c r="BM88" s="408"/>
      <c r="BN88" s="408"/>
      <c r="BO88" s="408"/>
      <c r="BP88" s="408"/>
      <c r="BQ88" s="408"/>
      <c r="BR88" s="408"/>
      <c r="BS88" s="408"/>
      <c r="BT88" s="408"/>
      <c r="BU88" s="408"/>
      <c r="BV88" s="408"/>
      <c r="BW88" s="408"/>
      <c r="BX88" s="408"/>
      <c r="BY88" s="408"/>
      <c r="BZ88" s="408"/>
      <c r="CA88" s="408"/>
      <c r="CB88" s="408"/>
      <c r="CC88" s="412"/>
      <c r="CD88" s="411"/>
      <c r="CE88" s="408"/>
      <c r="CF88" s="408"/>
      <c r="CG88" s="408"/>
      <c r="CH88" s="408"/>
      <c r="CI88" s="408"/>
      <c r="CJ88" s="408"/>
      <c r="CK88" s="408"/>
      <c r="CL88" s="408"/>
      <c r="CM88" s="408"/>
      <c r="CN88" s="408"/>
      <c r="CO88" s="408"/>
      <c r="CP88" s="408"/>
      <c r="CQ88" s="408"/>
      <c r="CR88" s="408"/>
      <c r="CS88" s="408"/>
      <c r="CT88" s="408"/>
      <c r="CU88" s="408"/>
      <c r="CV88" s="408"/>
      <c r="CW88" s="408"/>
      <c r="CX88" s="408"/>
      <c r="CY88" s="408"/>
      <c r="CZ88" s="408"/>
      <c r="DA88" s="408"/>
      <c r="DB88" s="412"/>
      <c r="DC88" s="411"/>
      <c r="DD88" s="408"/>
      <c r="DE88" s="408"/>
      <c r="DF88" s="408"/>
      <c r="DG88" s="408"/>
      <c r="DH88" s="408"/>
      <c r="DI88" s="408"/>
      <c r="DJ88" s="408"/>
      <c r="DK88" s="408"/>
      <c r="DL88" s="408"/>
      <c r="DM88" s="408"/>
      <c r="DN88" s="408"/>
      <c r="DO88" s="408"/>
      <c r="DP88" s="408"/>
      <c r="DQ88" s="408"/>
      <c r="DR88" s="408"/>
      <c r="DS88" s="408"/>
      <c r="DT88" s="408"/>
      <c r="DU88" s="408"/>
      <c r="DV88" s="408"/>
      <c r="DW88" s="408"/>
      <c r="DX88" s="408"/>
      <c r="DY88" s="408"/>
      <c r="DZ88" s="408"/>
      <c r="EA88" s="412"/>
      <c r="EB88" s="411"/>
      <c r="EC88" s="408"/>
      <c r="ED88" s="408"/>
      <c r="EE88" s="408"/>
      <c r="EF88" s="408"/>
      <c r="EG88" s="408"/>
      <c r="EH88" s="408"/>
      <c r="EI88" s="408"/>
      <c r="EJ88" s="408"/>
      <c r="EK88" s="408"/>
      <c r="EL88" s="408"/>
      <c r="EM88" s="408"/>
      <c r="EN88" s="408"/>
      <c r="EO88" s="408"/>
      <c r="EP88" s="408"/>
      <c r="EQ88" s="408"/>
      <c r="ER88" s="408"/>
      <c r="ES88" s="408"/>
      <c r="ET88" s="408"/>
      <c r="EU88" s="408"/>
      <c r="EV88" s="408"/>
      <c r="EW88" s="408"/>
      <c r="EX88" s="408"/>
      <c r="EY88" s="408"/>
      <c r="EZ88" s="412"/>
      <c r="FA88" s="411"/>
      <c r="FB88" s="408"/>
      <c r="FC88" s="408"/>
      <c r="FD88" s="408"/>
      <c r="FE88" s="408"/>
      <c r="FF88" s="408"/>
      <c r="FG88" s="408"/>
      <c r="FH88" s="408"/>
      <c r="FI88" s="408"/>
      <c r="FJ88" s="408"/>
      <c r="FK88" s="408"/>
      <c r="FL88" s="408"/>
      <c r="FM88" s="408"/>
      <c r="FN88" s="408"/>
      <c r="FO88" s="408"/>
      <c r="FP88" s="408"/>
      <c r="FQ88" s="408"/>
      <c r="FR88" s="408"/>
      <c r="FS88" s="408"/>
      <c r="FT88" s="408"/>
      <c r="FU88" s="408"/>
      <c r="FV88" s="408"/>
      <c r="FW88" s="408"/>
      <c r="FX88" s="408"/>
      <c r="FY88" s="412"/>
      <c r="FZ88" s="411"/>
      <c r="GA88" s="408"/>
      <c r="GB88" s="408"/>
      <c r="GC88" s="408"/>
      <c r="GD88" s="408"/>
      <c r="GE88" s="408"/>
      <c r="GF88" s="408"/>
      <c r="GG88" s="408"/>
      <c r="GH88" s="408"/>
      <c r="GI88" s="408"/>
      <c r="GJ88" s="408"/>
      <c r="GK88" s="408"/>
      <c r="GL88" s="408"/>
      <c r="GM88" s="408"/>
      <c r="GN88" s="408"/>
      <c r="GO88" s="408"/>
      <c r="GP88" s="408"/>
      <c r="GQ88" s="408"/>
      <c r="GR88" s="408"/>
      <c r="GS88" s="408"/>
      <c r="GT88" s="408"/>
      <c r="GU88" s="408"/>
      <c r="GV88" s="408"/>
      <c r="GW88" s="408"/>
      <c r="GX88" s="412"/>
      <c r="GY88" s="411"/>
      <c r="GZ88" s="408"/>
      <c r="HA88" s="408"/>
      <c r="HB88" s="408"/>
      <c r="HC88" s="408"/>
      <c r="HD88" s="408"/>
      <c r="HE88" s="408"/>
      <c r="HF88" s="408"/>
      <c r="HG88" s="408"/>
      <c r="HH88" s="408"/>
      <c r="HI88" s="408"/>
      <c r="HJ88" s="408"/>
      <c r="HK88" s="408"/>
      <c r="HL88" s="408"/>
      <c r="HM88" s="408"/>
      <c r="HN88" s="408"/>
      <c r="HO88" s="408"/>
      <c r="HP88" s="408"/>
      <c r="HQ88" s="408"/>
      <c r="HR88" s="408"/>
      <c r="HS88" s="408"/>
      <c r="HT88" s="408"/>
      <c r="HU88" s="408"/>
      <c r="HV88" s="408"/>
      <c r="HW88" s="412"/>
    </row>
    <row r="89" spans="1:231" ht="24" customHeight="1">
      <c r="A89" s="411"/>
      <c r="B89" s="408"/>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12"/>
      <c r="AA89" s="408"/>
      <c r="AB89" s="408"/>
      <c r="AC89" s="408"/>
      <c r="AD89" s="408"/>
      <c r="AE89" s="408"/>
      <c r="AF89" s="411"/>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s="408"/>
      <c r="BC89" s="408"/>
      <c r="BD89" s="412"/>
      <c r="BE89" s="411"/>
      <c r="BF89" s="408"/>
      <c r="BG89" s="408"/>
      <c r="BH89" s="408"/>
      <c r="BI89" s="408"/>
      <c r="BJ89" s="408"/>
      <c r="BK89" s="408"/>
      <c r="BL89" s="408"/>
      <c r="BM89" s="408"/>
      <c r="BN89" s="408"/>
      <c r="BO89" s="408"/>
      <c r="BP89" s="408"/>
      <c r="BQ89" s="408"/>
      <c r="BR89" s="408"/>
      <c r="BS89" s="408"/>
      <c r="BT89" s="408"/>
      <c r="BU89" s="408"/>
      <c r="BV89" s="408"/>
      <c r="BW89" s="408"/>
      <c r="BX89" s="408"/>
      <c r="BY89" s="408"/>
      <c r="BZ89" s="408"/>
      <c r="CA89" s="408"/>
      <c r="CB89" s="408"/>
      <c r="CC89" s="412"/>
      <c r="CD89" s="411"/>
      <c r="CE89" s="408"/>
      <c r="CF89" s="408"/>
      <c r="CG89" s="408"/>
      <c r="CH89" s="408"/>
      <c r="CI89" s="408"/>
      <c r="CJ89" s="408"/>
      <c r="CK89" s="408"/>
      <c r="CL89" s="408"/>
      <c r="CM89" s="408"/>
      <c r="CN89" s="408"/>
      <c r="CO89" s="408"/>
      <c r="CP89" s="408"/>
      <c r="CQ89" s="408"/>
      <c r="CR89" s="408"/>
      <c r="CS89" s="408"/>
      <c r="CT89" s="408"/>
      <c r="CU89" s="408"/>
      <c r="CV89" s="408"/>
      <c r="CW89" s="408"/>
      <c r="CX89" s="408"/>
      <c r="CY89" s="408"/>
      <c r="CZ89" s="408"/>
      <c r="DA89" s="408"/>
      <c r="DB89" s="412"/>
      <c r="DC89" s="411"/>
      <c r="DD89" s="408"/>
      <c r="DE89" s="408"/>
      <c r="DF89" s="408"/>
      <c r="DG89" s="408"/>
      <c r="DH89" s="408"/>
      <c r="DI89" s="408"/>
      <c r="DJ89" s="408"/>
      <c r="DK89" s="408"/>
      <c r="DL89" s="408"/>
      <c r="DM89" s="408"/>
      <c r="DN89" s="408"/>
      <c r="DO89" s="408"/>
      <c r="DP89" s="408"/>
      <c r="DQ89" s="408"/>
      <c r="DR89" s="408"/>
      <c r="DS89" s="408"/>
      <c r="DT89" s="408"/>
      <c r="DU89" s="408"/>
      <c r="DV89" s="408"/>
      <c r="DW89" s="408"/>
      <c r="DX89" s="408"/>
      <c r="DY89" s="408"/>
      <c r="DZ89" s="408"/>
      <c r="EA89" s="412"/>
      <c r="EB89" s="411"/>
      <c r="EC89" s="408"/>
      <c r="ED89" s="408"/>
      <c r="EE89" s="408"/>
      <c r="EF89" s="408"/>
      <c r="EG89" s="408"/>
      <c r="EH89" s="408"/>
      <c r="EI89" s="408"/>
      <c r="EJ89" s="408"/>
      <c r="EK89" s="408"/>
      <c r="EL89" s="408"/>
      <c r="EM89" s="408"/>
      <c r="EN89" s="408"/>
      <c r="EO89" s="408"/>
      <c r="EP89" s="408"/>
      <c r="EQ89" s="408"/>
      <c r="ER89" s="408"/>
      <c r="ES89" s="408"/>
      <c r="ET89" s="408"/>
      <c r="EU89" s="408"/>
      <c r="EV89" s="408"/>
      <c r="EW89" s="408"/>
      <c r="EX89" s="408"/>
      <c r="EY89" s="408"/>
      <c r="EZ89" s="412"/>
      <c r="FA89" s="411"/>
      <c r="FB89" s="408"/>
      <c r="FC89" s="408"/>
      <c r="FD89" s="408"/>
      <c r="FE89" s="408"/>
      <c r="FF89" s="408"/>
      <c r="FG89" s="408"/>
      <c r="FH89" s="408"/>
      <c r="FI89" s="408"/>
      <c r="FJ89" s="408"/>
      <c r="FK89" s="408"/>
      <c r="FL89" s="408"/>
      <c r="FM89" s="408"/>
      <c r="FN89" s="408"/>
      <c r="FO89" s="408"/>
      <c r="FP89" s="408"/>
      <c r="FQ89" s="408"/>
      <c r="FR89" s="408"/>
      <c r="FS89" s="408"/>
      <c r="FT89" s="408"/>
      <c r="FU89" s="408"/>
      <c r="FV89" s="408"/>
      <c r="FW89" s="408"/>
      <c r="FX89" s="408"/>
      <c r="FY89" s="412"/>
      <c r="FZ89" s="411"/>
      <c r="GA89" s="408"/>
      <c r="GB89" s="408"/>
      <c r="GC89" s="408"/>
      <c r="GD89" s="408"/>
      <c r="GE89" s="408"/>
      <c r="GF89" s="408"/>
      <c r="GG89" s="408"/>
      <c r="GH89" s="408"/>
      <c r="GI89" s="408"/>
      <c r="GJ89" s="408"/>
      <c r="GK89" s="408"/>
      <c r="GL89" s="408"/>
      <c r="GM89" s="408"/>
      <c r="GN89" s="408"/>
      <c r="GO89" s="408"/>
      <c r="GP89" s="408"/>
      <c r="GQ89" s="408"/>
      <c r="GR89" s="408"/>
      <c r="GS89" s="408"/>
      <c r="GT89" s="408"/>
      <c r="GU89" s="408"/>
      <c r="GV89" s="408"/>
      <c r="GW89" s="408"/>
      <c r="GX89" s="412"/>
      <c r="GY89" s="411"/>
      <c r="GZ89" s="408"/>
      <c r="HA89" s="408"/>
      <c r="HB89" s="408"/>
      <c r="HC89" s="408"/>
      <c r="HD89" s="408"/>
      <c r="HE89" s="408"/>
      <c r="HF89" s="408"/>
      <c r="HG89" s="408"/>
      <c r="HH89" s="408"/>
      <c r="HI89" s="408"/>
      <c r="HJ89" s="408"/>
      <c r="HK89" s="408"/>
      <c r="HL89" s="408"/>
      <c r="HM89" s="408"/>
      <c r="HN89" s="408"/>
      <c r="HO89" s="408"/>
      <c r="HP89" s="408"/>
      <c r="HQ89" s="408"/>
      <c r="HR89" s="408"/>
      <c r="HS89" s="408"/>
      <c r="HT89" s="408"/>
      <c r="HU89" s="408"/>
      <c r="HV89" s="408"/>
      <c r="HW89" s="412"/>
    </row>
    <row r="90" spans="1:231" ht="24" customHeight="1">
      <c r="A90" s="411"/>
      <c r="B90" s="408"/>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12"/>
      <c r="AA90" s="408"/>
      <c r="AB90" s="408"/>
      <c r="AC90" s="408"/>
      <c r="AD90" s="408"/>
      <c r="AE90" s="408"/>
      <c r="AF90" s="411"/>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s="408"/>
      <c r="BC90" s="408"/>
      <c r="BD90" s="412"/>
      <c r="BE90" s="411"/>
      <c r="BF90" s="408"/>
      <c r="BG90" s="408"/>
      <c r="BH90" s="408"/>
      <c r="BI90" s="408"/>
      <c r="BJ90" s="408"/>
      <c r="BK90" s="408"/>
      <c r="BL90" s="408"/>
      <c r="BM90" s="408"/>
      <c r="BN90" s="408"/>
      <c r="BO90" s="408"/>
      <c r="BP90" s="408"/>
      <c r="BQ90" s="408"/>
      <c r="BR90" s="408"/>
      <c r="BS90" s="408"/>
      <c r="BT90" s="408"/>
      <c r="BU90" s="408"/>
      <c r="BV90" s="408"/>
      <c r="BW90" s="408"/>
      <c r="BX90" s="408"/>
      <c r="BY90" s="408"/>
      <c r="BZ90" s="408"/>
      <c r="CA90" s="408"/>
      <c r="CB90" s="408"/>
      <c r="CC90" s="412"/>
      <c r="CD90" s="411"/>
      <c r="CE90" s="408"/>
      <c r="CF90" s="408"/>
      <c r="CG90" s="408"/>
      <c r="CH90" s="408"/>
      <c r="CI90" s="408"/>
      <c r="CJ90" s="408"/>
      <c r="CK90" s="408"/>
      <c r="CL90" s="408"/>
      <c r="CM90" s="408"/>
      <c r="CN90" s="408"/>
      <c r="CO90" s="408"/>
      <c r="CP90" s="408"/>
      <c r="CQ90" s="408"/>
      <c r="CR90" s="408"/>
      <c r="CS90" s="408"/>
      <c r="CT90" s="408"/>
      <c r="CU90" s="408"/>
      <c r="CV90" s="408"/>
      <c r="CW90" s="408"/>
      <c r="CX90" s="408"/>
      <c r="CY90" s="408"/>
      <c r="CZ90" s="408"/>
      <c r="DA90" s="408"/>
      <c r="DB90" s="412"/>
      <c r="DC90" s="411"/>
      <c r="DD90" s="408"/>
      <c r="DE90" s="408"/>
      <c r="DF90" s="408"/>
      <c r="DG90" s="408"/>
      <c r="DH90" s="408"/>
      <c r="DI90" s="408"/>
      <c r="DJ90" s="408"/>
      <c r="DK90" s="408"/>
      <c r="DL90" s="408"/>
      <c r="DM90" s="408"/>
      <c r="DN90" s="408"/>
      <c r="DO90" s="408"/>
      <c r="DP90" s="408"/>
      <c r="DQ90" s="408"/>
      <c r="DR90" s="408"/>
      <c r="DS90" s="408"/>
      <c r="DT90" s="408"/>
      <c r="DU90" s="408"/>
      <c r="DV90" s="408"/>
      <c r="DW90" s="408"/>
      <c r="DX90" s="408"/>
      <c r="DY90" s="408"/>
      <c r="DZ90" s="408"/>
      <c r="EA90" s="412"/>
      <c r="EB90" s="411"/>
      <c r="EC90" s="408"/>
      <c r="ED90" s="408"/>
      <c r="EE90" s="408"/>
      <c r="EF90" s="408"/>
      <c r="EG90" s="408"/>
      <c r="EH90" s="408"/>
      <c r="EI90" s="408"/>
      <c r="EJ90" s="408"/>
      <c r="EK90" s="408"/>
      <c r="EL90" s="408"/>
      <c r="EM90" s="408"/>
      <c r="EN90" s="408"/>
      <c r="EO90" s="408"/>
      <c r="EP90" s="408"/>
      <c r="EQ90" s="408"/>
      <c r="ER90" s="408"/>
      <c r="ES90" s="408"/>
      <c r="ET90" s="408"/>
      <c r="EU90" s="408"/>
      <c r="EV90" s="408"/>
      <c r="EW90" s="408"/>
      <c r="EX90" s="408"/>
      <c r="EY90" s="408"/>
      <c r="EZ90" s="412"/>
      <c r="FA90" s="411"/>
      <c r="FB90" s="408"/>
      <c r="FC90" s="408"/>
      <c r="FD90" s="408"/>
      <c r="FE90" s="408"/>
      <c r="FF90" s="408"/>
      <c r="FG90" s="408"/>
      <c r="FH90" s="408"/>
      <c r="FI90" s="408"/>
      <c r="FJ90" s="408"/>
      <c r="FK90" s="408"/>
      <c r="FL90" s="408"/>
      <c r="FM90" s="408"/>
      <c r="FN90" s="408"/>
      <c r="FO90" s="408"/>
      <c r="FP90" s="408"/>
      <c r="FQ90" s="408"/>
      <c r="FR90" s="408"/>
      <c r="FS90" s="408"/>
      <c r="FT90" s="408"/>
      <c r="FU90" s="408"/>
      <c r="FV90" s="408"/>
      <c r="FW90" s="408"/>
      <c r="FX90" s="408"/>
      <c r="FY90" s="412"/>
      <c r="FZ90" s="411"/>
      <c r="GA90" s="408"/>
      <c r="GB90" s="408"/>
      <c r="GC90" s="408"/>
      <c r="GD90" s="408"/>
      <c r="GE90" s="408"/>
      <c r="GF90" s="408"/>
      <c r="GG90" s="408"/>
      <c r="GH90" s="408"/>
      <c r="GI90" s="408"/>
      <c r="GJ90" s="408"/>
      <c r="GK90" s="408"/>
      <c r="GL90" s="408"/>
      <c r="GM90" s="408"/>
      <c r="GN90" s="408"/>
      <c r="GO90" s="408"/>
      <c r="GP90" s="408"/>
      <c r="GQ90" s="408"/>
      <c r="GR90" s="408"/>
      <c r="GS90" s="408"/>
      <c r="GT90" s="408"/>
      <c r="GU90" s="408"/>
      <c r="GV90" s="408"/>
      <c r="GW90" s="408"/>
      <c r="GX90" s="412"/>
      <c r="GY90" s="411"/>
      <c r="GZ90" s="408"/>
      <c r="HA90" s="408"/>
      <c r="HB90" s="408"/>
      <c r="HC90" s="408"/>
      <c r="HD90" s="408"/>
      <c r="HE90" s="408"/>
      <c r="HF90" s="408"/>
      <c r="HG90" s="408"/>
      <c r="HH90" s="408"/>
      <c r="HI90" s="408"/>
      <c r="HJ90" s="408"/>
      <c r="HK90" s="408"/>
      <c r="HL90" s="408"/>
      <c r="HM90" s="408"/>
      <c r="HN90" s="408"/>
      <c r="HO90" s="408"/>
      <c r="HP90" s="408"/>
      <c r="HQ90" s="408"/>
      <c r="HR90" s="408"/>
      <c r="HS90" s="408"/>
      <c r="HT90" s="408"/>
      <c r="HU90" s="408"/>
      <c r="HV90" s="408"/>
      <c r="HW90" s="412"/>
    </row>
    <row r="91" spans="1:231" ht="24" customHeight="1">
      <c r="A91" s="411"/>
      <c r="B91" s="408"/>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12"/>
      <c r="AA91" s="408"/>
      <c r="AB91" s="408"/>
      <c r="AC91" s="408"/>
      <c r="AD91" s="408"/>
      <c r="AE91" s="408"/>
      <c r="AF91" s="411"/>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s="408"/>
      <c r="BC91" s="408"/>
      <c r="BD91" s="412"/>
      <c r="BE91" s="411"/>
      <c r="BF91" s="408"/>
      <c r="BG91" s="408"/>
      <c r="BH91" s="408"/>
      <c r="BI91" s="408"/>
      <c r="BJ91" s="408"/>
      <c r="BK91" s="408"/>
      <c r="BL91" s="408"/>
      <c r="BM91" s="408"/>
      <c r="BN91" s="408"/>
      <c r="BO91" s="408"/>
      <c r="BP91" s="408"/>
      <c r="BQ91" s="408"/>
      <c r="BR91" s="408"/>
      <c r="BS91" s="408"/>
      <c r="BT91" s="408"/>
      <c r="BU91" s="408"/>
      <c r="BV91" s="408"/>
      <c r="BW91" s="408"/>
      <c r="BX91" s="408"/>
      <c r="BY91" s="408"/>
      <c r="BZ91" s="408"/>
      <c r="CA91" s="408"/>
      <c r="CB91" s="408"/>
      <c r="CC91" s="412"/>
      <c r="CD91" s="411"/>
      <c r="CE91" s="408"/>
      <c r="CF91" s="408"/>
      <c r="CG91" s="408"/>
      <c r="CH91" s="408"/>
      <c r="CI91" s="408"/>
      <c r="CJ91" s="408"/>
      <c r="CK91" s="408"/>
      <c r="CL91" s="408"/>
      <c r="CM91" s="408"/>
      <c r="CN91" s="408"/>
      <c r="CO91" s="408"/>
      <c r="CP91" s="408"/>
      <c r="CQ91" s="408"/>
      <c r="CR91" s="408"/>
      <c r="CS91" s="408"/>
      <c r="CT91" s="408"/>
      <c r="CU91" s="408"/>
      <c r="CV91" s="408"/>
      <c r="CW91" s="408"/>
      <c r="CX91" s="408"/>
      <c r="CY91" s="408"/>
      <c r="CZ91" s="408"/>
      <c r="DA91" s="408"/>
      <c r="DB91" s="412"/>
      <c r="DC91" s="411"/>
      <c r="DD91" s="408"/>
      <c r="DE91" s="408"/>
      <c r="DF91" s="408"/>
      <c r="DG91" s="408"/>
      <c r="DH91" s="408"/>
      <c r="DI91" s="408"/>
      <c r="DJ91" s="408"/>
      <c r="DK91" s="408"/>
      <c r="DL91" s="408"/>
      <c r="DM91" s="408"/>
      <c r="DN91" s="408"/>
      <c r="DO91" s="408"/>
      <c r="DP91" s="408"/>
      <c r="DQ91" s="408"/>
      <c r="DR91" s="408"/>
      <c r="DS91" s="408"/>
      <c r="DT91" s="408"/>
      <c r="DU91" s="408"/>
      <c r="DV91" s="408"/>
      <c r="DW91" s="408"/>
      <c r="DX91" s="408"/>
      <c r="DY91" s="408"/>
      <c r="DZ91" s="408"/>
      <c r="EA91" s="412"/>
      <c r="EB91" s="411"/>
      <c r="EC91" s="408"/>
      <c r="ED91" s="408"/>
      <c r="EE91" s="408"/>
      <c r="EF91" s="408"/>
      <c r="EG91" s="408"/>
      <c r="EH91" s="408"/>
      <c r="EI91" s="408"/>
      <c r="EJ91" s="408"/>
      <c r="EK91" s="408"/>
      <c r="EL91" s="408"/>
      <c r="EM91" s="408"/>
      <c r="EN91" s="408"/>
      <c r="EO91" s="408"/>
      <c r="EP91" s="408"/>
      <c r="EQ91" s="408"/>
      <c r="ER91" s="408"/>
      <c r="ES91" s="408"/>
      <c r="ET91" s="408"/>
      <c r="EU91" s="408"/>
      <c r="EV91" s="408"/>
      <c r="EW91" s="408"/>
      <c r="EX91" s="408"/>
      <c r="EY91" s="408"/>
      <c r="EZ91" s="412"/>
      <c r="FA91" s="411"/>
      <c r="FB91" s="408"/>
      <c r="FC91" s="408"/>
      <c r="FD91" s="408"/>
      <c r="FE91" s="408"/>
      <c r="FF91" s="408"/>
      <c r="FG91" s="408"/>
      <c r="FH91" s="408"/>
      <c r="FI91" s="408"/>
      <c r="FJ91" s="408"/>
      <c r="FK91" s="408"/>
      <c r="FL91" s="408"/>
      <c r="FM91" s="408"/>
      <c r="FN91" s="408"/>
      <c r="FO91" s="408"/>
      <c r="FP91" s="408"/>
      <c r="FQ91" s="408"/>
      <c r="FR91" s="408"/>
      <c r="FS91" s="408"/>
      <c r="FT91" s="408"/>
      <c r="FU91" s="408"/>
      <c r="FV91" s="408"/>
      <c r="FW91" s="408"/>
      <c r="FX91" s="408"/>
      <c r="FY91" s="412"/>
      <c r="FZ91" s="411"/>
      <c r="GA91" s="408"/>
      <c r="GB91" s="408"/>
      <c r="GC91" s="408"/>
      <c r="GD91" s="408"/>
      <c r="GE91" s="408"/>
      <c r="GF91" s="408"/>
      <c r="GG91" s="408"/>
      <c r="GH91" s="408"/>
      <c r="GI91" s="408"/>
      <c r="GJ91" s="408"/>
      <c r="GK91" s="408"/>
      <c r="GL91" s="408"/>
      <c r="GM91" s="408"/>
      <c r="GN91" s="408"/>
      <c r="GO91" s="408"/>
      <c r="GP91" s="408"/>
      <c r="GQ91" s="408"/>
      <c r="GR91" s="408"/>
      <c r="GS91" s="408"/>
      <c r="GT91" s="408"/>
      <c r="GU91" s="408"/>
      <c r="GV91" s="408"/>
      <c r="GW91" s="408"/>
      <c r="GX91" s="412"/>
      <c r="GY91" s="411"/>
      <c r="GZ91" s="408"/>
      <c r="HA91" s="408"/>
      <c r="HB91" s="408"/>
      <c r="HC91" s="408"/>
      <c r="HD91" s="408"/>
      <c r="HE91" s="408"/>
      <c r="HF91" s="408"/>
      <c r="HG91" s="408"/>
      <c r="HH91" s="408"/>
      <c r="HI91" s="408"/>
      <c r="HJ91" s="408"/>
      <c r="HK91" s="408"/>
      <c r="HL91" s="408"/>
      <c r="HM91" s="408"/>
      <c r="HN91" s="408"/>
      <c r="HO91" s="408"/>
      <c r="HP91" s="408"/>
      <c r="HQ91" s="408"/>
      <c r="HR91" s="408"/>
      <c r="HS91" s="408"/>
      <c r="HT91" s="408"/>
      <c r="HU91" s="408"/>
      <c r="HV91" s="408"/>
      <c r="HW91" s="412"/>
    </row>
    <row r="92" spans="1:231" ht="24" customHeight="1">
      <c r="A92" s="411"/>
      <c r="B92" s="408"/>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12"/>
      <c r="AA92" s="408"/>
      <c r="AB92" s="408"/>
      <c r="AC92" s="408"/>
      <c r="AD92" s="408"/>
      <c r="AE92" s="408"/>
      <c r="AF92" s="411"/>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s="408"/>
      <c r="BC92" s="408"/>
      <c r="BD92" s="412"/>
      <c r="BE92" s="411"/>
      <c r="BF92" s="408"/>
      <c r="BG92" s="408"/>
      <c r="BH92" s="408"/>
      <c r="BI92" s="408"/>
      <c r="BJ92" s="408"/>
      <c r="BK92" s="408"/>
      <c r="BL92" s="408"/>
      <c r="BM92" s="408"/>
      <c r="BN92" s="408"/>
      <c r="BO92" s="408"/>
      <c r="BP92" s="408"/>
      <c r="BQ92" s="408"/>
      <c r="BR92" s="408"/>
      <c r="BS92" s="408"/>
      <c r="BT92" s="408"/>
      <c r="BU92" s="408"/>
      <c r="BV92" s="408"/>
      <c r="BW92" s="408"/>
      <c r="BX92" s="408"/>
      <c r="BY92" s="408"/>
      <c r="BZ92" s="408"/>
      <c r="CA92" s="408"/>
      <c r="CB92" s="408"/>
      <c r="CC92" s="412"/>
      <c r="CD92" s="411"/>
      <c r="CE92" s="408"/>
      <c r="CF92" s="408"/>
      <c r="CG92" s="408"/>
      <c r="CH92" s="408"/>
      <c r="CI92" s="408"/>
      <c r="CJ92" s="408"/>
      <c r="CK92" s="408"/>
      <c r="CL92" s="408"/>
      <c r="CM92" s="408"/>
      <c r="CN92" s="408"/>
      <c r="CO92" s="408"/>
      <c r="CP92" s="408"/>
      <c r="CQ92" s="408"/>
      <c r="CR92" s="408"/>
      <c r="CS92" s="408"/>
      <c r="CT92" s="408"/>
      <c r="CU92" s="408"/>
      <c r="CV92" s="408"/>
      <c r="CW92" s="408"/>
      <c r="CX92" s="408"/>
      <c r="CY92" s="408"/>
      <c r="CZ92" s="408"/>
      <c r="DA92" s="408"/>
      <c r="DB92" s="412"/>
      <c r="DC92" s="411"/>
      <c r="DD92" s="408"/>
      <c r="DE92" s="408"/>
      <c r="DF92" s="408"/>
      <c r="DG92" s="408"/>
      <c r="DH92" s="408"/>
      <c r="DI92" s="408"/>
      <c r="DJ92" s="408"/>
      <c r="DK92" s="408"/>
      <c r="DL92" s="408"/>
      <c r="DM92" s="408"/>
      <c r="DN92" s="408"/>
      <c r="DO92" s="408"/>
      <c r="DP92" s="408"/>
      <c r="DQ92" s="408"/>
      <c r="DR92" s="408"/>
      <c r="DS92" s="408"/>
      <c r="DT92" s="408"/>
      <c r="DU92" s="408"/>
      <c r="DV92" s="408"/>
      <c r="DW92" s="408"/>
      <c r="DX92" s="408"/>
      <c r="DY92" s="408"/>
      <c r="DZ92" s="408"/>
      <c r="EA92" s="412"/>
      <c r="EB92" s="411"/>
      <c r="EC92" s="408"/>
      <c r="ED92" s="408"/>
      <c r="EE92" s="408"/>
      <c r="EF92" s="408"/>
      <c r="EG92" s="408"/>
      <c r="EH92" s="408"/>
      <c r="EI92" s="408"/>
      <c r="EJ92" s="408"/>
      <c r="EK92" s="408"/>
      <c r="EL92" s="408"/>
      <c r="EM92" s="408"/>
      <c r="EN92" s="408"/>
      <c r="EO92" s="408"/>
      <c r="EP92" s="408"/>
      <c r="EQ92" s="408"/>
      <c r="ER92" s="408"/>
      <c r="ES92" s="408"/>
      <c r="ET92" s="408"/>
      <c r="EU92" s="408"/>
      <c r="EV92" s="408"/>
      <c r="EW92" s="408"/>
      <c r="EX92" s="408"/>
      <c r="EY92" s="408"/>
      <c r="EZ92" s="412"/>
      <c r="FA92" s="411"/>
      <c r="FB92" s="408"/>
      <c r="FC92" s="408"/>
      <c r="FD92" s="408"/>
      <c r="FE92" s="408"/>
      <c r="FF92" s="408"/>
      <c r="FG92" s="408"/>
      <c r="FH92" s="408"/>
      <c r="FI92" s="408"/>
      <c r="FJ92" s="408"/>
      <c r="FK92" s="408"/>
      <c r="FL92" s="408"/>
      <c r="FM92" s="408"/>
      <c r="FN92" s="408"/>
      <c r="FO92" s="408"/>
      <c r="FP92" s="408"/>
      <c r="FQ92" s="408"/>
      <c r="FR92" s="408"/>
      <c r="FS92" s="408"/>
      <c r="FT92" s="408"/>
      <c r="FU92" s="408"/>
      <c r="FV92" s="408"/>
      <c r="FW92" s="408"/>
      <c r="FX92" s="408"/>
      <c r="FY92" s="412"/>
      <c r="FZ92" s="411"/>
      <c r="GA92" s="408"/>
      <c r="GB92" s="408"/>
      <c r="GC92" s="408"/>
      <c r="GD92" s="408"/>
      <c r="GE92" s="408"/>
      <c r="GF92" s="408"/>
      <c r="GG92" s="408"/>
      <c r="GH92" s="408"/>
      <c r="GI92" s="408"/>
      <c r="GJ92" s="408"/>
      <c r="GK92" s="408"/>
      <c r="GL92" s="408"/>
      <c r="GM92" s="408"/>
      <c r="GN92" s="408"/>
      <c r="GO92" s="408"/>
      <c r="GP92" s="408"/>
      <c r="GQ92" s="408"/>
      <c r="GR92" s="408"/>
      <c r="GS92" s="408"/>
      <c r="GT92" s="408"/>
      <c r="GU92" s="408"/>
      <c r="GV92" s="408"/>
      <c r="GW92" s="408"/>
      <c r="GX92" s="412"/>
      <c r="GY92" s="411"/>
      <c r="GZ92" s="408"/>
      <c r="HA92" s="408"/>
      <c r="HB92" s="408"/>
      <c r="HC92" s="408"/>
      <c r="HD92" s="408"/>
      <c r="HE92" s="408"/>
      <c r="HF92" s="408"/>
      <c r="HG92" s="408"/>
      <c r="HH92" s="408"/>
      <c r="HI92" s="408"/>
      <c r="HJ92" s="408"/>
      <c r="HK92" s="408"/>
      <c r="HL92" s="408"/>
      <c r="HM92" s="408"/>
      <c r="HN92" s="408"/>
      <c r="HO92" s="408"/>
      <c r="HP92" s="408"/>
      <c r="HQ92" s="408"/>
      <c r="HR92" s="408"/>
      <c r="HS92" s="408"/>
      <c r="HT92" s="408"/>
      <c r="HU92" s="408"/>
      <c r="HV92" s="408"/>
      <c r="HW92" s="412"/>
    </row>
    <row r="93" spans="1:231" ht="24" customHeight="1">
      <c r="A93" s="411"/>
      <c r="B93" s="408"/>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12"/>
      <c r="AA93" s="408"/>
      <c r="AB93" s="408"/>
      <c r="AC93" s="408"/>
      <c r="AD93" s="408"/>
      <c r="AE93" s="408"/>
      <c r="AF93" s="411"/>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s="408"/>
      <c r="BC93" s="408"/>
      <c r="BD93" s="412"/>
      <c r="BE93" s="411"/>
      <c r="BF93" s="408"/>
      <c r="BG93" s="408"/>
      <c r="BH93" s="408"/>
      <c r="BI93" s="408"/>
      <c r="BJ93" s="408"/>
      <c r="BK93" s="408"/>
      <c r="BL93" s="408"/>
      <c r="BM93" s="408"/>
      <c r="BN93" s="408"/>
      <c r="BO93" s="408"/>
      <c r="BP93" s="408"/>
      <c r="BQ93" s="408"/>
      <c r="BR93" s="408"/>
      <c r="BS93" s="408"/>
      <c r="BT93" s="408"/>
      <c r="BU93" s="408"/>
      <c r="BV93" s="408"/>
      <c r="BW93" s="408"/>
      <c r="BX93" s="408"/>
      <c r="BY93" s="408"/>
      <c r="BZ93" s="408"/>
      <c r="CA93" s="408"/>
      <c r="CB93" s="408"/>
      <c r="CC93" s="412"/>
      <c r="CD93" s="411"/>
      <c r="CE93" s="408"/>
      <c r="CF93" s="408"/>
      <c r="CG93" s="408"/>
      <c r="CH93" s="408"/>
      <c r="CI93" s="408"/>
      <c r="CJ93" s="408"/>
      <c r="CK93" s="408"/>
      <c r="CL93" s="408"/>
      <c r="CM93" s="408"/>
      <c r="CN93" s="408"/>
      <c r="CO93" s="408"/>
      <c r="CP93" s="408"/>
      <c r="CQ93" s="408"/>
      <c r="CR93" s="408"/>
      <c r="CS93" s="408"/>
      <c r="CT93" s="408"/>
      <c r="CU93" s="408"/>
      <c r="CV93" s="408"/>
      <c r="CW93" s="408"/>
      <c r="CX93" s="408"/>
      <c r="CY93" s="408"/>
      <c r="CZ93" s="408"/>
      <c r="DA93" s="408"/>
      <c r="DB93" s="412"/>
      <c r="DC93" s="411"/>
      <c r="DD93" s="408"/>
      <c r="DE93" s="408"/>
      <c r="DF93" s="408"/>
      <c r="DG93" s="408"/>
      <c r="DH93" s="408"/>
      <c r="DI93" s="408"/>
      <c r="DJ93" s="408"/>
      <c r="DK93" s="408"/>
      <c r="DL93" s="408"/>
      <c r="DM93" s="408"/>
      <c r="DN93" s="408"/>
      <c r="DO93" s="408"/>
      <c r="DP93" s="408"/>
      <c r="DQ93" s="408"/>
      <c r="DR93" s="408"/>
      <c r="DS93" s="408"/>
      <c r="DT93" s="408"/>
      <c r="DU93" s="408"/>
      <c r="DV93" s="408"/>
      <c r="DW93" s="408"/>
      <c r="DX93" s="408"/>
      <c r="DY93" s="408"/>
      <c r="DZ93" s="408"/>
      <c r="EA93" s="412"/>
      <c r="EB93" s="411"/>
      <c r="EC93" s="408"/>
      <c r="ED93" s="408"/>
      <c r="EE93" s="408"/>
      <c r="EF93" s="408"/>
      <c r="EG93" s="408"/>
      <c r="EH93" s="408"/>
      <c r="EI93" s="408"/>
      <c r="EJ93" s="408"/>
      <c r="EK93" s="408"/>
      <c r="EL93" s="408"/>
      <c r="EM93" s="408"/>
      <c r="EN93" s="408"/>
      <c r="EO93" s="408"/>
      <c r="EP93" s="408"/>
      <c r="EQ93" s="408"/>
      <c r="ER93" s="408"/>
      <c r="ES93" s="408"/>
      <c r="ET93" s="408"/>
      <c r="EU93" s="408"/>
      <c r="EV93" s="408"/>
      <c r="EW93" s="408"/>
      <c r="EX93" s="408"/>
      <c r="EY93" s="408"/>
      <c r="EZ93" s="412"/>
      <c r="FA93" s="411"/>
      <c r="FB93" s="408"/>
      <c r="FC93" s="408"/>
      <c r="FD93" s="408"/>
      <c r="FE93" s="408"/>
      <c r="FF93" s="408"/>
      <c r="FG93" s="408"/>
      <c r="FH93" s="408"/>
      <c r="FI93" s="408"/>
      <c r="FJ93" s="408"/>
      <c r="FK93" s="408"/>
      <c r="FL93" s="408"/>
      <c r="FM93" s="408"/>
      <c r="FN93" s="408"/>
      <c r="FO93" s="408"/>
      <c r="FP93" s="408"/>
      <c r="FQ93" s="408"/>
      <c r="FR93" s="408"/>
      <c r="FS93" s="408"/>
      <c r="FT93" s="408"/>
      <c r="FU93" s="408"/>
      <c r="FV93" s="408"/>
      <c r="FW93" s="408"/>
      <c r="FX93" s="408"/>
      <c r="FY93" s="412"/>
      <c r="FZ93" s="411"/>
      <c r="GA93" s="408"/>
      <c r="GB93" s="408"/>
      <c r="GC93" s="408"/>
      <c r="GD93" s="408"/>
      <c r="GE93" s="408"/>
      <c r="GF93" s="408"/>
      <c r="GG93" s="408"/>
      <c r="GH93" s="408"/>
      <c r="GI93" s="408"/>
      <c r="GJ93" s="408"/>
      <c r="GK93" s="408"/>
      <c r="GL93" s="408"/>
      <c r="GM93" s="408"/>
      <c r="GN93" s="408"/>
      <c r="GO93" s="408"/>
      <c r="GP93" s="408"/>
      <c r="GQ93" s="408"/>
      <c r="GR93" s="408"/>
      <c r="GS93" s="408"/>
      <c r="GT93" s="408"/>
      <c r="GU93" s="408"/>
      <c r="GV93" s="408"/>
      <c r="GW93" s="408"/>
      <c r="GX93" s="412"/>
      <c r="GY93" s="411"/>
      <c r="GZ93" s="408"/>
      <c r="HA93" s="408"/>
      <c r="HB93" s="408"/>
      <c r="HC93" s="408"/>
      <c r="HD93" s="408"/>
      <c r="HE93" s="408"/>
      <c r="HF93" s="408"/>
      <c r="HG93" s="408"/>
      <c r="HH93" s="408"/>
      <c r="HI93" s="408"/>
      <c r="HJ93" s="408"/>
      <c r="HK93" s="408"/>
      <c r="HL93" s="408"/>
      <c r="HM93" s="408"/>
      <c r="HN93" s="408"/>
      <c r="HO93" s="408"/>
      <c r="HP93" s="408"/>
      <c r="HQ93" s="408"/>
      <c r="HR93" s="408"/>
      <c r="HS93" s="408"/>
      <c r="HT93" s="408"/>
      <c r="HU93" s="408"/>
      <c r="HV93" s="408"/>
      <c r="HW93" s="412"/>
    </row>
    <row r="94" spans="1:231" ht="24" customHeight="1" thickBot="1">
      <c r="A94" s="411"/>
      <c r="B94" s="413"/>
      <c r="C94" s="413"/>
      <c r="D94" s="413"/>
      <c r="E94" s="408"/>
      <c r="F94" s="408"/>
      <c r="G94" s="408"/>
      <c r="H94" s="408"/>
      <c r="I94" s="408"/>
      <c r="J94" s="408"/>
      <c r="K94" s="408"/>
      <c r="L94" s="408"/>
      <c r="M94" s="408"/>
      <c r="N94" s="408"/>
      <c r="O94" s="408"/>
      <c r="P94" s="408"/>
      <c r="Q94" s="408"/>
      <c r="R94" s="408"/>
      <c r="S94" s="408"/>
      <c r="T94" s="408"/>
      <c r="U94" s="408"/>
      <c r="V94" s="408"/>
      <c r="W94" s="408"/>
      <c r="X94" s="408"/>
      <c r="Y94" s="408"/>
      <c r="Z94" s="412"/>
      <c r="AA94" s="408"/>
      <c r="AB94" s="408"/>
      <c r="AC94" s="408"/>
      <c r="AD94" s="408"/>
      <c r="AE94" s="408"/>
      <c r="AF94" s="411"/>
      <c r="AG94" s="413"/>
      <c r="AH94" s="413"/>
      <c r="AI94" s="413"/>
      <c r="AJ94" s="408"/>
      <c r="AK94" s="408"/>
      <c r="AL94" s="408"/>
      <c r="AM94" s="408"/>
      <c r="AN94" s="408"/>
      <c r="AO94" s="408"/>
      <c r="AP94" s="408"/>
      <c r="AQ94" s="408"/>
      <c r="AR94" s="408"/>
      <c r="AS94" s="408"/>
      <c r="AT94" s="408"/>
      <c r="AU94" s="408"/>
      <c r="AV94" s="408"/>
      <c r="AW94" s="408"/>
      <c r="AX94" s="408"/>
      <c r="AY94" s="408"/>
      <c r="AZ94" s="408"/>
      <c r="BA94" s="408"/>
      <c r="BB94" s="408"/>
      <c r="BC94" s="408"/>
      <c r="BD94" s="412"/>
      <c r="BE94" s="411"/>
      <c r="BF94" s="413"/>
      <c r="BG94" s="413"/>
      <c r="BH94" s="413"/>
      <c r="BI94" s="408"/>
      <c r="BJ94" s="408"/>
      <c r="BK94" s="408"/>
      <c r="BL94" s="408"/>
      <c r="BM94" s="408"/>
      <c r="BN94" s="408"/>
      <c r="BO94" s="408"/>
      <c r="BP94" s="408"/>
      <c r="BQ94" s="408"/>
      <c r="BR94" s="408"/>
      <c r="BS94" s="408"/>
      <c r="BT94" s="408"/>
      <c r="BU94" s="408"/>
      <c r="BV94" s="408"/>
      <c r="BW94" s="408"/>
      <c r="BX94" s="408"/>
      <c r="BY94" s="408"/>
      <c r="BZ94" s="408"/>
      <c r="CA94" s="408"/>
      <c r="CB94" s="408"/>
      <c r="CC94" s="412"/>
      <c r="CD94" s="411"/>
      <c r="CE94" s="413"/>
      <c r="CF94" s="413"/>
      <c r="CG94" s="413"/>
      <c r="CH94" s="408"/>
      <c r="CI94" s="408"/>
      <c r="CJ94" s="408"/>
      <c r="CK94" s="408"/>
      <c r="CL94" s="408"/>
      <c r="CM94" s="408"/>
      <c r="CN94" s="408"/>
      <c r="CO94" s="408"/>
      <c r="CP94" s="408"/>
      <c r="CQ94" s="408"/>
      <c r="CR94" s="408"/>
      <c r="CS94" s="408"/>
      <c r="CT94" s="408"/>
      <c r="CU94" s="408"/>
      <c r="CV94" s="408"/>
      <c r="CW94" s="408"/>
      <c r="CX94" s="408"/>
      <c r="CY94" s="408"/>
      <c r="CZ94" s="408"/>
      <c r="DA94" s="408"/>
      <c r="DB94" s="412"/>
      <c r="DC94" s="411"/>
      <c r="DD94" s="413"/>
      <c r="DE94" s="413"/>
      <c r="DF94" s="413"/>
      <c r="DG94" s="408"/>
      <c r="DH94" s="408"/>
      <c r="DI94" s="408"/>
      <c r="DJ94" s="408"/>
      <c r="DK94" s="408"/>
      <c r="DL94" s="408"/>
      <c r="DM94" s="408"/>
      <c r="DN94" s="408"/>
      <c r="DO94" s="408"/>
      <c r="DP94" s="408"/>
      <c r="DQ94" s="408"/>
      <c r="DR94" s="408"/>
      <c r="DS94" s="408"/>
      <c r="DT94" s="408"/>
      <c r="DU94" s="408"/>
      <c r="DV94" s="408"/>
      <c r="DW94" s="408"/>
      <c r="DX94" s="408"/>
      <c r="DY94" s="408"/>
      <c r="DZ94" s="408"/>
      <c r="EA94" s="412"/>
      <c r="EB94" s="411"/>
      <c r="EC94" s="413"/>
      <c r="ED94" s="413"/>
      <c r="EE94" s="413"/>
      <c r="EF94" s="408"/>
      <c r="EG94" s="408"/>
      <c r="EH94" s="408"/>
      <c r="EI94" s="408"/>
      <c r="EJ94" s="408"/>
      <c r="EK94" s="408"/>
      <c r="EL94" s="408"/>
      <c r="EM94" s="408"/>
      <c r="EN94" s="408"/>
      <c r="EO94" s="408"/>
      <c r="EP94" s="408"/>
      <c r="EQ94" s="408"/>
      <c r="ER94" s="408"/>
      <c r="ES94" s="408"/>
      <c r="ET94" s="408"/>
      <c r="EU94" s="408"/>
      <c r="EV94" s="408"/>
      <c r="EW94" s="408"/>
      <c r="EX94" s="408"/>
      <c r="EY94" s="408"/>
      <c r="EZ94" s="412"/>
      <c r="FA94" s="411"/>
      <c r="FB94" s="413"/>
      <c r="FC94" s="413"/>
      <c r="FD94" s="413"/>
      <c r="FE94" s="408"/>
      <c r="FF94" s="408"/>
      <c r="FG94" s="408"/>
      <c r="FH94" s="408"/>
      <c r="FI94" s="408"/>
      <c r="FJ94" s="408"/>
      <c r="FK94" s="408"/>
      <c r="FL94" s="408"/>
      <c r="FM94" s="408"/>
      <c r="FN94" s="408"/>
      <c r="FO94" s="408"/>
      <c r="FP94" s="408"/>
      <c r="FQ94" s="408"/>
      <c r="FR94" s="408"/>
      <c r="FS94" s="408"/>
      <c r="FT94" s="408"/>
      <c r="FU94" s="408"/>
      <c r="FV94" s="408"/>
      <c r="FW94" s="408"/>
      <c r="FX94" s="408"/>
      <c r="FY94" s="412"/>
      <c r="FZ94" s="411"/>
      <c r="GA94" s="413"/>
      <c r="GB94" s="413"/>
      <c r="GC94" s="413"/>
      <c r="GD94" s="408"/>
      <c r="GE94" s="408"/>
      <c r="GF94" s="408"/>
      <c r="GG94" s="408"/>
      <c r="GH94" s="408"/>
      <c r="GI94" s="408"/>
      <c r="GJ94" s="408"/>
      <c r="GK94" s="408"/>
      <c r="GL94" s="408"/>
      <c r="GM94" s="408"/>
      <c r="GN94" s="408"/>
      <c r="GO94" s="408"/>
      <c r="GP94" s="408"/>
      <c r="GQ94" s="408"/>
      <c r="GR94" s="408"/>
      <c r="GS94" s="408"/>
      <c r="GT94" s="408"/>
      <c r="GU94" s="408"/>
      <c r="GV94" s="408"/>
      <c r="GW94" s="408"/>
      <c r="GX94" s="412"/>
      <c r="GY94" s="411"/>
      <c r="GZ94" s="413"/>
      <c r="HA94" s="413"/>
      <c r="HB94" s="413"/>
      <c r="HC94" s="408"/>
      <c r="HD94" s="408"/>
      <c r="HE94" s="408"/>
      <c r="HF94" s="408"/>
      <c r="HG94" s="408"/>
      <c r="HH94" s="408"/>
      <c r="HI94" s="408"/>
      <c r="HJ94" s="408"/>
      <c r="HK94" s="408"/>
      <c r="HL94" s="408"/>
      <c r="HM94" s="408"/>
      <c r="HN94" s="408"/>
      <c r="HO94" s="408"/>
      <c r="HP94" s="408"/>
      <c r="HQ94" s="408"/>
      <c r="HR94" s="408"/>
      <c r="HS94" s="408"/>
      <c r="HT94" s="408"/>
      <c r="HU94" s="408"/>
      <c r="HV94" s="408"/>
      <c r="HW94" s="412"/>
    </row>
    <row r="95" spans="1:231" ht="24" customHeight="1" thickBot="1">
      <c r="A95" s="416"/>
      <c r="B95" s="2116" t="str">
        <f>'Вывод расчетов'!$AL$13</f>
        <v>Раздел 1</v>
      </c>
      <c r="C95" s="2114"/>
      <c r="D95" s="2114"/>
      <c r="E95" s="417"/>
      <c r="F95" s="2116" t="str">
        <f>'Вывод расчетов'!$AO$13</f>
        <v>Определение главных размеров асинхронного двигателя</v>
      </c>
      <c r="G95" s="2114"/>
      <c r="H95" s="2114"/>
      <c r="I95" s="2114"/>
      <c r="J95" s="2114"/>
      <c r="K95" s="2114"/>
      <c r="L95" s="2114"/>
      <c r="M95" s="2114"/>
      <c r="N95" s="2114"/>
      <c r="O95" s="2114"/>
      <c r="P95" s="2114"/>
      <c r="Q95" s="2114"/>
      <c r="R95" s="2117"/>
      <c r="S95" s="417"/>
      <c r="T95" s="2116" t="s">
        <v>1369</v>
      </c>
      <c r="U95" s="2114"/>
      <c r="V95" s="2117"/>
      <c r="W95" s="417"/>
      <c r="X95" s="2116">
        <v>5</v>
      </c>
      <c r="Y95" s="2117"/>
      <c r="Z95" s="418"/>
      <c r="AA95" s="546"/>
      <c r="AB95" s="546"/>
      <c r="AC95" s="546"/>
      <c r="AD95" s="546"/>
      <c r="AE95" s="546"/>
      <c r="AF95" s="416"/>
      <c r="AG95" s="2116" t="str">
        <f>'Вывод расчетов'!$CC$9</f>
        <v>Раздел 2</v>
      </c>
      <c r="AH95" s="2114"/>
      <c r="AI95" s="2114"/>
      <c r="AJ95" s="417"/>
      <c r="AK95" s="2116" t="str">
        <f>'Вывод расчетов'!$CF$9</f>
        <v>Расчет обмотки статора</v>
      </c>
      <c r="AL95" s="2114"/>
      <c r="AM95" s="2114"/>
      <c r="AN95" s="2114"/>
      <c r="AO95" s="2114"/>
      <c r="AP95" s="2114"/>
      <c r="AQ95" s="2114"/>
      <c r="AR95" s="2114"/>
      <c r="AS95" s="2114"/>
      <c r="AT95" s="2114"/>
      <c r="AU95" s="2114"/>
      <c r="AV95" s="2117"/>
      <c r="AW95" s="417"/>
      <c r="AX95" s="2116" t="s">
        <v>1369</v>
      </c>
      <c r="AY95" s="2114"/>
      <c r="AZ95" s="2117"/>
      <c r="BA95" s="417"/>
      <c r="BB95" s="2116">
        <v>11</v>
      </c>
      <c r="BC95" s="2117"/>
      <c r="BD95" s="418"/>
      <c r="BE95" s="416"/>
      <c r="BF95" s="2116" t="str">
        <f>'Вывод расчетов'!$CC$9</f>
        <v>Раздел 2</v>
      </c>
      <c r="BG95" s="2114"/>
      <c r="BH95" s="2114"/>
      <c r="BI95" s="417"/>
      <c r="BJ95" s="2116" t="str">
        <f>'Вывод расчетов'!$CF$9</f>
        <v>Расчет обмотки статора</v>
      </c>
      <c r="BK95" s="2114"/>
      <c r="BL95" s="2114"/>
      <c r="BM95" s="2114"/>
      <c r="BN95" s="2114"/>
      <c r="BO95" s="2114"/>
      <c r="BP95" s="2114"/>
      <c r="BQ95" s="2114"/>
      <c r="BR95" s="2114"/>
      <c r="BS95" s="2114"/>
      <c r="BT95" s="2114"/>
      <c r="BU95" s="2117"/>
      <c r="BV95" s="417"/>
      <c r="BW95" s="2116" t="s">
        <v>1369</v>
      </c>
      <c r="BX95" s="2114"/>
      <c r="BY95" s="2117"/>
      <c r="BZ95" s="417"/>
      <c r="CA95" s="2116">
        <v>11</v>
      </c>
      <c r="CB95" s="2117"/>
      <c r="CC95" s="418"/>
      <c r="CD95" s="416"/>
      <c r="CE95" s="2116" t="str">
        <f>'Вывод расчетов'!$CC$9</f>
        <v>Раздел 2</v>
      </c>
      <c r="CF95" s="2114"/>
      <c r="CG95" s="2114"/>
      <c r="CH95" s="417"/>
      <c r="CI95" s="2116" t="str">
        <f>'Вывод расчетов'!$CF$9</f>
        <v>Расчет обмотки статора</v>
      </c>
      <c r="CJ95" s="2114"/>
      <c r="CK95" s="2114"/>
      <c r="CL95" s="2114"/>
      <c r="CM95" s="2114"/>
      <c r="CN95" s="2114"/>
      <c r="CO95" s="2114"/>
      <c r="CP95" s="2114"/>
      <c r="CQ95" s="2114"/>
      <c r="CR95" s="2114"/>
      <c r="CS95" s="2114"/>
      <c r="CT95" s="2117"/>
      <c r="CU95" s="417"/>
      <c r="CV95" s="2116" t="s">
        <v>1369</v>
      </c>
      <c r="CW95" s="2114"/>
      <c r="CX95" s="2117"/>
      <c r="CY95" s="417"/>
      <c r="CZ95" s="2116">
        <v>11</v>
      </c>
      <c r="DA95" s="2117"/>
      <c r="DB95" s="418"/>
      <c r="DC95" s="416"/>
      <c r="DD95" s="2116" t="str">
        <f>'Вывод расчетов'!$CC$9</f>
        <v>Раздел 2</v>
      </c>
      <c r="DE95" s="2114"/>
      <c r="DF95" s="2114"/>
      <c r="DG95" s="417"/>
      <c r="DH95" s="2116" t="str">
        <f>'Вывод расчетов'!$CF$9</f>
        <v>Расчет обмотки статора</v>
      </c>
      <c r="DI95" s="2114"/>
      <c r="DJ95" s="2114"/>
      <c r="DK95" s="2114"/>
      <c r="DL95" s="2114"/>
      <c r="DM95" s="2114"/>
      <c r="DN95" s="2114"/>
      <c r="DO95" s="2114"/>
      <c r="DP95" s="2114"/>
      <c r="DQ95" s="2114"/>
      <c r="DR95" s="2114"/>
      <c r="DS95" s="2117"/>
      <c r="DT95" s="417"/>
      <c r="DU95" s="2116" t="s">
        <v>1369</v>
      </c>
      <c r="DV95" s="2114"/>
      <c r="DW95" s="2117"/>
      <c r="DX95" s="417"/>
      <c r="DY95" s="2116">
        <v>11</v>
      </c>
      <c r="DZ95" s="2117"/>
      <c r="EA95" s="418"/>
      <c r="EB95" s="416"/>
      <c r="EC95" s="2116" t="str">
        <f>'Вывод расчетов'!$CC$9</f>
        <v>Раздел 2</v>
      </c>
      <c r="ED95" s="2114"/>
      <c r="EE95" s="2114"/>
      <c r="EF95" s="417"/>
      <c r="EG95" s="2116" t="str">
        <f>'Вывод расчетов'!$CF$9</f>
        <v>Расчет обмотки статора</v>
      </c>
      <c r="EH95" s="2114"/>
      <c r="EI95" s="2114"/>
      <c r="EJ95" s="2114"/>
      <c r="EK95" s="2114"/>
      <c r="EL95" s="2114"/>
      <c r="EM95" s="2114"/>
      <c r="EN95" s="2114"/>
      <c r="EO95" s="2114"/>
      <c r="EP95" s="2114"/>
      <c r="EQ95" s="2114"/>
      <c r="ER95" s="2117"/>
      <c r="ES95" s="417"/>
      <c r="ET95" s="2116" t="s">
        <v>1369</v>
      </c>
      <c r="EU95" s="2114"/>
      <c r="EV95" s="2117"/>
      <c r="EW95" s="417"/>
      <c r="EX95" s="2116">
        <v>11</v>
      </c>
      <c r="EY95" s="2117"/>
      <c r="EZ95" s="418"/>
      <c r="FA95" s="416"/>
      <c r="FB95" s="2116" t="str">
        <f>'Вывод расчетов'!$CC$9</f>
        <v>Раздел 2</v>
      </c>
      <c r="FC95" s="2114"/>
      <c r="FD95" s="2114"/>
      <c r="FE95" s="417"/>
      <c r="FF95" s="2116" t="str">
        <f>'Вывод расчетов'!$CF$9</f>
        <v>Расчет обмотки статора</v>
      </c>
      <c r="FG95" s="2114"/>
      <c r="FH95" s="2114"/>
      <c r="FI95" s="2114"/>
      <c r="FJ95" s="2114"/>
      <c r="FK95" s="2114"/>
      <c r="FL95" s="2114"/>
      <c r="FM95" s="2114"/>
      <c r="FN95" s="2114"/>
      <c r="FO95" s="2114"/>
      <c r="FP95" s="2114"/>
      <c r="FQ95" s="2117"/>
      <c r="FR95" s="417"/>
      <c r="FS95" s="2116" t="s">
        <v>1369</v>
      </c>
      <c r="FT95" s="2114"/>
      <c r="FU95" s="2117"/>
      <c r="FV95" s="417"/>
      <c r="FW95" s="2116">
        <v>11</v>
      </c>
      <c r="FX95" s="2117"/>
      <c r="FY95" s="418"/>
      <c r="FZ95" s="416"/>
      <c r="GA95" s="2116" t="str">
        <f>'Вывод расчетов'!$CC$9</f>
        <v>Раздел 2</v>
      </c>
      <c r="GB95" s="2114"/>
      <c r="GC95" s="2114"/>
      <c r="GD95" s="417"/>
      <c r="GE95" s="2116" t="str">
        <f>'Вывод расчетов'!$CF$9</f>
        <v>Расчет обмотки статора</v>
      </c>
      <c r="GF95" s="2114"/>
      <c r="GG95" s="2114"/>
      <c r="GH95" s="2114"/>
      <c r="GI95" s="2114"/>
      <c r="GJ95" s="2114"/>
      <c r="GK95" s="2114"/>
      <c r="GL95" s="2114"/>
      <c r="GM95" s="2114"/>
      <c r="GN95" s="2114"/>
      <c r="GO95" s="2114"/>
      <c r="GP95" s="2117"/>
      <c r="GQ95" s="417"/>
      <c r="GR95" s="2116" t="s">
        <v>1369</v>
      </c>
      <c r="GS95" s="2114"/>
      <c r="GT95" s="2117"/>
      <c r="GU95" s="417"/>
      <c r="GV95" s="2116">
        <v>11</v>
      </c>
      <c r="GW95" s="2117"/>
      <c r="GX95" s="418"/>
      <c r="GY95" s="416"/>
      <c r="GZ95" s="2116" t="str">
        <f>'Вывод расчетов'!$CC$9</f>
        <v>Раздел 2</v>
      </c>
      <c r="HA95" s="2114"/>
      <c r="HB95" s="2114"/>
      <c r="HC95" s="417"/>
      <c r="HD95" s="2116" t="str">
        <f>'Вывод расчетов'!$CF$9</f>
        <v>Расчет обмотки статора</v>
      </c>
      <c r="HE95" s="2114"/>
      <c r="HF95" s="2114"/>
      <c r="HG95" s="2114"/>
      <c r="HH95" s="2114"/>
      <c r="HI95" s="2114"/>
      <c r="HJ95" s="2114"/>
      <c r="HK95" s="2114"/>
      <c r="HL95" s="2114"/>
      <c r="HM95" s="2114"/>
      <c r="HN95" s="2114"/>
      <c r="HO95" s="2117"/>
      <c r="HP95" s="417"/>
      <c r="HQ95" s="2116" t="s">
        <v>1369</v>
      </c>
      <c r="HR95" s="2114"/>
      <c r="HS95" s="2117"/>
      <c r="HT95" s="417"/>
      <c r="HU95" s="2116">
        <v>11</v>
      </c>
      <c r="HV95" s="2117"/>
      <c r="HW95" s="418"/>
    </row>
    <row r="96" spans="1:231" ht="24" customHeight="1" thickBot="1">
      <c r="A96" s="2113" t="s">
        <v>1111</v>
      </c>
      <c r="B96" s="2114"/>
      <c r="C96" s="2114"/>
      <c r="D96" s="2114"/>
      <c r="E96" s="2114"/>
      <c r="F96" s="2114"/>
      <c r="G96" s="2114"/>
      <c r="H96" s="2114"/>
      <c r="I96" s="2114"/>
      <c r="J96" s="2114"/>
      <c r="K96" s="2114"/>
      <c r="L96" s="2114"/>
      <c r="M96" s="2114"/>
      <c r="N96" s="2114"/>
      <c r="O96" s="2114"/>
      <c r="P96" s="2114"/>
      <c r="Q96" s="2114"/>
      <c r="R96" s="2114"/>
      <c r="S96" s="2114"/>
      <c r="T96" s="2114"/>
      <c r="U96" s="2114"/>
      <c r="V96" s="2114"/>
      <c r="W96" s="2114"/>
      <c r="X96" s="2114"/>
      <c r="Y96" s="2114"/>
      <c r="Z96" s="2115"/>
      <c r="AA96" s="543"/>
      <c r="AB96" s="543"/>
      <c r="AC96" s="543"/>
      <c r="AD96" s="543"/>
      <c r="AE96" s="543"/>
      <c r="AF96" s="2113" t="s">
        <v>1111</v>
      </c>
      <c r="AG96" s="2114"/>
      <c r="AH96" s="2114"/>
      <c r="AI96" s="2114"/>
      <c r="AJ96" s="2114"/>
      <c r="AK96" s="2114"/>
      <c r="AL96" s="2114"/>
      <c r="AM96" s="2114"/>
      <c r="AN96" s="2114"/>
      <c r="AO96" s="2114"/>
      <c r="AP96" s="2114"/>
      <c r="AQ96" s="2114"/>
      <c r="AR96" s="2114"/>
      <c r="AS96" s="2114"/>
      <c r="AT96" s="2114"/>
      <c r="AU96" s="2114"/>
      <c r="AV96" s="2114"/>
      <c r="AW96" s="2114"/>
      <c r="AX96" s="2114"/>
      <c r="AY96" s="2114"/>
      <c r="AZ96" s="2114"/>
      <c r="BA96" s="2114"/>
      <c r="BB96" s="2114"/>
      <c r="BC96" s="2114"/>
      <c r="BD96" s="2115"/>
      <c r="BE96" s="2113" t="s">
        <v>1111</v>
      </c>
      <c r="BF96" s="2114"/>
      <c r="BG96" s="2114"/>
      <c r="BH96" s="2114"/>
      <c r="BI96" s="2114"/>
      <c r="BJ96" s="2114"/>
      <c r="BK96" s="2114"/>
      <c r="BL96" s="2114"/>
      <c r="BM96" s="2114"/>
      <c r="BN96" s="2114"/>
      <c r="BO96" s="2114"/>
      <c r="BP96" s="2114"/>
      <c r="BQ96" s="2114"/>
      <c r="BR96" s="2114"/>
      <c r="BS96" s="2114"/>
      <c r="BT96" s="2114"/>
      <c r="BU96" s="2114"/>
      <c r="BV96" s="2114"/>
      <c r="BW96" s="2114"/>
      <c r="BX96" s="2114"/>
      <c r="BY96" s="2114"/>
      <c r="BZ96" s="2114"/>
      <c r="CA96" s="2114"/>
      <c r="CB96" s="2114"/>
      <c r="CC96" s="2115"/>
      <c r="CD96" s="2113" t="s">
        <v>1111</v>
      </c>
      <c r="CE96" s="2114"/>
      <c r="CF96" s="2114"/>
      <c r="CG96" s="2114"/>
      <c r="CH96" s="2114"/>
      <c r="CI96" s="2114"/>
      <c r="CJ96" s="2114"/>
      <c r="CK96" s="2114"/>
      <c r="CL96" s="2114"/>
      <c r="CM96" s="2114"/>
      <c r="CN96" s="2114"/>
      <c r="CO96" s="2114"/>
      <c r="CP96" s="2114"/>
      <c r="CQ96" s="2114"/>
      <c r="CR96" s="2114"/>
      <c r="CS96" s="2114"/>
      <c r="CT96" s="2114"/>
      <c r="CU96" s="2114"/>
      <c r="CV96" s="2114"/>
      <c r="CW96" s="2114"/>
      <c r="CX96" s="2114"/>
      <c r="CY96" s="2114"/>
      <c r="CZ96" s="2114"/>
      <c r="DA96" s="2114"/>
      <c r="DB96" s="2115"/>
      <c r="DC96" s="2113" t="s">
        <v>1111</v>
      </c>
      <c r="DD96" s="2114"/>
      <c r="DE96" s="2114"/>
      <c r="DF96" s="2114"/>
      <c r="DG96" s="2114"/>
      <c r="DH96" s="2114"/>
      <c r="DI96" s="2114"/>
      <c r="DJ96" s="2114"/>
      <c r="DK96" s="2114"/>
      <c r="DL96" s="2114"/>
      <c r="DM96" s="2114"/>
      <c r="DN96" s="2114"/>
      <c r="DO96" s="2114"/>
      <c r="DP96" s="2114"/>
      <c r="DQ96" s="2114"/>
      <c r="DR96" s="2114"/>
      <c r="DS96" s="2114"/>
      <c r="DT96" s="2114"/>
      <c r="DU96" s="2114"/>
      <c r="DV96" s="2114"/>
      <c r="DW96" s="2114"/>
      <c r="DX96" s="2114"/>
      <c r="DY96" s="2114"/>
      <c r="DZ96" s="2114"/>
      <c r="EA96" s="2115"/>
      <c r="EB96" s="2113" t="s">
        <v>1111</v>
      </c>
      <c r="EC96" s="2114"/>
      <c r="ED96" s="2114"/>
      <c r="EE96" s="2114"/>
      <c r="EF96" s="2114"/>
      <c r="EG96" s="2114"/>
      <c r="EH96" s="2114"/>
      <c r="EI96" s="2114"/>
      <c r="EJ96" s="2114"/>
      <c r="EK96" s="2114"/>
      <c r="EL96" s="2114"/>
      <c r="EM96" s="2114"/>
      <c r="EN96" s="2114"/>
      <c r="EO96" s="2114"/>
      <c r="EP96" s="2114"/>
      <c r="EQ96" s="2114"/>
      <c r="ER96" s="2114"/>
      <c r="ES96" s="2114"/>
      <c r="ET96" s="2114"/>
      <c r="EU96" s="2114"/>
      <c r="EV96" s="2114"/>
      <c r="EW96" s="2114"/>
      <c r="EX96" s="2114"/>
      <c r="EY96" s="2114"/>
      <c r="EZ96" s="2115"/>
      <c r="FA96" s="2113" t="s">
        <v>1111</v>
      </c>
      <c r="FB96" s="2114"/>
      <c r="FC96" s="2114"/>
      <c r="FD96" s="2114"/>
      <c r="FE96" s="2114"/>
      <c r="FF96" s="2114"/>
      <c r="FG96" s="2114"/>
      <c r="FH96" s="2114"/>
      <c r="FI96" s="2114"/>
      <c r="FJ96" s="2114"/>
      <c r="FK96" s="2114"/>
      <c r="FL96" s="2114"/>
      <c r="FM96" s="2114"/>
      <c r="FN96" s="2114"/>
      <c r="FO96" s="2114"/>
      <c r="FP96" s="2114"/>
      <c r="FQ96" s="2114"/>
      <c r="FR96" s="2114"/>
      <c r="FS96" s="2114"/>
      <c r="FT96" s="2114"/>
      <c r="FU96" s="2114"/>
      <c r="FV96" s="2114"/>
      <c r="FW96" s="2114"/>
      <c r="FX96" s="2114"/>
      <c r="FY96" s="2115"/>
      <c r="FZ96" s="2113" t="s">
        <v>1111</v>
      </c>
      <c r="GA96" s="2114"/>
      <c r="GB96" s="2114"/>
      <c r="GC96" s="2114"/>
      <c r="GD96" s="2114"/>
      <c r="GE96" s="2114"/>
      <c r="GF96" s="2114"/>
      <c r="GG96" s="2114"/>
      <c r="GH96" s="2114"/>
      <c r="GI96" s="2114"/>
      <c r="GJ96" s="2114"/>
      <c r="GK96" s="2114"/>
      <c r="GL96" s="2114"/>
      <c r="GM96" s="2114"/>
      <c r="GN96" s="2114"/>
      <c r="GO96" s="2114"/>
      <c r="GP96" s="2114"/>
      <c r="GQ96" s="2114"/>
      <c r="GR96" s="2114"/>
      <c r="GS96" s="2114"/>
      <c r="GT96" s="2114"/>
      <c r="GU96" s="2114"/>
      <c r="GV96" s="2114"/>
      <c r="GW96" s="2114"/>
      <c r="GX96" s="2115"/>
      <c r="GY96" s="2113" t="s">
        <v>1111</v>
      </c>
      <c r="GZ96" s="2114"/>
      <c r="HA96" s="2114"/>
      <c r="HB96" s="2114"/>
      <c r="HC96" s="2114"/>
      <c r="HD96" s="2114"/>
      <c r="HE96" s="2114"/>
      <c r="HF96" s="2114"/>
      <c r="HG96" s="2114"/>
      <c r="HH96" s="2114"/>
      <c r="HI96" s="2114"/>
      <c r="HJ96" s="2114"/>
      <c r="HK96" s="2114"/>
      <c r="HL96" s="2114"/>
      <c r="HM96" s="2114"/>
      <c r="HN96" s="2114"/>
      <c r="HO96" s="2114"/>
      <c r="HP96" s="2114"/>
      <c r="HQ96" s="2114"/>
      <c r="HR96" s="2114"/>
      <c r="HS96" s="2114"/>
      <c r="HT96" s="2114"/>
      <c r="HU96" s="2114"/>
      <c r="HV96" s="2114"/>
      <c r="HW96" s="2115"/>
    </row>
    <row r="97" spans="1:231" ht="24" customHeight="1">
      <c r="A97" s="409"/>
      <c r="B97" s="410"/>
      <c r="C97" s="410"/>
      <c r="D97" s="410"/>
      <c r="E97" s="410"/>
      <c r="F97" s="410"/>
      <c r="G97" s="410"/>
      <c r="H97" s="410"/>
      <c r="I97" s="410"/>
      <c r="J97" s="410"/>
      <c r="K97" s="410"/>
      <c r="L97" s="410"/>
      <c r="M97" s="410"/>
      <c r="N97" s="410"/>
      <c r="O97" s="410"/>
      <c r="P97" s="410"/>
      <c r="Q97" s="410"/>
      <c r="R97" s="410"/>
      <c r="S97" s="410"/>
      <c r="T97" s="410"/>
      <c r="U97" s="410"/>
      <c r="V97" s="410"/>
      <c r="W97" s="410"/>
      <c r="X97" s="410"/>
      <c r="Y97" s="410"/>
      <c r="Z97" s="419"/>
      <c r="AA97" s="410"/>
      <c r="AB97" s="410"/>
      <c r="AC97" s="410"/>
      <c r="AD97" s="410"/>
      <c r="AE97" s="410"/>
      <c r="AF97" s="409"/>
      <c r="AG97" s="410"/>
      <c r="AH97" s="410"/>
      <c r="AI97" s="410"/>
      <c r="AJ97" s="410"/>
      <c r="AK97" s="410"/>
      <c r="AL97" s="410"/>
      <c r="AM97" s="410"/>
      <c r="AN97" s="410"/>
      <c r="AO97" s="410"/>
      <c r="AP97" s="410"/>
      <c r="AQ97" s="410"/>
      <c r="AR97" s="410"/>
      <c r="AS97" s="410"/>
      <c r="AT97" s="410"/>
      <c r="AU97" s="410"/>
      <c r="AV97" s="410"/>
      <c r="AW97" s="410"/>
      <c r="AX97" s="410"/>
      <c r="AY97" s="410"/>
      <c r="AZ97" s="410"/>
      <c r="BA97" s="410"/>
      <c r="BB97" s="410"/>
      <c r="BC97" s="410"/>
      <c r="BD97" s="419"/>
      <c r="BE97" s="409"/>
      <c r="BF97" s="410"/>
      <c r="BG97" s="410"/>
      <c r="BH97" s="410"/>
      <c r="BI97" s="410"/>
      <c r="BJ97" s="410"/>
      <c r="BK97" s="410"/>
      <c r="BL97" s="410"/>
      <c r="BM97" s="410"/>
      <c r="BN97" s="410"/>
      <c r="BO97" s="410"/>
      <c r="BP97" s="410"/>
      <c r="BQ97" s="410"/>
      <c r="BR97" s="410"/>
      <c r="BS97" s="410"/>
      <c r="BT97" s="410"/>
      <c r="BU97" s="410"/>
      <c r="BV97" s="410"/>
      <c r="BW97" s="410"/>
      <c r="BX97" s="410"/>
      <c r="BY97" s="410"/>
      <c r="BZ97" s="410"/>
      <c r="CA97" s="410"/>
      <c r="CB97" s="410"/>
      <c r="CC97" s="419"/>
      <c r="CD97" s="409"/>
      <c r="CE97" s="410"/>
      <c r="CF97" s="410"/>
      <c r="CG97" s="410"/>
      <c r="CH97" s="410"/>
      <c r="CI97" s="410"/>
      <c r="CJ97" s="410"/>
      <c r="CK97" s="410"/>
      <c r="CL97" s="410"/>
      <c r="CM97" s="410"/>
      <c r="CN97" s="410"/>
      <c r="CO97" s="410"/>
      <c r="CP97" s="410"/>
      <c r="CQ97" s="410"/>
      <c r="CR97" s="410"/>
      <c r="CS97" s="410"/>
      <c r="CT97" s="410"/>
      <c r="CU97" s="410"/>
      <c r="CV97" s="410"/>
      <c r="CW97" s="410"/>
      <c r="CX97" s="410"/>
      <c r="CY97" s="410"/>
      <c r="CZ97" s="410"/>
      <c r="DA97" s="410"/>
      <c r="DB97" s="419"/>
      <c r="DC97" s="409"/>
      <c r="DD97" s="410"/>
      <c r="DE97" s="410"/>
      <c r="DF97" s="410"/>
      <c r="DG97" s="410"/>
      <c r="DH97" s="410"/>
      <c r="DI97" s="410"/>
      <c r="DJ97" s="410"/>
      <c r="DK97" s="410"/>
      <c r="DL97" s="410"/>
      <c r="DM97" s="410"/>
      <c r="DN97" s="410"/>
      <c r="DO97" s="410"/>
      <c r="DP97" s="410"/>
      <c r="DQ97" s="410"/>
      <c r="DR97" s="410"/>
      <c r="DS97" s="410"/>
      <c r="DT97" s="410"/>
      <c r="DU97" s="410"/>
      <c r="DV97" s="410"/>
      <c r="DW97" s="410"/>
      <c r="DX97" s="410"/>
      <c r="DY97" s="410"/>
      <c r="DZ97" s="410"/>
      <c r="EA97" s="419"/>
      <c r="EB97" s="409"/>
      <c r="EC97" s="410"/>
      <c r="ED97" s="410"/>
      <c r="EE97" s="410"/>
      <c r="EF97" s="410"/>
      <c r="EG97" s="410"/>
      <c r="EH97" s="410"/>
      <c r="EI97" s="410"/>
      <c r="EJ97" s="410"/>
      <c r="EK97" s="410"/>
      <c r="EL97" s="410"/>
      <c r="EM97" s="410"/>
      <c r="EN97" s="410"/>
      <c r="EO97" s="410"/>
      <c r="EP97" s="410"/>
      <c r="EQ97" s="410"/>
      <c r="ER97" s="410"/>
      <c r="ES97" s="410"/>
      <c r="ET97" s="410"/>
      <c r="EU97" s="410"/>
      <c r="EV97" s="410"/>
      <c r="EW97" s="410"/>
      <c r="EX97" s="410"/>
      <c r="EY97" s="410"/>
      <c r="EZ97" s="419"/>
      <c r="FA97" s="409"/>
      <c r="FB97" s="410"/>
      <c r="FC97" s="410"/>
      <c r="FD97" s="410"/>
      <c r="FE97" s="410"/>
      <c r="FF97" s="410"/>
      <c r="FG97" s="410"/>
      <c r="FH97" s="410"/>
      <c r="FI97" s="410"/>
      <c r="FJ97" s="410"/>
      <c r="FK97" s="410"/>
      <c r="FL97" s="410"/>
      <c r="FM97" s="410"/>
      <c r="FN97" s="410"/>
      <c r="FO97" s="410"/>
      <c r="FP97" s="410"/>
      <c r="FQ97" s="410"/>
      <c r="FR97" s="410"/>
      <c r="FS97" s="410"/>
      <c r="FT97" s="410"/>
      <c r="FU97" s="410"/>
      <c r="FV97" s="410"/>
      <c r="FW97" s="410"/>
      <c r="FX97" s="410"/>
      <c r="FY97" s="419"/>
      <c r="FZ97" s="409"/>
      <c r="GA97" s="410"/>
      <c r="GB97" s="410"/>
      <c r="GC97" s="410"/>
      <c r="GD97" s="410"/>
      <c r="GE97" s="410"/>
      <c r="GF97" s="410"/>
      <c r="GG97" s="410"/>
      <c r="GH97" s="410"/>
      <c r="GI97" s="410"/>
      <c r="GJ97" s="410"/>
      <c r="GK97" s="410"/>
      <c r="GL97" s="410"/>
      <c r="GM97" s="410"/>
      <c r="GN97" s="410"/>
      <c r="GO97" s="410"/>
      <c r="GP97" s="410"/>
      <c r="GQ97" s="410"/>
      <c r="GR97" s="410"/>
      <c r="GS97" s="410"/>
      <c r="GT97" s="410"/>
      <c r="GU97" s="410"/>
      <c r="GV97" s="410"/>
      <c r="GW97" s="410"/>
      <c r="GX97" s="419"/>
      <c r="GY97" s="409"/>
      <c r="GZ97" s="410"/>
      <c r="HA97" s="410"/>
      <c r="HB97" s="410"/>
      <c r="HC97" s="410"/>
      <c r="HD97" s="410"/>
      <c r="HE97" s="410"/>
      <c r="HF97" s="410"/>
      <c r="HG97" s="410"/>
      <c r="HH97" s="410"/>
      <c r="HI97" s="410"/>
      <c r="HJ97" s="410"/>
      <c r="HK97" s="410"/>
      <c r="HL97" s="410"/>
      <c r="HM97" s="410"/>
      <c r="HN97" s="410"/>
      <c r="HO97" s="410"/>
      <c r="HP97" s="410"/>
      <c r="HQ97" s="410"/>
      <c r="HR97" s="410"/>
      <c r="HS97" s="410"/>
      <c r="HT97" s="410"/>
      <c r="HU97" s="410"/>
      <c r="HV97" s="410"/>
      <c r="HW97" s="419"/>
    </row>
    <row r="98" spans="1:231" ht="24" customHeight="1">
      <c r="A98" s="411"/>
      <c r="B98" s="408"/>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12"/>
      <c r="AA98" s="408"/>
      <c r="AB98" s="408"/>
      <c r="AC98" s="408"/>
      <c r="AD98" s="408"/>
      <c r="AE98" s="408"/>
      <c r="AF98" s="411"/>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s="412"/>
      <c r="BE98" s="411"/>
      <c r="BF98" s="408"/>
      <c r="BG98" s="408"/>
      <c r="BH98" s="408"/>
      <c r="BI98" s="408"/>
      <c r="BJ98" s="408"/>
      <c r="BK98" s="408"/>
      <c r="BL98" s="408"/>
      <c r="BM98" s="408"/>
      <c r="BN98" s="408"/>
      <c r="BO98" s="408"/>
      <c r="BP98" s="408"/>
      <c r="BQ98" s="408"/>
      <c r="BR98" s="408"/>
      <c r="BS98" s="408"/>
      <c r="BT98" s="408"/>
      <c r="BU98" s="408"/>
      <c r="BV98" s="408"/>
      <c r="BW98" s="408"/>
      <c r="BX98" s="408"/>
      <c r="BY98" s="408"/>
      <c r="BZ98" s="408"/>
      <c r="CA98" s="408"/>
      <c r="CB98" s="408"/>
      <c r="CC98" s="412"/>
      <c r="CD98" s="411"/>
      <c r="CE98" s="408"/>
      <c r="CF98" s="408"/>
      <c r="CG98" s="408"/>
      <c r="CH98" s="408"/>
      <c r="CI98" s="408"/>
      <c r="CJ98" s="408"/>
      <c r="CK98" s="408"/>
      <c r="CL98" s="408"/>
      <c r="CM98" s="408"/>
      <c r="CN98" s="408"/>
      <c r="CO98" s="408"/>
      <c r="CP98" s="408"/>
      <c r="CQ98" s="408"/>
      <c r="CR98" s="408"/>
      <c r="CS98" s="408"/>
      <c r="CT98" s="408"/>
      <c r="CU98" s="408"/>
      <c r="CV98" s="408"/>
      <c r="CW98" s="408"/>
      <c r="CX98" s="408"/>
      <c r="CY98" s="408"/>
      <c r="CZ98" s="408"/>
      <c r="DA98" s="408"/>
      <c r="DB98" s="412"/>
      <c r="DC98" s="411"/>
      <c r="DD98" s="408"/>
      <c r="DE98" s="408"/>
      <c r="DF98" s="408"/>
      <c r="DG98" s="408"/>
      <c r="DH98" s="408"/>
      <c r="DI98" s="408"/>
      <c r="DJ98" s="408"/>
      <c r="DK98" s="408"/>
      <c r="DL98" s="408"/>
      <c r="DM98" s="408"/>
      <c r="DN98" s="408"/>
      <c r="DO98" s="408"/>
      <c r="DP98" s="408"/>
      <c r="DQ98" s="408"/>
      <c r="DR98" s="408"/>
      <c r="DS98" s="408"/>
      <c r="DT98" s="408"/>
      <c r="DU98" s="408"/>
      <c r="DV98" s="408"/>
      <c r="DW98" s="408"/>
      <c r="DX98" s="408"/>
      <c r="DY98" s="408"/>
      <c r="DZ98" s="408"/>
      <c r="EA98" s="412"/>
      <c r="EB98" s="411"/>
      <c r="EC98" s="408"/>
      <c r="ED98" s="408"/>
      <c r="EE98" s="408"/>
      <c r="EF98" s="408"/>
      <c r="EG98" s="408"/>
      <c r="EH98" s="408"/>
      <c r="EI98" s="408"/>
      <c r="EJ98" s="408"/>
      <c r="EK98" s="408"/>
      <c r="EL98" s="408"/>
      <c r="EM98" s="408"/>
      <c r="EN98" s="408"/>
      <c r="EO98" s="408"/>
      <c r="EP98" s="408"/>
      <c r="EQ98" s="408"/>
      <c r="ER98" s="408"/>
      <c r="ES98" s="408"/>
      <c r="ET98" s="408"/>
      <c r="EU98" s="408"/>
      <c r="EV98" s="408"/>
      <c r="EW98" s="408"/>
      <c r="EX98" s="408"/>
      <c r="EY98" s="408"/>
      <c r="EZ98" s="412"/>
      <c r="FA98" s="411"/>
      <c r="FB98" s="408"/>
      <c r="FC98" s="408"/>
      <c r="FD98" s="408"/>
      <c r="FE98" s="408"/>
      <c r="FF98" s="408"/>
      <c r="FG98" s="408"/>
      <c r="FH98" s="408"/>
      <c r="FI98" s="408"/>
      <c r="FJ98" s="408"/>
      <c r="FK98" s="408"/>
      <c r="FL98" s="408"/>
      <c r="FM98" s="408"/>
      <c r="FN98" s="408"/>
      <c r="FO98" s="408"/>
      <c r="FP98" s="408"/>
      <c r="FQ98" s="408"/>
      <c r="FR98" s="408"/>
      <c r="FS98" s="408"/>
      <c r="FT98" s="408"/>
      <c r="FU98" s="408"/>
      <c r="FV98" s="408"/>
      <c r="FW98" s="408"/>
      <c r="FX98" s="408"/>
      <c r="FY98" s="412"/>
      <c r="FZ98" s="411"/>
      <c r="GA98" s="408"/>
      <c r="GB98" s="408"/>
      <c r="GC98" s="408"/>
      <c r="GD98" s="408"/>
      <c r="GE98" s="408"/>
      <c r="GF98" s="408"/>
      <c r="GG98" s="408"/>
      <c r="GH98" s="408"/>
      <c r="GI98" s="408"/>
      <c r="GJ98" s="408"/>
      <c r="GK98" s="408"/>
      <c r="GL98" s="408"/>
      <c r="GM98" s="408"/>
      <c r="GN98" s="408"/>
      <c r="GO98" s="408"/>
      <c r="GP98" s="408"/>
      <c r="GQ98" s="408"/>
      <c r="GR98" s="408"/>
      <c r="GS98" s="408"/>
      <c r="GT98" s="408"/>
      <c r="GU98" s="408"/>
      <c r="GV98" s="408"/>
      <c r="GW98" s="408"/>
      <c r="GX98" s="412"/>
      <c r="GY98" s="411"/>
      <c r="GZ98" s="408"/>
      <c r="HA98" s="408"/>
      <c r="HB98" s="408"/>
      <c r="HC98" s="408"/>
      <c r="HD98" s="408"/>
      <c r="HE98" s="408"/>
      <c r="HF98" s="408"/>
      <c r="HG98" s="408"/>
      <c r="HH98" s="408"/>
      <c r="HI98" s="408"/>
      <c r="HJ98" s="408"/>
      <c r="HK98" s="408"/>
      <c r="HL98" s="408"/>
      <c r="HM98" s="408"/>
      <c r="HN98" s="408"/>
      <c r="HO98" s="408"/>
      <c r="HP98" s="408"/>
      <c r="HQ98" s="408"/>
      <c r="HR98" s="408"/>
      <c r="HS98" s="408"/>
      <c r="HT98" s="408"/>
      <c r="HU98" s="408"/>
      <c r="HV98" s="408"/>
      <c r="HW98" s="412"/>
    </row>
    <row r="99" spans="1:231" ht="24" customHeight="1">
      <c r="A99" s="411"/>
      <c r="B99" s="408"/>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12"/>
      <c r="AA99" s="408"/>
      <c r="AB99" s="408"/>
      <c r="AC99" s="408"/>
      <c r="AD99" s="408"/>
      <c r="AE99" s="408"/>
      <c r="AF99" s="411"/>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s="408"/>
      <c r="BC99" s="408"/>
      <c r="BD99" s="412"/>
      <c r="BE99" s="411"/>
      <c r="BF99" s="408"/>
      <c r="BG99" s="408"/>
      <c r="BH99" s="408"/>
      <c r="BI99" s="408"/>
      <c r="BJ99" s="408"/>
      <c r="BK99" s="408"/>
      <c r="BL99" s="408"/>
      <c r="BM99" s="408"/>
      <c r="BN99" s="408"/>
      <c r="BO99" s="408"/>
      <c r="BP99" s="408"/>
      <c r="BQ99" s="408"/>
      <c r="BR99" s="408"/>
      <c r="BS99" s="408"/>
      <c r="BT99" s="408"/>
      <c r="BU99" s="408"/>
      <c r="BV99" s="408"/>
      <c r="BW99" s="408"/>
      <c r="BX99" s="408"/>
      <c r="BY99" s="408"/>
      <c r="BZ99" s="408"/>
      <c r="CA99" s="408"/>
      <c r="CB99" s="408"/>
      <c r="CC99" s="412"/>
      <c r="CD99" s="411"/>
      <c r="CE99" s="408"/>
      <c r="CF99" s="408"/>
      <c r="CG99" s="408"/>
      <c r="CH99" s="408"/>
      <c r="CI99" s="408"/>
      <c r="CJ99" s="408"/>
      <c r="CK99" s="408"/>
      <c r="CL99" s="408"/>
      <c r="CM99" s="408"/>
      <c r="CN99" s="408"/>
      <c r="CO99" s="408"/>
      <c r="CP99" s="408"/>
      <c r="CQ99" s="408"/>
      <c r="CR99" s="408"/>
      <c r="CS99" s="408"/>
      <c r="CT99" s="408"/>
      <c r="CU99" s="408"/>
      <c r="CV99" s="408"/>
      <c r="CW99" s="408"/>
      <c r="CX99" s="408"/>
      <c r="CY99" s="408"/>
      <c r="CZ99" s="408"/>
      <c r="DA99" s="408"/>
      <c r="DB99" s="412"/>
      <c r="DC99" s="411"/>
      <c r="DD99" s="408"/>
      <c r="DE99" s="408"/>
      <c r="DF99" s="408"/>
      <c r="DG99" s="408"/>
      <c r="DH99" s="408"/>
      <c r="DI99" s="408"/>
      <c r="DJ99" s="408"/>
      <c r="DK99" s="408"/>
      <c r="DL99" s="408"/>
      <c r="DM99" s="408"/>
      <c r="DN99" s="408"/>
      <c r="DO99" s="408"/>
      <c r="DP99" s="408"/>
      <c r="DQ99" s="408"/>
      <c r="DR99" s="408"/>
      <c r="DS99" s="408"/>
      <c r="DT99" s="408"/>
      <c r="DU99" s="408"/>
      <c r="DV99" s="408"/>
      <c r="DW99" s="408"/>
      <c r="DX99" s="408"/>
      <c r="DY99" s="408"/>
      <c r="DZ99" s="408"/>
      <c r="EA99" s="412"/>
      <c r="EB99" s="411"/>
      <c r="EC99" s="408"/>
      <c r="ED99" s="408"/>
      <c r="EE99" s="408"/>
      <c r="EF99" s="408"/>
      <c r="EG99" s="408"/>
      <c r="EH99" s="408"/>
      <c r="EI99" s="408"/>
      <c r="EJ99" s="408"/>
      <c r="EK99" s="408"/>
      <c r="EL99" s="408"/>
      <c r="EM99" s="408"/>
      <c r="EN99" s="408"/>
      <c r="EO99" s="408"/>
      <c r="EP99" s="408"/>
      <c r="EQ99" s="408"/>
      <c r="ER99" s="408"/>
      <c r="ES99" s="408"/>
      <c r="ET99" s="408"/>
      <c r="EU99" s="408"/>
      <c r="EV99" s="408"/>
      <c r="EW99" s="408"/>
      <c r="EX99" s="408"/>
      <c r="EY99" s="408"/>
      <c r="EZ99" s="412"/>
      <c r="FA99" s="411"/>
      <c r="FB99" s="408"/>
      <c r="FC99" s="408"/>
      <c r="FD99" s="408"/>
      <c r="FE99" s="408"/>
      <c r="FF99" s="408"/>
      <c r="FG99" s="408"/>
      <c r="FH99" s="408"/>
      <c r="FI99" s="408"/>
      <c r="FJ99" s="408"/>
      <c r="FK99" s="408"/>
      <c r="FL99" s="408"/>
      <c r="FM99" s="408"/>
      <c r="FN99" s="408"/>
      <c r="FO99" s="408"/>
      <c r="FP99" s="408"/>
      <c r="FQ99" s="408"/>
      <c r="FR99" s="408"/>
      <c r="FS99" s="408"/>
      <c r="FT99" s="408"/>
      <c r="FU99" s="408"/>
      <c r="FV99" s="408"/>
      <c r="FW99" s="408"/>
      <c r="FX99" s="408"/>
      <c r="FY99" s="412"/>
      <c r="FZ99" s="411"/>
      <c r="GA99" s="408"/>
      <c r="GB99" s="408"/>
      <c r="GC99" s="408"/>
      <c r="GD99" s="408"/>
      <c r="GE99" s="408"/>
      <c r="GF99" s="408"/>
      <c r="GG99" s="408"/>
      <c r="GH99" s="408"/>
      <c r="GI99" s="408"/>
      <c r="GJ99" s="408"/>
      <c r="GK99" s="408"/>
      <c r="GL99" s="408"/>
      <c r="GM99" s="408"/>
      <c r="GN99" s="408"/>
      <c r="GO99" s="408"/>
      <c r="GP99" s="408"/>
      <c r="GQ99" s="408"/>
      <c r="GR99" s="408"/>
      <c r="GS99" s="408"/>
      <c r="GT99" s="408"/>
      <c r="GU99" s="408"/>
      <c r="GV99" s="408"/>
      <c r="GW99" s="408"/>
      <c r="GX99" s="412"/>
      <c r="GY99" s="411"/>
      <c r="GZ99" s="408"/>
      <c r="HA99" s="408"/>
      <c r="HB99" s="408"/>
      <c r="HC99" s="408"/>
      <c r="HD99" s="408"/>
      <c r="HE99" s="408"/>
      <c r="HF99" s="408"/>
      <c r="HG99" s="408"/>
      <c r="HH99" s="408"/>
      <c r="HI99" s="408"/>
      <c r="HJ99" s="408"/>
      <c r="HK99" s="408"/>
      <c r="HL99" s="408"/>
      <c r="HM99" s="408"/>
      <c r="HN99" s="408"/>
      <c r="HO99" s="408"/>
      <c r="HP99" s="408"/>
      <c r="HQ99" s="408"/>
      <c r="HR99" s="408"/>
      <c r="HS99" s="408"/>
      <c r="HT99" s="408"/>
      <c r="HU99" s="408"/>
      <c r="HV99" s="408"/>
      <c r="HW99" s="412"/>
    </row>
    <row r="100" spans="1:231" ht="24" customHeight="1">
      <c r="A100" s="411"/>
      <c r="B100" s="408"/>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12"/>
      <c r="AA100" s="408"/>
      <c r="AB100" s="408"/>
      <c r="AC100" s="408"/>
      <c r="AD100" s="408"/>
      <c r="AE100" s="408"/>
      <c r="AF100" s="411"/>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s="412"/>
      <c r="BE100" s="411"/>
      <c r="BF100" s="408"/>
      <c r="BG100" s="408"/>
      <c r="BH100" s="408"/>
      <c r="BI100" s="408"/>
      <c r="BJ100" s="408"/>
      <c r="BK100" s="408"/>
      <c r="BL100" s="408"/>
      <c r="BM100" s="408"/>
      <c r="BN100" s="408"/>
      <c r="BO100" s="408"/>
      <c r="BP100" s="408"/>
      <c r="BQ100" s="408"/>
      <c r="BR100" s="408"/>
      <c r="BS100" s="408"/>
      <c r="BT100" s="408"/>
      <c r="BU100" s="408"/>
      <c r="BV100" s="408"/>
      <c r="BW100" s="408"/>
      <c r="BX100" s="408"/>
      <c r="BY100" s="408"/>
      <c r="BZ100" s="408"/>
      <c r="CA100" s="408"/>
      <c r="CB100" s="408"/>
      <c r="CC100" s="412"/>
      <c r="CD100" s="411"/>
      <c r="CE100" s="408"/>
      <c r="CF100" s="408"/>
      <c r="CG100" s="408"/>
      <c r="CH100" s="408"/>
      <c r="CI100" s="408"/>
      <c r="CJ100" s="408"/>
      <c r="CK100" s="408"/>
      <c r="CL100" s="408"/>
      <c r="CM100" s="408"/>
      <c r="CN100" s="408"/>
      <c r="CO100" s="408"/>
      <c r="CP100" s="408"/>
      <c r="CQ100" s="408"/>
      <c r="CR100" s="408"/>
      <c r="CS100" s="408"/>
      <c r="CT100" s="408"/>
      <c r="CU100" s="408"/>
      <c r="CV100" s="408"/>
      <c r="CW100" s="408"/>
      <c r="CX100" s="408"/>
      <c r="CY100" s="408"/>
      <c r="CZ100" s="408"/>
      <c r="DA100" s="408"/>
      <c r="DB100" s="412"/>
      <c r="DC100" s="411"/>
      <c r="DD100" s="408"/>
      <c r="DE100" s="408"/>
      <c r="DF100" s="408"/>
      <c r="DG100" s="408"/>
      <c r="DH100" s="408"/>
      <c r="DI100" s="408"/>
      <c r="DJ100" s="408"/>
      <c r="DK100" s="408"/>
      <c r="DL100" s="408"/>
      <c r="DM100" s="408"/>
      <c r="DN100" s="408"/>
      <c r="DO100" s="408"/>
      <c r="DP100" s="408"/>
      <c r="DQ100" s="408"/>
      <c r="DR100" s="408"/>
      <c r="DS100" s="408"/>
      <c r="DT100" s="408"/>
      <c r="DU100" s="408"/>
      <c r="DV100" s="408"/>
      <c r="DW100" s="408"/>
      <c r="DX100" s="408"/>
      <c r="DY100" s="408"/>
      <c r="DZ100" s="408"/>
      <c r="EA100" s="412"/>
      <c r="EB100" s="411"/>
      <c r="EC100" s="408"/>
      <c r="ED100" s="408"/>
      <c r="EE100" s="408"/>
      <c r="EF100" s="408"/>
      <c r="EG100" s="408"/>
      <c r="EH100" s="408"/>
      <c r="EI100" s="408"/>
      <c r="EJ100" s="408"/>
      <c r="EK100" s="408"/>
      <c r="EL100" s="408"/>
      <c r="EM100" s="408"/>
      <c r="EN100" s="408"/>
      <c r="EO100" s="408"/>
      <c r="EP100" s="408"/>
      <c r="EQ100" s="408"/>
      <c r="ER100" s="408"/>
      <c r="ES100" s="408"/>
      <c r="ET100" s="408"/>
      <c r="EU100" s="408"/>
      <c r="EV100" s="408"/>
      <c r="EW100" s="408"/>
      <c r="EX100" s="408"/>
      <c r="EY100" s="408"/>
      <c r="EZ100" s="412"/>
      <c r="FA100" s="411"/>
      <c r="FB100" s="408"/>
      <c r="FC100" s="408"/>
      <c r="FD100" s="408"/>
      <c r="FE100" s="408"/>
      <c r="FF100" s="408"/>
      <c r="FG100" s="408"/>
      <c r="FH100" s="408"/>
      <c r="FI100" s="408"/>
      <c r="FJ100" s="408"/>
      <c r="FK100" s="408"/>
      <c r="FL100" s="408"/>
      <c r="FM100" s="408"/>
      <c r="FN100" s="408"/>
      <c r="FO100" s="408"/>
      <c r="FP100" s="408"/>
      <c r="FQ100" s="408"/>
      <c r="FR100" s="408"/>
      <c r="FS100" s="408"/>
      <c r="FT100" s="408"/>
      <c r="FU100" s="408"/>
      <c r="FV100" s="408"/>
      <c r="FW100" s="408"/>
      <c r="FX100" s="408"/>
      <c r="FY100" s="412"/>
      <c r="FZ100" s="411"/>
      <c r="GA100" s="408"/>
      <c r="GB100" s="408"/>
      <c r="GC100" s="408"/>
      <c r="GD100" s="408"/>
      <c r="GE100" s="408"/>
      <c r="GF100" s="408"/>
      <c r="GG100" s="408"/>
      <c r="GH100" s="408"/>
      <c r="GI100" s="408"/>
      <c r="GJ100" s="408"/>
      <c r="GK100" s="408"/>
      <c r="GL100" s="408"/>
      <c r="GM100" s="408"/>
      <c r="GN100" s="408"/>
      <c r="GO100" s="408"/>
      <c r="GP100" s="408"/>
      <c r="GQ100" s="408"/>
      <c r="GR100" s="408"/>
      <c r="GS100" s="408"/>
      <c r="GT100" s="408"/>
      <c r="GU100" s="408"/>
      <c r="GV100" s="408"/>
      <c r="GW100" s="408"/>
      <c r="GX100" s="412"/>
      <c r="GY100" s="411"/>
      <c r="GZ100" s="408"/>
      <c r="HA100" s="408"/>
      <c r="HB100" s="408"/>
      <c r="HC100" s="408"/>
      <c r="HD100" s="408"/>
      <c r="HE100" s="408"/>
      <c r="HF100" s="408"/>
      <c r="HG100" s="408"/>
      <c r="HH100" s="408"/>
      <c r="HI100" s="408"/>
      <c r="HJ100" s="408"/>
      <c r="HK100" s="408"/>
      <c r="HL100" s="408"/>
      <c r="HM100" s="408"/>
      <c r="HN100" s="408"/>
      <c r="HO100" s="408"/>
      <c r="HP100" s="408"/>
      <c r="HQ100" s="408"/>
      <c r="HR100" s="408"/>
      <c r="HS100" s="408"/>
      <c r="HT100" s="408"/>
      <c r="HU100" s="408"/>
      <c r="HV100" s="408"/>
      <c r="HW100" s="412"/>
    </row>
    <row r="101" spans="1:231" ht="24" customHeight="1">
      <c r="A101" s="411"/>
      <c r="B101" s="408"/>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12"/>
      <c r="AA101" s="408"/>
      <c r="AB101" s="408"/>
      <c r="AC101" s="408"/>
      <c r="AD101" s="408"/>
      <c r="AE101" s="408"/>
      <c r="AF101" s="411"/>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s="412"/>
      <c r="BE101" s="411"/>
      <c r="BF101" s="408"/>
      <c r="BG101" s="408"/>
      <c r="BH101" s="408"/>
      <c r="BI101" s="408"/>
      <c r="BJ101" s="408"/>
      <c r="BK101" s="408"/>
      <c r="BL101" s="408"/>
      <c r="BM101" s="408"/>
      <c r="BN101" s="408"/>
      <c r="BO101" s="408"/>
      <c r="BP101" s="408"/>
      <c r="BQ101" s="408"/>
      <c r="BR101" s="408"/>
      <c r="BS101" s="408"/>
      <c r="BT101" s="408"/>
      <c r="BU101" s="408"/>
      <c r="BV101" s="408"/>
      <c r="BW101" s="408"/>
      <c r="BX101" s="408"/>
      <c r="BY101" s="408"/>
      <c r="BZ101" s="408"/>
      <c r="CA101" s="408"/>
      <c r="CB101" s="408"/>
      <c r="CC101" s="412"/>
      <c r="CD101" s="411"/>
      <c r="CE101" s="408"/>
      <c r="CF101" s="408"/>
      <c r="CG101" s="408"/>
      <c r="CH101" s="408"/>
      <c r="CI101" s="408"/>
      <c r="CJ101" s="408"/>
      <c r="CK101" s="408"/>
      <c r="CL101" s="408"/>
      <c r="CM101" s="408"/>
      <c r="CN101" s="408"/>
      <c r="CO101" s="408"/>
      <c r="CP101" s="408"/>
      <c r="CQ101" s="408"/>
      <c r="CR101" s="408"/>
      <c r="CS101" s="408"/>
      <c r="CT101" s="408"/>
      <c r="CU101" s="408"/>
      <c r="CV101" s="408"/>
      <c r="CW101" s="408"/>
      <c r="CX101" s="408"/>
      <c r="CY101" s="408"/>
      <c r="CZ101" s="408"/>
      <c r="DA101" s="408"/>
      <c r="DB101" s="412"/>
      <c r="DC101" s="411"/>
      <c r="DD101" s="408"/>
      <c r="DE101" s="408"/>
      <c r="DF101" s="408"/>
      <c r="DG101" s="408"/>
      <c r="DH101" s="408"/>
      <c r="DI101" s="408"/>
      <c r="DJ101" s="408"/>
      <c r="DK101" s="408"/>
      <c r="DL101" s="408"/>
      <c r="DM101" s="408"/>
      <c r="DN101" s="408"/>
      <c r="DO101" s="408"/>
      <c r="DP101" s="408"/>
      <c r="DQ101" s="408"/>
      <c r="DR101" s="408"/>
      <c r="DS101" s="408"/>
      <c r="DT101" s="408"/>
      <c r="DU101" s="408"/>
      <c r="DV101" s="408"/>
      <c r="DW101" s="408"/>
      <c r="DX101" s="408"/>
      <c r="DY101" s="408"/>
      <c r="DZ101" s="408"/>
      <c r="EA101" s="412"/>
      <c r="EB101" s="411"/>
      <c r="EC101" s="408"/>
      <c r="ED101" s="408"/>
      <c r="EE101" s="408"/>
      <c r="EF101" s="408"/>
      <c r="EG101" s="408"/>
      <c r="EH101" s="408"/>
      <c r="EI101" s="408"/>
      <c r="EJ101" s="408"/>
      <c r="EK101" s="408"/>
      <c r="EL101" s="408"/>
      <c r="EM101" s="408"/>
      <c r="EN101" s="408"/>
      <c r="EO101" s="408"/>
      <c r="EP101" s="408"/>
      <c r="EQ101" s="408"/>
      <c r="ER101" s="408"/>
      <c r="ES101" s="408"/>
      <c r="ET101" s="408"/>
      <c r="EU101" s="408"/>
      <c r="EV101" s="408"/>
      <c r="EW101" s="408"/>
      <c r="EX101" s="408"/>
      <c r="EY101" s="408"/>
      <c r="EZ101" s="412"/>
      <c r="FA101" s="411"/>
      <c r="FB101" s="408"/>
      <c r="FC101" s="408"/>
      <c r="FD101" s="408"/>
      <c r="FE101" s="408"/>
      <c r="FF101" s="408"/>
      <c r="FG101" s="408"/>
      <c r="FH101" s="408"/>
      <c r="FI101" s="408"/>
      <c r="FJ101" s="408"/>
      <c r="FK101" s="408"/>
      <c r="FL101" s="408"/>
      <c r="FM101" s="408"/>
      <c r="FN101" s="408"/>
      <c r="FO101" s="408"/>
      <c r="FP101" s="408"/>
      <c r="FQ101" s="408"/>
      <c r="FR101" s="408"/>
      <c r="FS101" s="408"/>
      <c r="FT101" s="408"/>
      <c r="FU101" s="408"/>
      <c r="FV101" s="408"/>
      <c r="FW101" s="408"/>
      <c r="FX101" s="408"/>
      <c r="FY101" s="412"/>
      <c r="FZ101" s="411"/>
      <c r="GA101" s="408"/>
      <c r="GB101" s="408"/>
      <c r="GC101" s="408"/>
      <c r="GD101" s="408"/>
      <c r="GE101" s="408"/>
      <c r="GF101" s="408"/>
      <c r="GG101" s="408"/>
      <c r="GH101" s="408"/>
      <c r="GI101" s="408"/>
      <c r="GJ101" s="408"/>
      <c r="GK101" s="408"/>
      <c r="GL101" s="408"/>
      <c r="GM101" s="408"/>
      <c r="GN101" s="408"/>
      <c r="GO101" s="408"/>
      <c r="GP101" s="408"/>
      <c r="GQ101" s="408"/>
      <c r="GR101" s="408"/>
      <c r="GS101" s="408"/>
      <c r="GT101" s="408"/>
      <c r="GU101" s="408"/>
      <c r="GV101" s="408"/>
      <c r="GW101" s="408"/>
      <c r="GX101" s="412"/>
      <c r="GY101" s="411"/>
      <c r="GZ101" s="408"/>
      <c r="HA101" s="408"/>
      <c r="HB101" s="408"/>
      <c r="HC101" s="408"/>
      <c r="HD101" s="408"/>
      <c r="HE101" s="408"/>
      <c r="HF101" s="408"/>
      <c r="HG101" s="408"/>
      <c r="HH101" s="408"/>
      <c r="HI101" s="408"/>
      <c r="HJ101" s="408"/>
      <c r="HK101" s="408"/>
      <c r="HL101" s="408"/>
      <c r="HM101" s="408"/>
      <c r="HN101" s="408"/>
      <c r="HO101" s="408"/>
      <c r="HP101" s="408"/>
      <c r="HQ101" s="408"/>
      <c r="HR101" s="408"/>
      <c r="HS101" s="408"/>
      <c r="HT101" s="408"/>
      <c r="HU101" s="408"/>
      <c r="HV101" s="408"/>
      <c r="HW101" s="412"/>
    </row>
    <row r="102" spans="1:231" ht="24" customHeight="1">
      <c r="A102" s="411"/>
      <c r="B102" s="408"/>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12"/>
      <c r="AA102" s="408"/>
      <c r="AB102" s="408"/>
      <c r="AC102" s="408"/>
      <c r="AD102" s="408"/>
      <c r="AE102" s="408"/>
      <c r="AF102" s="411"/>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s="412"/>
      <c r="BE102" s="411"/>
      <c r="BF102" s="408"/>
      <c r="BG102" s="408"/>
      <c r="BH102" s="408"/>
      <c r="BI102" s="408"/>
      <c r="BJ102" s="408"/>
      <c r="BK102" s="408"/>
      <c r="BL102" s="408"/>
      <c r="BM102" s="408"/>
      <c r="BN102" s="408"/>
      <c r="BO102" s="408"/>
      <c r="BP102" s="408"/>
      <c r="BQ102" s="408"/>
      <c r="BR102" s="408"/>
      <c r="BS102" s="408"/>
      <c r="BT102" s="408"/>
      <c r="BU102" s="408"/>
      <c r="BV102" s="408"/>
      <c r="BW102" s="408"/>
      <c r="BX102" s="408"/>
      <c r="BY102" s="408"/>
      <c r="BZ102" s="408"/>
      <c r="CA102" s="408"/>
      <c r="CB102" s="408"/>
      <c r="CC102" s="412"/>
      <c r="CD102" s="411"/>
      <c r="CE102" s="408"/>
      <c r="CF102" s="408"/>
      <c r="CG102" s="408"/>
      <c r="CH102" s="408"/>
      <c r="CI102" s="408"/>
      <c r="CJ102" s="408"/>
      <c r="CK102" s="408"/>
      <c r="CL102" s="408"/>
      <c r="CM102" s="408"/>
      <c r="CN102" s="408"/>
      <c r="CO102" s="408"/>
      <c r="CP102" s="408"/>
      <c r="CQ102" s="408"/>
      <c r="CR102" s="408"/>
      <c r="CS102" s="408"/>
      <c r="CT102" s="408"/>
      <c r="CU102" s="408"/>
      <c r="CV102" s="408"/>
      <c r="CW102" s="408"/>
      <c r="CX102" s="408"/>
      <c r="CY102" s="408"/>
      <c r="CZ102" s="408"/>
      <c r="DA102" s="408"/>
      <c r="DB102" s="412"/>
      <c r="DC102" s="411"/>
      <c r="DD102" s="408"/>
      <c r="DE102" s="408"/>
      <c r="DF102" s="408"/>
      <c r="DG102" s="408"/>
      <c r="DH102" s="408"/>
      <c r="DI102" s="408"/>
      <c r="DJ102" s="408"/>
      <c r="DK102" s="408"/>
      <c r="DL102" s="408"/>
      <c r="DM102" s="408"/>
      <c r="DN102" s="408"/>
      <c r="DO102" s="408"/>
      <c r="DP102" s="408"/>
      <c r="DQ102" s="408"/>
      <c r="DR102" s="408"/>
      <c r="DS102" s="408"/>
      <c r="DT102" s="408"/>
      <c r="DU102" s="408"/>
      <c r="DV102" s="408"/>
      <c r="DW102" s="408"/>
      <c r="DX102" s="408"/>
      <c r="DY102" s="408"/>
      <c r="DZ102" s="408"/>
      <c r="EA102" s="412"/>
      <c r="EB102" s="411"/>
      <c r="EC102" s="408"/>
      <c r="ED102" s="408"/>
      <c r="EE102" s="408"/>
      <c r="EF102" s="408"/>
      <c r="EG102" s="408"/>
      <c r="EH102" s="408"/>
      <c r="EI102" s="408"/>
      <c r="EJ102" s="408"/>
      <c r="EK102" s="408"/>
      <c r="EL102" s="408"/>
      <c r="EM102" s="408"/>
      <c r="EN102" s="408"/>
      <c r="EO102" s="408"/>
      <c r="EP102" s="408"/>
      <c r="EQ102" s="408"/>
      <c r="ER102" s="408"/>
      <c r="ES102" s="408"/>
      <c r="ET102" s="408"/>
      <c r="EU102" s="408"/>
      <c r="EV102" s="408"/>
      <c r="EW102" s="408"/>
      <c r="EX102" s="408"/>
      <c r="EY102" s="408"/>
      <c r="EZ102" s="412"/>
      <c r="FA102" s="411"/>
      <c r="FB102" s="408"/>
      <c r="FC102" s="408"/>
      <c r="FD102" s="408"/>
      <c r="FE102" s="408"/>
      <c r="FF102" s="408"/>
      <c r="FG102" s="408"/>
      <c r="FH102" s="408"/>
      <c r="FI102" s="408"/>
      <c r="FJ102" s="408"/>
      <c r="FK102" s="408"/>
      <c r="FL102" s="408"/>
      <c r="FM102" s="408"/>
      <c r="FN102" s="408"/>
      <c r="FO102" s="408"/>
      <c r="FP102" s="408"/>
      <c r="FQ102" s="408"/>
      <c r="FR102" s="408"/>
      <c r="FS102" s="408"/>
      <c r="FT102" s="408"/>
      <c r="FU102" s="408"/>
      <c r="FV102" s="408"/>
      <c r="FW102" s="408"/>
      <c r="FX102" s="408"/>
      <c r="FY102" s="412"/>
      <c r="FZ102" s="411"/>
      <c r="GA102" s="408"/>
      <c r="GB102" s="408"/>
      <c r="GC102" s="408"/>
      <c r="GD102" s="408"/>
      <c r="GE102" s="408"/>
      <c r="GF102" s="408"/>
      <c r="GG102" s="408"/>
      <c r="GH102" s="408"/>
      <c r="GI102" s="408"/>
      <c r="GJ102" s="408"/>
      <c r="GK102" s="408"/>
      <c r="GL102" s="408"/>
      <c r="GM102" s="408"/>
      <c r="GN102" s="408"/>
      <c r="GO102" s="408"/>
      <c r="GP102" s="408"/>
      <c r="GQ102" s="408"/>
      <c r="GR102" s="408"/>
      <c r="GS102" s="408"/>
      <c r="GT102" s="408"/>
      <c r="GU102" s="408"/>
      <c r="GV102" s="408"/>
      <c r="GW102" s="408"/>
      <c r="GX102" s="412"/>
      <c r="GY102" s="411"/>
      <c r="GZ102" s="408"/>
      <c r="HA102" s="408"/>
      <c r="HB102" s="408"/>
      <c r="HC102" s="408"/>
      <c r="HD102" s="408"/>
      <c r="HE102" s="408"/>
      <c r="HF102" s="408"/>
      <c r="HG102" s="408"/>
      <c r="HH102" s="408"/>
      <c r="HI102" s="408"/>
      <c r="HJ102" s="408"/>
      <c r="HK102" s="408"/>
      <c r="HL102" s="408"/>
      <c r="HM102" s="408"/>
      <c r="HN102" s="408"/>
      <c r="HO102" s="408"/>
      <c r="HP102" s="408"/>
      <c r="HQ102" s="408"/>
      <c r="HR102" s="408"/>
      <c r="HS102" s="408"/>
      <c r="HT102" s="408"/>
      <c r="HU102" s="408"/>
      <c r="HV102" s="408"/>
      <c r="HW102" s="412"/>
    </row>
    <row r="103" spans="1:231" ht="24" customHeight="1">
      <c r="A103" s="411"/>
      <c r="B103" s="408"/>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12"/>
      <c r="AA103" s="408"/>
      <c r="AB103" s="408"/>
      <c r="AC103" s="408"/>
      <c r="AD103" s="408"/>
      <c r="AE103" s="408"/>
      <c r="AF103" s="411"/>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12"/>
      <c r="BE103" s="411"/>
      <c r="BF103" s="408"/>
      <c r="BG103" s="408"/>
      <c r="BH103" s="408"/>
      <c r="BI103" s="408"/>
      <c r="BJ103" s="408"/>
      <c r="BK103" s="408"/>
      <c r="BL103" s="408"/>
      <c r="BM103" s="408"/>
      <c r="BN103" s="408"/>
      <c r="BO103" s="408"/>
      <c r="BP103" s="408"/>
      <c r="BQ103" s="408"/>
      <c r="BR103" s="408"/>
      <c r="BS103" s="408"/>
      <c r="BT103" s="408"/>
      <c r="BU103" s="408"/>
      <c r="BV103" s="408"/>
      <c r="BW103" s="408"/>
      <c r="BX103" s="408"/>
      <c r="BY103" s="408"/>
      <c r="BZ103" s="408"/>
      <c r="CA103" s="408"/>
      <c r="CB103" s="408"/>
      <c r="CC103" s="412"/>
      <c r="CD103" s="411"/>
      <c r="CE103" s="408"/>
      <c r="CF103" s="408"/>
      <c r="CG103" s="408"/>
      <c r="CH103" s="408"/>
      <c r="CI103" s="408"/>
      <c r="CJ103" s="408"/>
      <c r="CK103" s="408"/>
      <c r="CL103" s="408"/>
      <c r="CM103" s="408"/>
      <c r="CN103" s="408"/>
      <c r="CO103" s="408"/>
      <c r="CP103" s="408"/>
      <c r="CQ103" s="408"/>
      <c r="CR103" s="408"/>
      <c r="CS103" s="408"/>
      <c r="CT103" s="408"/>
      <c r="CU103" s="408"/>
      <c r="CV103" s="408"/>
      <c r="CW103" s="408"/>
      <c r="CX103" s="408"/>
      <c r="CY103" s="408"/>
      <c r="CZ103" s="408"/>
      <c r="DA103" s="408"/>
      <c r="DB103" s="412"/>
      <c r="DC103" s="411"/>
      <c r="DD103" s="408"/>
      <c r="DE103" s="408"/>
      <c r="DF103" s="408"/>
      <c r="DG103" s="408"/>
      <c r="DH103" s="408"/>
      <c r="DI103" s="408"/>
      <c r="DJ103" s="408"/>
      <c r="DK103" s="408"/>
      <c r="DL103" s="408"/>
      <c r="DM103" s="408"/>
      <c r="DN103" s="408"/>
      <c r="DO103" s="408"/>
      <c r="DP103" s="408"/>
      <c r="DQ103" s="408"/>
      <c r="DR103" s="408"/>
      <c r="DS103" s="408"/>
      <c r="DT103" s="408"/>
      <c r="DU103" s="408"/>
      <c r="DV103" s="408"/>
      <c r="DW103" s="408"/>
      <c r="DX103" s="408"/>
      <c r="DY103" s="408"/>
      <c r="DZ103" s="408"/>
      <c r="EA103" s="412"/>
      <c r="EB103" s="411"/>
      <c r="EC103" s="408"/>
      <c r="ED103" s="408"/>
      <c r="EE103" s="408"/>
      <c r="EF103" s="408"/>
      <c r="EG103" s="408"/>
      <c r="EH103" s="408"/>
      <c r="EI103" s="408"/>
      <c r="EJ103" s="408"/>
      <c r="EK103" s="408"/>
      <c r="EL103" s="408"/>
      <c r="EM103" s="408"/>
      <c r="EN103" s="408"/>
      <c r="EO103" s="408"/>
      <c r="EP103" s="408"/>
      <c r="EQ103" s="408"/>
      <c r="ER103" s="408"/>
      <c r="ES103" s="408"/>
      <c r="ET103" s="408"/>
      <c r="EU103" s="408"/>
      <c r="EV103" s="408"/>
      <c r="EW103" s="408"/>
      <c r="EX103" s="408"/>
      <c r="EY103" s="408"/>
      <c r="EZ103" s="412"/>
      <c r="FA103" s="411"/>
      <c r="FB103" s="408"/>
      <c r="FC103" s="408"/>
      <c r="FD103" s="408"/>
      <c r="FE103" s="408"/>
      <c r="FF103" s="408"/>
      <c r="FG103" s="408"/>
      <c r="FH103" s="408"/>
      <c r="FI103" s="408"/>
      <c r="FJ103" s="408"/>
      <c r="FK103" s="408"/>
      <c r="FL103" s="408"/>
      <c r="FM103" s="408"/>
      <c r="FN103" s="408"/>
      <c r="FO103" s="408"/>
      <c r="FP103" s="408"/>
      <c r="FQ103" s="408"/>
      <c r="FR103" s="408"/>
      <c r="FS103" s="408"/>
      <c r="FT103" s="408"/>
      <c r="FU103" s="408"/>
      <c r="FV103" s="408"/>
      <c r="FW103" s="408"/>
      <c r="FX103" s="408"/>
      <c r="FY103" s="412"/>
      <c r="FZ103" s="411"/>
      <c r="GA103" s="408"/>
      <c r="GB103" s="408"/>
      <c r="GC103" s="408"/>
      <c r="GD103" s="408"/>
      <c r="GE103" s="408"/>
      <c r="GF103" s="408"/>
      <c r="GG103" s="408"/>
      <c r="GH103" s="408"/>
      <c r="GI103" s="408"/>
      <c r="GJ103" s="408"/>
      <c r="GK103" s="408"/>
      <c r="GL103" s="408"/>
      <c r="GM103" s="408"/>
      <c r="GN103" s="408"/>
      <c r="GO103" s="408"/>
      <c r="GP103" s="408"/>
      <c r="GQ103" s="408"/>
      <c r="GR103" s="408"/>
      <c r="GS103" s="408"/>
      <c r="GT103" s="408"/>
      <c r="GU103" s="408"/>
      <c r="GV103" s="408"/>
      <c r="GW103" s="408"/>
      <c r="GX103" s="412"/>
      <c r="GY103" s="411"/>
      <c r="GZ103" s="408"/>
      <c r="HA103" s="408"/>
      <c r="HB103" s="408"/>
      <c r="HC103" s="408"/>
      <c r="HD103" s="408"/>
      <c r="HE103" s="408"/>
      <c r="HF103" s="408"/>
      <c r="HG103" s="408"/>
      <c r="HH103" s="408"/>
      <c r="HI103" s="408"/>
      <c r="HJ103" s="408"/>
      <c r="HK103" s="408"/>
      <c r="HL103" s="408"/>
      <c r="HM103" s="408"/>
      <c r="HN103" s="408"/>
      <c r="HO103" s="408"/>
      <c r="HP103" s="408"/>
      <c r="HQ103" s="408"/>
      <c r="HR103" s="408"/>
      <c r="HS103" s="408"/>
      <c r="HT103" s="408"/>
      <c r="HU103" s="408"/>
      <c r="HV103" s="408"/>
      <c r="HW103" s="412"/>
    </row>
    <row r="104" spans="1:231" ht="24" customHeight="1">
      <c r="A104" s="411"/>
      <c r="B104" s="408"/>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12"/>
      <c r="AA104" s="408"/>
      <c r="AB104" s="408"/>
      <c r="AC104" s="408"/>
      <c r="AD104" s="408"/>
      <c r="AE104" s="408"/>
      <c r="AF104" s="411"/>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12"/>
      <c r="BE104" s="411"/>
      <c r="BF104" s="408"/>
      <c r="BG104" s="408"/>
      <c r="BH104" s="408"/>
      <c r="BI104" s="408"/>
      <c r="BJ104" s="408"/>
      <c r="BK104" s="408"/>
      <c r="BL104" s="408"/>
      <c r="BM104" s="408"/>
      <c r="BN104" s="408"/>
      <c r="BO104" s="408"/>
      <c r="BP104" s="408"/>
      <c r="BQ104" s="408"/>
      <c r="BR104" s="408"/>
      <c r="BS104" s="408"/>
      <c r="BT104" s="408"/>
      <c r="BU104" s="408"/>
      <c r="BV104" s="408"/>
      <c r="BW104" s="408"/>
      <c r="BX104" s="408"/>
      <c r="BY104" s="408"/>
      <c r="BZ104" s="408"/>
      <c r="CA104" s="408"/>
      <c r="CB104" s="408"/>
      <c r="CC104" s="412"/>
      <c r="CD104" s="411"/>
      <c r="CE104" s="408"/>
      <c r="CF104" s="408"/>
      <c r="CG104" s="408"/>
      <c r="CH104" s="408"/>
      <c r="CI104" s="408"/>
      <c r="CJ104" s="408"/>
      <c r="CK104" s="408"/>
      <c r="CL104" s="408"/>
      <c r="CM104" s="408"/>
      <c r="CN104" s="408"/>
      <c r="CO104" s="408"/>
      <c r="CP104" s="408"/>
      <c r="CQ104" s="408"/>
      <c r="CR104" s="408"/>
      <c r="CS104" s="408"/>
      <c r="CT104" s="408"/>
      <c r="CU104" s="408"/>
      <c r="CV104" s="408"/>
      <c r="CW104" s="408"/>
      <c r="CX104" s="408"/>
      <c r="CY104" s="408"/>
      <c r="CZ104" s="408"/>
      <c r="DA104" s="408"/>
      <c r="DB104" s="412"/>
      <c r="DC104" s="411"/>
      <c r="DD104" s="408"/>
      <c r="DE104" s="408"/>
      <c r="DF104" s="408"/>
      <c r="DG104" s="408"/>
      <c r="DH104" s="408"/>
      <c r="DI104" s="408"/>
      <c r="DJ104" s="408"/>
      <c r="DK104" s="408"/>
      <c r="DL104" s="408"/>
      <c r="DM104" s="408"/>
      <c r="DN104" s="408"/>
      <c r="DO104" s="408"/>
      <c r="DP104" s="408"/>
      <c r="DQ104" s="408"/>
      <c r="DR104" s="408"/>
      <c r="DS104" s="408"/>
      <c r="DT104" s="408"/>
      <c r="DU104" s="408"/>
      <c r="DV104" s="408"/>
      <c r="DW104" s="408"/>
      <c r="DX104" s="408"/>
      <c r="DY104" s="408"/>
      <c r="DZ104" s="408"/>
      <c r="EA104" s="412"/>
      <c r="EB104" s="411"/>
      <c r="EC104" s="408"/>
      <c r="ED104" s="408"/>
      <c r="EE104" s="408"/>
      <c r="EF104" s="408"/>
      <c r="EG104" s="408"/>
      <c r="EH104" s="408"/>
      <c r="EI104" s="408"/>
      <c r="EJ104" s="408"/>
      <c r="EK104" s="408"/>
      <c r="EL104" s="408"/>
      <c r="EM104" s="408"/>
      <c r="EN104" s="408"/>
      <c r="EO104" s="408"/>
      <c r="EP104" s="408"/>
      <c r="EQ104" s="408"/>
      <c r="ER104" s="408"/>
      <c r="ES104" s="408"/>
      <c r="ET104" s="408"/>
      <c r="EU104" s="408"/>
      <c r="EV104" s="408"/>
      <c r="EW104" s="408"/>
      <c r="EX104" s="408"/>
      <c r="EY104" s="408"/>
      <c r="EZ104" s="412"/>
      <c r="FA104" s="411"/>
      <c r="FB104" s="408"/>
      <c r="FC104" s="408"/>
      <c r="FD104" s="408"/>
      <c r="FE104" s="408"/>
      <c r="FF104" s="408"/>
      <c r="FG104" s="408"/>
      <c r="FH104" s="408"/>
      <c r="FI104" s="408"/>
      <c r="FJ104" s="408"/>
      <c r="FK104" s="408"/>
      <c r="FL104" s="408"/>
      <c r="FM104" s="408"/>
      <c r="FN104" s="408"/>
      <c r="FO104" s="408"/>
      <c r="FP104" s="408"/>
      <c r="FQ104" s="408"/>
      <c r="FR104" s="408"/>
      <c r="FS104" s="408"/>
      <c r="FT104" s="408"/>
      <c r="FU104" s="408"/>
      <c r="FV104" s="408"/>
      <c r="FW104" s="408"/>
      <c r="FX104" s="408"/>
      <c r="FY104" s="412"/>
      <c r="FZ104" s="411"/>
      <c r="GA104" s="408"/>
      <c r="GB104" s="408"/>
      <c r="GC104" s="408"/>
      <c r="GD104" s="408"/>
      <c r="GE104" s="408"/>
      <c r="GF104" s="408"/>
      <c r="GG104" s="408"/>
      <c r="GH104" s="408"/>
      <c r="GI104" s="408"/>
      <c r="GJ104" s="408"/>
      <c r="GK104" s="408"/>
      <c r="GL104" s="408"/>
      <c r="GM104" s="408"/>
      <c r="GN104" s="408"/>
      <c r="GO104" s="408"/>
      <c r="GP104" s="408"/>
      <c r="GQ104" s="408"/>
      <c r="GR104" s="408"/>
      <c r="GS104" s="408"/>
      <c r="GT104" s="408"/>
      <c r="GU104" s="408"/>
      <c r="GV104" s="408"/>
      <c r="GW104" s="408"/>
      <c r="GX104" s="412"/>
      <c r="GY104" s="411"/>
      <c r="GZ104" s="408"/>
      <c r="HA104" s="408"/>
      <c r="HB104" s="408"/>
      <c r="HC104" s="408"/>
      <c r="HD104" s="408"/>
      <c r="HE104" s="408"/>
      <c r="HF104" s="408"/>
      <c r="HG104" s="408"/>
      <c r="HH104" s="408"/>
      <c r="HI104" s="408"/>
      <c r="HJ104" s="408"/>
      <c r="HK104" s="408"/>
      <c r="HL104" s="408"/>
      <c r="HM104" s="408"/>
      <c r="HN104" s="408"/>
      <c r="HO104" s="408"/>
      <c r="HP104" s="408"/>
      <c r="HQ104" s="408"/>
      <c r="HR104" s="408"/>
      <c r="HS104" s="408"/>
      <c r="HT104" s="408"/>
      <c r="HU104" s="408"/>
      <c r="HV104" s="408"/>
      <c r="HW104" s="412"/>
    </row>
    <row r="105" spans="1:231" ht="24" customHeight="1">
      <c r="A105" s="411"/>
      <c r="B105" s="408"/>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12"/>
      <c r="AA105" s="408"/>
      <c r="AB105" s="408"/>
      <c r="AC105" s="408"/>
      <c r="AD105" s="408"/>
      <c r="AE105" s="408"/>
      <c r="AF105" s="411"/>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12"/>
      <c r="BE105" s="411"/>
      <c r="BF105" s="408"/>
      <c r="BG105" s="408"/>
      <c r="BH105" s="408"/>
      <c r="BI105" s="408"/>
      <c r="BJ105" s="408"/>
      <c r="BK105" s="408"/>
      <c r="BL105" s="408"/>
      <c r="BM105" s="408"/>
      <c r="BN105" s="408"/>
      <c r="BO105" s="408"/>
      <c r="BP105" s="408"/>
      <c r="BQ105" s="408"/>
      <c r="BR105" s="408"/>
      <c r="BS105" s="408"/>
      <c r="BT105" s="408"/>
      <c r="BU105" s="408"/>
      <c r="BV105" s="408"/>
      <c r="BW105" s="408"/>
      <c r="BX105" s="408"/>
      <c r="BY105" s="408"/>
      <c r="BZ105" s="408"/>
      <c r="CA105" s="408"/>
      <c r="CB105" s="408"/>
      <c r="CC105" s="412"/>
      <c r="CD105" s="411"/>
      <c r="CE105" s="408"/>
      <c r="CF105" s="408"/>
      <c r="CG105" s="408"/>
      <c r="CH105" s="408"/>
      <c r="CI105" s="408"/>
      <c r="CJ105" s="408"/>
      <c r="CK105" s="408"/>
      <c r="CL105" s="408"/>
      <c r="CM105" s="408"/>
      <c r="CN105" s="408"/>
      <c r="CO105" s="408"/>
      <c r="CP105" s="408"/>
      <c r="CQ105" s="408"/>
      <c r="CR105" s="408"/>
      <c r="CS105" s="408"/>
      <c r="CT105" s="408"/>
      <c r="CU105" s="408"/>
      <c r="CV105" s="408"/>
      <c r="CW105" s="408"/>
      <c r="CX105" s="408"/>
      <c r="CY105" s="408"/>
      <c r="CZ105" s="408"/>
      <c r="DA105" s="408"/>
      <c r="DB105" s="412"/>
      <c r="DC105" s="411"/>
      <c r="DD105" s="408"/>
      <c r="DE105" s="408"/>
      <c r="DF105" s="408"/>
      <c r="DG105" s="408"/>
      <c r="DH105" s="408"/>
      <c r="DI105" s="408"/>
      <c r="DJ105" s="408"/>
      <c r="DK105" s="408"/>
      <c r="DL105" s="408"/>
      <c r="DM105" s="408"/>
      <c r="DN105" s="408"/>
      <c r="DO105" s="408"/>
      <c r="DP105" s="408"/>
      <c r="DQ105" s="408"/>
      <c r="DR105" s="408"/>
      <c r="DS105" s="408"/>
      <c r="DT105" s="408"/>
      <c r="DU105" s="408"/>
      <c r="DV105" s="408"/>
      <c r="DW105" s="408"/>
      <c r="DX105" s="408"/>
      <c r="DY105" s="408"/>
      <c r="DZ105" s="408"/>
      <c r="EA105" s="412"/>
      <c r="EB105" s="411"/>
      <c r="EC105" s="408"/>
      <c r="ED105" s="408"/>
      <c r="EE105" s="408"/>
      <c r="EF105" s="408"/>
      <c r="EG105" s="408"/>
      <c r="EH105" s="408"/>
      <c r="EI105" s="408"/>
      <c r="EJ105" s="408"/>
      <c r="EK105" s="408"/>
      <c r="EL105" s="408"/>
      <c r="EM105" s="408"/>
      <c r="EN105" s="408"/>
      <c r="EO105" s="408"/>
      <c r="EP105" s="408"/>
      <c r="EQ105" s="408"/>
      <c r="ER105" s="408"/>
      <c r="ES105" s="408"/>
      <c r="ET105" s="408"/>
      <c r="EU105" s="408"/>
      <c r="EV105" s="408"/>
      <c r="EW105" s="408"/>
      <c r="EX105" s="408"/>
      <c r="EY105" s="408"/>
      <c r="EZ105" s="412"/>
      <c r="FA105" s="411"/>
      <c r="FB105" s="408"/>
      <c r="FC105" s="408"/>
      <c r="FD105" s="408"/>
      <c r="FE105" s="408"/>
      <c r="FF105" s="408"/>
      <c r="FG105" s="408"/>
      <c r="FH105" s="408"/>
      <c r="FI105" s="408"/>
      <c r="FJ105" s="408"/>
      <c r="FK105" s="408"/>
      <c r="FL105" s="408"/>
      <c r="FM105" s="408"/>
      <c r="FN105" s="408"/>
      <c r="FO105" s="408"/>
      <c r="FP105" s="408"/>
      <c r="FQ105" s="408"/>
      <c r="FR105" s="408"/>
      <c r="FS105" s="408"/>
      <c r="FT105" s="408"/>
      <c r="FU105" s="408"/>
      <c r="FV105" s="408"/>
      <c r="FW105" s="408"/>
      <c r="FX105" s="408"/>
      <c r="FY105" s="412"/>
      <c r="FZ105" s="411"/>
      <c r="GA105" s="408"/>
      <c r="GB105" s="408"/>
      <c r="GC105" s="408"/>
      <c r="GD105" s="408"/>
      <c r="GE105" s="408"/>
      <c r="GF105" s="408"/>
      <c r="GG105" s="408"/>
      <c r="GH105" s="408"/>
      <c r="GI105" s="408"/>
      <c r="GJ105" s="408"/>
      <c r="GK105" s="408"/>
      <c r="GL105" s="408"/>
      <c r="GM105" s="408"/>
      <c r="GN105" s="408"/>
      <c r="GO105" s="408"/>
      <c r="GP105" s="408"/>
      <c r="GQ105" s="408"/>
      <c r="GR105" s="408"/>
      <c r="GS105" s="408"/>
      <c r="GT105" s="408"/>
      <c r="GU105" s="408"/>
      <c r="GV105" s="408"/>
      <c r="GW105" s="408"/>
      <c r="GX105" s="412"/>
      <c r="GY105" s="411"/>
      <c r="GZ105" s="408"/>
      <c r="HA105" s="408"/>
      <c r="HB105" s="408"/>
      <c r="HC105" s="408"/>
      <c r="HD105" s="408"/>
      <c r="HE105" s="408"/>
      <c r="HF105" s="408"/>
      <c r="HG105" s="408"/>
      <c r="HH105" s="408"/>
      <c r="HI105" s="408"/>
      <c r="HJ105" s="408"/>
      <c r="HK105" s="408"/>
      <c r="HL105" s="408"/>
      <c r="HM105" s="408"/>
      <c r="HN105" s="408"/>
      <c r="HO105" s="408"/>
      <c r="HP105" s="408"/>
      <c r="HQ105" s="408"/>
      <c r="HR105" s="408"/>
      <c r="HS105" s="408"/>
      <c r="HT105" s="408"/>
      <c r="HU105" s="408"/>
      <c r="HV105" s="408"/>
      <c r="HW105" s="412"/>
    </row>
    <row r="106" spans="1:231" ht="24" customHeight="1">
      <c r="A106" s="411"/>
      <c r="B106" s="408"/>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12"/>
      <c r="AA106" s="408"/>
      <c r="AB106" s="408"/>
      <c r="AC106" s="408"/>
      <c r="AD106" s="408"/>
      <c r="AE106" s="408"/>
      <c r="AF106" s="411"/>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12"/>
      <c r="BE106" s="411"/>
      <c r="BF106" s="408"/>
      <c r="BG106" s="408"/>
      <c r="BH106" s="408"/>
      <c r="BI106" s="408"/>
      <c r="BJ106" s="408"/>
      <c r="BK106" s="408"/>
      <c r="BL106" s="408"/>
      <c r="BM106" s="408"/>
      <c r="BN106" s="408"/>
      <c r="BO106" s="408"/>
      <c r="BP106" s="408"/>
      <c r="BQ106" s="408"/>
      <c r="BR106" s="408"/>
      <c r="BS106" s="408"/>
      <c r="BT106" s="408"/>
      <c r="BU106" s="408"/>
      <c r="BV106" s="408"/>
      <c r="BW106" s="408"/>
      <c r="BX106" s="408"/>
      <c r="BY106" s="408"/>
      <c r="BZ106" s="408"/>
      <c r="CA106" s="408"/>
      <c r="CB106" s="408"/>
      <c r="CC106" s="412"/>
      <c r="CD106" s="411"/>
      <c r="CE106" s="408"/>
      <c r="CF106" s="408"/>
      <c r="CG106" s="408"/>
      <c r="CH106" s="408"/>
      <c r="CI106" s="408"/>
      <c r="CJ106" s="408"/>
      <c r="CK106" s="408"/>
      <c r="CL106" s="408"/>
      <c r="CM106" s="408"/>
      <c r="CN106" s="408"/>
      <c r="CO106" s="408"/>
      <c r="CP106" s="408"/>
      <c r="CQ106" s="408"/>
      <c r="CR106" s="408"/>
      <c r="CS106" s="408"/>
      <c r="CT106" s="408"/>
      <c r="CU106" s="408"/>
      <c r="CV106" s="408"/>
      <c r="CW106" s="408"/>
      <c r="CX106" s="408"/>
      <c r="CY106" s="408"/>
      <c r="CZ106" s="408"/>
      <c r="DA106" s="408"/>
      <c r="DB106" s="412"/>
      <c r="DC106" s="411"/>
      <c r="DD106" s="408"/>
      <c r="DE106" s="408"/>
      <c r="DF106" s="408"/>
      <c r="DG106" s="408"/>
      <c r="DH106" s="408"/>
      <c r="DI106" s="408"/>
      <c r="DJ106" s="408"/>
      <c r="DK106" s="408"/>
      <c r="DL106" s="408"/>
      <c r="DM106" s="408"/>
      <c r="DN106" s="408"/>
      <c r="DO106" s="408"/>
      <c r="DP106" s="408"/>
      <c r="DQ106" s="408"/>
      <c r="DR106" s="408"/>
      <c r="DS106" s="408"/>
      <c r="DT106" s="408"/>
      <c r="DU106" s="408"/>
      <c r="DV106" s="408"/>
      <c r="DW106" s="408"/>
      <c r="DX106" s="408"/>
      <c r="DY106" s="408"/>
      <c r="DZ106" s="408"/>
      <c r="EA106" s="412"/>
      <c r="EB106" s="411"/>
      <c r="EC106" s="408"/>
      <c r="ED106" s="408"/>
      <c r="EE106" s="408"/>
      <c r="EF106" s="408"/>
      <c r="EG106" s="408"/>
      <c r="EH106" s="408"/>
      <c r="EI106" s="408"/>
      <c r="EJ106" s="408"/>
      <c r="EK106" s="408"/>
      <c r="EL106" s="408"/>
      <c r="EM106" s="408"/>
      <c r="EN106" s="408"/>
      <c r="EO106" s="408"/>
      <c r="EP106" s="408"/>
      <c r="EQ106" s="408"/>
      <c r="ER106" s="408"/>
      <c r="ES106" s="408"/>
      <c r="ET106" s="408"/>
      <c r="EU106" s="408"/>
      <c r="EV106" s="408"/>
      <c r="EW106" s="408"/>
      <c r="EX106" s="408"/>
      <c r="EY106" s="408"/>
      <c r="EZ106" s="412"/>
      <c r="FA106" s="411"/>
      <c r="FB106" s="408"/>
      <c r="FC106" s="408"/>
      <c r="FD106" s="408"/>
      <c r="FE106" s="408"/>
      <c r="FF106" s="408"/>
      <c r="FG106" s="408"/>
      <c r="FH106" s="408"/>
      <c r="FI106" s="408"/>
      <c r="FJ106" s="408"/>
      <c r="FK106" s="408"/>
      <c r="FL106" s="408"/>
      <c r="FM106" s="408"/>
      <c r="FN106" s="408"/>
      <c r="FO106" s="408"/>
      <c r="FP106" s="408"/>
      <c r="FQ106" s="408"/>
      <c r="FR106" s="408"/>
      <c r="FS106" s="408"/>
      <c r="FT106" s="408"/>
      <c r="FU106" s="408"/>
      <c r="FV106" s="408"/>
      <c r="FW106" s="408"/>
      <c r="FX106" s="408"/>
      <c r="FY106" s="412"/>
      <c r="FZ106" s="411"/>
      <c r="GA106" s="408"/>
      <c r="GB106" s="408"/>
      <c r="GC106" s="408"/>
      <c r="GD106" s="408"/>
      <c r="GE106" s="408"/>
      <c r="GF106" s="408"/>
      <c r="GG106" s="408"/>
      <c r="GH106" s="408"/>
      <c r="GI106" s="408"/>
      <c r="GJ106" s="408"/>
      <c r="GK106" s="408"/>
      <c r="GL106" s="408"/>
      <c r="GM106" s="408"/>
      <c r="GN106" s="408"/>
      <c r="GO106" s="408"/>
      <c r="GP106" s="408"/>
      <c r="GQ106" s="408"/>
      <c r="GR106" s="408"/>
      <c r="GS106" s="408"/>
      <c r="GT106" s="408"/>
      <c r="GU106" s="408"/>
      <c r="GV106" s="408"/>
      <c r="GW106" s="408"/>
      <c r="GX106" s="412"/>
      <c r="GY106" s="411"/>
      <c r="GZ106" s="408"/>
      <c r="HA106" s="408"/>
      <c r="HB106" s="408"/>
      <c r="HC106" s="408"/>
      <c r="HD106" s="408"/>
      <c r="HE106" s="408"/>
      <c r="HF106" s="408"/>
      <c r="HG106" s="408"/>
      <c r="HH106" s="408"/>
      <c r="HI106" s="408"/>
      <c r="HJ106" s="408"/>
      <c r="HK106" s="408"/>
      <c r="HL106" s="408"/>
      <c r="HM106" s="408"/>
      <c r="HN106" s="408"/>
      <c r="HO106" s="408"/>
      <c r="HP106" s="408"/>
      <c r="HQ106" s="408"/>
      <c r="HR106" s="408"/>
      <c r="HS106" s="408"/>
      <c r="HT106" s="408"/>
      <c r="HU106" s="408"/>
      <c r="HV106" s="408"/>
      <c r="HW106" s="412"/>
    </row>
    <row r="107" spans="1:231" ht="24" customHeight="1">
      <c r="A107" s="411"/>
      <c r="B107" s="408"/>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12"/>
      <c r="AA107" s="408"/>
      <c r="AB107" s="408"/>
      <c r="AC107" s="408"/>
      <c r="AD107" s="408"/>
      <c r="AE107" s="408"/>
      <c r="AF107" s="411"/>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12"/>
      <c r="BE107" s="411"/>
      <c r="BF107" s="408"/>
      <c r="BG107" s="408"/>
      <c r="BH107" s="408"/>
      <c r="BI107" s="408"/>
      <c r="BJ107" s="408"/>
      <c r="BK107" s="408"/>
      <c r="BL107" s="408"/>
      <c r="BM107" s="408"/>
      <c r="BN107" s="408"/>
      <c r="BO107" s="408"/>
      <c r="BP107" s="408"/>
      <c r="BQ107" s="408"/>
      <c r="BR107" s="408"/>
      <c r="BS107" s="408"/>
      <c r="BT107" s="408"/>
      <c r="BU107" s="408"/>
      <c r="BV107" s="408"/>
      <c r="BW107" s="408"/>
      <c r="BX107" s="408"/>
      <c r="BY107" s="408"/>
      <c r="BZ107" s="408"/>
      <c r="CA107" s="408"/>
      <c r="CB107" s="408"/>
      <c r="CC107" s="412"/>
      <c r="CD107" s="411"/>
      <c r="CE107" s="408"/>
      <c r="CF107" s="408"/>
      <c r="CG107" s="408"/>
      <c r="CH107" s="408"/>
      <c r="CI107" s="408"/>
      <c r="CJ107" s="408"/>
      <c r="CK107" s="408"/>
      <c r="CL107" s="408"/>
      <c r="CM107" s="408"/>
      <c r="CN107" s="408"/>
      <c r="CO107" s="408"/>
      <c r="CP107" s="408"/>
      <c r="CQ107" s="408"/>
      <c r="CR107" s="408"/>
      <c r="CS107" s="408"/>
      <c r="CT107" s="408"/>
      <c r="CU107" s="408"/>
      <c r="CV107" s="408"/>
      <c r="CW107" s="408"/>
      <c r="CX107" s="408"/>
      <c r="CY107" s="408"/>
      <c r="CZ107" s="408"/>
      <c r="DA107" s="408"/>
      <c r="DB107" s="412"/>
      <c r="DC107" s="411"/>
      <c r="DD107" s="408"/>
      <c r="DE107" s="408"/>
      <c r="DF107" s="408"/>
      <c r="DG107" s="408"/>
      <c r="DH107" s="408"/>
      <c r="DI107" s="408"/>
      <c r="DJ107" s="408"/>
      <c r="DK107" s="408"/>
      <c r="DL107" s="408"/>
      <c r="DM107" s="408"/>
      <c r="DN107" s="408"/>
      <c r="DO107" s="408"/>
      <c r="DP107" s="408"/>
      <c r="DQ107" s="408"/>
      <c r="DR107" s="408"/>
      <c r="DS107" s="408"/>
      <c r="DT107" s="408"/>
      <c r="DU107" s="408"/>
      <c r="DV107" s="408"/>
      <c r="DW107" s="408"/>
      <c r="DX107" s="408"/>
      <c r="DY107" s="408"/>
      <c r="DZ107" s="408"/>
      <c r="EA107" s="412"/>
      <c r="EB107" s="411"/>
      <c r="EC107" s="408"/>
      <c r="ED107" s="408"/>
      <c r="EE107" s="408"/>
      <c r="EF107" s="408"/>
      <c r="EG107" s="408"/>
      <c r="EH107" s="408"/>
      <c r="EI107" s="408"/>
      <c r="EJ107" s="408"/>
      <c r="EK107" s="408"/>
      <c r="EL107" s="408"/>
      <c r="EM107" s="408"/>
      <c r="EN107" s="408"/>
      <c r="EO107" s="408"/>
      <c r="EP107" s="408"/>
      <c r="EQ107" s="408"/>
      <c r="ER107" s="408"/>
      <c r="ES107" s="408"/>
      <c r="ET107" s="408"/>
      <c r="EU107" s="408"/>
      <c r="EV107" s="408"/>
      <c r="EW107" s="408"/>
      <c r="EX107" s="408"/>
      <c r="EY107" s="408"/>
      <c r="EZ107" s="412"/>
      <c r="FA107" s="411"/>
      <c r="FB107" s="408"/>
      <c r="FC107" s="408"/>
      <c r="FD107" s="408"/>
      <c r="FE107" s="408"/>
      <c r="FF107" s="408"/>
      <c r="FG107" s="408"/>
      <c r="FH107" s="408"/>
      <c r="FI107" s="408"/>
      <c r="FJ107" s="408"/>
      <c r="FK107" s="408"/>
      <c r="FL107" s="408"/>
      <c r="FM107" s="408"/>
      <c r="FN107" s="408"/>
      <c r="FO107" s="408"/>
      <c r="FP107" s="408"/>
      <c r="FQ107" s="408"/>
      <c r="FR107" s="408"/>
      <c r="FS107" s="408"/>
      <c r="FT107" s="408"/>
      <c r="FU107" s="408"/>
      <c r="FV107" s="408"/>
      <c r="FW107" s="408"/>
      <c r="FX107" s="408"/>
      <c r="FY107" s="412"/>
      <c r="FZ107" s="411"/>
      <c r="GA107" s="408"/>
      <c r="GB107" s="408"/>
      <c r="GC107" s="408"/>
      <c r="GD107" s="408"/>
      <c r="GE107" s="408"/>
      <c r="GF107" s="408"/>
      <c r="GG107" s="408"/>
      <c r="GH107" s="408"/>
      <c r="GI107" s="408"/>
      <c r="GJ107" s="408"/>
      <c r="GK107" s="408"/>
      <c r="GL107" s="408"/>
      <c r="GM107" s="408"/>
      <c r="GN107" s="408"/>
      <c r="GO107" s="408"/>
      <c r="GP107" s="408"/>
      <c r="GQ107" s="408"/>
      <c r="GR107" s="408"/>
      <c r="GS107" s="408"/>
      <c r="GT107" s="408"/>
      <c r="GU107" s="408"/>
      <c r="GV107" s="408"/>
      <c r="GW107" s="408"/>
      <c r="GX107" s="412"/>
      <c r="GY107" s="411"/>
      <c r="GZ107" s="408"/>
      <c r="HA107" s="408"/>
      <c r="HB107" s="408"/>
      <c r="HC107" s="408"/>
      <c r="HD107" s="408"/>
      <c r="HE107" s="408"/>
      <c r="HF107" s="408"/>
      <c r="HG107" s="408"/>
      <c r="HH107" s="408"/>
      <c r="HI107" s="408"/>
      <c r="HJ107" s="408"/>
      <c r="HK107" s="408"/>
      <c r="HL107" s="408"/>
      <c r="HM107" s="408"/>
      <c r="HN107" s="408"/>
      <c r="HO107" s="408"/>
      <c r="HP107" s="408"/>
      <c r="HQ107" s="408"/>
      <c r="HR107" s="408"/>
      <c r="HS107" s="408"/>
      <c r="HT107" s="408"/>
      <c r="HU107" s="408"/>
      <c r="HV107" s="408"/>
      <c r="HW107" s="412"/>
    </row>
    <row r="108" spans="1:231" ht="24" customHeight="1">
      <c r="A108" s="411"/>
      <c r="B108" s="408"/>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12"/>
      <c r="AA108" s="408"/>
      <c r="AB108" s="408"/>
      <c r="AC108" s="408"/>
      <c r="AD108" s="408"/>
      <c r="AE108" s="408"/>
      <c r="AF108" s="411"/>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12"/>
      <c r="BE108" s="411"/>
      <c r="BF108" s="408"/>
      <c r="BG108" s="408"/>
      <c r="BH108" s="408"/>
      <c r="BI108" s="408"/>
      <c r="BJ108" s="408"/>
      <c r="BK108" s="408"/>
      <c r="BL108" s="408"/>
      <c r="BM108" s="408"/>
      <c r="BN108" s="408"/>
      <c r="BO108" s="408"/>
      <c r="BP108" s="408"/>
      <c r="BQ108" s="408"/>
      <c r="BR108" s="408"/>
      <c r="BS108" s="408"/>
      <c r="BT108" s="408"/>
      <c r="BU108" s="408"/>
      <c r="BV108" s="408"/>
      <c r="BW108" s="408"/>
      <c r="BX108" s="408"/>
      <c r="BY108" s="408"/>
      <c r="BZ108" s="408"/>
      <c r="CA108" s="408"/>
      <c r="CB108" s="408"/>
      <c r="CC108" s="412"/>
      <c r="CD108" s="411"/>
      <c r="CE108" s="408"/>
      <c r="CF108" s="408"/>
      <c r="CG108" s="408"/>
      <c r="CH108" s="408"/>
      <c r="CI108" s="408"/>
      <c r="CJ108" s="408"/>
      <c r="CK108" s="408"/>
      <c r="CL108" s="408"/>
      <c r="CM108" s="408"/>
      <c r="CN108" s="408"/>
      <c r="CO108" s="408"/>
      <c r="CP108" s="408"/>
      <c r="CQ108" s="408"/>
      <c r="CR108" s="408"/>
      <c r="CS108" s="408"/>
      <c r="CT108" s="408"/>
      <c r="CU108" s="408"/>
      <c r="CV108" s="408"/>
      <c r="CW108" s="408"/>
      <c r="CX108" s="408"/>
      <c r="CY108" s="408"/>
      <c r="CZ108" s="408"/>
      <c r="DA108" s="408"/>
      <c r="DB108" s="412"/>
      <c r="DC108" s="411"/>
      <c r="DD108" s="408"/>
      <c r="DE108" s="408"/>
      <c r="DF108" s="408"/>
      <c r="DG108" s="408"/>
      <c r="DH108" s="408"/>
      <c r="DI108" s="408"/>
      <c r="DJ108" s="408"/>
      <c r="DK108" s="408"/>
      <c r="DL108" s="408"/>
      <c r="DM108" s="408"/>
      <c r="DN108" s="408"/>
      <c r="DO108" s="408"/>
      <c r="DP108" s="408"/>
      <c r="DQ108" s="408"/>
      <c r="DR108" s="408"/>
      <c r="DS108" s="408"/>
      <c r="DT108" s="408"/>
      <c r="DU108" s="408"/>
      <c r="DV108" s="408"/>
      <c r="DW108" s="408"/>
      <c r="DX108" s="408"/>
      <c r="DY108" s="408"/>
      <c r="DZ108" s="408"/>
      <c r="EA108" s="412"/>
      <c r="EB108" s="411"/>
      <c r="EC108" s="408"/>
      <c r="ED108" s="408"/>
      <c r="EE108" s="408"/>
      <c r="EF108" s="408"/>
      <c r="EG108" s="408"/>
      <c r="EH108" s="408"/>
      <c r="EI108" s="408"/>
      <c r="EJ108" s="408"/>
      <c r="EK108" s="408"/>
      <c r="EL108" s="408"/>
      <c r="EM108" s="408"/>
      <c r="EN108" s="408"/>
      <c r="EO108" s="408"/>
      <c r="EP108" s="408"/>
      <c r="EQ108" s="408"/>
      <c r="ER108" s="408"/>
      <c r="ES108" s="408"/>
      <c r="ET108" s="408"/>
      <c r="EU108" s="408"/>
      <c r="EV108" s="408"/>
      <c r="EW108" s="408"/>
      <c r="EX108" s="408"/>
      <c r="EY108" s="408"/>
      <c r="EZ108" s="412"/>
      <c r="FA108" s="411"/>
      <c r="FB108" s="408"/>
      <c r="FC108" s="408"/>
      <c r="FD108" s="408"/>
      <c r="FE108" s="408"/>
      <c r="FF108" s="408"/>
      <c r="FG108" s="408"/>
      <c r="FH108" s="408"/>
      <c r="FI108" s="408"/>
      <c r="FJ108" s="408"/>
      <c r="FK108" s="408"/>
      <c r="FL108" s="408"/>
      <c r="FM108" s="408"/>
      <c r="FN108" s="408"/>
      <c r="FO108" s="408"/>
      <c r="FP108" s="408"/>
      <c r="FQ108" s="408"/>
      <c r="FR108" s="408"/>
      <c r="FS108" s="408"/>
      <c r="FT108" s="408"/>
      <c r="FU108" s="408"/>
      <c r="FV108" s="408"/>
      <c r="FW108" s="408"/>
      <c r="FX108" s="408"/>
      <c r="FY108" s="412"/>
      <c r="FZ108" s="411"/>
      <c r="GA108" s="408"/>
      <c r="GB108" s="408"/>
      <c r="GC108" s="408"/>
      <c r="GD108" s="408"/>
      <c r="GE108" s="408"/>
      <c r="GF108" s="408"/>
      <c r="GG108" s="408"/>
      <c r="GH108" s="408"/>
      <c r="GI108" s="408"/>
      <c r="GJ108" s="408"/>
      <c r="GK108" s="408"/>
      <c r="GL108" s="408"/>
      <c r="GM108" s="408"/>
      <c r="GN108" s="408"/>
      <c r="GO108" s="408"/>
      <c r="GP108" s="408"/>
      <c r="GQ108" s="408"/>
      <c r="GR108" s="408"/>
      <c r="GS108" s="408"/>
      <c r="GT108" s="408"/>
      <c r="GU108" s="408"/>
      <c r="GV108" s="408"/>
      <c r="GW108" s="408"/>
      <c r="GX108" s="412"/>
      <c r="GY108" s="411"/>
      <c r="GZ108" s="408"/>
      <c r="HA108" s="408"/>
      <c r="HB108" s="408"/>
      <c r="HC108" s="408"/>
      <c r="HD108" s="408"/>
      <c r="HE108" s="408"/>
      <c r="HF108" s="408"/>
      <c r="HG108" s="408"/>
      <c r="HH108" s="408"/>
      <c r="HI108" s="408"/>
      <c r="HJ108" s="408"/>
      <c r="HK108" s="408"/>
      <c r="HL108" s="408"/>
      <c r="HM108" s="408"/>
      <c r="HN108" s="408"/>
      <c r="HO108" s="408"/>
      <c r="HP108" s="408"/>
      <c r="HQ108" s="408"/>
      <c r="HR108" s="408"/>
      <c r="HS108" s="408"/>
      <c r="HT108" s="408"/>
      <c r="HU108" s="408"/>
      <c r="HV108" s="408"/>
      <c r="HW108" s="412"/>
    </row>
    <row r="109" spans="1:231" ht="24" customHeight="1">
      <c r="A109" s="411"/>
      <c r="B109" s="408"/>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12"/>
      <c r="AA109" s="408"/>
      <c r="AB109" s="408"/>
      <c r="AC109" s="408"/>
      <c r="AD109" s="408"/>
      <c r="AE109" s="408"/>
      <c r="AF109" s="411"/>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12"/>
      <c r="BE109" s="411"/>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s="408"/>
      <c r="CA109" s="408"/>
      <c r="CB109" s="408"/>
      <c r="CC109" s="412"/>
      <c r="CD109" s="411"/>
      <c r="CE109" s="408"/>
      <c r="CF109" s="408"/>
      <c r="CG109" s="408"/>
      <c r="CH109" s="408"/>
      <c r="CI109" s="408"/>
      <c r="CJ109" s="408"/>
      <c r="CK109" s="408"/>
      <c r="CL109" s="408"/>
      <c r="CM109" s="408"/>
      <c r="CN109" s="408"/>
      <c r="CO109" s="408"/>
      <c r="CP109" s="408"/>
      <c r="CQ109" s="408"/>
      <c r="CR109" s="408"/>
      <c r="CS109" s="408"/>
      <c r="CT109" s="408"/>
      <c r="CU109" s="408"/>
      <c r="CV109" s="408"/>
      <c r="CW109" s="408"/>
      <c r="CX109" s="408"/>
      <c r="CY109" s="408"/>
      <c r="CZ109" s="408"/>
      <c r="DA109" s="408"/>
      <c r="DB109" s="412"/>
      <c r="DC109" s="411"/>
      <c r="DD109" s="408"/>
      <c r="DE109" s="408"/>
      <c r="DF109" s="408"/>
      <c r="DG109" s="408"/>
      <c r="DH109" s="408"/>
      <c r="DI109" s="408"/>
      <c r="DJ109" s="408"/>
      <c r="DK109" s="408"/>
      <c r="DL109" s="408"/>
      <c r="DM109" s="408"/>
      <c r="DN109" s="408"/>
      <c r="DO109" s="408"/>
      <c r="DP109" s="408"/>
      <c r="DQ109" s="408"/>
      <c r="DR109" s="408"/>
      <c r="DS109" s="408"/>
      <c r="DT109" s="408"/>
      <c r="DU109" s="408"/>
      <c r="DV109" s="408"/>
      <c r="DW109" s="408"/>
      <c r="DX109" s="408"/>
      <c r="DY109" s="408"/>
      <c r="DZ109" s="408"/>
      <c r="EA109" s="412"/>
      <c r="EB109" s="411"/>
      <c r="EC109" s="408"/>
      <c r="ED109" s="408"/>
      <c r="EE109" s="408"/>
      <c r="EF109" s="408"/>
      <c r="EG109" s="408"/>
      <c r="EH109" s="408"/>
      <c r="EI109" s="408"/>
      <c r="EJ109" s="408"/>
      <c r="EK109" s="408"/>
      <c r="EL109" s="408"/>
      <c r="EM109" s="408"/>
      <c r="EN109" s="408"/>
      <c r="EO109" s="408"/>
      <c r="EP109" s="408"/>
      <c r="EQ109" s="408"/>
      <c r="ER109" s="408"/>
      <c r="ES109" s="408"/>
      <c r="ET109" s="408"/>
      <c r="EU109" s="408"/>
      <c r="EV109" s="408"/>
      <c r="EW109" s="408"/>
      <c r="EX109" s="408"/>
      <c r="EY109" s="408"/>
      <c r="EZ109" s="412"/>
      <c r="FA109" s="411"/>
      <c r="FB109" s="408"/>
      <c r="FC109" s="408"/>
      <c r="FD109" s="408"/>
      <c r="FE109" s="408"/>
      <c r="FF109" s="408"/>
      <c r="FG109" s="408"/>
      <c r="FH109" s="408"/>
      <c r="FI109" s="408"/>
      <c r="FJ109" s="408"/>
      <c r="FK109" s="408"/>
      <c r="FL109" s="408"/>
      <c r="FM109" s="408"/>
      <c r="FN109" s="408"/>
      <c r="FO109" s="408"/>
      <c r="FP109" s="408"/>
      <c r="FQ109" s="408"/>
      <c r="FR109" s="408"/>
      <c r="FS109" s="408"/>
      <c r="FT109" s="408"/>
      <c r="FU109" s="408"/>
      <c r="FV109" s="408"/>
      <c r="FW109" s="408"/>
      <c r="FX109" s="408"/>
      <c r="FY109" s="412"/>
      <c r="FZ109" s="411"/>
      <c r="GA109" s="408"/>
      <c r="GB109" s="408"/>
      <c r="GC109" s="408"/>
      <c r="GD109" s="408"/>
      <c r="GE109" s="408"/>
      <c r="GF109" s="408"/>
      <c r="GG109" s="408"/>
      <c r="GH109" s="408"/>
      <c r="GI109" s="408"/>
      <c r="GJ109" s="408"/>
      <c r="GK109" s="408"/>
      <c r="GL109" s="408"/>
      <c r="GM109" s="408"/>
      <c r="GN109" s="408"/>
      <c r="GO109" s="408"/>
      <c r="GP109" s="408"/>
      <c r="GQ109" s="408"/>
      <c r="GR109" s="408"/>
      <c r="GS109" s="408"/>
      <c r="GT109" s="408"/>
      <c r="GU109" s="408"/>
      <c r="GV109" s="408"/>
      <c r="GW109" s="408"/>
      <c r="GX109" s="412"/>
      <c r="GY109" s="411"/>
      <c r="GZ109" s="408"/>
      <c r="HA109" s="408"/>
      <c r="HB109" s="408"/>
      <c r="HC109" s="408"/>
      <c r="HD109" s="408"/>
      <c r="HE109" s="408"/>
      <c r="HF109" s="408"/>
      <c r="HG109" s="408"/>
      <c r="HH109" s="408"/>
      <c r="HI109" s="408"/>
      <c r="HJ109" s="408"/>
      <c r="HK109" s="408"/>
      <c r="HL109" s="408"/>
      <c r="HM109" s="408"/>
      <c r="HN109" s="408"/>
      <c r="HO109" s="408"/>
      <c r="HP109" s="408"/>
      <c r="HQ109" s="408"/>
      <c r="HR109" s="408"/>
      <c r="HS109" s="408"/>
      <c r="HT109" s="408"/>
      <c r="HU109" s="408"/>
      <c r="HV109" s="408"/>
      <c r="HW109" s="412"/>
    </row>
    <row r="110" spans="1:231" ht="24" customHeight="1">
      <c r="A110" s="411"/>
      <c r="B110" s="408"/>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12"/>
      <c r="AA110" s="408"/>
      <c r="AB110" s="408"/>
      <c r="AC110" s="408"/>
      <c r="AD110" s="408"/>
      <c r="AE110" s="408"/>
      <c r="AF110" s="411"/>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12"/>
      <c r="BE110" s="411"/>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s="408"/>
      <c r="CA110" s="408"/>
      <c r="CB110" s="408"/>
      <c r="CC110" s="412"/>
      <c r="CD110" s="411"/>
      <c r="CE110" s="408"/>
      <c r="CF110" s="408"/>
      <c r="CG110" s="408"/>
      <c r="CH110" s="408"/>
      <c r="CI110" s="408"/>
      <c r="CJ110" s="408"/>
      <c r="CK110" s="408"/>
      <c r="CL110" s="408"/>
      <c r="CM110" s="408"/>
      <c r="CN110" s="408"/>
      <c r="CO110" s="408"/>
      <c r="CP110" s="408"/>
      <c r="CQ110" s="408"/>
      <c r="CR110" s="408"/>
      <c r="CS110" s="408"/>
      <c r="CT110" s="408"/>
      <c r="CU110" s="408"/>
      <c r="CV110" s="408"/>
      <c r="CW110" s="408"/>
      <c r="CX110" s="408"/>
      <c r="CY110" s="408"/>
      <c r="CZ110" s="408"/>
      <c r="DA110" s="408"/>
      <c r="DB110" s="412"/>
      <c r="DC110" s="411"/>
      <c r="DD110" s="408"/>
      <c r="DE110" s="408"/>
      <c r="DF110" s="408"/>
      <c r="DG110" s="408"/>
      <c r="DH110" s="408"/>
      <c r="DI110" s="408"/>
      <c r="DJ110" s="408"/>
      <c r="DK110" s="408"/>
      <c r="DL110" s="408"/>
      <c r="DM110" s="408"/>
      <c r="DN110" s="408"/>
      <c r="DO110" s="408"/>
      <c r="DP110" s="408"/>
      <c r="DQ110" s="408"/>
      <c r="DR110" s="408"/>
      <c r="DS110" s="408"/>
      <c r="DT110" s="408"/>
      <c r="DU110" s="408"/>
      <c r="DV110" s="408"/>
      <c r="DW110" s="408"/>
      <c r="DX110" s="408"/>
      <c r="DY110" s="408"/>
      <c r="DZ110" s="408"/>
      <c r="EA110" s="412"/>
      <c r="EB110" s="411"/>
      <c r="EC110" s="408"/>
      <c r="ED110" s="408"/>
      <c r="EE110" s="408"/>
      <c r="EF110" s="408"/>
      <c r="EG110" s="408"/>
      <c r="EH110" s="408"/>
      <c r="EI110" s="408"/>
      <c r="EJ110" s="408"/>
      <c r="EK110" s="408"/>
      <c r="EL110" s="408"/>
      <c r="EM110" s="408"/>
      <c r="EN110" s="408"/>
      <c r="EO110" s="408"/>
      <c r="EP110" s="408"/>
      <c r="EQ110" s="408"/>
      <c r="ER110" s="408"/>
      <c r="ES110" s="408"/>
      <c r="ET110" s="408"/>
      <c r="EU110" s="408"/>
      <c r="EV110" s="408"/>
      <c r="EW110" s="408"/>
      <c r="EX110" s="408"/>
      <c r="EY110" s="408"/>
      <c r="EZ110" s="412"/>
      <c r="FA110" s="411"/>
      <c r="FB110" s="408"/>
      <c r="FC110" s="408"/>
      <c r="FD110" s="408"/>
      <c r="FE110" s="408"/>
      <c r="FF110" s="408"/>
      <c r="FG110" s="408"/>
      <c r="FH110" s="408"/>
      <c r="FI110" s="408"/>
      <c r="FJ110" s="408"/>
      <c r="FK110" s="408"/>
      <c r="FL110" s="408"/>
      <c r="FM110" s="408"/>
      <c r="FN110" s="408"/>
      <c r="FO110" s="408"/>
      <c r="FP110" s="408"/>
      <c r="FQ110" s="408"/>
      <c r="FR110" s="408"/>
      <c r="FS110" s="408"/>
      <c r="FT110" s="408"/>
      <c r="FU110" s="408"/>
      <c r="FV110" s="408"/>
      <c r="FW110" s="408"/>
      <c r="FX110" s="408"/>
      <c r="FY110" s="412"/>
      <c r="FZ110" s="411"/>
      <c r="GA110" s="408"/>
      <c r="GB110" s="408"/>
      <c r="GC110" s="408"/>
      <c r="GD110" s="408"/>
      <c r="GE110" s="408"/>
      <c r="GF110" s="408"/>
      <c r="GG110" s="408"/>
      <c r="GH110" s="408"/>
      <c r="GI110" s="408"/>
      <c r="GJ110" s="408"/>
      <c r="GK110" s="408"/>
      <c r="GL110" s="408"/>
      <c r="GM110" s="408"/>
      <c r="GN110" s="408"/>
      <c r="GO110" s="408"/>
      <c r="GP110" s="408"/>
      <c r="GQ110" s="408"/>
      <c r="GR110" s="408"/>
      <c r="GS110" s="408"/>
      <c r="GT110" s="408"/>
      <c r="GU110" s="408"/>
      <c r="GV110" s="408"/>
      <c r="GW110" s="408"/>
      <c r="GX110" s="412"/>
      <c r="GY110" s="411"/>
      <c r="GZ110" s="408"/>
      <c r="HA110" s="408"/>
      <c r="HB110" s="408"/>
      <c r="HC110" s="408"/>
      <c r="HD110" s="408"/>
      <c r="HE110" s="408"/>
      <c r="HF110" s="408"/>
      <c r="HG110" s="408"/>
      <c r="HH110" s="408"/>
      <c r="HI110" s="408"/>
      <c r="HJ110" s="408"/>
      <c r="HK110" s="408"/>
      <c r="HL110" s="408"/>
      <c r="HM110" s="408"/>
      <c r="HN110" s="408"/>
      <c r="HO110" s="408"/>
      <c r="HP110" s="408"/>
      <c r="HQ110" s="408"/>
      <c r="HR110" s="408"/>
      <c r="HS110" s="408"/>
      <c r="HT110" s="408"/>
      <c r="HU110" s="408"/>
      <c r="HV110" s="408"/>
      <c r="HW110" s="412"/>
    </row>
    <row r="111" spans="1:231" ht="24" customHeight="1">
      <c r="A111" s="411"/>
      <c r="B111" s="408"/>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12"/>
      <c r="AA111" s="408"/>
      <c r="AB111" s="408"/>
      <c r="AC111" s="408"/>
      <c r="AD111" s="408"/>
      <c r="AE111" s="408"/>
      <c r="AF111" s="411"/>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12"/>
      <c r="BE111" s="411"/>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s="408"/>
      <c r="CA111" s="408"/>
      <c r="CB111" s="408"/>
      <c r="CC111" s="412"/>
      <c r="CD111" s="411"/>
      <c r="CE111" s="408"/>
      <c r="CF111" s="408"/>
      <c r="CG111" s="408"/>
      <c r="CH111" s="408"/>
      <c r="CI111" s="408"/>
      <c r="CJ111" s="408"/>
      <c r="CK111" s="408"/>
      <c r="CL111" s="408"/>
      <c r="CM111" s="408"/>
      <c r="CN111" s="408"/>
      <c r="CO111" s="408"/>
      <c r="CP111" s="408"/>
      <c r="CQ111" s="408"/>
      <c r="CR111" s="408"/>
      <c r="CS111" s="408"/>
      <c r="CT111" s="408"/>
      <c r="CU111" s="408"/>
      <c r="CV111" s="408"/>
      <c r="CW111" s="408"/>
      <c r="CX111" s="408"/>
      <c r="CY111" s="408"/>
      <c r="CZ111" s="408"/>
      <c r="DA111" s="408"/>
      <c r="DB111" s="412"/>
      <c r="DC111" s="411"/>
      <c r="DD111" s="408"/>
      <c r="DE111" s="408"/>
      <c r="DF111" s="408"/>
      <c r="DG111" s="408"/>
      <c r="DH111" s="408"/>
      <c r="DI111" s="408"/>
      <c r="DJ111" s="408"/>
      <c r="DK111" s="408"/>
      <c r="DL111" s="408"/>
      <c r="DM111" s="408"/>
      <c r="DN111" s="408"/>
      <c r="DO111" s="408"/>
      <c r="DP111" s="408"/>
      <c r="DQ111" s="408"/>
      <c r="DR111" s="408"/>
      <c r="DS111" s="408"/>
      <c r="DT111" s="408"/>
      <c r="DU111" s="408"/>
      <c r="DV111" s="408"/>
      <c r="DW111" s="408"/>
      <c r="DX111" s="408"/>
      <c r="DY111" s="408"/>
      <c r="DZ111" s="408"/>
      <c r="EA111" s="412"/>
      <c r="EB111" s="411"/>
      <c r="EC111" s="408"/>
      <c r="ED111" s="408"/>
      <c r="EE111" s="408"/>
      <c r="EF111" s="408"/>
      <c r="EG111" s="408"/>
      <c r="EH111" s="408"/>
      <c r="EI111" s="408"/>
      <c r="EJ111" s="408"/>
      <c r="EK111" s="408"/>
      <c r="EL111" s="408"/>
      <c r="EM111" s="408"/>
      <c r="EN111" s="408"/>
      <c r="EO111" s="408"/>
      <c r="EP111" s="408"/>
      <c r="EQ111" s="408"/>
      <c r="ER111" s="408"/>
      <c r="ES111" s="408"/>
      <c r="ET111" s="408"/>
      <c r="EU111" s="408"/>
      <c r="EV111" s="408"/>
      <c r="EW111" s="408"/>
      <c r="EX111" s="408"/>
      <c r="EY111" s="408"/>
      <c r="EZ111" s="412"/>
      <c r="FA111" s="411"/>
      <c r="FB111" s="408"/>
      <c r="FC111" s="408"/>
      <c r="FD111" s="408"/>
      <c r="FE111" s="408"/>
      <c r="FF111" s="408"/>
      <c r="FG111" s="408"/>
      <c r="FH111" s="408"/>
      <c r="FI111" s="408"/>
      <c r="FJ111" s="408"/>
      <c r="FK111" s="408"/>
      <c r="FL111" s="408"/>
      <c r="FM111" s="408"/>
      <c r="FN111" s="408"/>
      <c r="FO111" s="408"/>
      <c r="FP111" s="408"/>
      <c r="FQ111" s="408"/>
      <c r="FR111" s="408"/>
      <c r="FS111" s="408"/>
      <c r="FT111" s="408"/>
      <c r="FU111" s="408"/>
      <c r="FV111" s="408"/>
      <c r="FW111" s="408"/>
      <c r="FX111" s="408"/>
      <c r="FY111" s="412"/>
      <c r="FZ111" s="411"/>
      <c r="GA111" s="408"/>
      <c r="GB111" s="408"/>
      <c r="GC111" s="408"/>
      <c r="GD111" s="408"/>
      <c r="GE111" s="408"/>
      <c r="GF111" s="408"/>
      <c r="GG111" s="408"/>
      <c r="GH111" s="408"/>
      <c r="GI111" s="408"/>
      <c r="GJ111" s="408"/>
      <c r="GK111" s="408"/>
      <c r="GL111" s="408"/>
      <c r="GM111" s="408"/>
      <c r="GN111" s="408"/>
      <c r="GO111" s="408"/>
      <c r="GP111" s="408"/>
      <c r="GQ111" s="408"/>
      <c r="GR111" s="408"/>
      <c r="GS111" s="408"/>
      <c r="GT111" s="408"/>
      <c r="GU111" s="408"/>
      <c r="GV111" s="408"/>
      <c r="GW111" s="408"/>
      <c r="GX111" s="412"/>
      <c r="GY111" s="411"/>
      <c r="GZ111" s="408"/>
      <c r="HA111" s="408"/>
      <c r="HB111" s="408"/>
      <c r="HC111" s="408"/>
      <c r="HD111" s="408"/>
      <c r="HE111" s="408"/>
      <c r="HF111" s="408"/>
      <c r="HG111" s="408"/>
      <c r="HH111" s="408"/>
      <c r="HI111" s="408"/>
      <c r="HJ111" s="408"/>
      <c r="HK111" s="408"/>
      <c r="HL111" s="408"/>
      <c r="HM111" s="408"/>
      <c r="HN111" s="408"/>
      <c r="HO111" s="408"/>
      <c r="HP111" s="408"/>
      <c r="HQ111" s="408"/>
      <c r="HR111" s="408"/>
      <c r="HS111" s="408"/>
      <c r="HT111" s="408"/>
      <c r="HU111" s="408"/>
      <c r="HV111" s="408"/>
      <c r="HW111" s="412"/>
    </row>
    <row r="112" spans="1:231" ht="24" customHeight="1">
      <c r="A112" s="411"/>
      <c r="B112" s="408"/>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12"/>
      <c r="AA112" s="408"/>
      <c r="AB112" s="408"/>
      <c r="AC112" s="408"/>
      <c r="AD112" s="408"/>
      <c r="AE112" s="408"/>
      <c r="AF112" s="411"/>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12"/>
      <c r="BE112" s="411"/>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12"/>
      <c r="CD112" s="411"/>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12"/>
      <c r="DC112" s="411"/>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12"/>
      <c r="EB112" s="411"/>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12"/>
      <c r="FA112" s="411"/>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12"/>
      <c r="FZ112" s="411"/>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12"/>
      <c r="GY112" s="411"/>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12"/>
    </row>
    <row r="113" spans="1:231" ht="24" customHeight="1" thickBot="1">
      <c r="A113" s="411"/>
      <c r="B113" s="413"/>
      <c r="C113" s="413"/>
      <c r="D113" s="413"/>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12"/>
      <c r="AA113" s="408"/>
      <c r="AB113" s="408"/>
      <c r="AC113" s="408"/>
      <c r="AD113" s="408"/>
      <c r="AE113" s="408"/>
      <c r="AF113" s="411"/>
      <c r="AG113" s="413"/>
      <c r="AH113" s="413"/>
      <c r="AI113" s="413"/>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12"/>
      <c r="BE113" s="411"/>
      <c r="BF113" s="413"/>
      <c r="BG113" s="413"/>
      <c r="BH113" s="413"/>
      <c r="BI113" s="408"/>
      <c r="BJ113" s="408"/>
      <c r="BK113" s="408"/>
      <c r="BL113" s="408"/>
      <c r="BM113" s="408"/>
      <c r="BN113" s="408"/>
      <c r="BO113" s="408"/>
      <c r="BP113" s="408"/>
      <c r="BQ113" s="408"/>
      <c r="BR113" s="408"/>
      <c r="BS113" s="408"/>
      <c r="BT113" s="408"/>
      <c r="BU113" s="408"/>
      <c r="BV113" s="408"/>
      <c r="BW113" s="408"/>
      <c r="BX113" s="408"/>
      <c r="BY113" s="408"/>
      <c r="BZ113" s="408"/>
      <c r="CA113" s="408"/>
      <c r="CB113" s="408"/>
      <c r="CC113" s="412"/>
      <c r="CD113" s="411"/>
      <c r="CE113" s="413"/>
      <c r="CF113" s="413"/>
      <c r="CG113" s="413"/>
      <c r="CH113" s="408"/>
      <c r="CI113" s="408"/>
      <c r="CJ113" s="408"/>
      <c r="CK113" s="408"/>
      <c r="CL113" s="408"/>
      <c r="CM113" s="408"/>
      <c r="CN113" s="408"/>
      <c r="CO113" s="408"/>
      <c r="CP113" s="408"/>
      <c r="CQ113" s="408"/>
      <c r="CR113" s="408"/>
      <c r="CS113" s="408"/>
      <c r="CT113" s="408"/>
      <c r="CU113" s="408"/>
      <c r="CV113" s="408"/>
      <c r="CW113" s="408"/>
      <c r="CX113" s="408"/>
      <c r="CY113" s="408"/>
      <c r="CZ113" s="408"/>
      <c r="DA113" s="408"/>
      <c r="DB113" s="412"/>
      <c r="DC113" s="411"/>
      <c r="DD113" s="413"/>
      <c r="DE113" s="413"/>
      <c r="DF113" s="413"/>
      <c r="DG113" s="408"/>
      <c r="DH113" s="408"/>
      <c r="DI113" s="408"/>
      <c r="DJ113" s="408"/>
      <c r="DK113" s="408"/>
      <c r="DL113" s="408"/>
      <c r="DM113" s="408"/>
      <c r="DN113" s="408"/>
      <c r="DO113" s="408"/>
      <c r="DP113" s="408"/>
      <c r="DQ113" s="408"/>
      <c r="DR113" s="408"/>
      <c r="DS113" s="408"/>
      <c r="DT113" s="408"/>
      <c r="DU113" s="408"/>
      <c r="DV113" s="408"/>
      <c r="DW113" s="408"/>
      <c r="DX113" s="408"/>
      <c r="DY113" s="408"/>
      <c r="DZ113" s="408"/>
      <c r="EA113" s="412"/>
      <c r="EB113" s="411"/>
      <c r="EC113" s="413"/>
      <c r="ED113" s="413"/>
      <c r="EE113" s="413"/>
      <c r="EF113" s="408"/>
      <c r="EG113" s="408"/>
      <c r="EH113" s="408"/>
      <c r="EI113" s="408"/>
      <c r="EJ113" s="408"/>
      <c r="EK113" s="408"/>
      <c r="EL113" s="408"/>
      <c r="EM113" s="408"/>
      <c r="EN113" s="408"/>
      <c r="EO113" s="408"/>
      <c r="EP113" s="408"/>
      <c r="EQ113" s="408"/>
      <c r="ER113" s="408"/>
      <c r="ES113" s="408"/>
      <c r="ET113" s="408"/>
      <c r="EU113" s="408"/>
      <c r="EV113" s="408"/>
      <c r="EW113" s="408"/>
      <c r="EX113" s="408"/>
      <c r="EY113" s="408"/>
      <c r="EZ113" s="412"/>
      <c r="FA113" s="411"/>
      <c r="FB113" s="413"/>
      <c r="FC113" s="413"/>
      <c r="FD113" s="413"/>
      <c r="FE113" s="408"/>
      <c r="FF113" s="408"/>
      <c r="FG113" s="408"/>
      <c r="FH113" s="408"/>
      <c r="FI113" s="408"/>
      <c r="FJ113" s="408"/>
      <c r="FK113" s="408"/>
      <c r="FL113" s="408"/>
      <c r="FM113" s="408"/>
      <c r="FN113" s="408"/>
      <c r="FO113" s="408"/>
      <c r="FP113" s="408"/>
      <c r="FQ113" s="408"/>
      <c r="FR113" s="408"/>
      <c r="FS113" s="408"/>
      <c r="FT113" s="408"/>
      <c r="FU113" s="408"/>
      <c r="FV113" s="408"/>
      <c r="FW113" s="408"/>
      <c r="FX113" s="408"/>
      <c r="FY113" s="412"/>
      <c r="FZ113" s="411"/>
      <c r="GA113" s="413"/>
      <c r="GB113" s="413"/>
      <c r="GC113" s="413"/>
      <c r="GD113" s="408"/>
      <c r="GE113" s="408"/>
      <c r="GF113" s="408"/>
      <c r="GG113" s="408"/>
      <c r="GH113" s="408"/>
      <c r="GI113" s="408"/>
      <c r="GJ113" s="408"/>
      <c r="GK113" s="408"/>
      <c r="GL113" s="408"/>
      <c r="GM113" s="408"/>
      <c r="GN113" s="408"/>
      <c r="GO113" s="408"/>
      <c r="GP113" s="408"/>
      <c r="GQ113" s="408"/>
      <c r="GR113" s="408"/>
      <c r="GS113" s="408"/>
      <c r="GT113" s="408"/>
      <c r="GU113" s="408"/>
      <c r="GV113" s="408"/>
      <c r="GW113" s="408"/>
      <c r="GX113" s="412"/>
      <c r="GY113" s="411"/>
      <c r="GZ113" s="413"/>
      <c r="HA113" s="413"/>
      <c r="HB113" s="413"/>
      <c r="HC113" s="408"/>
      <c r="HD113" s="408"/>
      <c r="HE113" s="408"/>
      <c r="HF113" s="408"/>
      <c r="HG113" s="408"/>
      <c r="HH113" s="408"/>
      <c r="HI113" s="408"/>
      <c r="HJ113" s="408"/>
      <c r="HK113" s="408"/>
      <c r="HL113" s="408"/>
      <c r="HM113" s="408"/>
      <c r="HN113" s="408"/>
      <c r="HO113" s="408"/>
      <c r="HP113" s="408"/>
      <c r="HQ113" s="408"/>
      <c r="HR113" s="408"/>
      <c r="HS113" s="408"/>
      <c r="HT113" s="408"/>
      <c r="HU113" s="408"/>
      <c r="HV113" s="408"/>
      <c r="HW113" s="412"/>
    </row>
    <row r="114" spans="1:231" ht="24" customHeight="1" thickBot="1">
      <c r="A114" s="416"/>
      <c r="B114" s="2116" t="str">
        <f>'Вывод расчетов'!$AL$13</f>
        <v>Раздел 1</v>
      </c>
      <c r="C114" s="2114"/>
      <c r="D114" s="2114"/>
      <c r="E114" s="417"/>
      <c r="F114" s="2116" t="str">
        <f>'Вывод расчетов'!$AO$13</f>
        <v>Определение главных размеров асинхронного двигателя</v>
      </c>
      <c r="G114" s="2114"/>
      <c r="H114" s="2114"/>
      <c r="I114" s="2114"/>
      <c r="J114" s="2114"/>
      <c r="K114" s="2114"/>
      <c r="L114" s="2114"/>
      <c r="M114" s="2114"/>
      <c r="N114" s="2114"/>
      <c r="O114" s="2114"/>
      <c r="P114" s="2114"/>
      <c r="Q114" s="2114"/>
      <c r="R114" s="2117"/>
      <c r="S114" s="417"/>
      <c r="T114" s="2116" t="s">
        <v>1369</v>
      </c>
      <c r="U114" s="2114"/>
      <c r="V114" s="2117"/>
      <c r="W114" s="417"/>
      <c r="X114" s="2116">
        <v>6</v>
      </c>
      <c r="Y114" s="2117"/>
      <c r="Z114" s="418"/>
      <c r="AA114" s="546"/>
      <c r="AB114" s="546"/>
      <c r="AC114" s="546"/>
      <c r="AD114" s="546"/>
      <c r="AE114" s="546"/>
      <c r="AF114" s="416"/>
      <c r="AG114" s="2116" t="str">
        <f>'Вывод расчетов'!$CC$9</f>
        <v>Раздел 2</v>
      </c>
      <c r="AH114" s="2114"/>
      <c r="AI114" s="2114"/>
      <c r="AJ114" s="417"/>
      <c r="AK114" s="2116" t="str">
        <f>'Вывод расчетов'!$CF$9</f>
        <v>Расчет обмотки статора</v>
      </c>
      <c r="AL114" s="2114"/>
      <c r="AM114" s="2114"/>
      <c r="AN114" s="2114"/>
      <c r="AO114" s="2114"/>
      <c r="AP114" s="2114"/>
      <c r="AQ114" s="2114"/>
      <c r="AR114" s="2114"/>
      <c r="AS114" s="2114"/>
      <c r="AT114" s="2114"/>
      <c r="AU114" s="2114"/>
      <c r="AV114" s="2117"/>
      <c r="AW114" s="417"/>
      <c r="AX114" s="2116" t="s">
        <v>1369</v>
      </c>
      <c r="AY114" s="2114"/>
      <c r="AZ114" s="2117"/>
      <c r="BA114" s="417"/>
      <c r="BB114" s="2116">
        <v>11</v>
      </c>
      <c r="BC114" s="2117"/>
      <c r="BD114" s="418"/>
      <c r="BE114" s="416"/>
      <c r="BF114" s="2116" t="str">
        <f>'Вывод расчетов'!$CC$9</f>
        <v>Раздел 2</v>
      </c>
      <c r="BG114" s="2114"/>
      <c r="BH114" s="2114"/>
      <c r="BI114" s="417"/>
      <c r="BJ114" s="2116" t="str">
        <f>'Вывод расчетов'!$CF$9</f>
        <v>Расчет обмотки статора</v>
      </c>
      <c r="BK114" s="2114"/>
      <c r="BL114" s="2114"/>
      <c r="BM114" s="2114"/>
      <c r="BN114" s="2114"/>
      <c r="BO114" s="2114"/>
      <c r="BP114" s="2114"/>
      <c r="BQ114" s="2114"/>
      <c r="BR114" s="2114"/>
      <c r="BS114" s="2114"/>
      <c r="BT114" s="2114"/>
      <c r="BU114" s="2117"/>
      <c r="BV114" s="417"/>
      <c r="BW114" s="2116" t="s">
        <v>1369</v>
      </c>
      <c r="BX114" s="2114"/>
      <c r="BY114" s="2117"/>
      <c r="BZ114" s="417"/>
      <c r="CA114" s="2116">
        <v>11</v>
      </c>
      <c r="CB114" s="2117"/>
      <c r="CC114" s="418"/>
      <c r="CD114" s="416"/>
      <c r="CE114" s="2116" t="str">
        <f>'Вывод расчетов'!$CC$9</f>
        <v>Раздел 2</v>
      </c>
      <c r="CF114" s="2114"/>
      <c r="CG114" s="2114"/>
      <c r="CH114" s="417"/>
      <c r="CI114" s="2116" t="str">
        <f>'Вывод расчетов'!$CF$9</f>
        <v>Расчет обмотки статора</v>
      </c>
      <c r="CJ114" s="2114"/>
      <c r="CK114" s="2114"/>
      <c r="CL114" s="2114"/>
      <c r="CM114" s="2114"/>
      <c r="CN114" s="2114"/>
      <c r="CO114" s="2114"/>
      <c r="CP114" s="2114"/>
      <c r="CQ114" s="2114"/>
      <c r="CR114" s="2114"/>
      <c r="CS114" s="2114"/>
      <c r="CT114" s="2117"/>
      <c r="CU114" s="417"/>
      <c r="CV114" s="2116" t="s">
        <v>1369</v>
      </c>
      <c r="CW114" s="2114"/>
      <c r="CX114" s="2117"/>
      <c r="CY114" s="417"/>
      <c r="CZ114" s="2116">
        <v>11</v>
      </c>
      <c r="DA114" s="2117"/>
      <c r="DB114" s="418"/>
      <c r="DC114" s="416"/>
      <c r="DD114" s="2116" t="str">
        <f>'Вывод расчетов'!$CC$9</f>
        <v>Раздел 2</v>
      </c>
      <c r="DE114" s="2114"/>
      <c r="DF114" s="2114"/>
      <c r="DG114" s="417"/>
      <c r="DH114" s="2116" t="str">
        <f>'Вывод расчетов'!$CF$9</f>
        <v>Расчет обмотки статора</v>
      </c>
      <c r="DI114" s="2114"/>
      <c r="DJ114" s="2114"/>
      <c r="DK114" s="2114"/>
      <c r="DL114" s="2114"/>
      <c r="DM114" s="2114"/>
      <c r="DN114" s="2114"/>
      <c r="DO114" s="2114"/>
      <c r="DP114" s="2114"/>
      <c r="DQ114" s="2114"/>
      <c r="DR114" s="2114"/>
      <c r="DS114" s="2117"/>
      <c r="DT114" s="417"/>
      <c r="DU114" s="2116" t="s">
        <v>1369</v>
      </c>
      <c r="DV114" s="2114"/>
      <c r="DW114" s="2117"/>
      <c r="DX114" s="417"/>
      <c r="DY114" s="2116">
        <v>11</v>
      </c>
      <c r="DZ114" s="2117"/>
      <c r="EA114" s="418"/>
      <c r="EB114" s="416"/>
      <c r="EC114" s="2116" t="str">
        <f>'Вывод расчетов'!$CC$9</f>
        <v>Раздел 2</v>
      </c>
      <c r="ED114" s="2114"/>
      <c r="EE114" s="2114"/>
      <c r="EF114" s="417"/>
      <c r="EG114" s="2116" t="str">
        <f>'Вывод расчетов'!$CF$9</f>
        <v>Расчет обмотки статора</v>
      </c>
      <c r="EH114" s="2114"/>
      <c r="EI114" s="2114"/>
      <c r="EJ114" s="2114"/>
      <c r="EK114" s="2114"/>
      <c r="EL114" s="2114"/>
      <c r="EM114" s="2114"/>
      <c r="EN114" s="2114"/>
      <c r="EO114" s="2114"/>
      <c r="EP114" s="2114"/>
      <c r="EQ114" s="2114"/>
      <c r="ER114" s="2117"/>
      <c r="ES114" s="417"/>
      <c r="ET114" s="2116" t="s">
        <v>1369</v>
      </c>
      <c r="EU114" s="2114"/>
      <c r="EV114" s="2117"/>
      <c r="EW114" s="417"/>
      <c r="EX114" s="2116">
        <v>11</v>
      </c>
      <c r="EY114" s="2117"/>
      <c r="EZ114" s="418"/>
      <c r="FA114" s="416"/>
      <c r="FB114" s="2116" t="str">
        <f>'Вывод расчетов'!$CC$9</f>
        <v>Раздел 2</v>
      </c>
      <c r="FC114" s="2114"/>
      <c r="FD114" s="2114"/>
      <c r="FE114" s="417"/>
      <c r="FF114" s="2116" t="str">
        <f>'Вывод расчетов'!$CF$9</f>
        <v>Расчет обмотки статора</v>
      </c>
      <c r="FG114" s="2114"/>
      <c r="FH114" s="2114"/>
      <c r="FI114" s="2114"/>
      <c r="FJ114" s="2114"/>
      <c r="FK114" s="2114"/>
      <c r="FL114" s="2114"/>
      <c r="FM114" s="2114"/>
      <c r="FN114" s="2114"/>
      <c r="FO114" s="2114"/>
      <c r="FP114" s="2114"/>
      <c r="FQ114" s="2117"/>
      <c r="FR114" s="417"/>
      <c r="FS114" s="2116" t="s">
        <v>1369</v>
      </c>
      <c r="FT114" s="2114"/>
      <c r="FU114" s="2117"/>
      <c r="FV114" s="417"/>
      <c r="FW114" s="2116">
        <v>11</v>
      </c>
      <c r="FX114" s="2117"/>
      <c r="FY114" s="418"/>
      <c r="FZ114" s="416"/>
      <c r="GA114" s="2116" t="str">
        <f>'Вывод расчетов'!$CC$9</f>
        <v>Раздел 2</v>
      </c>
      <c r="GB114" s="2114"/>
      <c r="GC114" s="2114"/>
      <c r="GD114" s="417"/>
      <c r="GE114" s="2116" t="str">
        <f>'Вывод расчетов'!$CF$9</f>
        <v>Расчет обмотки статора</v>
      </c>
      <c r="GF114" s="2114"/>
      <c r="GG114" s="2114"/>
      <c r="GH114" s="2114"/>
      <c r="GI114" s="2114"/>
      <c r="GJ114" s="2114"/>
      <c r="GK114" s="2114"/>
      <c r="GL114" s="2114"/>
      <c r="GM114" s="2114"/>
      <c r="GN114" s="2114"/>
      <c r="GO114" s="2114"/>
      <c r="GP114" s="2117"/>
      <c r="GQ114" s="417"/>
      <c r="GR114" s="2116" t="s">
        <v>1369</v>
      </c>
      <c r="GS114" s="2114"/>
      <c r="GT114" s="2117"/>
      <c r="GU114" s="417"/>
      <c r="GV114" s="2116">
        <v>11</v>
      </c>
      <c r="GW114" s="2117"/>
      <c r="GX114" s="418"/>
      <c r="GY114" s="416"/>
      <c r="GZ114" s="2116" t="str">
        <f>'Вывод расчетов'!$CC$9</f>
        <v>Раздел 2</v>
      </c>
      <c r="HA114" s="2114"/>
      <c r="HB114" s="2114"/>
      <c r="HC114" s="417"/>
      <c r="HD114" s="2116" t="str">
        <f>'Вывод расчетов'!$CF$9</f>
        <v>Расчет обмотки статора</v>
      </c>
      <c r="HE114" s="2114"/>
      <c r="HF114" s="2114"/>
      <c r="HG114" s="2114"/>
      <c r="HH114" s="2114"/>
      <c r="HI114" s="2114"/>
      <c r="HJ114" s="2114"/>
      <c r="HK114" s="2114"/>
      <c r="HL114" s="2114"/>
      <c r="HM114" s="2114"/>
      <c r="HN114" s="2114"/>
      <c r="HO114" s="2117"/>
      <c r="HP114" s="417"/>
      <c r="HQ114" s="2116" t="s">
        <v>1369</v>
      </c>
      <c r="HR114" s="2114"/>
      <c r="HS114" s="2117"/>
      <c r="HT114" s="417"/>
      <c r="HU114" s="2116">
        <v>11</v>
      </c>
      <c r="HV114" s="2117"/>
      <c r="HW114" s="418"/>
    </row>
    <row r="115" spans="1:231" ht="24" customHeight="1" thickBot="1">
      <c r="A115" s="2113" t="s">
        <v>1111</v>
      </c>
      <c r="B115" s="2114"/>
      <c r="C115" s="2114"/>
      <c r="D115" s="2114"/>
      <c r="E115" s="2114"/>
      <c r="F115" s="2114"/>
      <c r="G115" s="2114"/>
      <c r="H115" s="2114"/>
      <c r="I115" s="2114"/>
      <c r="J115" s="2114"/>
      <c r="K115" s="2114"/>
      <c r="L115" s="2114"/>
      <c r="M115" s="2114"/>
      <c r="N115" s="2114"/>
      <c r="O115" s="2114"/>
      <c r="P115" s="2114"/>
      <c r="Q115" s="2114"/>
      <c r="R115" s="2114"/>
      <c r="S115" s="2114"/>
      <c r="T115" s="2114"/>
      <c r="U115" s="2114"/>
      <c r="V115" s="2114"/>
      <c r="W115" s="2114"/>
      <c r="X115" s="2114"/>
      <c r="Y115" s="2114"/>
      <c r="Z115" s="2115"/>
      <c r="AA115" s="543"/>
      <c r="AB115" s="543"/>
      <c r="AC115" s="543"/>
      <c r="AD115" s="543"/>
      <c r="AE115" s="543"/>
      <c r="AF115" s="2113" t="s">
        <v>1111</v>
      </c>
      <c r="AG115" s="2114"/>
      <c r="AH115" s="2114"/>
      <c r="AI115" s="2114"/>
      <c r="AJ115" s="2114"/>
      <c r="AK115" s="2114"/>
      <c r="AL115" s="2114"/>
      <c r="AM115" s="2114"/>
      <c r="AN115" s="2114"/>
      <c r="AO115" s="2114"/>
      <c r="AP115" s="2114"/>
      <c r="AQ115" s="2114"/>
      <c r="AR115" s="2114"/>
      <c r="AS115" s="2114"/>
      <c r="AT115" s="2114"/>
      <c r="AU115" s="2114"/>
      <c r="AV115" s="2114"/>
      <c r="AW115" s="2114"/>
      <c r="AX115" s="2114"/>
      <c r="AY115" s="2114"/>
      <c r="AZ115" s="2114"/>
      <c r="BA115" s="2114"/>
      <c r="BB115" s="2114"/>
      <c r="BC115" s="2114"/>
      <c r="BD115" s="2115"/>
      <c r="BE115" s="2113" t="s">
        <v>1111</v>
      </c>
      <c r="BF115" s="2114"/>
      <c r="BG115" s="2114"/>
      <c r="BH115" s="2114"/>
      <c r="BI115" s="2114"/>
      <c r="BJ115" s="2114"/>
      <c r="BK115" s="2114"/>
      <c r="BL115" s="2114"/>
      <c r="BM115" s="2114"/>
      <c r="BN115" s="2114"/>
      <c r="BO115" s="2114"/>
      <c r="BP115" s="2114"/>
      <c r="BQ115" s="2114"/>
      <c r="BR115" s="2114"/>
      <c r="BS115" s="2114"/>
      <c r="BT115" s="2114"/>
      <c r="BU115" s="2114"/>
      <c r="BV115" s="2114"/>
      <c r="BW115" s="2114"/>
      <c r="BX115" s="2114"/>
      <c r="BY115" s="2114"/>
      <c r="BZ115" s="2114"/>
      <c r="CA115" s="2114"/>
      <c r="CB115" s="2114"/>
      <c r="CC115" s="2115"/>
      <c r="CD115" s="2113" t="s">
        <v>1111</v>
      </c>
      <c r="CE115" s="2114"/>
      <c r="CF115" s="2114"/>
      <c r="CG115" s="2114"/>
      <c r="CH115" s="2114"/>
      <c r="CI115" s="2114"/>
      <c r="CJ115" s="2114"/>
      <c r="CK115" s="2114"/>
      <c r="CL115" s="2114"/>
      <c r="CM115" s="2114"/>
      <c r="CN115" s="2114"/>
      <c r="CO115" s="2114"/>
      <c r="CP115" s="2114"/>
      <c r="CQ115" s="2114"/>
      <c r="CR115" s="2114"/>
      <c r="CS115" s="2114"/>
      <c r="CT115" s="2114"/>
      <c r="CU115" s="2114"/>
      <c r="CV115" s="2114"/>
      <c r="CW115" s="2114"/>
      <c r="CX115" s="2114"/>
      <c r="CY115" s="2114"/>
      <c r="CZ115" s="2114"/>
      <c r="DA115" s="2114"/>
      <c r="DB115" s="2115"/>
      <c r="DC115" s="2113" t="s">
        <v>1111</v>
      </c>
      <c r="DD115" s="2114"/>
      <c r="DE115" s="2114"/>
      <c r="DF115" s="2114"/>
      <c r="DG115" s="2114"/>
      <c r="DH115" s="2114"/>
      <c r="DI115" s="2114"/>
      <c r="DJ115" s="2114"/>
      <c r="DK115" s="2114"/>
      <c r="DL115" s="2114"/>
      <c r="DM115" s="2114"/>
      <c r="DN115" s="2114"/>
      <c r="DO115" s="2114"/>
      <c r="DP115" s="2114"/>
      <c r="DQ115" s="2114"/>
      <c r="DR115" s="2114"/>
      <c r="DS115" s="2114"/>
      <c r="DT115" s="2114"/>
      <c r="DU115" s="2114"/>
      <c r="DV115" s="2114"/>
      <c r="DW115" s="2114"/>
      <c r="DX115" s="2114"/>
      <c r="DY115" s="2114"/>
      <c r="DZ115" s="2114"/>
      <c r="EA115" s="2115"/>
      <c r="EB115" s="2113" t="s">
        <v>1111</v>
      </c>
      <c r="EC115" s="2114"/>
      <c r="ED115" s="2114"/>
      <c r="EE115" s="2114"/>
      <c r="EF115" s="2114"/>
      <c r="EG115" s="2114"/>
      <c r="EH115" s="2114"/>
      <c r="EI115" s="2114"/>
      <c r="EJ115" s="2114"/>
      <c r="EK115" s="2114"/>
      <c r="EL115" s="2114"/>
      <c r="EM115" s="2114"/>
      <c r="EN115" s="2114"/>
      <c r="EO115" s="2114"/>
      <c r="EP115" s="2114"/>
      <c r="EQ115" s="2114"/>
      <c r="ER115" s="2114"/>
      <c r="ES115" s="2114"/>
      <c r="ET115" s="2114"/>
      <c r="EU115" s="2114"/>
      <c r="EV115" s="2114"/>
      <c r="EW115" s="2114"/>
      <c r="EX115" s="2114"/>
      <c r="EY115" s="2114"/>
      <c r="EZ115" s="2115"/>
      <c r="FA115" s="2113" t="s">
        <v>1111</v>
      </c>
      <c r="FB115" s="2114"/>
      <c r="FC115" s="2114"/>
      <c r="FD115" s="2114"/>
      <c r="FE115" s="2114"/>
      <c r="FF115" s="2114"/>
      <c r="FG115" s="2114"/>
      <c r="FH115" s="2114"/>
      <c r="FI115" s="2114"/>
      <c r="FJ115" s="2114"/>
      <c r="FK115" s="2114"/>
      <c r="FL115" s="2114"/>
      <c r="FM115" s="2114"/>
      <c r="FN115" s="2114"/>
      <c r="FO115" s="2114"/>
      <c r="FP115" s="2114"/>
      <c r="FQ115" s="2114"/>
      <c r="FR115" s="2114"/>
      <c r="FS115" s="2114"/>
      <c r="FT115" s="2114"/>
      <c r="FU115" s="2114"/>
      <c r="FV115" s="2114"/>
      <c r="FW115" s="2114"/>
      <c r="FX115" s="2114"/>
      <c r="FY115" s="2115"/>
      <c r="FZ115" s="2113" t="s">
        <v>1111</v>
      </c>
      <c r="GA115" s="2114"/>
      <c r="GB115" s="2114"/>
      <c r="GC115" s="2114"/>
      <c r="GD115" s="2114"/>
      <c r="GE115" s="2114"/>
      <c r="GF115" s="2114"/>
      <c r="GG115" s="2114"/>
      <c r="GH115" s="2114"/>
      <c r="GI115" s="2114"/>
      <c r="GJ115" s="2114"/>
      <c r="GK115" s="2114"/>
      <c r="GL115" s="2114"/>
      <c r="GM115" s="2114"/>
      <c r="GN115" s="2114"/>
      <c r="GO115" s="2114"/>
      <c r="GP115" s="2114"/>
      <c r="GQ115" s="2114"/>
      <c r="GR115" s="2114"/>
      <c r="GS115" s="2114"/>
      <c r="GT115" s="2114"/>
      <c r="GU115" s="2114"/>
      <c r="GV115" s="2114"/>
      <c r="GW115" s="2114"/>
      <c r="GX115" s="2115"/>
      <c r="GY115" s="2113" t="s">
        <v>1111</v>
      </c>
      <c r="GZ115" s="2114"/>
      <c r="HA115" s="2114"/>
      <c r="HB115" s="2114"/>
      <c r="HC115" s="2114"/>
      <c r="HD115" s="2114"/>
      <c r="HE115" s="2114"/>
      <c r="HF115" s="2114"/>
      <c r="HG115" s="2114"/>
      <c r="HH115" s="2114"/>
      <c r="HI115" s="2114"/>
      <c r="HJ115" s="2114"/>
      <c r="HK115" s="2114"/>
      <c r="HL115" s="2114"/>
      <c r="HM115" s="2114"/>
      <c r="HN115" s="2114"/>
      <c r="HO115" s="2114"/>
      <c r="HP115" s="2114"/>
      <c r="HQ115" s="2114"/>
      <c r="HR115" s="2114"/>
      <c r="HS115" s="2114"/>
      <c r="HT115" s="2114"/>
      <c r="HU115" s="2114"/>
      <c r="HV115" s="2114"/>
      <c r="HW115" s="2115"/>
    </row>
    <row r="116" spans="1:231" ht="24" customHeight="1">
      <c r="A116" s="409"/>
      <c r="B116" s="410"/>
      <c r="C116" s="410"/>
      <c r="D116" s="410"/>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9"/>
      <c r="AA116" s="410"/>
      <c r="AB116" s="410"/>
      <c r="AC116" s="410"/>
      <c r="AD116" s="410"/>
      <c r="AE116" s="410"/>
      <c r="AF116" s="409"/>
      <c r="AG116" s="410"/>
      <c r="AH116" s="410"/>
      <c r="AI116" s="410"/>
      <c r="AJ116" s="410"/>
      <c r="AK116" s="410"/>
      <c r="AL116" s="410"/>
      <c r="AM116" s="410"/>
      <c r="AN116" s="410"/>
      <c r="AO116" s="410"/>
      <c r="AP116" s="410"/>
      <c r="AQ116" s="410"/>
      <c r="AR116" s="410"/>
      <c r="AS116" s="410"/>
      <c r="AT116" s="410"/>
      <c r="AU116" s="410"/>
      <c r="AV116" s="410"/>
      <c r="AW116" s="410"/>
      <c r="AX116" s="410"/>
      <c r="AY116" s="410"/>
      <c r="AZ116" s="410"/>
      <c r="BA116" s="410"/>
      <c r="BB116" s="410"/>
      <c r="BC116" s="410"/>
      <c r="BD116" s="419"/>
      <c r="BE116" s="409"/>
      <c r="BF116" s="410"/>
      <c r="BG116" s="410"/>
      <c r="BH116" s="410"/>
      <c r="BI116" s="410"/>
      <c r="BJ116" s="410"/>
      <c r="BK116" s="410"/>
      <c r="BL116" s="410"/>
      <c r="BM116" s="410"/>
      <c r="BN116" s="410"/>
      <c r="BO116" s="410"/>
      <c r="BP116" s="410"/>
      <c r="BQ116" s="410"/>
      <c r="BR116" s="410"/>
      <c r="BS116" s="410"/>
      <c r="BT116" s="410"/>
      <c r="BU116" s="410"/>
      <c r="BV116" s="410"/>
      <c r="BW116" s="410"/>
      <c r="BX116" s="410"/>
      <c r="BY116" s="410"/>
      <c r="BZ116" s="410"/>
      <c r="CA116" s="410"/>
      <c r="CB116" s="410"/>
      <c r="CC116" s="419"/>
      <c r="CD116" s="409"/>
      <c r="CE116" s="410"/>
      <c r="CF116" s="410"/>
      <c r="CG116" s="410"/>
      <c r="CH116" s="410"/>
      <c r="CI116" s="410"/>
      <c r="CJ116" s="410"/>
      <c r="CK116" s="410"/>
      <c r="CL116" s="410"/>
      <c r="CM116" s="410"/>
      <c r="CN116" s="410"/>
      <c r="CO116" s="410"/>
      <c r="CP116" s="410"/>
      <c r="CQ116" s="410"/>
      <c r="CR116" s="410"/>
      <c r="CS116" s="410"/>
      <c r="CT116" s="410"/>
      <c r="CU116" s="410"/>
      <c r="CV116" s="410"/>
      <c r="CW116" s="410"/>
      <c r="CX116" s="410"/>
      <c r="CY116" s="410"/>
      <c r="CZ116" s="410"/>
      <c r="DA116" s="410"/>
      <c r="DB116" s="419"/>
      <c r="DC116" s="409"/>
      <c r="DD116" s="410"/>
      <c r="DE116" s="410"/>
      <c r="DF116" s="410"/>
      <c r="DG116" s="410"/>
      <c r="DH116" s="410"/>
      <c r="DI116" s="410"/>
      <c r="DJ116" s="410"/>
      <c r="DK116" s="410"/>
      <c r="DL116" s="410"/>
      <c r="DM116" s="410"/>
      <c r="DN116" s="410"/>
      <c r="DO116" s="410"/>
      <c r="DP116" s="410"/>
      <c r="DQ116" s="410"/>
      <c r="DR116" s="410"/>
      <c r="DS116" s="410"/>
      <c r="DT116" s="410"/>
      <c r="DU116" s="410"/>
      <c r="DV116" s="410"/>
      <c r="DW116" s="410"/>
      <c r="DX116" s="410"/>
      <c r="DY116" s="410"/>
      <c r="DZ116" s="410"/>
      <c r="EA116" s="419"/>
      <c r="EB116" s="409"/>
      <c r="EC116" s="410"/>
      <c r="ED116" s="410"/>
      <c r="EE116" s="410"/>
      <c r="EF116" s="410"/>
      <c r="EG116" s="410"/>
      <c r="EH116" s="410"/>
      <c r="EI116" s="410"/>
      <c r="EJ116" s="410"/>
      <c r="EK116" s="410"/>
      <c r="EL116" s="410"/>
      <c r="EM116" s="410"/>
      <c r="EN116" s="410"/>
      <c r="EO116" s="410"/>
      <c r="EP116" s="410"/>
      <c r="EQ116" s="410"/>
      <c r="ER116" s="410"/>
      <c r="ES116" s="410"/>
      <c r="ET116" s="410"/>
      <c r="EU116" s="410"/>
      <c r="EV116" s="410"/>
      <c r="EW116" s="410"/>
      <c r="EX116" s="410"/>
      <c r="EY116" s="410"/>
      <c r="EZ116" s="419"/>
      <c r="FA116" s="409"/>
      <c r="FB116" s="410"/>
      <c r="FC116" s="410"/>
      <c r="FD116" s="410"/>
      <c r="FE116" s="410"/>
      <c r="FF116" s="410"/>
      <c r="FG116" s="410"/>
      <c r="FH116" s="410"/>
      <c r="FI116" s="410"/>
      <c r="FJ116" s="410"/>
      <c r="FK116" s="410"/>
      <c r="FL116" s="410"/>
      <c r="FM116" s="410"/>
      <c r="FN116" s="410"/>
      <c r="FO116" s="410"/>
      <c r="FP116" s="410"/>
      <c r="FQ116" s="410"/>
      <c r="FR116" s="410"/>
      <c r="FS116" s="410"/>
      <c r="FT116" s="410"/>
      <c r="FU116" s="410"/>
      <c r="FV116" s="410"/>
      <c r="FW116" s="410"/>
      <c r="FX116" s="410"/>
      <c r="FY116" s="419"/>
      <c r="FZ116" s="409"/>
      <c r="GA116" s="410"/>
      <c r="GB116" s="410"/>
      <c r="GC116" s="410"/>
      <c r="GD116" s="410"/>
      <c r="GE116" s="410"/>
      <c r="GF116" s="410"/>
      <c r="GG116" s="410"/>
      <c r="GH116" s="410"/>
      <c r="GI116" s="410"/>
      <c r="GJ116" s="410"/>
      <c r="GK116" s="410"/>
      <c r="GL116" s="410"/>
      <c r="GM116" s="410"/>
      <c r="GN116" s="410"/>
      <c r="GO116" s="410"/>
      <c r="GP116" s="410"/>
      <c r="GQ116" s="410"/>
      <c r="GR116" s="410"/>
      <c r="GS116" s="410"/>
      <c r="GT116" s="410"/>
      <c r="GU116" s="410"/>
      <c r="GV116" s="410"/>
      <c r="GW116" s="410"/>
      <c r="GX116" s="419"/>
      <c r="GY116" s="409"/>
      <c r="GZ116" s="410"/>
      <c r="HA116" s="410"/>
      <c r="HB116" s="410"/>
      <c r="HC116" s="410"/>
      <c r="HD116" s="410"/>
      <c r="HE116" s="410"/>
      <c r="HF116" s="410"/>
      <c r="HG116" s="410"/>
      <c r="HH116" s="410"/>
      <c r="HI116" s="410"/>
      <c r="HJ116" s="410"/>
      <c r="HK116" s="410"/>
      <c r="HL116" s="410"/>
      <c r="HM116" s="410"/>
      <c r="HN116" s="410"/>
      <c r="HO116" s="410"/>
      <c r="HP116" s="410"/>
      <c r="HQ116" s="410"/>
      <c r="HR116" s="410"/>
      <c r="HS116" s="410"/>
      <c r="HT116" s="410"/>
      <c r="HU116" s="410"/>
      <c r="HV116" s="410"/>
      <c r="HW116" s="419"/>
    </row>
    <row r="117" spans="1:231" ht="24" customHeight="1">
      <c r="A117" s="411"/>
      <c r="B117" s="408"/>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12"/>
      <c r="AA117" s="408"/>
      <c r="AB117" s="408"/>
      <c r="AC117" s="408"/>
      <c r="AD117" s="408"/>
      <c r="AE117" s="408"/>
      <c r="AF117" s="411"/>
      <c r="AG117" s="408"/>
      <c r="AH117" s="408"/>
      <c r="AI117" s="408"/>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12"/>
      <c r="BE117" s="411"/>
      <c r="BF117" s="408"/>
      <c r="BG117" s="408"/>
      <c r="BH117" s="408"/>
      <c r="BI117" s="408"/>
      <c r="BJ117" s="408"/>
      <c r="BK117" s="408"/>
      <c r="BL117" s="408"/>
      <c r="BM117" s="408"/>
      <c r="BN117" s="408"/>
      <c r="BO117" s="408"/>
      <c r="BP117" s="408"/>
      <c r="BQ117" s="408"/>
      <c r="BR117" s="408"/>
      <c r="BS117" s="408"/>
      <c r="BT117" s="408"/>
      <c r="BU117" s="408"/>
      <c r="BV117" s="408"/>
      <c r="BW117" s="408"/>
      <c r="BX117" s="408"/>
      <c r="BY117" s="408"/>
      <c r="BZ117" s="408"/>
      <c r="CA117" s="408"/>
      <c r="CB117" s="408"/>
      <c r="CC117" s="412"/>
      <c r="CD117" s="411"/>
      <c r="CE117" s="408"/>
      <c r="CF117" s="408"/>
      <c r="CG117" s="408"/>
      <c r="CH117" s="408"/>
      <c r="CI117" s="408"/>
      <c r="CJ117" s="408"/>
      <c r="CK117" s="408"/>
      <c r="CL117" s="408"/>
      <c r="CM117" s="408"/>
      <c r="CN117" s="408"/>
      <c r="CO117" s="408"/>
      <c r="CP117" s="408"/>
      <c r="CQ117" s="408"/>
      <c r="CR117" s="408"/>
      <c r="CS117" s="408"/>
      <c r="CT117" s="408"/>
      <c r="CU117" s="408"/>
      <c r="CV117" s="408"/>
      <c r="CW117" s="408"/>
      <c r="CX117" s="408"/>
      <c r="CY117" s="408"/>
      <c r="CZ117" s="408"/>
      <c r="DA117" s="408"/>
      <c r="DB117" s="412"/>
      <c r="DC117" s="411"/>
      <c r="DD117" s="408"/>
      <c r="DE117" s="408"/>
      <c r="DF117" s="408"/>
      <c r="DG117" s="408"/>
      <c r="DH117" s="408"/>
      <c r="DI117" s="408"/>
      <c r="DJ117" s="408"/>
      <c r="DK117" s="408"/>
      <c r="DL117" s="408"/>
      <c r="DM117" s="408"/>
      <c r="DN117" s="408"/>
      <c r="DO117" s="408"/>
      <c r="DP117" s="408"/>
      <c r="DQ117" s="408"/>
      <c r="DR117" s="408"/>
      <c r="DS117" s="408"/>
      <c r="DT117" s="408"/>
      <c r="DU117" s="408"/>
      <c r="DV117" s="408"/>
      <c r="DW117" s="408"/>
      <c r="DX117" s="408"/>
      <c r="DY117" s="408"/>
      <c r="DZ117" s="408"/>
      <c r="EA117" s="412"/>
      <c r="EB117" s="411"/>
      <c r="EC117" s="408"/>
      <c r="ED117" s="408"/>
      <c r="EE117" s="408"/>
      <c r="EF117" s="408"/>
      <c r="EG117" s="408"/>
      <c r="EH117" s="408"/>
      <c r="EI117" s="408"/>
      <c r="EJ117" s="408"/>
      <c r="EK117" s="408"/>
      <c r="EL117" s="408"/>
      <c r="EM117" s="408"/>
      <c r="EN117" s="408"/>
      <c r="EO117" s="408"/>
      <c r="EP117" s="408"/>
      <c r="EQ117" s="408"/>
      <c r="ER117" s="408"/>
      <c r="ES117" s="408"/>
      <c r="ET117" s="408"/>
      <c r="EU117" s="408"/>
      <c r="EV117" s="408"/>
      <c r="EW117" s="408"/>
      <c r="EX117" s="408"/>
      <c r="EY117" s="408"/>
      <c r="EZ117" s="412"/>
      <c r="FA117" s="411"/>
      <c r="FB117" s="408"/>
      <c r="FC117" s="408"/>
      <c r="FD117" s="408"/>
      <c r="FE117" s="408"/>
      <c r="FF117" s="408"/>
      <c r="FG117" s="408"/>
      <c r="FH117" s="408"/>
      <c r="FI117" s="408"/>
      <c r="FJ117" s="408"/>
      <c r="FK117" s="408"/>
      <c r="FL117" s="408"/>
      <c r="FM117" s="408"/>
      <c r="FN117" s="408"/>
      <c r="FO117" s="408"/>
      <c r="FP117" s="408"/>
      <c r="FQ117" s="408"/>
      <c r="FR117" s="408"/>
      <c r="FS117" s="408"/>
      <c r="FT117" s="408"/>
      <c r="FU117" s="408"/>
      <c r="FV117" s="408"/>
      <c r="FW117" s="408"/>
      <c r="FX117" s="408"/>
      <c r="FY117" s="412"/>
      <c r="FZ117" s="411"/>
      <c r="GA117" s="408"/>
      <c r="GB117" s="408"/>
      <c r="GC117" s="408"/>
      <c r="GD117" s="408"/>
      <c r="GE117" s="408"/>
      <c r="GF117" s="408"/>
      <c r="GG117" s="408"/>
      <c r="GH117" s="408"/>
      <c r="GI117" s="408"/>
      <c r="GJ117" s="408"/>
      <c r="GK117" s="408"/>
      <c r="GL117" s="408"/>
      <c r="GM117" s="408"/>
      <c r="GN117" s="408"/>
      <c r="GO117" s="408"/>
      <c r="GP117" s="408"/>
      <c r="GQ117" s="408"/>
      <c r="GR117" s="408"/>
      <c r="GS117" s="408"/>
      <c r="GT117" s="408"/>
      <c r="GU117" s="408"/>
      <c r="GV117" s="408"/>
      <c r="GW117" s="408"/>
      <c r="GX117" s="412"/>
      <c r="GY117" s="411"/>
      <c r="GZ117" s="408"/>
      <c r="HA117" s="408"/>
      <c r="HB117" s="408"/>
      <c r="HC117" s="408"/>
      <c r="HD117" s="408"/>
      <c r="HE117" s="408"/>
      <c r="HF117" s="408"/>
      <c r="HG117" s="408"/>
      <c r="HH117" s="408"/>
      <c r="HI117" s="408"/>
      <c r="HJ117" s="408"/>
      <c r="HK117" s="408"/>
      <c r="HL117" s="408"/>
      <c r="HM117" s="408"/>
      <c r="HN117" s="408"/>
      <c r="HO117" s="408"/>
      <c r="HP117" s="408"/>
      <c r="HQ117" s="408"/>
      <c r="HR117" s="408"/>
      <c r="HS117" s="408"/>
      <c r="HT117" s="408"/>
      <c r="HU117" s="408"/>
      <c r="HV117" s="408"/>
      <c r="HW117" s="412"/>
    </row>
    <row r="118" spans="1:231" ht="24" customHeight="1">
      <c r="A118" s="411"/>
      <c r="B118" s="408"/>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12"/>
      <c r="AA118" s="408"/>
      <c r="AB118" s="408"/>
      <c r="AC118" s="408"/>
      <c r="AD118" s="408"/>
      <c r="AE118" s="408"/>
      <c r="AF118" s="411"/>
      <c r="AG118" s="408"/>
      <c r="AH118" s="408"/>
      <c r="AI118" s="408"/>
      <c r="AJ118" s="408"/>
      <c r="AK118" s="408"/>
      <c r="AL118" s="408"/>
      <c r="AM118" s="408"/>
      <c r="AN118" s="408"/>
      <c r="AO118" s="408"/>
      <c r="AP118" s="408"/>
      <c r="AQ118" s="408"/>
      <c r="AR118" s="408"/>
      <c r="AS118" s="408"/>
      <c r="AT118" s="408"/>
      <c r="AU118" s="408"/>
      <c r="AV118" s="408"/>
      <c r="AW118" s="408"/>
      <c r="AX118" s="408"/>
      <c r="AY118" s="408"/>
      <c r="AZ118" s="408"/>
      <c r="BA118" s="408"/>
      <c r="BB118" s="408"/>
      <c r="BC118" s="408"/>
      <c r="BD118" s="412"/>
      <c r="BE118" s="411"/>
      <c r="BF118" s="408"/>
      <c r="BG118" s="408"/>
      <c r="BH118" s="408"/>
      <c r="BI118" s="408"/>
      <c r="BJ118" s="408"/>
      <c r="BK118" s="408"/>
      <c r="BL118" s="408"/>
      <c r="BM118" s="408"/>
      <c r="BN118" s="408"/>
      <c r="BO118" s="408"/>
      <c r="BP118" s="408"/>
      <c r="BQ118" s="408"/>
      <c r="BR118" s="408"/>
      <c r="BS118" s="408"/>
      <c r="BT118" s="408"/>
      <c r="BU118" s="408"/>
      <c r="BV118" s="408"/>
      <c r="BW118" s="408"/>
      <c r="BX118" s="408"/>
      <c r="BY118" s="408"/>
      <c r="BZ118" s="408"/>
      <c r="CA118" s="408"/>
      <c r="CB118" s="408"/>
      <c r="CC118" s="412"/>
      <c r="CD118" s="411"/>
      <c r="CE118" s="408"/>
      <c r="CF118" s="408"/>
      <c r="CG118" s="408"/>
      <c r="CH118" s="408"/>
      <c r="CI118" s="408"/>
      <c r="CJ118" s="408"/>
      <c r="CK118" s="408"/>
      <c r="CL118" s="408"/>
      <c r="CM118" s="408"/>
      <c r="CN118" s="408"/>
      <c r="CO118" s="408"/>
      <c r="CP118" s="408"/>
      <c r="CQ118" s="408"/>
      <c r="CR118" s="408"/>
      <c r="CS118" s="408"/>
      <c r="CT118" s="408"/>
      <c r="CU118" s="408"/>
      <c r="CV118" s="408"/>
      <c r="CW118" s="408"/>
      <c r="CX118" s="408"/>
      <c r="CY118" s="408"/>
      <c r="CZ118" s="408"/>
      <c r="DA118" s="408"/>
      <c r="DB118" s="412"/>
      <c r="DC118" s="411"/>
      <c r="DD118" s="408"/>
      <c r="DE118" s="408"/>
      <c r="DF118" s="408"/>
      <c r="DG118" s="408"/>
      <c r="DH118" s="408"/>
      <c r="DI118" s="408"/>
      <c r="DJ118" s="408"/>
      <c r="DK118" s="408"/>
      <c r="DL118" s="408"/>
      <c r="DM118" s="408"/>
      <c r="DN118" s="408"/>
      <c r="DO118" s="408"/>
      <c r="DP118" s="408"/>
      <c r="DQ118" s="408"/>
      <c r="DR118" s="408"/>
      <c r="DS118" s="408"/>
      <c r="DT118" s="408"/>
      <c r="DU118" s="408"/>
      <c r="DV118" s="408"/>
      <c r="DW118" s="408"/>
      <c r="DX118" s="408"/>
      <c r="DY118" s="408"/>
      <c r="DZ118" s="408"/>
      <c r="EA118" s="412"/>
      <c r="EB118" s="411"/>
      <c r="EC118" s="408"/>
      <c r="ED118" s="408"/>
      <c r="EE118" s="408"/>
      <c r="EF118" s="408"/>
      <c r="EG118" s="408"/>
      <c r="EH118" s="408"/>
      <c r="EI118" s="408"/>
      <c r="EJ118" s="408"/>
      <c r="EK118" s="408"/>
      <c r="EL118" s="408"/>
      <c r="EM118" s="408"/>
      <c r="EN118" s="408"/>
      <c r="EO118" s="408"/>
      <c r="EP118" s="408"/>
      <c r="EQ118" s="408"/>
      <c r="ER118" s="408"/>
      <c r="ES118" s="408"/>
      <c r="ET118" s="408"/>
      <c r="EU118" s="408"/>
      <c r="EV118" s="408"/>
      <c r="EW118" s="408"/>
      <c r="EX118" s="408"/>
      <c r="EY118" s="408"/>
      <c r="EZ118" s="412"/>
      <c r="FA118" s="411"/>
      <c r="FB118" s="408"/>
      <c r="FC118" s="408"/>
      <c r="FD118" s="408"/>
      <c r="FE118" s="408"/>
      <c r="FF118" s="408"/>
      <c r="FG118" s="408"/>
      <c r="FH118" s="408"/>
      <c r="FI118" s="408"/>
      <c r="FJ118" s="408"/>
      <c r="FK118" s="408"/>
      <c r="FL118" s="408"/>
      <c r="FM118" s="408"/>
      <c r="FN118" s="408"/>
      <c r="FO118" s="408"/>
      <c r="FP118" s="408"/>
      <c r="FQ118" s="408"/>
      <c r="FR118" s="408"/>
      <c r="FS118" s="408"/>
      <c r="FT118" s="408"/>
      <c r="FU118" s="408"/>
      <c r="FV118" s="408"/>
      <c r="FW118" s="408"/>
      <c r="FX118" s="408"/>
      <c r="FY118" s="412"/>
      <c r="FZ118" s="411"/>
      <c r="GA118" s="408"/>
      <c r="GB118" s="408"/>
      <c r="GC118" s="408"/>
      <c r="GD118" s="408"/>
      <c r="GE118" s="408"/>
      <c r="GF118" s="408"/>
      <c r="GG118" s="408"/>
      <c r="GH118" s="408"/>
      <c r="GI118" s="408"/>
      <c r="GJ118" s="408"/>
      <c r="GK118" s="408"/>
      <c r="GL118" s="408"/>
      <c r="GM118" s="408"/>
      <c r="GN118" s="408"/>
      <c r="GO118" s="408"/>
      <c r="GP118" s="408"/>
      <c r="GQ118" s="408"/>
      <c r="GR118" s="408"/>
      <c r="GS118" s="408"/>
      <c r="GT118" s="408"/>
      <c r="GU118" s="408"/>
      <c r="GV118" s="408"/>
      <c r="GW118" s="408"/>
      <c r="GX118" s="412"/>
      <c r="GY118" s="411"/>
      <c r="GZ118" s="408"/>
      <c r="HA118" s="408"/>
      <c r="HB118" s="408"/>
      <c r="HC118" s="408"/>
      <c r="HD118" s="408"/>
      <c r="HE118" s="408"/>
      <c r="HF118" s="408"/>
      <c r="HG118" s="408"/>
      <c r="HH118" s="408"/>
      <c r="HI118" s="408"/>
      <c r="HJ118" s="408"/>
      <c r="HK118" s="408"/>
      <c r="HL118" s="408"/>
      <c r="HM118" s="408"/>
      <c r="HN118" s="408"/>
      <c r="HO118" s="408"/>
      <c r="HP118" s="408"/>
      <c r="HQ118" s="408"/>
      <c r="HR118" s="408"/>
      <c r="HS118" s="408"/>
      <c r="HT118" s="408"/>
      <c r="HU118" s="408"/>
      <c r="HV118" s="408"/>
      <c r="HW118" s="412"/>
    </row>
    <row r="119" spans="1:231" ht="24" customHeight="1">
      <c r="A119" s="411"/>
      <c r="B119" s="408"/>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12"/>
      <c r="AA119" s="408"/>
      <c r="AB119" s="408"/>
      <c r="AC119" s="408"/>
      <c r="AD119" s="408"/>
      <c r="AE119" s="408"/>
      <c r="AF119" s="411"/>
      <c r="AG119" s="408"/>
      <c r="AH119" s="408"/>
      <c r="AI119" s="408"/>
      <c r="AJ119" s="408"/>
      <c r="AK119" s="408"/>
      <c r="AL119" s="408"/>
      <c r="AM119" s="408"/>
      <c r="AN119" s="408"/>
      <c r="AO119" s="408"/>
      <c r="AP119" s="408"/>
      <c r="AQ119" s="408"/>
      <c r="AR119" s="408"/>
      <c r="AS119" s="408"/>
      <c r="AT119" s="408"/>
      <c r="AU119" s="408"/>
      <c r="AV119" s="408"/>
      <c r="AW119" s="408"/>
      <c r="AX119" s="408"/>
      <c r="AY119" s="408"/>
      <c r="AZ119" s="408"/>
      <c r="BA119" s="408"/>
      <c r="BB119" s="408"/>
      <c r="BC119" s="408"/>
      <c r="BD119" s="412"/>
      <c r="BE119" s="411"/>
      <c r="BF119" s="408"/>
      <c r="BG119" s="408"/>
      <c r="BH119" s="408"/>
      <c r="BI119" s="408"/>
      <c r="BJ119" s="408"/>
      <c r="BK119" s="408"/>
      <c r="BL119" s="408"/>
      <c r="BM119" s="408"/>
      <c r="BN119" s="408"/>
      <c r="BO119" s="408"/>
      <c r="BP119" s="408"/>
      <c r="BQ119" s="408"/>
      <c r="BR119" s="408"/>
      <c r="BS119" s="408"/>
      <c r="BT119" s="408"/>
      <c r="BU119" s="408"/>
      <c r="BV119" s="408"/>
      <c r="BW119" s="408"/>
      <c r="BX119" s="408"/>
      <c r="BY119" s="408"/>
      <c r="BZ119" s="408"/>
      <c r="CA119" s="408"/>
      <c r="CB119" s="408"/>
      <c r="CC119" s="412"/>
      <c r="CD119" s="411"/>
      <c r="CE119" s="408"/>
      <c r="CF119" s="408"/>
      <c r="CG119" s="408"/>
      <c r="CH119" s="408"/>
      <c r="CI119" s="408"/>
      <c r="CJ119" s="408"/>
      <c r="CK119" s="408"/>
      <c r="CL119" s="408"/>
      <c r="CM119" s="408"/>
      <c r="CN119" s="408"/>
      <c r="CO119" s="408"/>
      <c r="CP119" s="408"/>
      <c r="CQ119" s="408"/>
      <c r="CR119" s="408"/>
      <c r="CS119" s="408"/>
      <c r="CT119" s="408"/>
      <c r="CU119" s="408"/>
      <c r="CV119" s="408"/>
      <c r="CW119" s="408"/>
      <c r="CX119" s="408"/>
      <c r="CY119" s="408"/>
      <c r="CZ119" s="408"/>
      <c r="DA119" s="408"/>
      <c r="DB119" s="412"/>
      <c r="DC119" s="411"/>
      <c r="DD119" s="408"/>
      <c r="DE119" s="408"/>
      <c r="DF119" s="408"/>
      <c r="DG119" s="408"/>
      <c r="DH119" s="408"/>
      <c r="DI119" s="408"/>
      <c r="DJ119" s="408"/>
      <c r="DK119" s="408"/>
      <c r="DL119" s="408"/>
      <c r="DM119" s="408"/>
      <c r="DN119" s="408"/>
      <c r="DO119" s="408"/>
      <c r="DP119" s="408"/>
      <c r="DQ119" s="408"/>
      <c r="DR119" s="408"/>
      <c r="DS119" s="408"/>
      <c r="DT119" s="408"/>
      <c r="DU119" s="408"/>
      <c r="DV119" s="408"/>
      <c r="DW119" s="408"/>
      <c r="DX119" s="408"/>
      <c r="DY119" s="408"/>
      <c r="DZ119" s="408"/>
      <c r="EA119" s="412"/>
      <c r="EB119" s="411"/>
      <c r="EC119" s="408"/>
      <c r="ED119" s="408"/>
      <c r="EE119" s="408"/>
      <c r="EF119" s="408"/>
      <c r="EG119" s="408"/>
      <c r="EH119" s="408"/>
      <c r="EI119" s="408"/>
      <c r="EJ119" s="408"/>
      <c r="EK119" s="408"/>
      <c r="EL119" s="408"/>
      <c r="EM119" s="408"/>
      <c r="EN119" s="408"/>
      <c r="EO119" s="408"/>
      <c r="EP119" s="408"/>
      <c r="EQ119" s="408"/>
      <c r="ER119" s="408"/>
      <c r="ES119" s="408"/>
      <c r="ET119" s="408"/>
      <c r="EU119" s="408"/>
      <c r="EV119" s="408"/>
      <c r="EW119" s="408"/>
      <c r="EX119" s="408"/>
      <c r="EY119" s="408"/>
      <c r="EZ119" s="412"/>
      <c r="FA119" s="411"/>
      <c r="FB119" s="408"/>
      <c r="FC119" s="408"/>
      <c r="FD119" s="408"/>
      <c r="FE119" s="408"/>
      <c r="FF119" s="408"/>
      <c r="FG119" s="408"/>
      <c r="FH119" s="408"/>
      <c r="FI119" s="408"/>
      <c r="FJ119" s="408"/>
      <c r="FK119" s="408"/>
      <c r="FL119" s="408"/>
      <c r="FM119" s="408"/>
      <c r="FN119" s="408"/>
      <c r="FO119" s="408"/>
      <c r="FP119" s="408"/>
      <c r="FQ119" s="408"/>
      <c r="FR119" s="408"/>
      <c r="FS119" s="408"/>
      <c r="FT119" s="408"/>
      <c r="FU119" s="408"/>
      <c r="FV119" s="408"/>
      <c r="FW119" s="408"/>
      <c r="FX119" s="408"/>
      <c r="FY119" s="412"/>
      <c r="FZ119" s="411"/>
      <c r="GA119" s="408"/>
      <c r="GB119" s="408"/>
      <c r="GC119" s="408"/>
      <c r="GD119" s="408"/>
      <c r="GE119" s="408"/>
      <c r="GF119" s="408"/>
      <c r="GG119" s="408"/>
      <c r="GH119" s="408"/>
      <c r="GI119" s="408"/>
      <c r="GJ119" s="408"/>
      <c r="GK119" s="408"/>
      <c r="GL119" s="408"/>
      <c r="GM119" s="408"/>
      <c r="GN119" s="408"/>
      <c r="GO119" s="408"/>
      <c r="GP119" s="408"/>
      <c r="GQ119" s="408"/>
      <c r="GR119" s="408"/>
      <c r="GS119" s="408"/>
      <c r="GT119" s="408"/>
      <c r="GU119" s="408"/>
      <c r="GV119" s="408"/>
      <c r="GW119" s="408"/>
      <c r="GX119" s="412"/>
      <c r="GY119" s="411"/>
      <c r="GZ119" s="408"/>
      <c r="HA119" s="408"/>
      <c r="HB119" s="408"/>
      <c r="HC119" s="408"/>
      <c r="HD119" s="408"/>
      <c r="HE119" s="408"/>
      <c r="HF119" s="408"/>
      <c r="HG119" s="408"/>
      <c r="HH119" s="408"/>
      <c r="HI119" s="408"/>
      <c r="HJ119" s="408"/>
      <c r="HK119" s="408"/>
      <c r="HL119" s="408"/>
      <c r="HM119" s="408"/>
      <c r="HN119" s="408"/>
      <c r="HO119" s="408"/>
      <c r="HP119" s="408"/>
      <c r="HQ119" s="408"/>
      <c r="HR119" s="408"/>
      <c r="HS119" s="408"/>
      <c r="HT119" s="408"/>
      <c r="HU119" s="408"/>
      <c r="HV119" s="408"/>
      <c r="HW119" s="412"/>
    </row>
    <row r="120" spans="1:231" ht="24" customHeight="1">
      <c r="A120" s="411"/>
      <c r="B120" s="408"/>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12"/>
      <c r="AA120" s="408"/>
      <c r="AB120" s="408"/>
      <c r="AC120" s="408"/>
      <c r="AD120" s="408"/>
      <c r="AE120" s="408"/>
      <c r="AF120" s="411"/>
      <c r="AG120" s="408"/>
      <c r="AH120" s="408"/>
      <c r="AI120" s="408"/>
      <c r="AJ120" s="408"/>
      <c r="AK120" s="408"/>
      <c r="AL120" s="408"/>
      <c r="AM120" s="408"/>
      <c r="AN120" s="408"/>
      <c r="AO120" s="408"/>
      <c r="AP120" s="408"/>
      <c r="AQ120" s="408"/>
      <c r="AR120" s="408"/>
      <c r="AS120" s="408"/>
      <c r="AT120" s="408"/>
      <c r="AU120" s="408"/>
      <c r="AV120" s="408"/>
      <c r="AW120" s="408"/>
      <c r="AX120" s="408"/>
      <c r="AY120" s="408"/>
      <c r="AZ120" s="408"/>
      <c r="BA120" s="408"/>
      <c r="BB120" s="408"/>
      <c r="BC120" s="408"/>
      <c r="BD120" s="412"/>
      <c r="BE120" s="411"/>
      <c r="BF120" s="408"/>
      <c r="BG120" s="408"/>
      <c r="BH120" s="408"/>
      <c r="BI120" s="408"/>
      <c r="BJ120" s="408"/>
      <c r="BK120" s="408"/>
      <c r="BL120" s="408"/>
      <c r="BM120" s="408"/>
      <c r="BN120" s="408"/>
      <c r="BO120" s="408"/>
      <c r="BP120" s="408"/>
      <c r="BQ120" s="408"/>
      <c r="BR120" s="408"/>
      <c r="BS120" s="408"/>
      <c r="BT120" s="408"/>
      <c r="BU120" s="408"/>
      <c r="BV120" s="408"/>
      <c r="BW120" s="408"/>
      <c r="BX120" s="408"/>
      <c r="BY120" s="408"/>
      <c r="BZ120" s="408"/>
      <c r="CA120" s="408"/>
      <c r="CB120" s="408"/>
      <c r="CC120" s="412"/>
      <c r="CD120" s="411"/>
      <c r="CE120" s="408"/>
      <c r="CF120" s="408"/>
      <c r="CG120" s="408"/>
      <c r="CH120" s="408"/>
      <c r="CI120" s="408"/>
      <c r="CJ120" s="408"/>
      <c r="CK120" s="408"/>
      <c r="CL120" s="408"/>
      <c r="CM120" s="408"/>
      <c r="CN120" s="408"/>
      <c r="CO120" s="408"/>
      <c r="CP120" s="408"/>
      <c r="CQ120" s="408"/>
      <c r="CR120" s="408"/>
      <c r="CS120" s="408"/>
      <c r="CT120" s="408"/>
      <c r="CU120" s="408"/>
      <c r="CV120" s="408"/>
      <c r="CW120" s="408"/>
      <c r="CX120" s="408"/>
      <c r="CY120" s="408"/>
      <c r="CZ120" s="408"/>
      <c r="DA120" s="408"/>
      <c r="DB120" s="412"/>
      <c r="DC120" s="411"/>
      <c r="DD120" s="408"/>
      <c r="DE120" s="408"/>
      <c r="DF120" s="408"/>
      <c r="DG120" s="408"/>
      <c r="DH120" s="408"/>
      <c r="DI120" s="408"/>
      <c r="DJ120" s="408"/>
      <c r="DK120" s="408"/>
      <c r="DL120" s="408"/>
      <c r="DM120" s="408"/>
      <c r="DN120" s="408"/>
      <c r="DO120" s="408"/>
      <c r="DP120" s="408"/>
      <c r="DQ120" s="408"/>
      <c r="DR120" s="408"/>
      <c r="DS120" s="408"/>
      <c r="DT120" s="408"/>
      <c r="DU120" s="408"/>
      <c r="DV120" s="408"/>
      <c r="DW120" s="408"/>
      <c r="DX120" s="408"/>
      <c r="DY120" s="408"/>
      <c r="DZ120" s="408"/>
      <c r="EA120" s="412"/>
      <c r="EB120" s="411"/>
      <c r="EC120" s="408"/>
      <c r="ED120" s="408"/>
      <c r="EE120" s="408"/>
      <c r="EF120" s="408"/>
      <c r="EG120" s="408"/>
      <c r="EH120" s="408"/>
      <c r="EI120" s="408"/>
      <c r="EJ120" s="408"/>
      <c r="EK120" s="408"/>
      <c r="EL120" s="408"/>
      <c r="EM120" s="408"/>
      <c r="EN120" s="408"/>
      <c r="EO120" s="408"/>
      <c r="EP120" s="408"/>
      <c r="EQ120" s="408"/>
      <c r="ER120" s="408"/>
      <c r="ES120" s="408"/>
      <c r="ET120" s="408"/>
      <c r="EU120" s="408"/>
      <c r="EV120" s="408"/>
      <c r="EW120" s="408"/>
      <c r="EX120" s="408"/>
      <c r="EY120" s="408"/>
      <c r="EZ120" s="412"/>
      <c r="FA120" s="411"/>
      <c r="FB120" s="408"/>
      <c r="FC120" s="408"/>
      <c r="FD120" s="408"/>
      <c r="FE120" s="408"/>
      <c r="FF120" s="408"/>
      <c r="FG120" s="408"/>
      <c r="FH120" s="408"/>
      <c r="FI120" s="408"/>
      <c r="FJ120" s="408"/>
      <c r="FK120" s="408"/>
      <c r="FL120" s="408"/>
      <c r="FM120" s="408"/>
      <c r="FN120" s="408"/>
      <c r="FO120" s="408"/>
      <c r="FP120" s="408"/>
      <c r="FQ120" s="408"/>
      <c r="FR120" s="408"/>
      <c r="FS120" s="408"/>
      <c r="FT120" s="408"/>
      <c r="FU120" s="408"/>
      <c r="FV120" s="408"/>
      <c r="FW120" s="408"/>
      <c r="FX120" s="408"/>
      <c r="FY120" s="412"/>
      <c r="FZ120" s="411"/>
      <c r="GA120" s="408"/>
      <c r="GB120" s="408"/>
      <c r="GC120" s="408"/>
      <c r="GD120" s="408"/>
      <c r="GE120" s="408"/>
      <c r="GF120" s="408"/>
      <c r="GG120" s="408"/>
      <c r="GH120" s="408"/>
      <c r="GI120" s="408"/>
      <c r="GJ120" s="408"/>
      <c r="GK120" s="408"/>
      <c r="GL120" s="408"/>
      <c r="GM120" s="408"/>
      <c r="GN120" s="408"/>
      <c r="GO120" s="408"/>
      <c r="GP120" s="408"/>
      <c r="GQ120" s="408"/>
      <c r="GR120" s="408"/>
      <c r="GS120" s="408"/>
      <c r="GT120" s="408"/>
      <c r="GU120" s="408"/>
      <c r="GV120" s="408"/>
      <c r="GW120" s="408"/>
      <c r="GX120" s="412"/>
      <c r="GY120" s="411"/>
      <c r="GZ120" s="408"/>
      <c r="HA120" s="408"/>
      <c r="HB120" s="408"/>
      <c r="HC120" s="408"/>
      <c r="HD120" s="408"/>
      <c r="HE120" s="408"/>
      <c r="HF120" s="408"/>
      <c r="HG120" s="408"/>
      <c r="HH120" s="408"/>
      <c r="HI120" s="408"/>
      <c r="HJ120" s="408"/>
      <c r="HK120" s="408"/>
      <c r="HL120" s="408"/>
      <c r="HM120" s="408"/>
      <c r="HN120" s="408"/>
      <c r="HO120" s="408"/>
      <c r="HP120" s="408"/>
      <c r="HQ120" s="408"/>
      <c r="HR120" s="408"/>
      <c r="HS120" s="408"/>
      <c r="HT120" s="408"/>
      <c r="HU120" s="408"/>
      <c r="HV120" s="408"/>
      <c r="HW120" s="412"/>
    </row>
    <row r="121" spans="1:231" ht="24" customHeight="1">
      <c r="A121" s="411"/>
      <c r="B121" s="408"/>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12"/>
      <c r="AA121" s="408"/>
      <c r="AB121" s="408"/>
      <c r="AC121" s="408"/>
      <c r="AD121" s="408"/>
      <c r="AE121" s="408"/>
      <c r="AF121" s="411"/>
      <c r="AG121" s="408"/>
      <c r="AH121" s="408"/>
      <c r="AI121" s="408"/>
      <c r="AJ121" s="408"/>
      <c r="AK121" s="408"/>
      <c r="AL121" s="408"/>
      <c r="AM121" s="408"/>
      <c r="AN121" s="408"/>
      <c r="AO121" s="408"/>
      <c r="AP121" s="408"/>
      <c r="AQ121" s="408"/>
      <c r="AR121" s="408"/>
      <c r="AS121" s="408"/>
      <c r="AT121" s="408"/>
      <c r="AU121" s="408"/>
      <c r="AV121" s="408"/>
      <c r="AW121" s="408"/>
      <c r="AX121" s="408"/>
      <c r="AY121" s="408"/>
      <c r="AZ121" s="408"/>
      <c r="BA121" s="408"/>
      <c r="BB121" s="408"/>
      <c r="BC121" s="408"/>
      <c r="BD121" s="412"/>
      <c r="BE121" s="411"/>
      <c r="BF121" s="408"/>
      <c r="BG121" s="408"/>
      <c r="BH121" s="408"/>
      <c r="BI121" s="408"/>
      <c r="BJ121" s="408"/>
      <c r="BK121" s="408"/>
      <c r="BL121" s="408"/>
      <c r="BM121" s="408"/>
      <c r="BN121" s="408"/>
      <c r="BO121" s="408"/>
      <c r="BP121" s="408"/>
      <c r="BQ121" s="408"/>
      <c r="BR121" s="408"/>
      <c r="BS121" s="408"/>
      <c r="BT121" s="408"/>
      <c r="BU121" s="408"/>
      <c r="BV121" s="408"/>
      <c r="BW121" s="408"/>
      <c r="BX121" s="408"/>
      <c r="BY121" s="408"/>
      <c r="BZ121" s="408"/>
      <c r="CA121" s="408"/>
      <c r="CB121" s="408"/>
      <c r="CC121" s="412"/>
      <c r="CD121" s="411"/>
      <c r="CE121" s="408"/>
      <c r="CF121" s="408"/>
      <c r="CG121" s="408"/>
      <c r="CH121" s="408"/>
      <c r="CI121" s="408"/>
      <c r="CJ121" s="408"/>
      <c r="CK121" s="408"/>
      <c r="CL121" s="408"/>
      <c r="CM121" s="408"/>
      <c r="CN121" s="408"/>
      <c r="CO121" s="408"/>
      <c r="CP121" s="408"/>
      <c r="CQ121" s="408"/>
      <c r="CR121" s="408"/>
      <c r="CS121" s="408"/>
      <c r="CT121" s="408"/>
      <c r="CU121" s="408"/>
      <c r="CV121" s="408"/>
      <c r="CW121" s="408"/>
      <c r="CX121" s="408"/>
      <c r="CY121" s="408"/>
      <c r="CZ121" s="408"/>
      <c r="DA121" s="408"/>
      <c r="DB121" s="412"/>
      <c r="DC121" s="411"/>
      <c r="DD121" s="408"/>
      <c r="DE121" s="408"/>
      <c r="DF121" s="408"/>
      <c r="DG121" s="408"/>
      <c r="DH121" s="408"/>
      <c r="DI121" s="408"/>
      <c r="DJ121" s="408"/>
      <c r="DK121" s="408"/>
      <c r="DL121" s="408"/>
      <c r="DM121" s="408"/>
      <c r="DN121" s="408"/>
      <c r="DO121" s="408"/>
      <c r="DP121" s="408"/>
      <c r="DQ121" s="408"/>
      <c r="DR121" s="408"/>
      <c r="DS121" s="408"/>
      <c r="DT121" s="408"/>
      <c r="DU121" s="408"/>
      <c r="DV121" s="408"/>
      <c r="DW121" s="408"/>
      <c r="DX121" s="408"/>
      <c r="DY121" s="408"/>
      <c r="DZ121" s="408"/>
      <c r="EA121" s="412"/>
      <c r="EB121" s="411"/>
      <c r="EC121" s="408"/>
      <c r="ED121" s="408"/>
      <c r="EE121" s="408"/>
      <c r="EF121" s="408"/>
      <c r="EG121" s="408"/>
      <c r="EH121" s="408"/>
      <c r="EI121" s="408"/>
      <c r="EJ121" s="408"/>
      <c r="EK121" s="408"/>
      <c r="EL121" s="408"/>
      <c r="EM121" s="408"/>
      <c r="EN121" s="408"/>
      <c r="EO121" s="408"/>
      <c r="EP121" s="408"/>
      <c r="EQ121" s="408"/>
      <c r="ER121" s="408"/>
      <c r="ES121" s="408"/>
      <c r="ET121" s="408"/>
      <c r="EU121" s="408"/>
      <c r="EV121" s="408"/>
      <c r="EW121" s="408"/>
      <c r="EX121" s="408"/>
      <c r="EY121" s="408"/>
      <c r="EZ121" s="412"/>
      <c r="FA121" s="411"/>
      <c r="FB121" s="408"/>
      <c r="FC121" s="408"/>
      <c r="FD121" s="408"/>
      <c r="FE121" s="408"/>
      <c r="FF121" s="408"/>
      <c r="FG121" s="408"/>
      <c r="FH121" s="408"/>
      <c r="FI121" s="408"/>
      <c r="FJ121" s="408"/>
      <c r="FK121" s="408"/>
      <c r="FL121" s="408"/>
      <c r="FM121" s="408"/>
      <c r="FN121" s="408"/>
      <c r="FO121" s="408"/>
      <c r="FP121" s="408"/>
      <c r="FQ121" s="408"/>
      <c r="FR121" s="408"/>
      <c r="FS121" s="408"/>
      <c r="FT121" s="408"/>
      <c r="FU121" s="408"/>
      <c r="FV121" s="408"/>
      <c r="FW121" s="408"/>
      <c r="FX121" s="408"/>
      <c r="FY121" s="412"/>
      <c r="FZ121" s="411"/>
      <c r="GA121" s="408"/>
      <c r="GB121" s="408"/>
      <c r="GC121" s="408"/>
      <c r="GD121" s="408"/>
      <c r="GE121" s="408"/>
      <c r="GF121" s="408"/>
      <c r="GG121" s="408"/>
      <c r="GH121" s="408"/>
      <c r="GI121" s="408"/>
      <c r="GJ121" s="408"/>
      <c r="GK121" s="408"/>
      <c r="GL121" s="408"/>
      <c r="GM121" s="408"/>
      <c r="GN121" s="408"/>
      <c r="GO121" s="408"/>
      <c r="GP121" s="408"/>
      <c r="GQ121" s="408"/>
      <c r="GR121" s="408"/>
      <c r="GS121" s="408"/>
      <c r="GT121" s="408"/>
      <c r="GU121" s="408"/>
      <c r="GV121" s="408"/>
      <c r="GW121" s="408"/>
      <c r="GX121" s="412"/>
      <c r="GY121" s="411"/>
      <c r="GZ121" s="408"/>
      <c r="HA121" s="408"/>
      <c r="HB121" s="408"/>
      <c r="HC121" s="408"/>
      <c r="HD121" s="408"/>
      <c r="HE121" s="408"/>
      <c r="HF121" s="408"/>
      <c r="HG121" s="408"/>
      <c r="HH121" s="408"/>
      <c r="HI121" s="408"/>
      <c r="HJ121" s="408"/>
      <c r="HK121" s="408"/>
      <c r="HL121" s="408"/>
      <c r="HM121" s="408"/>
      <c r="HN121" s="408"/>
      <c r="HO121" s="408"/>
      <c r="HP121" s="408"/>
      <c r="HQ121" s="408"/>
      <c r="HR121" s="408"/>
      <c r="HS121" s="408"/>
      <c r="HT121" s="408"/>
      <c r="HU121" s="408"/>
      <c r="HV121" s="408"/>
      <c r="HW121" s="412"/>
    </row>
    <row r="122" spans="1:231" ht="24" customHeight="1">
      <c r="A122" s="411"/>
      <c r="B122" s="408"/>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12"/>
      <c r="AA122" s="408"/>
      <c r="AB122" s="408"/>
      <c r="AC122" s="408"/>
      <c r="AD122" s="408"/>
      <c r="AE122" s="408"/>
      <c r="AF122" s="411"/>
      <c r="AG122" s="408"/>
      <c r="AH122" s="408"/>
      <c r="AI122" s="408"/>
      <c r="AJ122" s="408"/>
      <c r="AK122" s="408"/>
      <c r="AL122" s="408"/>
      <c r="AM122" s="408"/>
      <c r="AN122" s="408"/>
      <c r="AO122" s="408"/>
      <c r="AP122" s="408"/>
      <c r="AQ122" s="408"/>
      <c r="AR122" s="408"/>
      <c r="AS122" s="408"/>
      <c r="AT122" s="408"/>
      <c r="AU122" s="408"/>
      <c r="AV122" s="408"/>
      <c r="AW122" s="408"/>
      <c r="AX122" s="408"/>
      <c r="AY122" s="408"/>
      <c r="AZ122" s="408"/>
      <c r="BA122" s="408"/>
      <c r="BB122" s="408"/>
      <c r="BC122" s="408"/>
      <c r="BD122" s="412"/>
      <c r="BE122" s="411"/>
      <c r="BF122" s="408"/>
      <c r="BG122" s="408"/>
      <c r="BH122" s="408"/>
      <c r="BI122" s="408"/>
      <c r="BJ122" s="408"/>
      <c r="BK122" s="408"/>
      <c r="BL122" s="408"/>
      <c r="BM122" s="408"/>
      <c r="BN122" s="408"/>
      <c r="BO122" s="408"/>
      <c r="BP122" s="408"/>
      <c r="BQ122" s="408"/>
      <c r="BR122" s="408"/>
      <c r="BS122" s="408"/>
      <c r="BT122" s="408"/>
      <c r="BU122" s="408"/>
      <c r="BV122" s="408"/>
      <c r="BW122" s="408"/>
      <c r="BX122" s="408"/>
      <c r="BY122" s="408"/>
      <c r="BZ122" s="408"/>
      <c r="CA122" s="408"/>
      <c r="CB122" s="408"/>
      <c r="CC122" s="412"/>
      <c r="CD122" s="411"/>
      <c r="CE122" s="408"/>
      <c r="CF122" s="408"/>
      <c r="CG122" s="408"/>
      <c r="CH122" s="408"/>
      <c r="CI122" s="408"/>
      <c r="CJ122" s="408"/>
      <c r="CK122" s="408"/>
      <c r="CL122" s="408"/>
      <c r="CM122" s="408"/>
      <c r="CN122" s="408"/>
      <c r="CO122" s="408"/>
      <c r="CP122" s="408"/>
      <c r="CQ122" s="408"/>
      <c r="CR122" s="408"/>
      <c r="CS122" s="408"/>
      <c r="CT122" s="408"/>
      <c r="CU122" s="408"/>
      <c r="CV122" s="408"/>
      <c r="CW122" s="408"/>
      <c r="CX122" s="408"/>
      <c r="CY122" s="408"/>
      <c r="CZ122" s="408"/>
      <c r="DA122" s="408"/>
      <c r="DB122" s="412"/>
      <c r="DC122" s="411"/>
      <c r="DD122" s="408"/>
      <c r="DE122" s="408"/>
      <c r="DF122" s="408"/>
      <c r="DG122" s="408"/>
      <c r="DH122" s="408"/>
      <c r="DI122" s="408"/>
      <c r="DJ122" s="408"/>
      <c r="DK122" s="408"/>
      <c r="DL122" s="408"/>
      <c r="DM122" s="408"/>
      <c r="DN122" s="408"/>
      <c r="DO122" s="408"/>
      <c r="DP122" s="408"/>
      <c r="DQ122" s="408"/>
      <c r="DR122" s="408"/>
      <c r="DS122" s="408"/>
      <c r="DT122" s="408"/>
      <c r="DU122" s="408"/>
      <c r="DV122" s="408"/>
      <c r="DW122" s="408"/>
      <c r="DX122" s="408"/>
      <c r="DY122" s="408"/>
      <c r="DZ122" s="408"/>
      <c r="EA122" s="412"/>
      <c r="EB122" s="411"/>
      <c r="EC122" s="408"/>
      <c r="ED122" s="408"/>
      <c r="EE122" s="408"/>
      <c r="EF122" s="408"/>
      <c r="EG122" s="408"/>
      <c r="EH122" s="408"/>
      <c r="EI122" s="408"/>
      <c r="EJ122" s="408"/>
      <c r="EK122" s="408"/>
      <c r="EL122" s="408"/>
      <c r="EM122" s="408"/>
      <c r="EN122" s="408"/>
      <c r="EO122" s="408"/>
      <c r="EP122" s="408"/>
      <c r="EQ122" s="408"/>
      <c r="ER122" s="408"/>
      <c r="ES122" s="408"/>
      <c r="ET122" s="408"/>
      <c r="EU122" s="408"/>
      <c r="EV122" s="408"/>
      <c r="EW122" s="408"/>
      <c r="EX122" s="408"/>
      <c r="EY122" s="408"/>
      <c r="EZ122" s="412"/>
      <c r="FA122" s="411"/>
      <c r="FB122" s="408"/>
      <c r="FC122" s="408"/>
      <c r="FD122" s="408"/>
      <c r="FE122" s="408"/>
      <c r="FF122" s="408"/>
      <c r="FG122" s="408"/>
      <c r="FH122" s="408"/>
      <c r="FI122" s="408"/>
      <c r="FJ122" s="408"/>
      <c r="FK122" s="408"/>
      <c r="FL122" s="408"/>
      <c r="FM122" s="408"/>
      <c r="FN122" s="408"/>
      <c r="FO122" s="408"/>
      <c r="FP122" s="408"/>
      <c r="FQ122" s="408"/>
      <c r="FR122" s="408"/>
      <c r="FS122" s="408"/>
      <c r="FT122" s="408"/>
      <c r="FU122" s="408"/>
      <c r="FV122" s="408"/>
      <c r="FW122" s="408"/>
      <c r="FX122" s="408"/>
      <c r="FY122" s="412"/>
      <c r="FZ122" s="411"/>
      <c r="GA122" s="408"/>
      <c r="GB122" s="408"/>
      <c r="GC122" s="408"/>
      <c r="GD122" s="408"/>
      <c r="GE122" s="408"/>
      <c r="GF122" s="408"/>
      <c r="GG122" s="408"/>
      <c r="GH122" s="408"/>
      <c r="GI122" s="408"/>
      <c r="GJ122" s="408"/>
      <c r="GK122" s="408"/>
      <c r="GL122" s="408"/>
      <c r="GM122" s="408"/>
      <c r="GN122" s="408"/>
      <c r="GO122" s="408"/>
      <c r="GP122" s="408"/>
      <c r="GQ122" s="408"/>
      <c r="GR122" s="408"/>
      <c r="GS122" s="408"/>
      <c r="GT122" s="408"/>
      <c r="GU122" s="408"/>
      <c r="GV122" s="408"/>
      <c r="GW122" s="408"/>
      <c r="GX122" s="412"/>
      <c r="GY122" s="411"/>
      <c r="GZ122" s="408"/>
      <c r="HA122" s="408"/>
      <c r="HB122" s="408"/>
      <c r="HC122" s="408"/>
      <c r="HD122" s="408"/>
      <c r="HE122" s="408"/>
      <c r="HF122" s="408"/>
      <c r="HG122" s="408"/>
      <c r="HH122" s="408"/>
      <c r="HI122" s="408"/>
      <c r="HJ122" s="408"/>
      <c r="HK122" s="408"/>
      <c r="HL122" s="408"/>
      <c r="HM122" s="408"/>
      <c r="HN122" s="408"/>
      <c r="HO122" s="408"/>
      <c r="HP122" s="408"/>
      <c r="HQ122" s="408"/>
      <c r="HR122" s="408"/>
      <c r="HS122" s="408"/>
      <c r="HT122" s="408"/>
      <c r="HU122" s="408"/>
      <c r="HV122" s="408"/>
      <c r="HW122" s="412"/>
    </row>
    <row r="123" spans="1:231" ht="24" customHeight="1">
      <c r="A123" s="411"/>
      <c r="B123" s="408"/>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12"/>
      <c r="AA123" s="408"/>
      <c r="AB123" s="408"/>
      <c r="AC123" s="408"/>
      <c r="AD123" s="408"/>
      <c r="AE123" s="408"/>
      <c r="AF123" s="411"/>
      <c r="AG123" s="408"/>
      <c r="AH123" s="408"/>
      <c r="AI123" s="408"/>
      <c r="AJ123" s="408"/>
      <c r="AK123" s="408"/>
      <c r="AL123" s="408"/>
      <c r="AM123" s="408"/>
      <c r="AN123" s="408"/>
      <c r="AO123" s="408"/>
      <c r="AP123" s="408"/>
      <c r="AQ123" s="408"/>
      <c r="AR123" s="408"/>
      <c r="AS123" s="408"/>
      <c r="AT123" s="408"/>
      <c r="AU123" s="408"/>
      <c r="AV123" s="408"/>
      <c r="AW123" s="408"/>
      <c r="AX123" s="408"/>
      <c r="AY123" s="408"/>
      <c r="AZ123" s="408"/>
      <c r="BA123" s="408"/>
      <c r="BB123" s="408"/>
      <c r="BC123" s="408"/>
      <c r="BD123" s="412"/>
      <c r="BE123" s="411"/>
      <c r="BF123" s="408"/>
      <c r="BG123" s="408"/>
      <c r="BH123" s="408"/>
      <c r="BI123" s="408"/>
      <c r="BJ123" s="408"/>
      <c r="BK123" s="408"/>
      <c r="BL123" s="408"/>
      <c r="BM123" s="408"/>
      <c r="BN123" s="408"/>
      <c r="BO123" s="408"/>
      <c r="BP123" s="408"/>
      <c r="BQ123" s="408"/>
      <c r="BR123" s="408"/>
      <c r="BS123" s="408"/>
      <c r="BT123" s="408"/>
      <c r="BU123" s="408"/>
      <c r="BV123" s="408"/>
      <c r="BW123" s="408"/>
      <c r="BX123" s="408"/>
      <c r="BY123" s="408"/>
      <c r="BZ123" s="408"/>
      <c r="CA123" s="408"/>
      <c r="CB123" s="408"/>
      <c r="CC123" s="412"/>
      <c r="CD123" s="411"/>
      <c r="CE123" s="408"/>
      <c r="CF123" s="408"/>
      <c r="CG123" s="408"/>
      <c r="CH123" s="408"/>
      <c r="CI123" s="408"/>
      <c r="CJ123" s="408"/>
      <c r="CK123" s="408"/>
      <c r="CL123" s="408"/>
      <c r="CM123" s="408"/>
      <c r="CN123" s="408"/>
      <c r="CO123" s="408"/>
      <c r="CP123" s="408"/>
      <c r="CQ123" s="408"/>
      <c r="CR123" s="408"/>
      <c r="CS123" s="408"/>
      <c r="CT123" s="408"/>
      <c r="CU123" s="408"/>
      <c r="CV123" s="408"/>
      <c r="CW123" s="408"/>
      <c r="CX123" s="408"/>
      <c r="CY123" s="408"/>
      <c r="CZ123" s="408"/>
      <c r="DA123" s="408"/>
      <c r="DB123" s="412"/>
      <c r="DC123" s="411"/>
      <c r="DD123" s="408"/>
      <c r="DE123" s="408"/>
      <c r="DF123" s="408"/>
      <c r="DG123" s="408"/>
      <c r="DH123" s="408"/>
      <c r="DI123" s="408"/>
      <c r="DJ123" s="408"/>
      <c r="DK123" s="408"/>
      <c r="DL123" s="408"/>
      <c r="DM123" s="408"/>
      <c r="DN123" s="408"/>
      <c r="DO123" s="408"/>
      <c r="DP123" s="408"/>
      <c r="DQ123" s="408"/>
      <c r="DR123" s="408"/>
      <c r="DS123" s="408"/>
      <c r="DT123" s="408"/>
      <c r="DU123" s="408"/>
      <c r="DV123" s="408"/>
      <c r="DW123" s="408"/>
      <c r="DX123" s="408"/>
      <c r="DY123" s="408"/>
      <c r="DZ123" s="408"/>
      <c r="EA123" s="412"/>
      <c r="EB123" s="411"/>
      <c r="EC123" s="408"/>
      <c r="ED123" s="408"/>
      <c r="EE123" s="408"/>
      <c r="EF123" s="408"/>
      <c r="EG123" s="408"/>
      <c r="EH123" s="408"/>
      <c r="EI123" s="408"/>
      <c r="EJ123" s="408"/>
      <c r="EK123" s="408"/>
      <c r="EL123" s="408"/>
      <c r="EM123" s="408"/>
      <c r="EN123" s="408"/>
      <c r="EO123" s="408"/>
      <c r="EP123" s="408"/>
      <c r="EQ123" s="408"/>
      <c r="ER123" s="408"/>
      <c r="ES123" s="408"/>
      <c r="ET123" s="408"/>
      <c r="EU123" s="408"/>
      <c r="EV123" s="408"/>
      <c r="EW123" s="408"/>
      <c r="EX123" s="408"/>
      <c r="EY123" s="408"/>
      <c r="EZ123" s="412"/>
      <c r="FA123" s="411"/>
      <c r="FB123" s="408"/>
      <c r="FC123" s="408"/>
      <c r="FD123" s="408"/>
      <c r="FE123" s="408"/>
      <c r="FF123" s="408"/>
      <c r="FG123" s="408"/>
      <c r="FH123" s="408"/>
      <c r="FI123" s="408"/>
      <c r="FJ123" s="408"/>
      <c r="FK123" s="408"/>
      <c r="FL123" s="408"/>
      <c r="FM123" s="408"/>
      <c r="FN123" s="408"/>
      <c r="FO123" s="408"/>
      <c r="FP123" s="408"/>
      <c r="FQ123" s="408"/>
      <c r="FR123" s="408"/>
      <c r="FS123" s="408"/>
      <c r="FT123" s="408"/>
      <c r="FU123" s="408"/>
      <c r="FV123" s="408"/>
      <c r="FW123" s="408"/>
      <c r="FX123" s="408"/>
      <c r="FY123" s="412"/>
      <c r="FZ123" s="411"/>
      <c r="GA123" s="408"/>
      <c r="GB123" s="408"/>
      <c r="GC123" s="408"/>
      <c r="GD123" s="408"/>
      <c r="GE123" s="408"/>
      <c r="GF123" s="408"/>
      <c r="GG123" s="408"/>
      <c r="GH123" s="408"/>
      <c r="GI123" s="408"/>
      <c r="GJ123" s="408"/>
      <c r="GK123" s="408"/>
      <c r="GL123" s="408"/>
      <c r="GM123" s="408"/>
      <c r="GN123" s="408"/>
      <c r="GO123" s="408"/>
      <c r="GP123" s="408"/>
      <c r="GQ123" s="408"/>
      <c r="GR123" s="408"/>
      <c r="GS123" s="408"/>
      <c r="GT123" s="408"/>
      <c r="GU123" s="408"/>
      <c r="GV123" s="408"/>
      <c r="GW123" s="408"/>
      <c r="GX123" s="412"/>
      <c r="GY123" s="411"/>
      <c r="GZ123" s="408"/>
      <c r="HA123" s="408"/>
      <c r="HB123" s="408"/>
      <c r="HC123" s="408"/>
      <c r="HD123" s="408"/>
      <c r="HE123" s="408"/>
      <c r="HF123" s="408"/>
      <c r="HG123" s="408"/>
      <c r="HH123" s="408"/>
      <c r="HI123" s="408"/>
      <c r="HJ123" s="408"/>
      <c r="HK123" s="408"/>
      <c r="HL123" s="408"/>
      <c r="HM123" s="408"/>
      <c r="HN123" s="408"/>
      <c r="HO123" s="408"/>
      <c r="HP123" s="408"/>
      <c r="HQ123" s="408"/>
      <c r="HR123" s="408"/>
      <c r="HS123" s="408"/>
      <c r="HT123" s="408"/>
      <c r="HU123" s="408"/>
      <c r="HV123" s="408"/>
      <c r="HW123" s="412"/>
    </row>
    <row r="124" spans="1:231" ht="24" customHeight="1">
      <c r="A124" s="411"/>
      <c r="B124" s="408"/>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12"/>
      <c r="AA124" s="408"/>
      <c r="AB124" s="408"/>
      <c r="AC124" s="408"/>
      <c r="AD124" s="408"/>
      <c r="AE124" s="408"/>
      <c r="AF124" s="411"/>
      <c r="AG124" s="408"/>
      <c r="AH124" s="408"/>
      <c r="AI124" s="408"/>
      <c r="AJ124" s="408"/>
      <c r="AK124" s="408"/>
      <c r="AL124" s="408"/>
      <c r="AM124" s="408"/>
      <c r="AN124" s="408"/>
      <c r="AO124" s="408"/>
      <c r="AP124" s="408"/>
      <c r="AQ124" s="408"/>
      <c r="AR124" s="408"/>
      <c r="AS124" s="408"/>
      <c r="AT124" s="408"/>
      <c r="AU124" s="408"/>
      <c r="AV124" s="408"/>
      <c r="AW124" s="408"/>
      <c r="AX124" s="408"/>
      <c r="AY124" s="408"/>
      <c r="AZ124" s="408"/>
      <c r="BA124" s="408"/>
      <c r="BB124" s="408"/>
      <c r="BC124" s="408"/>
      <c r="BD124" s="412"/>
      <c r="BE124" s="411"/>
      <c r="BF124" s="408"/>
      <c r="BG124" s="408"/>
      <c r="BH124" s="408"/>
      <c r="BI124" s="408"/>
      <c r="BJ124" s="408"/>
      <c r="BK124" s="408"/>
      <c r="BL124" s="408"/>
      <c r="BM124" s="408"/>
      <c r="BN124" s="408"/>
      <c r="BO124" s="408"/>
      <c r="BP124" s="408"/>
      <c r="BQ124" s="408"/>
      <c r="BR124" s="408"/>
      <c r="BS124" s="408"/>
      <c r="BT124" s="408"/>
      <c r="BU124" s="408"/>
      <c r="BV124" s="408"/>
      <c r="BW124" s="408"/>
      <c r="BX124" s="408"/>
      <c r="BY124" s="408"/>
      <c r="BZ124" s="408"/>
      <c r="CA124" s="408"/>
      <c r="CB124" s="408"/>
      <c r="CC124" s="412"/>
      <c r="CD124" s="411"/>
      <c r="CE124" s="408"/>
      <c r="CF124" s="408"/>
      <c r="CG124" s="408"/>
      <c r="CH124" s="408"/>
      <c r="CI124" s="408"/>
      <c r="CJ124" s="408"/>
      <c r="CK124" s="408"/>
      <c r="CL124" s="408"/>
      <c r="CM124" s="408"/>
      <c r="CN124" s="408"/>
      <c r="CO124" s="408"/>
      <c r="CP124" s="408"/>
      <c r="CQ124" s="408"/>
      <c r="CR124" s="408"/>
      <c r="CS124" s="408"/>
      <c r="CT124" s="408"/>
      <c r="CU124" s="408"/>
      <c r="CV124" s="408"/>
      <c r="CW124" s="408"/>
      <c r="CX124" s="408"/>
      <c r="CY124" s="408"/>
      <c r="CZ124" s="408"/>
      <c r="DA124" s="408"/>
      <c r="DB124" s="412"/>
      <c r="DC124" s="411"/>
      <c r="DD124" s="408"/>
      <c r="DE124" s="408"/>
      <c r="DF124" s="408"/>
      <c r="DG124" s="408"/>
      <c r="DH124" s="408"/>
      <c r="DI124" s="408"/>
      <c r="DJ124" s="408"/>
      <c r="DK124" s="408"/>
      <c r="DL124" s="408"/>
      <c r="DM124" s="408"/>
      <c r="DN124" s="408"/>
      <c r="DO124" s="408"/>
      <c r="DP124" s="408"/>
      <c r="DQ124" s="408"/>
      <c r="DR124" s="408"/>
      <c r="DS124" s="408"/>
      <c r="DT124" s="408"/>
      <c r="DU124" s="408"/>
      <c r="DV124" s="408"/>
      <c r="DW124" s="408"/>
      <c r="DX124" s="408"/>
      <c r="DY124" s="408"/>
      <c r="DZ124" s="408"/>
      <c r="EA124" s="412"/>
      <c r="EB124" s="411"/>
      <c r="EC124" s="408"/>
      <c r="ED124" s="408"/>
      <c r="EE124" s="408"/>
      <c r="EF124" s="408"/>
      <c r="EG124" s="408"/>
      <c r="EH124" s="408"/>
      <c r="EI124" s="408"/>
      <c r="EJ124" s="408"/>
      <c r="EK124" s="408"/>
      <c r="EL124" s="408"/>
      <c r="EM124" s="408"/>
      <c r="EN124" s="408"/>
      <c r="EO124" s="408"/>
      <c r="EP124" s="408"/>
      <c r="EQ124" s="408"/>
      <c r="ER124" s="408"/>
      <c r="ES124" s="408"/>
      <c r="ET124" s="408"/>
      <c r="EU124" s="408"/>
      <c r="EV124" s="408"/>
      <c r="EW124" s="408"/>
      <c r="EX124" s="408"/>
      <c r="EY124" s="408"/>
      <c r="EZ124" s="412"/>
      <c r="FA124" s="411"/>
      <c r="FB124" s="408"/>
      <c r="FC124" s="408"/>
      <c r="FD124" s="408"/>
      <c r="FE124" s="408"/>
      <c r="FF124" s="408"/>
      <c r="FG124" s="408"/>
      <c r="FH124" s="408"/>
      <c r="FI124" s="408"/>
      <c r="FJ124" s="408"/>
      <c r="FK124" s="408"/>
      <c r="FL124" s="408"/>
      <c r="FM124" s="408"/>
      <c r="FN124" s="408"/>
      <c r="FO124" s="408"/>
      <c r="FP124" s="408"/>
      <c r="FQ124" s="408"/>
      <c r="FR124" s="408"/>
      <c r="FS124" s="408"/>
      <c r="FT124" s="408"/>
      <c r="FU124" s="408"/>
      <c r="FV124" s="408"/>
      <c r="FW124" s="408"/>
      <c r="FX124" s="408"/>
      <c r="FY124" s="412"/>
      <c r="FZ124" s="411"/>
      <c r="GA124" s="408"/>
      <c r="GB124" s="408"/>
      <c r="GC124" s="408"/>
      <c r="GD124" s="408"/>
      <c r="GE124" s="408"/>
      <c r="GF124" s="408"/>
      <c r="GG124" s="408"/>
      <c r="GH124" s="408"/>
      <c r="GI124" s="408"/>
      <c r="GJ124" s="408"/>
      <c r="GK124" s="408"/>
      <c r="GL124" s="408"/>
      <c r="GM124" s="408"/>
      <c r="GN124" s="408"/>
      <c r="GO124" s="408"/>
      <c r="GP124" s="408"/>
      <c r="GQ124" s="408"/>
      <c r="GR124" s="408"/>
      <c r="GS124" s="408"/>
      <c r="GT124" s="408"/>
      <c r="GU124" s="408"/>
      <c r="GV124" s="408"/>
      <c r="GW124" s="408"/>
      <c r="GX124" s="412"/>
      <c r="GY124" s="411"/>
      <c r="GZ124" s="408"/>
      <c r="HA124" s="408"/>
      <c r="HB124" s="408"/>
      <c r="HC124" s="408"/>
      <c r="HD124" s="408"/>
      <c r="HE124" s="408"/>
      <c r="HF124" s="408"/>
      <c r="HG124" s="408"/>
      <c r="HH124" s="408"/>
      <c r="HI124" s="408"/>
      <c r="HJ124" s="408"/>
      <c r="HK124" s="408"/>
      <c r="HL124" s="408"/>
      <c r="HM124" s="408"/>
      <c r="HN124" s="408"/>
      <c r="HO124" s="408"/>
      <c r="HP124" s="408"/>
      <c r="HQ124" s="408"/>
      <c r="HR124" s="408"/>
      <c r="HS124" s="408"/>
      <c r="HT124" s="408"/>
      <c r="HU124" s="408"/>
      <c r="HV124" s="408"/>
      <c r="HW124" s="412"/>
    </row>
    <row r="125" spans="1:231" ht="24" customHeight="1">
      <c r="A125" s="411"/>
      <c r="B125" s="408"/>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12"/>
      <c r="AA125" s="408"/>
      <c r="AB125" s="408"/>
      <c r="AC125" s="408"/>
      <c r="AD125" s="408"/>
      <c r="AE125" s="408"/>
      <c r="AF125" s="411"/>
      <c r="AG125" s="408"/>
      <c r="AH125" s="408"/>
      <c r="AI125" s="408"/>
      <c r="AJ125" s="408"/>
      <c r="AK125" s="408"/>
      <c r="AL125" s="408"/>
      <c r="AM125" s="408"/>
      <c r="AN125" s="408"/>
      <c r="AO125" s="408"/>
      <c r="AP125" s="408"/>
      <c r="AQ125" s="408"/>
      <c r="AR125" s="408"/>
      <c r="AS125" s="408"/>
      <c r="AT125" s="408"/>
      <c r="AU125" s="408"/>
      <c r="AV125" s="408"/>
      <c r="AW125" s="408"/>
      <c r="AX125" s="408"/>
      <c r="AY125" s="408"/>
      <c r="AZ125" s="408"/>
      <c r="BA125" s="408"/>
      <c r="BB125" s="408"/>
      <c r="BC125" s="408"/>
      <c r="BD125" s="412"/>
      <c r="BE125" s="411"/>
      <c r="BF125" s="408"/>
      <c r="BG125" s="408"/>
      <c r="BH125" s="408"/>
      <c r="BI125" s="408"/>
      <c r="BJ125" s="408"/>
      <c r="BK125" s="408"/>
      <c r="BL125" s="408"/>
      <c r="BM125" s="408"/>
      <c r="BN125" s="408"/>
      <c r="BO125" s="408"/>
      <c r="BP125" s="408"/>
      <c r="BQ125" s="408"/>
      <c r="BR125" s="408"/>
      <c r="BS125" s="408"/>
      <c r="BT125" s="408"/>
      <c r="BU125" s="408"/>
      <c r="BV125" s="408"/>
      <c r="BW125" s="408"/>
      <c r="BX125" s="408"/>
      <c r="BY125" s="408"/>
      <c r="BZ125" s="408"/>
      <c r="CA125" s="408"/>
      <c r="CB125" s="408"/>
      <c r="CC125" s="412"/>
      <c r="CD125" s="411"/>
      <c r="CE125" s="408"/>
      <c r="CF125" s="408"/>
      <c r="CG125" s="408"/>
      <c r="CH125" s="408"/>
      <c r="CI125" s="408"/>
      <c r="CJ125" s="408"/>
      <c r="CK125" s="408"/>
      <c r="CL125" s="408"/>
      <c r="CM125" s="408"/>
      <c r="CN125" s="408"/>
      <c r="CO125" s="408"/>
      <c r="CP125" s="408"/>
      <c r="CQ125" s="408"/>
      <c r="CR125" s="408"/>
      <c r="CS125" s="408"/>
      <c r="CT125" s="408"/>
      <c r="CU125" s="408"/>
      <c r="CV125" s="408"/>
      <c r="CW125" s="408"/>
      <c r="CX125" s="408"/>
      <c r="CY125" s="408"/>
      <c r="CZ125" s="408"/>
      <c r="DA125" s="408"/>
      <c r="DB125" s="412"/>
      <c r="DC125" s="411"/>
      <c r="DD125" s="408"/>
      <c r="DE125" s="408"/>
      <c r="DF125" s="408"/>
      <c r="DG125" s="408"/>
      <c r="DH125" s="408"/>
      <c r="DI125" s="408"/>
      <c r="DJ125" s="408"/>
      <c r="DK125" s="408"/>
      <c r="DL125" s="408"/>
      <c r="DM125" s="408"/>
      <c r="DN125" s="408"/>
      <c r="DO125" s="408"/>
      <c r="DP125" s="408"/>
      <c r="DQ125" s="408"/>
      <c r="DR125" s="408"/>
      <c r="DS125" s="408"/>
      <c r="DT125" s="408"/>
      <c r="DU125" s="408"/>
      <c r="DV125" s="408"/>
      <c r="DW125" s="408"/>
      <c r="DX125" s="408"/>
      <c r="DY125" s="408"/>
      <c r="DZ125" s="408"/>
      <c r="EA125" s="412"/>
      <c r="EB125" s="411"/>
      <c r="EC125" s="408"/>
      <c r="ED125" s="408"/>
      <c r="EE125" s="408"/>
      <c r="EF125" s="408"/>
      <c r="EG125" s="408"/>
      <c r="EH125" s="408"/>
      <c r="EI125" s="408"/>
      <c r="EJ125" s="408"/>
      <c r="EK125" s="408"/>
      <c r="EL125" s="408"/>
      <c r="EM125" s="408"/>
      <c r="EN125" s="408"/>
      <c r="EO125" s="408"/>
      <c r="EP125" s="408"/>
      <c r="EQ125" s="408"/>
      <c r="ER125" s="408"/>
      <c r="ES125" s="408"/>
      <c r="ET125" s="408"/>
      <c r="EU125" s="408"/>
      <c r="EV125" s="408"/>
      <c r="EW125" s="408"/>
      <c r="EX125" s="408"/>
      <c r="EY125" s="408"/>
      <c r="EZ125" s="412"/>
      <c r="FA125" s="411"/>
      <c r="FB125" s="408"/>
      <c r="FC125" s="408"/>
      <c r="FD125" s="408"/>
      <c r="FE125" s="408"/>
      <c r="FF125" s="408"/>
      <c r="FG125" s="408"/>
      <c r="FH125" s="408"/>
      <c r="FI125" s="408"/>
      <c r="FJ125" s="408"/>
      <c r="FK125" s="408"/>
      <c r="FL125" s="408"/>
      <c r="FM125" s="408"/>
      <c r="FN125" s="408"/>
      <c r="FO125" s="408"/>
      <c r="FP125" s="408"/>
      <c r="FQ125" s="408"/>
      <c r="FR125" s="408"/>
      <c r="FS125" s="408"/>
      <c r="FT125" s="408"/>
      <c r="FU125" s="408"/>
      <c r="FV125" s="408"/>
      <c r="FW125" s="408"/>
      <c r="FX125" s="408"/>
      <c r="FY125" s="412"/>
      <c r="FZ125" s="411"/>
      <c r="GA125" s="408"/>
      <c r="GB125" s="408"/>
      <c r="GC125" s="408"/>
      <c r="GD125" s="408"/>
      <c r="GE125" s="408"/>
      <c r="GF125" s="408"/>
      <c r="GG125" s="408"/>
      <c r="GH125" s="408"/>
      <c r="GI125" s="408"/>
      <c r="GJ125" s="408"/>
      <c r="GK125" s="408"/>
      <c r="GL125" s="408"/>
      <c r="GM125" s="408"/>
      <c r="GN125" s="408"/>
      <c r="GO125" s="408"/>
      <c r="GP125" s="408"/>
      <c r="GQ125" s="408"/>
      <c r="GR125" s="408"/>
      <c r="GS125" s="408"/>
      <c r="GT125" s="408"/>
      <c r="GU125" s="408"/>
      <c r="GV125" s="408"/>
      <c r="GW125" s="408"/>
      <c r="GX125" s="412"/>
      <c r="GY125" s="411"/>
      <c r="GZ125" s="408"/>
      <c r="HA125" s="408"/>
      <c r="HB125" s="408"/>
      <c r="HC125" s="408"/>
      <c r="HD125" s="408"/>
      <c r="HE125" s="408"/>
      <c r="HF125" s="408"/>
      <c r="HG125" s="408"/>
      <c r="HH125" s="408"/>
      <c r="HI125" s="408"/>
      <c r="HJ125" s="408"/>
      <c r="HK125" s="408"/>
      <c r="HL125" s="408"/>
      <c r="HM125" s="408"/>
      <c r="HN125" s="408"/>
      <c r="HO125" s="408"/>
      <c r="HP125" s="408"/>
      <c r="HQ125" s="408"/>
      <c r="HR125" s="408"/>
      <c r="HS125" s="408"/>
      <c r="HT125" s="408"/>
      <c r="HU125" s="408"/>
      <c r="HV125" s="408"/>
      <c r="HW125" s="412"/>
    </row>
    <row r="126" spans="1:231" ht="24" customHeight="1">
      <c r="A126" s="411"/>
      <c r="B126" s="408"/>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12"/>
      <c r="AA126" s="408"/>
      <c r="AB126" s="408"/>
      <c r="AC126" s="408"/>
      <c r="AD126" s="408"/>
      <c r="AE126" s="408"/>
      <c r="AF126" s="411"/>
      <c r="AG126" s="408"/>
      <c r="AH126" s="408"/>
      <c r="AI126" s="408"/>
      <c r="AJ126" s="408"/>
      <c r="AK126" s="408"/>
      <c r="AL126" s="408"/>
      <c r="AM126" s="408"/>
      <c r="AN126" s="408"/>
      <c r="AO126" s="408"/>
      <c r="AP126" s="408"/>
      <c r="AQ126" s="408"/>
      <c r="AR126" s="408"/>
      <c r="AS126" s="408"/>
      <c r="AT126" s="408"/>
      <c r="AU126" s="408"/>
      <c r="AV126" s="408"/>
      <c r="AW126" s="408"/>
      <c r="AX126" s="408"/>
      <c r="AY126" s="408"/>
      <c r="AZ126" s="408"/>
      <c r="BA126" s="408"/>
      <c r="BB126" s="408"/>
      <c r="BC126" s="408"/>
      <c r="BD126" s="412"/>
      <c r="BE126" s="411"/>
      <c r="BF126" s="408"/>
      <c r="BG126" s="408"/>
      <c r="BH126" s="408"/>
      <c r="BI126" s="408"/>
      <c r="BJ126" s="408"/>
      <c r="BK126" s="408"/>
      <c r="BL126" s="408"/>
      <c r="BM126" s="408"/>
      <c r="BN126" s="408"/>
      <c r="BO126" s="408"/>
      <c r="BP126" s="408"/>
      <c r="BQ126" s="408"/>
      <c r="BR126" s="408"/>
      <c r="BS126" s="408"/>
      <c r="BT126" s="408"/>
      <c r="BU126" s="408"/>
      <c r="BV126" s="408"/>
      <c r="BW126" s="408"/>
      <c r="BX126" s="408"/>
      <c r="BY126" s="408"/>
      <c r="BZ126" s="408"/>
      <c r="CA126" s="408"/>
      <c r="CB126" s="408"/>
      <c r="CC126" s="412"/>
      <c r="CD126" s="411"/>
      <c r="CE126" s="408"/>
      <c r="CF126" s="408"/>
      <c r="CG126" s="408"/>
      <c r="CH126" s="408"/>
      <c r="CI126" s="408"/>
      <c r="CJ126" s="408"/>
      <c r="CK126" s="408"/>
      <c r="CL126" s="408"/>
      <c r="CM126" s="408"/>
      <c r="CN126" s="408"/>
      <c r="CO126" s="408"/>
      <c r="CP126" s="408"/>
      <c r="CQ126" s="408"/>
      <c r="CR126" s="408"/>
      <c r="CS126" s="408"/>
      <c r="CT126" s="408"/>
      <c r="CU126" s="408"/>
      <c r="CV126" s="408"/>
      <c r="CW126" s="408"/>
      <c r="CX126" s="408"/>
      <c r="CY126" s="408"/>
      <c r="CZ126" s="408"/>
      <c r="DA126" s="408"/>
      <c r="DB126" s="412"/>
      <c r="DC126" s="411"/>
      <c r="DD126" s="408"/>
      <c r="DE126" s="408"/>
      <c r="DF126" s="408"/>
      <c r="DG126" s="408"/>
      <c r="DH126" s="408"/>
      <c r="DI126" s="408"/>
      <c r="DJ126" s="408"/>
      <c r="DK126" s="408"/>
      <c r="DL126" s="408"/>
      <c r="DM126" s="408"/>
      <c r="DN126" s="408"/>
      <c r="DO126" s="408"/>
      <c r="DP126" s="408"/>
      <c r="DQ126" s="408"/>
      <c r="DR126" s="408"/>
      <c r="DS126" s="408"/>
      <c r="DT126" s="408"/>
      <c r="DU126" s="408"/>
      <c r="DV126" s="408"/>
      <c r="DW126" s="408"/>
      <c r="DX126" s="408"/>
      <c r="DY126" s="408"/>
      <c r="DZ126" s="408"/>
      <c r="EA126" s="412"/>
      <c r="EB126" s="411"/>
      <c r="EC126" s="408"/>
      <c r="ED126" s="408"/>
      <c r="EE126" s="408"/>
      <c r="EF126" s="408"/>
      <c r="EG126" s="408"/>
      <c r="EH126" s="408"/>
      <c r="EI126" s="408"/>
      <c r="EJ126" s="408"/>
      <c r="EK126" s="408"/>
      <c r="EL126" s="408"/>
      <c r="EM126" s="408"/>
      <c r="EN126" s="408"/>
      <c r="EO126" s="408"/>
      <c r="EP126" s="408"/>
      <c r="EQ126" s="408"/>
      <c r="ER126" s="408"/>
      <c r="ES126" s="408"/>
      <c r="ET126" s="408"/>
      <c r="EU126" s="408"/>
      <c r="EV126" s="408"/>
      <c r="EW126" s="408"/>
      <c r="EX126" s="408"/>
      <c r="EY126" s="408"/>
      <c r="EZ126" s="412"/>
      <c r="FA126" s="411"/>
      <c r="FB126" s="408"/>
      <c r="FC126" s="408"/>
      <c r="FD126" s="408"/>
      <c r="FE126" s="408"/>
      <c r="FF126" s="408"/>
      <c r="FG126" s="408"/>
      <c r="FH126" s="408"/>
      <c r="FI126" s="408"/>
      <c r="FJ126" s="408"/>
      <c r="FK126" s="408"/>
      <c r="FL126" s="408"/>
      <c r="FM126" s="408"/>
      <c r="FN126" s="408"/>
      <c r="FO126" s="408"/>
      <c r="FP126" s="408"/>
      <c r="FQ126" s="408"/>
      <c r="FR126" s="408"/>
      <c r="FS126" s="408"/>
      <c r="FT126" s="408"/>
      <c r="FU126" s="408"/>
      <c r="FV126" s="408"/>
      <c r="FW126" s="408"/>
      <c r="FX126" s="408"/>
      <c r="FY126" s="412"/>
      <c r="FZ126" s="411"/>
      <c r="GA126" s="408"/>
      <c r="GB126" s="408"/>
      <c r="GC126" s="408"/>
      <c r="GD126" s="408"/>
      <c r="GE126" s="408"/>
      <c r="GF126" s="408"/>
      <c r="GG126" s="408"/>
      <c r="GH126" s="408"/>
      <c r="GI126" s="408"/>
      <c r="GJ126" s="408"/>
      <c r="GK126" s="408"/>
      <c r="GL126" s="408"/>
      <c r="GM126" s="408"/>
      <c r="GN126" s="408"/>
      <c r="GO126" s="408"/>
      <c r="GP126" s="408"/>
      <c r="GQ126" s="408"/>
      <c r="GR126" s="408"/>
      <c r="GS126" s="408"/>
      <c r="GT126" s="408"/>
      <c r="GU126" s="408"/>
      <c r="GV126" s="408"/>
      <c r="GW126" s="408"/>
      <c r="GX126" s="412"/>
      <c r="GY126" s="411"/>
      <c r="GZ126" s="408"/>
      <c r="HA126" s="408"/>
      <c r="HB126" s="408"/>
      <c r="HC126" s="408"/>
      <c r="HD126" s="408"/>
      <c r="HE126" s="408"/>
      <c r="HF126" s="408"/>
      <c r="HG126" s="408"/>
      <c r="HH126" s="408"/>
      <c r="HI126" s="408"/>
      <c r="HJ126" s="408"/>
      <c r="HK126" s="408"/>
      <c r="HL126" s="408"/>
      <c r="HM126" s="408"/>
      <c r="HN126" s="408"/>
      <c r="HO126" s="408"/>
      <c r="HP126" s="408"/>
      <c r="HQ126" s="408"/>
      <c r="HR126" s="408"/>
      <c r="HS126" s="408"/>
      <c r="HT126" s="408"/>
      <c r="HU126" s="408"/>
      <c r="HV126" s="408"/>
      <c r="HW126" s="412"/>
    </row>
    <row r="127" spans="1:231" ht="24" customHeight="1">
      <c r="A127" s="411"/>
      <c r="B127" s="408"/>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408"/>
      <c r="Z127" s="412"/>
      <c r="AA127" s="408"/>
      <c r="AB127" s="408"/>
      <c r="AC127" s="408"/>
      <c r="AD127" s="408"/>
      <c r="AE127" s="408"/>
      <c r="AF127" s="411"/>
      <c r="AG127" s="408"/>
      <c r="AH127" s="408"/>
      <c r="AI127" s="408"/>
      <c r="AJ127" s="408"/>
      <c r="AK127" s="408"/>
      <c r="AL127" s="408"/>
      <c r="AM127" s="408"/>
      <c r="AN127" s="408"/>
      <c r="AO127" s="408"/>
      <c r="AP127" s="408"/>
      <c r="AQ127" s="408"/>
      <c r="AR127" s="408"/>
      <c r="AS127" s="408"/>
      <c r="AT127" s="408"/>
      <c r="AU127" s="408"/>
      <c r="AV127" s="408"/>
      <c r="AW127" s="408"/>
      <c r="AX127" s="408"/>
      <c r="AY127" s="408"/>
      <c r="AZ127" s="408"/>
      <c r="BA127" s="408"/>
      <c r="BB127" s="408"/>
      <c r="BC127" s="408"/>
      <c r="BD127" s="412"/>
      <c r="BE127" s="411"/>
      <c r="BF127" s="408"/>
      <c r="BG127" s="408"/>
      <c r="BH127" s="408"/>
      <c r="BI127" s="408"/>
      <c r="BJ127" s="408"/>
      <c r="BK127" s="408"/>
      <c r="BL127" s="408"/>
      <c r="BM127" s="408"/>
      <c r="BN127" s="408"/>
      <c r="BO127" s="408"/>
      <c r="BP127" s="408"/>
      <c r="BQ127" s="408"/>
      <c r="BR127" s="408"/>
      <c r="BS127" s="408"/>
      <c r="BT127" s="408"/>
      <c r="BU127" s="408"/>
      <c r="BV127" s="408"/>
      <c r="BW127" s="408"/>
      <c r="BX127" s="408"/>
      <c r="BY127" s="408"/>
      <c r="BZ127" s="408"/>
      <c r="CA127" s="408"/>
      <c r="CB127" s="408"/>
      <c r="CC127" s="412"/>
      <c r="CD127" s="411"/>
      <c r="CE127" s="408"/>
      <c r="CF127" s="408"/>
      <c r="CG127" s="408"/>
      <c r="CH127" s="408"/>
      <c r="CI127" s="408"/>
      <c r="CJ127" s="408"/>
      <c r="CK127" s="408"/>
      <c r="CL127" s="408"/>
      <c r="CM127" s="408"/>
      <c r="CN127" s="408"/>
      <c r="CO127" s="408"/>
      <c r="CP127" s="408"/>
      <c r="CQ127" s="408"/>
      <c r="CR127" s="408"/>
      <c r="CS127" s="408"/>
      <c r="CT127" s="408"/>
      <c r="CU127" s="408"/>
      <c r="CV127" s="408"/>
      <c r="CW127" s="408"/>
      <c r="CX127" s="408"/>
      <c r="CY127" s="408"/>
      <c r="CZ127" s="408"/>
      <c r="DA127" s="408"/>
      <c r="DB127" s="412"/>
      <c r="DC127" s="411"/>
      <c r="DD127" s="408"/>
      <c r="DE127" s="408"/>
      <c r="DF127" s="408"/>
      <c r="DG127" s="408"/>
      <c r="DH127" s="408"/>
      <c r="DI127" s="408"/>
      <c r="DJ127" s="408"/>
      <c r="DK127" s="408"/>
      <c r="DL127" s="408"/>
      <c r="DM127" s="408"/>
      <c r="DN127" s="408"/>
      <c r="DO127" s="408"/>
      <c r="DP127" s="408"/>
      <c r="DQ127" s="408"/>
      <c r="DR127" s="408"/>
      <c r="DS127" s="408"/>
      <c r="DT127" s="408"/>
      <c r="DU127" s="408"/>
      <c r="DV127" s="408"/>
      <c r="DW127" s="408"/>
      <c r="DX127" s="408"/>
      <c r="DY127" s="408"/>
      <c r="DZ127" s="408"/>
      <c r="EA127" s="412"/>
      <c r="EB127" s="411"/>
      <c r="EC127" s="408"/>
      <c r="ED127" s="408"/>
      <c r="EE127" s="408"/>
      <c r="EF127" s="408"/>
      <c r="EG127" s="408"/>
      <c r="EH127" s="408"/>
      <c r="EI127" s="408"/>
      <c r="EJ127" s="408"/>
      <c r="EK127" s="408"/>
      <c r="EL127" s="408"/>
      <c r="EM127" s="408"/>
      <c r="EN127" s="408"/>
      <c r="EO127" s="408"/>
      <c r="EP127" s="408"/>
      <c r="EQ127" s="408"/>
      <c r="ER127" s="408"/>
      <c r="ES127" s="408"/>
      <c r="ET127" s="408"/>
      <c r="EU127" s="408"/>
      <c r="EV127" s="408"/>
      <c r="EW127" s="408"/>
      <c r="EX127" s="408"/>
      <c r="EY127" s="408"/>
      <c r="EZ127" s="412"/>
      <c r="FA127" s="411"/>
      <c r="FB127" s="408"/>
      <c r="FC127" s="408"/>
      <c r="FD127" s="408"/>
      <c r="FE127" s="408"/>
      <c r="FF127" s="408"/>
      <c r="FG127" s="408"/>
      <c r="FH127" s="408"/>
      <c r="FI127" s="408"/>
      <c r="FJ127" s="408"/>
      <c r="FK127" s="408"/>
      <c r="FL127" s="408"/>
      <c r="FM127" s="408"/>
      <c r="FN127" s="408"/>
      <c r="FO127" s="408"/>
      <c r="FP127" s="408"/>
      <c r="FQ127" s="408"/>
      <c r="FR127" s="408"/>
      <c r="FS127" s="408"/>
      <c r="FT127" s="408"/>
      <c r="FU127" s="408"/>
      <c r="FV127" s="408"/>
      <c r="FW127" s="408"/>
      <c r="FX127" s="408"/>
      <c r="FY127" s="412"/>
      <c r="FZ127" s="411"/>
      <c r="GA127" s="408"/>
      <c r="GB127" s="408"/>
      <c r="GC127" s="408"/>
      <c r="GD127" s="408"/>
      <c r="GE127" s="408"/>
      <c r="GF127" s="408"/>
      <c r="GG127" s="408"/>
      <c r="GH127" s="408"/>
      <c r="GI127" s="408"/>
      <c r="GJ127" s="408"/>
      <c r="GK127" s="408"/>
      <c r="GL127" s="408"/>
      <c r="GM127" s="408"/>
      <c r="GN127" s="408"/>
      <c r="GO127" s="408"/>
      <c r="GP127" s="408"/>
      <c r="GQ127" s="408"/>
      <c r="GR127" s="408"/>
      <c r="GS127" s="408"/>
      <c r="GT127" s="408"/>
      <c r="GU127" s="408"/>
      <c r="GV127" s="408"/>
      <c r="GW127" s="408"/>
      <c r="GX127" s="412"/>
      <c r="GY127" s="411"/>
      <c r="GZ127" s="408"/>
      <c r="HA127" s="408"/>
      <c r="HB127" s="408"/>
      <c r="HC127" s="408"/>
      <c r="HD127" s="408"/>
      <c r="HE127" s="408"/>
      <c r="HF127" s="408"/>
      <c r="HG127" s="408"/>
      <c r="HH127" s="408"/>
      <c r="HI127" s="408"/>
      <c r="HJ127" s="408"/>
      <c r="HK127" s="408"/>
      <c r="HL127" s="408"/>
      <c r="HM127" s="408"/>
      <c r="HN127" s="408"/>
      <c r="HO127" s="408"/>
      <c r="HP127" s="408"/>
      <c r="HQ127" s="408"/>
      <c r="HR127" s="408"/>
      <c r="HS127" s="408"/>
      <c r="HT127" s="408"/>
      <c r="HU127" s="408"/>
      <c r="HV127" s="408"/>
      <c r="HW127" s="412"/>
    </row>
    <row r="128" spans="1:231" ht="24" customHeight="1">
      <c r="A128" s="411"/>
      <c r="B128" s="408"/>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408"/>
      <c r="Z128" s="412"/>
      <c r="AA128" s="408"/>
      <c r="AB128" s="408"/>
      <c r="AC128" s="408"/>
      <c r="AD128" s="408"/>
      <c r="AE128" s="408"/>
      <c r="AF128" s="411"/>
      <c r="AG128" s="408"/>
      <c r="AH128" s="408"/>
      <c r="AI128" s="408"/>
      <c r="AJ128" s="408"/>
      <c r="AK128" s="408"/>
      <c r="AL128" s="408"/>
      <c r="AM128" s="408"/>
      <c r="AN128" s="408"/>
      <c r="AO128" s="408"/>
      <c r="AP128" s="408"/>
      <c r="AQ128" s="408"/>
      <c r="AR128" s="408"/>
      <c r="AS128" s="408"/>
      <c r="AT128" s="408"/>
      <c r="AU128" s="408"/>
      <c r="AV128" s="408"/>
      <c r="AW128" s="408"/>
      <c r="AX128" s="408"/>
      <c r="AY128" s="408"/>
      <c r="AZ128" s="408"/>
      <c r="BA128" s="408"/>
      <c r="BB128" s="408"/>
      <c r="BC128" s="408"/>
      <c r="BD128" s="412"/>
      <c r="BE128" s="411"/>
      <c r="BF128" s="408"/>
      <c r="BG128" s="408"/>
      <c r="BH128" s="408"/>
      <c r="BI128" s="408"/>
      <c r="BJ128" s="408"/>
      <c r="BK128" s="408"/>
      <c r="BL128" s="408"/>
      <c r="BM128" s="408"/>
      <c r="BN128" s="408"/>
      <c r="BO128" s="408"/>
      <c r="BP128" s="408"/>
      <c r="BQ128" s="408"/>
      <c r="BR128" s="408"/>
      <c r="BS128" s="408"/>
      <c r="BT128" s="408"/>
      <c r="BU128" s="408"/>
      <c r="BV128" s="408"/>
      <c r="BW128" s="408"/>
      <c r="BX128" s="408"/>
      <c r="BY128" s="408"/>
      <c r="BZ128" s="408"/>
      <c r="CA128" s="408"/>
      <c r="CB128" s="408"/>
      <c r="CC128" s="412"/>
      <c r="CD128" s="411"/>
      <c r="CE128" s="408"/>
      <c r="CF128" s="408"/>
      <c r="CG128" s="408"/>
      <c r="CH128" s="408"/>
      <c r="CI128" s="408"/>
      <c r="CJ128" s="408"/>
      <c r="CK128" s="408"/>
      <c r="CL128" s="408"/>
      <c r="CM128" s="408"/>
      <c r="CN128" s="408"/>
      <c r="CO128" s="408"/>
      <c r="CP128" s="408"/>
      <c r="CQ128" s="408"/>
      <c r="CR128" s="408"/>
      <c r="CS128" s="408"/>
      <c r="CT128" s="408"/>
      <c r="CU128" s="408"/>
      <c r="CV128" s="408"/>
      <c r="CW128" s="408"/>
      <c r="CX128" s="408"/>
      <c r="CY128" s="408"/>
      <c r="CZ128" s="408"/>
      <c r="DA128" s="408"/>
      <c r="DB128" s="412"/>
      <c r="DC128" s="411"/>
      <c r="DD128" s="408"/>
      <c r="DE128" s="408"/>
      <c r="DF128" s="408"/>
      <c r="DG128" s="408"/>
      <c r="DH128" s="408"/>
      <c r="DI128" s="408"/>
      <c r="DJ128" s="408"/>
      <c r="DK128" s="408"/>
      <c r="DL128" s="408"/>
      <c r="DM128" s="408"/>
      <c r="DN128" s="408"/>
      <c r="DO128" s="408"/>
      <c r="DP128" s="408"/>
      <c r="DQ128" s="408"/>
      <c r="DR128" s="408"/>
      <c r="DS128" s="408"/>
      <c r="DT128" s="408"/>
      <c r="DU128" s="408"/>
      <c r="DV128" s="408"/>
      <c r="DW128" s="408"/>
      <c r="DX128" s="408"/>
      <c r="DY128" s="408"/>
      <c r="DZ128" s="408"/>
      <c r="EA128" s="412"/>
      <c r="EB128" s="411"/>
      <c r="EC128" s="408"/>
      <c r="ED128" s="408"/>
      <c r="EE128" s="408"/>
      <c r="EF128" s="408"/>
      <c r="EG128" s="408"/>
      <c r="EH128" s="408"/>
      <c r="EI128" s="408"/>
      <c r="EJ128" s="408"/>
      <c r="EK128" s="408"/>
      <c r="EL128" s="408"/>
      <c r="EM128" s="408"/>
      <c r="EN128" s="408"/>
      <c r="EO128" s="408"/>
      <c r="EP128" s="408"/>
      <c r="EQ128" s="408"/>
      <c r="ER128" s="408"/>
      <c r="ES128" s="408"/>
      <c r="ET128" s="408"/>
      <c r="EU128" s="408"/>
      <c r="EV128" s="408"/>
      <c r="EW128" s="408"/>
      <c r="EX128" s="408"/>
      <c r="EY128" s="408"/>
      <c r="EZ128" s="412"/>
      <c r="FA128" s="411"/>
      <c r="FB128" s="408"/>
      <c r="FC128" s="408"/>
      <c r="FD128" s="408"/>
      <c r="FE128" s="408"/>
      <c r="FF128" s="408"/>
      <c r="FG128" s="408"/>
      <c r="FH128" s="408"/>
      <c r="FI128" s="408"/>
      <c r="FJ128" s="408"/>
      <c r="FK128" s="408"/>
      <c r="FL128" s="408"/>
      <c r="FM128" s="408"/>
      <c r="FN128" s="408"/>
      <c r="FO128" s="408"/>
      <c r="FP128" s="408"/>
      <c r="FQ128" s="408"/>
      <c r="FR128" s="408"/>
      <c r="FS128" s="408"/>
      <c r="FT128" s="408"/>
      <c r="FU128" s="408"/>
      <c r="FV128" s="408"/>
      <c r="FW128" s="408"/>
      <c r="FX128" s="408"/>
      <c r="FY128" s="412"/>
      <c r="FZ128" s="411"/>
      <c r="GA128" s="408"/>
      <c r="GB128" s="408"/>
      <c r="GC128" s="408"/>
      <c r="GD128" s="408"/>
      <c r="GE128" s="408"/>
      <c r="GF128" s="408"/>
      <c r="GG128" s="408"/>
      <c r="GH128" s="408"/>
      <c r="GI128" s="408"/>
      <c r="GJ128" s="408"/>
      <c r="GK128" s="408"/>
      <c r="GL128" s="408"/>
      <c r="GM128" s="408"/>
      <c r="GN128" s="408"/>
      <c r="GO128" s="408"/>
      <c r="GP128" s="408"/>
      <c r="GQ128" s="408"/>
      <c r="GR128" s="408"/>
      <c r="GS128" s="408"/>
      <c r="GT128" s="408"/>
      <c r="GU128" s="408"/>
      <c r="GV128" s="408"/>
      <c r="GW128" s="408"/>
      <c r="GX128" s="412"/>
      <c r="GY128" s="411"/>
      <c r="GZ128" s="408"/>
      <c r="HA128" s="408"/>
      <c r="HB128" s="408"/>
      <c r="HC128" s="408"/>
      <c r="HD128" s="408"/>
      <c r="HE128" s="408"/>
      <c r="HF128" s="408"/>
      <c r="HG128" s="408"/>
      <c r="HH128" s="408"/>
      <c r="HI128" s="408"/>
      <c r="HJ128" s="408"/>
      <c r="HK128" s="408"/>
      <c r="HL128" s="408"/>
      <c r="HM128" s="408"/>
      <c r="HN128" s="408"/>
      <c r="HO128" s="408"/>
      <c r="HP128" s="408"/>
      <c r="HQ128" s="408"/>
      <c r="HR128" s="408"/>
      <c r="HS128" s="408"/>
      <c r="HT128" s="408"/>
      <c r="HU128" s="408"/>
      <c r="HV128" s="408"/>
      <c r="HW128" s="412"/>
    </row>
    <row r="129" spans="1:231" ht="24" customHeight="1">
      <c r="A129" s="411"/>
      <c r="B129" s="408"/>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408"/>
      <c r="Z129" s="412"/>
      <c r="AA129" s="408"/>
      <c r="AB129" s="408"/>
      <c r="AC129" s="408"/>
      <c r="AD129" s="408"/>
      <c r="AE129" s="408"/>
      <c r="AF129" s="411"/>
      <c r="AG129" s="408"/>
      <c r="AH129" s="408"/>
      <c r="AI129" s="408"/>
      <c r="AJ129" s="408"/>
      <c r="AK129" s="408"/>
      <c r="AL129" s="408"/>
      <c r="AM129" s="408"/>
      <c r="AN129" s="408"/>
      <c r="AO129" s="408"/>
      <c r="AP129" s="408"/>
      <c r="AQ129" s="408"/>
      <c r="AR129" s="408"/>
      <c r="AS129" s="408"/>
      <c r="AT129" s="408"/>
      <c r="AU129" s="408"/>
      <c r="AV129" s="408"/>
      <c r="AW129" s="408"/>
      <c r="AX129" s="408"/>
      <c r="AY129" s="408"/>
      <c r="AZ129" s="408"/>
      <c r="BA129" s="408"/>
      <c r="BB129" s="408"/>
      <c r="BC129" s="408"/>
      <c r="BD129" s="412"/>
      <c r="BE129" s="411"/>
      <c r="BF129" s="408"/>
      <c r="BG129" s="408"/>
      <c r="BH129" s="408"/>
      <c r="BI129" s="408"/>
      <c r="BJ129" s="408"/>
      <c r="BK129" s="408"/>
      <c r="BL129" s="408"/>
      <c r="BM129" s="408"/>
      <c r="BN129" s="408"/>
      <c r="BO129" s="408"/>
      <c r="BP129" s="408"/>
      <c r="BQ129" s="408"/>
      <c r="BR129" s="408"/>
      <c r="BS129" s="408"/>
      <c r="BT129" s="408"/>
      <c r="BU129" s="408"/>
      <c r="BV129" s="408"/>
      <c r="BW129" s="408"/>
      <c r="BX129" s="408"/>
      <c r="BY129" s="408"/>
      <c r="BZ129" s="408"/>
      <c r="CA129" s="408"/>
      <c r="CB129" s="408"/>
      <c r="CC129" s="412"/>
      <c r="CD129" s="411"/>
      <c r="CE129" s="408"/>
      <c r="CF129" s="408"/>
      <c r="CG129" s="408"/>
      <c r="CH129" s="408"/>
      <c r="CI129" s="408"/>
      <c r="CJ129" s="408"/>
      <c r="CK129" s="408"/>
      <c r="CL129" s="408"/>
      <c r="CM129" s="408"/>
      <c r="CN129" s="408"/>
      <c r="CO129" s="408"/>
      <c r="CP129" s="408"/>
      <c r="CQ129" s="408"/>
      <c r="CR129" s="408"/>
      <c r="CS129" s="408"/>
      <c r="CT129" s="408"/>
      <c r="CU129" s="408"/>
      <c r="CV129" s="408"/>
      <c r="CW129" s="408"/>
      <c r="CX129" s="408"/>
      <c r="CY129" s="408"/>
      <c r="CZ129" s="408"/>
      <c r="DA129" s="408"/>
      <c r="DB129" s="412"/>
      <c r="DC129" s="411"/>
      <c r="DD129" s="408"/>
      <c r="DE129" s="408"/>
      <c r="DF129" s="408"/>
      <c r="DG129" s="408"/>
      <c r="DH129" s="408"/>
      <c r="DI129" s="408"/>
      <c r="DJ129" s="408"/>
      <c r="DK129" s="408"/>
      <c r="DL129" s="408"/>
      <c r="DM129" s="408"/>
      <c r="DN129" s="408"/>
      <c r="DO129" s="408"/>
      <c r="DP129" s="408"/>
      <c r="DQ129" s="408"/>
      <c r="DR129" s="408"/>
      <c r="DS129" s="408"/>
      <c r="DT129" s="408"/>
      <c r="DU129" s="408"/>
      <c r="DV129" s="408"/>
      <c r="DW129" s="408"/>
      <c r="DX129" s="408"/>
      <c r="DY129" s="408"/>
      <c r="DZ129" s="408"/>
      <c r="EA129" s="412"/>
      <c r="EB129" s="411"/>
      <c r="EC129" s="408"/>
      <c r="ED129" s="408"/>
      <c r="EE129" s="408"/>
      <c r="EF129" s="408"/>
      <c r="EG129" s="408"/>
      <c r="EH129" s="408"/>
      <c r="EI129" s="408"/>
      <c r="EJ129" s="408"/>
      <c r="EK129" s="408"/>
      <c r="EL129" s="408"/>
      <c r="EM129" s="408"/>
      <c r="EN129" s="408"/>
      <c r="EO129" s="408"/>
      <c r="EP129" s="408"/>
      <c r="EQ129" s="408"/>
      <c r="ER129" s="408"/>
      <c r="ES129" s="408"/>
      <c r="ET129" s="408"/>
      <c r="EU129" s="408"/>
      <c r="EV129" s="408"/>
      <c r="EW129" s="408"/>
      <c r="EX129" s="408"/>
      <c r="EY129" s="408"/>
      <c r="EZ129" s="412"/>
      <c r="FA129" s="411"/>
      <c r="FB129" s="408"/>
      <c r="FC129" s="408"/>
      <c r="FD129" s="408"/>
      <c r="FE129" s="408"/>
      <c r="FF129" s="408"/>
      <c r="FG129" s="408"/>
      <c r="FH129" s="408"/>
      <c r="FI129" s="408"/>
      <c r="FJ129" s="408"/>
      <c r="FK129" s="408"/>
      <c r="FL129" s="408"/>
      <c r="FM129" s="408"/>
      <c r="FN129" s="408"/>
      <c r="FO129" s="408"/>
      <c r="FP129" s="408"/>
      <c r="FQ129" s="408"/>
      <c r="FR129" s="408"/>
      <c r="FS129" s="408"/>
      <c r="FT129" s="408"/>
      <c r="FU129" s="408"/>
      <c r="FV129" s="408"/>
      <c r="FW129" s="408"/>
      <c r="FX129" s="408"/>
      <c r="FY129" s="412"/>
      <c r="FZ129" s="411"/>
      <c r="GA129" s="408"/>
      <c r="GB129" s="408"/>
      <c r="GC129" s="408"/>
      <c r="GD129" s="408"/>
      <c r="GE129" s="408"/>
      <c r="GF129" s="408"/>
      <c r="GG129" s="408"/>
      <c r="GH129" s="408"/>
      <c r="GI129" s="408"/>
      <c r="GJ129" s="408"/>
      <c r="GK129" s="408"/>
      <c r="GL129" s="408"/>
      <c r="GM129" s="408"/>
      <c r="GN129" s="408"/>
      <c r="GO129" s="408"/>
      <c r="GP129" s="408"/>
      <c r="GQ129" s="408"/>
      <c r="GR129" s="408"/>
      <c r="GS129" s="408"/>
      <c r="GT129" s="408"/>
      <c r="GU129" s="408"/>
      <c r="GV129" s="408"/>
      <c r="GW129" s="408"/>
      <c r="GX129" s="412"/>
      <c r="GY129" s="411"/>
      <c r="GZ129" s="408"/>
      <c r="HA129" s="408"/>
      <c r="HB129" s="408"/>
      <c r="HC129" s="408"/>
      <c r="HD129" s="408"/>
      <c r="HE129" s="408"/>
      <c r="HF129" s="408"/>
      <c r="HG129" s="408"/>
      <c r="HH129" s="408"/>
      <c r="HI129" s="408"/>
      <c r="HJ129" s="408"/>
      <c r="HK129" s="408"/>
      <c r="HL129" s="408"/>
      <c r="HM129" s="408"/>
      <c r="HN129" s="408"/>
      <c r="HO129" s="408"/>
      <c r="HP129" s="408"/>
      <c r="HQ129" s="408"/>
      <c r="HR129" s="408"/>
      <c r="HS129" s="408"/>
      <c r="HT129" s="408"/>
      <c r="HU129" s="408"/>
      <c r="HV129" s="408"/>
      <c r="HW129" s="412"/>
    </row>
    <row r="130" spans="1:231" ht="24" customHeight="1">
      <c r="A130" s="411"/>
      <c r="B130" s="408"/>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12"/>
      <c r="AA130" s="408"/>
      <c r="AB130" s="408"/>
      <c r="AC130" s="408"/>
      <c r="AD130" s="408"/>
      <c r="AE130" s="408"/>
      <c r="AF130" s="411"/>
      <c r="AG130" s="408"/>
      <c r="AH130" s="408"/>
      <c r="AI130" s="408"/>
      <c r="AJ130" s="408"/>
      <c r="AK130" s="408"/>
      <c r="AL130" s="408"/>
      <c r="AM130" s="408"/>
      <c r="AN130" s="408"/>
      <c r="AO130" s="408"/>
      <c r="AP130" s="408"/>
      <c r="AQ130" s="408"/>
      <c r="AR130" s="408"/>
      <c r="AS130" s="408"/>
      <c r="AT130" s="408"/>
      <c r="AU130" s="408"/>
      <c r="AV130" s="408"/>
      <c r="AW130" s="408"/>
      <c r="AX130" s="408"/>
      <c r="AY130" s="408"/>
      <c r="AZ130" s="408"/>
      <c r="BA130" s="408"/>
      <c r="BB130" s="408"/>
      <c r="BC130" s="408"/>
      <c r="BD130" s="412"/>
      <c r="BE130" s="411"/>
      <c r="BF130" s="408"/>
      <c r="BG130" s="408"/>
      <c r="BH130" s="408"/>
      <c r="BI130" s="408"/>
      <c r="BJ130" s="408"/>
      <c r="BK130" s="408"/>
      <c r="BL130" s="408"/>
      <c r="BM130" s="408"/>
      <c r="BN130" s="408"/>
      <c r="BO130" s="408"/>
      <c r="BP130" s="408"/>
      <c r="BQ130" s="408"/>
      <c r="BR130" s="408"/>
      <c r="BS130" s="408"/>
      <c r="BT130" s="408"/>
      <c r="BU130" s="408"/>
      <c r="BV130" s="408"/>
      <c r="BW130" s="408"/>
      <c r="BX130" s="408"/>
      <c r="BY130" s="408"/>
      <c r="BZ130" s="408"/>
      <c r="CA130" s="408"/>
      <c r="CB130" s="408"/>
      <c r="CC130" s="412"/>
      <c r="CD130" s="411"/>
      <c r="CE130" s="408"/>
      <c r="CF130" s="408"/>
      <c r="CG130" s="408"/>
      <c r="CH130" s="408"/>
      <c r="CI130" s="408"/>
      <c r="CJ130" s="408"/>
      <c r="CK130" s="408"/>
      <c r="CL130" s="408"/>
      <c r="CM130" s="408"/>
      <c r="CN130" s="408"/>
      <c r="CO130" s="408"/>
      <c r="CP130" s="408"/>
      <c r="CQ130" s="408"/>
      <c r="CR130" s="408"/>
      <c r="CS130" s="408"/>
      <c r="CT130" s="408"/>
      <c r="CU130" s="408"/>
      <c r="CV130" s="408"/>
      <c r="CW130" s="408"/>
      <c r="CX130" s="408"/>
      <c r="CY130" s="408"/>
      <c r="CZ130" s="408"/>
      <c r="DA130" s="408"/>
      <c r="DB130" s="412"/>
      <c r="DC130" s="411"/>
      <c r="DD130" s="408"/>
      <c r="DE130" s="408"/>
      <c r="DF130" s="408"/>
      <c r="DG130" s="408"/>
      <c r="DH130" s="408"/>
      <c r="DI130" s="408"/>
      <c r="DJ130" s="408"/>
      <c r="DK130" s="408"/>
      <c r="DL130" s="408"/>
      <c r="DM130" s="408"/>
      <c r="DN130" s="408"/>
      <c r="DO130" s="408"/>
      <c r="DP130" s="408"/>
      <c r="DQ130" s="408"/>
      <c r="DR130" s="408"/>
      <c r="DS130" s="408"/>
      <c r="DT130" s="408"/>
      <c r="DU130" s="408"/>
      <c r="DV130" s="408"/>
      <c r="DW130" s="408"/>
      <c r="DX130" s="408"/>
      <c r="DY130" s="408"/>
      <c r="DZ130" s="408"/>
      <c r="EA130" s="412"/>
      <c r="EB130" s="411"/>
      <c r="EC130" s="408"/>
      <c r="ED130" s="408"/>
      <c r="EE130" s="408"/>
      <c r="EF130" s="408"/>
      <c r="EG130" s="408"/>
      <c r="EH130" s="408"/>
      <c r="EI130" s="408"/>
      <c r="EJ130" s="408"/>
      <c r="EK130" s="408"/>
      <c r="EL130" s="408"/>
      <c r="EM130" s="408"/>
      <c r="EN130" s="408"/>
      <c r="EO130" s="408"/>
      <c r="EP130" s="408"/>
      <c r="EQ130" s="408"/>
      <c r="ER130" s="408"/>
      <c r="ES130" s="408"/>
      <c r="ET130" s="408"/>
      <c r="EU130" s="408"/>
      <c r="EV130" s="408"/>
      <c r="EW130" s="408"/>
      <c r="EX130" s="408"/>
      <c r="EY130" s="408"/>
      <c r="EZ130" s="412"/>
      <c r="FA130" s="411"/>
      <c r="FB130" s="408"/>
      <c r="FC130" s="408"/>
      <c r="FD130" s="408"/>
      <c r="FE130" s="408"/>
      <c r="FF130" s="408"/>
      <c r="FG130" s="408"/>
      <c r="FH130" s="408"/>
      <c r="FI130" s="408"/>
      <c r="FJ130" s="408"/>
      <c r="FK130" s="408"/>
      <c r="FL130" s="408"/>
      <c r="FM130" s="408"/>
      <c r="FN130" s="408"/>
      <c r="FO130" s="408"/>
      <c r="FP130" s="408"/>
      <c r="FQ130" s="408"/>
      <c r="FR130" s="408"/>
      <c r="FS130" s="408"/>
      <c r="FT130" s="408"/>
      <c r="FU130" s="408"/>
      <c r="FV130" s="408"/>
      <c r="FW130" s="408"/>
      <c r="FX130" s="408"/>
      <c r="FY130" s="412"/>
      <c r="FZ130" s="411"/>
      <c r="GA130" s="408"/>
      <c r="GB130" s="408"/>
      <c r="GC130" s="408"/>
      <c r="GD130" s="408"/>
      <c r="GE130" s="408"/>
      <c r="GF130" s="408"/>
      <c r="GG130" s="408"/>
      <c r="GH130" s="408"/>
      <c r="GI130" s="408"/>
      <c r="GJ130" s="408"/>
      <c r="GK130" s="408"/>
      <c r="GL130" s="408"/>
      <c r="GM130" s="408"/>
      <c r="GN130" s="408"/>
      <c r="GO130" s="408"/>
      <c r="GP130" s="408"/>
      <c r="GQ130" s="408"/>
      <c r="GR130" s="408"/>
      <c r="GS130" s="408"/>
      <c r="GT130" s="408"/>
      <c r="GU130" s="408"/>
      <c r="GV130" s="408"/>
      <c r="GW130" s="408"/>
      <c r="GX130" s="412"/>
      <c r="GY130" s="411"/>
      <c r="GZ130" s="408"/>
      <c r="HA130" s="408"/>
      <c r="HB130" s="408"/>
      <c r="HC130" s="408"/>
      <c r="HD130" s="408"/>
      <c r="HE130" s="408"/>
      <c r="HF130" s="408"/>
      <c r="HG130" s="408"/>
      <c r="HH130" s="408"/>
      <c r="HI130" s="408"/>
      <c r="HJ130" s="408"/>
      <c r="HK130" s="408"/>
      <c r="HL130" s="408"/>
      <c r="HM130" s="408"/>
      <c r="HN130" s="408"/>
      <c r="HO130" s="408"/>
      <c r="HP130" s="408"/>
      <c r="HQ130" s="408"/>
      <c r="HR130" s="408"/>
      <c r="HS130" s="408"/>
      <c r="HT130" s="408"/>
      <c r="HU130" s="408"/>
      <c r="HV130" s="408"/>
      <c r="HW130" s="412"/>
    </row>
    <row r="131" spans="1:231" ht="24" customHeight="1">
      <c r="A131" s="411"/>
      <c r="B131" s="408"/>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408"/>
      <c r="Z131" s="412"/>
      <c r="AA131" s="408"/>
      <c r="AB131" s="408"/>
      <c r="AC131" s="408"/>
      <c r="AD131" s="408"/>
      <c r="AE131" s="408"/>
      <c r="AF131" s="411"/>
      <c r="AG131" s="408"/>
      <c r="AH131" s="408"/>
      <c r="AI131" s="408"/>
      <c r="AJ131" s="408"/>
      <c r="AK131" s="408"/>
      <c r="AL131" s="408"/>
      <c r="AM131" s="408"/>
      <c r="AN131" s="408"/>
      <c r="AO131" s="408"/>
      <c r="AP131" s="408"/>
      <c r="AQ131" s="408"/>
      <c r="AR131" s="408"/>
      <c r="AS131" s="408"/>
      <c r="AT131" s="408"/>
      <c r="AU131" s="408"/>
      <c r="AV131" s="408"/>
      <c r="AW131" s="408"/>
      <c r="AX131" s="408"/>
      <c r="AY131" s="408"/>
      <c r="AZ131" s="408"/>
      <c r="BA131" s="408"/>
      <c r="BB131" s="408"/>
      <c r="BC131" s="408"/>
      <c r="BD131" s="412"/>
      <c r="BE131" s="411"/>
      <c r="BF131" s="408"/>
      <c r="BG131" s="408"/>
      <c r="BH131" s="408"/>
      <c r="BI131" s="408"/>
      <c r="BJ131" s="408"/>
      <c r="BK131" s="408"/>
      <c r="BL131" s="408"/>
      <c r="BM131" s="408"/>
      <c r="BN131" s="408"/>
      <c r="BO131" s="408"/>
      <c r="BP131" s="408"/>
      <c r="BQ131" s="408"/>
      <c r="BR131" s="408"/>
      <c r="BS131" s="408"/>
      <c r="BT131" s="408"/>
      <c r="BU131" s="408"/>
      <c r="BV131" s="408"/>
      <c r="BW131" s="408"/>
      <c r="BX131" s="408"/>
      <c r="BY131" s="408"/>
      <c r="BZ131" s="408"/>
      <c r="CA131" s="408"/>
      <c r="CB131" s="408"/>
      <c r="CC131" s="412"/>
      <c r="CD131" s="411"/>
      <c r="CE131" s="408"/>
      <c r="CF131" s="408"/>
      <c r="CG131" s="408"/>
      <c r="CH131" s="408"/>
      <c r="CI131" s="408"/>
      <c r="CJ131" s="408"/>
      <c r="CK131" s="408"/>
      <c r="CL131" s="408"/>
      <c r="CM131" s="408"/>
      <c r="CN131" s="408"/>
      <c r="CO131" s="408"/>
      <c r="CP131" s="408"/>
      <c r="CQ131" s="408"/>
      <c r="CR131" s="408"/>
      <c r="CS131" s="408"/>
      <c r="CT131" s="408"/>
      <c r="CU131" s="408"/>
      <c r="CV131" s="408"/>
      <c r="CW131" s="408"/>
      <c r="CX131" s="408"/>
      <c r="CY131" s="408"/>
      <c r="CZ131" s="408"/>
      <c r="DA131" s="408"/>
      <c r="DB131" s="412"/>
      <c r="DC131" s="411"/>
      <c r="DD131" s="408"/>
      <c r="DE131" s="408"/>
      <c r="DF131" s="408"/>
      <c r="DG131" s="408"/>
      <c r="DH131" s="408"/>
      <c r="DI131" s="408"/>
      <c r="DJ131" s="408"/>
      <c r="DK131" s="408"/>
      <c r="DL131" s="408"/>
      <c r="DM131" s="408"/>
      <c r="DN131" s="408"/>
      <c r="DO131" s="408"/>
      <c r="DP131" s="408"/>
      <c r="DQ131" s="408"/>
      <c r="DR131" s="408"/>
      <c r="DS131" s="408"/>
      <c r="DT131" s="408"/>
      <c r="DU131" s="408"/>
      <c r="DV131" s="408"/>
      <c r="DW131" s="408"/>
      <c r="DX131" s="408"/>
      <c r="DY131" s="408"/>
      <c r="DZ131" s="408"/>
      <c r="EA131" s="412"/>
      <c r="EB131" s="411"/>
      <c r="EC131" s="408"/>
      <c r="ED131" s="408"/>
      <c r="EE131" s="408"/>
      <c r="EF131" s="408"/>
      <c r="EG131" s="408"/>
      <c r="EH131" s="408"/>
      <c r="EI131" s="408"/>
      <c r="EJ131" s="408"/>
      <c r="EK131" s="408"/>
      <c r="EL131" s="408"/>
      <c r="EM131" s="408"/>
      <c r="EN131" s="408"/>
      <c r="EO131" s="408"/>
      <c r="EP131" s="408"/>
      <c r="EQ131" s="408"/>
      <c r="ER131" s="408"/>
      <c r="ES131" s="408"/>
      <c r="ET131" s="408"/>
      <c r="EU131" s="408"/>
      <c r="EV131" s="408"/>
      <c r="EW131" s="408"/>
      <c r="EX131" s="408"/>
      <c r="EY131" s="408"/>
      <c r="EZ131" s="412"/>
      <c r="FA131" s="411"/>
      <c r="FB131" s="408"/>
      <c r="FC131" s="408"/>
      <c r="FD131" s="408"/>
      <c r="FE131" s="408"/>
      <c r="FF131" s="408"/>
      <c r="FG131" s="408"/>
      <c r="FH131" s="408"/>
      <c r="FI131" s="408"/>
      <c r="FJ131" s="408"/>
      <c r="FK131" s="408"/>
      <c r="FL131" s="408"/>
      <c r="FM131" s="408"/>
      <c r="FN131" s="408"/>
      <c r="FO131" s="408"/>
      <c r="FP131" s="408"/>
      <c r="FQ131" s="408"/>
      <c r="FR131" s="408"/>
      <c r="FS131" s="408"/>
      <c r="FT131" s="408"/>
      <c r="FU131" s="408"/>
      <c r="FV131" s="408"/>
      <c r="FW131" s="408"/>
      <c r="FX131" s="408"/>
      <c r="FY131" s="412"/>
      <c r="FZ131" s="411"/>
      <c r="GA131" s="408"/>
      <c r="GB131" s="408"/>
      <c r="GC131" s="408"/>
      <c r="GD131" s="408"/>
      <c r="GE131" s="408"/>
      <c r="GF131" s="408"/>
      <c r="GG131" s="408"/>
      <c r="GH131" s="408"/>
      <c r="GI131" s="408"/>
      <c r="GJ131" s="408"/>
      <c r="GK131" s="408"/>
      <c r="GL131" s="408"/>
      <c r="GM131" s="408"/>
      <c r="GN131" s="408"/>
      <c r="GO131" s="408"/>
      <c r="GP131" s="408"/>
      <c r="GQ131" s="408"/>
      <c r="GR131" s="408"/>
      <c r="GS131" s="408"/>
      <c r="GT131" s="408"/>
      <c r="GU131" s="408"/>
      <c r="GV131" s="408"/>
      <c r="GW131" s="408"/>
      <c r="GX131" s="412"/>
      <c r="GY131" s="411"/>
      <c r="GZ131" s="408"/>
      <c r="HA131" s="408"/>
      <c r="HB131" s="408"/>
      <c r="HC131" s="408"/>
      <c r="HD131" s="408"/>
      <c r="HE131" s="408"/>
      <c r="HF131" s="408"/>
      <c r="HG131" s="408"/>
      <c r="HH131" s="408"/>
      <c r="HI131" s="408"/>
      <c r="HJ131" s="408"/>
      <c r="HK131" s="408"/>
      <c r="HL131" s="408"/>
      <c r="HM131" s="408"/>
      <c r="HN131" s="408"/>
      <c r="HO131" s="408"/>
      <c r="HP131" s="408"/>
      <c r="HQ131" s="408"/>
      <c r="HR131" s="408"/>
      <c r="HS131" s="408"/>
      <c r="HT131" s="408"/>
      <c r="HU131" s="408"/>
      <c r="HV131" s="408"/>
      <c r="HW131" s="412"/>
    </row>
    <row r="132" spans="1:231" ht="24" customHeight="1" thickBot="1">
      <c r="A132" s="411"/>
      <c r="B132" s="413"/>
      <c r="C132" s="413"/>
      <c r="D132" s="413"/>
      <c r="E132" s="408"/>
      <c r="F132" s="408"/>
      <c r="G132" s="408"/>
      <c r="H132" s="408"/>
      <c r="I132" s="408"/>
      <c r="J132" s="408"/>
      <c r="K132" s="408"/>
      <c r="L132" s="408"/>
      <c r="M132" s="408"/>
      <c r="N132" s="408"/>
      <c r="O132" s="408"/>
      <c r="P132" s="408"/>
      <c r="Q132" s="408"/>
      <c r="R132" s="408"/>
      <c r="S132" s="408"/>
      <c r="T132" s="408"/>
      <c r="U132" s="408"/>
      <c r="V132" s="408"/>
      <c r="W132" s="408"/>
      <c r="X132" s="408"/>
      <c r="Y132" s="408"/>
      <c r="Z132" s="412"/>
      <c r="AA132" s="408"/>
      <c r="AB132" s="408"/>
      <c r="AC132" s="408"/>
      <c r="AD132" s="408"/>
      <c r="AE132" s="408"/>
      <c r="AF132" s="411"/>
      <c r="AG132" s="413"/>
      <c r="AH132" s="413"/>
      <c r="AI132" s="413"/>
      <c r="AJ132" s="408"/>
      <c r="AK132" s="408"/>
      <c r="AL132" s="408"/>
      <c r="AM132" s="408"/>
      <c r="AN132" s="408"/>
      <c r="AO132" s="408"/>
      <c r="AP132" s="408"/>
      <c r="AQ132" s="408"/>
      <c r="AR132" s="408"/>
      <c r="AS132" s="408"/>
      <c r="AT132" s="408"/>
      <c r="AU132" s="408"/>
      <c r="AV132" s="408"/>
      <c r="AW132" s="408"/>
      <c r="AX132" s="408"/>
      <c r="AY132" s="408"/>
      <c r="AZ132" s="408"/>
      <c r="BA132" s="408"/>
      <c r="BB132" s="408"/>
      <c r="BC132" s="408"/>
      <c r="BD132" s="412"/>
      <c r="BE132" s="411"/>
      <c r="BF132" s="413"/>
      <c r="BG132" s="413"/>
      <c r="BH132" s="413"/>
      <c r="BI132" s="408"/>
      <c r="BJ132" s="408"/>
      <c r="BK132" s="408"/>
      <c r="BL132" s="408"/>
      <c r="BM132" s="408"/>
      <c r="BN132" s="408"/>
      <c r="BO132" s="408"/>
      <c r="BP132" s="408"/>
      <c r="BQ132" s="408"/>
      <c r="BR132" s="408"/>
      <c r="BS132" s="408"/>
      <c r="BT132" s="408"/>
      <c r="BU132" s="408"/>
      <c r="BV132" s="408"/>
      <c r="BW132" s="408"/>
      <c r="BX132" s="408"/>
      <c r="BY132" s="408"/>
      <c r="BZ132" s="408"/>
      <c r="CA132" s="408"/>
      <c r="CB132" s="408"/>
      <c r="CC132" s="412"/>
      <c r="CD132" s="411"/>
      <c r="CE132" s="413"/>
      <c r="CF132" s="413"/>
      <c r="CG132" s="413"/>
      <c r="CH132" s="408"/>
      <c r="CI132" s="408"/>
      <c r="CJ132" s="408"/>
      <c r="CK132" s="408"/>
      <c r="CL132" s="408"/>
      <c r="CM132" s="408"/>
      <c r="CN132" s="408"/>
      <c r="CO132" s="408"/>
      <c r="CP132" s="408"/>
      <c r="CQ132" s="408"/>
      <c r="CR132" s="408"/>
      <c r="CS132" s="408"/>
      <c r="CT132" s="408"/>
      <c r="CU132" s="408"/>
      <c r="CV132" s="408"/>
      <c r="CW132" s="408"/>
      <c r="CX132" s="408"/>
      <c r="CY132" s="408"/>
      <c r="CZ132" s="408"/>
      <c r="DA132" s="408"/>
      <c r="DB132" s="412"/>
      <c r="DC132" s="411"/>
      <c r="DD132" s="413"/>
      <c r="DE132" s="413"/>
      <c r="DF132" s="413"/>
      <c r="DG132" s="408"/>
      <c r="DH132" s="408"/>
      <c r="DI132" s="408"/>
      <c r="DJ132" s="408"/>
      <c r="DK132" s="408"/>
      <c r="DL132" s="408"/>
      <c r="DM132" s="408"/>
      <c r="DN132" s="408"/>
      <c r="DO132" s="408"/>
      <c r="DP132" s="408"/>
      <c r="DQ132" s="408"/>
      <c r="DR132" s="408"/>
      <c r="DS132" s="408"/>
      <c r="DT132" s="408"/>
      <c r="DU132" s="408"/>
      <c r="DV132" s="408"/>
      <c r="DW132" s="408"/>
      <c r="DX132" s="408"/>
      <c r="DY132" s="408"/>
      <c r="DZ132" s="408"/>
      <c r="EA132" s="412"/>
      <c r="EB132" s="411"/>
      <c r="EC132" s="413"/>
      <c r="ED132" s="413"/>
      <c r="EE132" s="413"/>
      <c r="EF132" s="408"/>
      <c r="EG132" s="408"/>
      <c r="EH132" s="408"/>
      <c r="EI132" s="408"/>
      <c r="EJ132" s="408"/>
      <c r="EK132" s="408"/>
      <c r="EL132" s="408"/>
      <c r="EM132" s="408"/>
      <c r="EN132" s="408"/>
      <c r="EO132" s="408"/>
      <c r="EP132" s="408"/>
      <c r="EQ132" s="408"/>
      <c r="ER132" s="408"/>
      <c r="ES132" s="408"/>
      <c r="ET132" s="408"/>
      <c r="EU132" s="408"/>
      <c r="EV132" s="408"/>
      <c r="EW132" s="408"/>
      <c r="EX132" s="408"/>
      <c r="EY132" s="408"/>
      <c r="EZ132" s="412"/>
      <c r="FA132" s="411"/>
      <c r="FB132" s="413"/>
      <c r="FC132" s="413"/>
      <c r="FD132" s="413"/>
      <c r="FE132" s="408"/>
      <c r="FF132" s="408"/>
      <c r="FG132" s="408"/>
      <c r="FH132" s="408"/>
      <c r="FI132" s="408"/>
      <c r="FJ132" s="408"/>
      <c r="FK132" s="408"/>
      <c r="FL132" s="408"/>
      <c r="FM132" s="408"/>
      <c r="FN132" s="408"/>
      <c r="FO132" s="408"/>
      <c r="FP132" s="408"/>
      <c r="FQ132" s="408"/>
      <c r="FR132" s="408"/>
      <c r="FS132" s="408"/>
      <c r="FT132" s="408"/>
      <c r="FU132" s="408"/>
      <c r="FV132" s="408"/>
      <c r="FW132" s="408"/>
      <c r="FX132" s="408"/>
      <c r="FY132" s="412"/>
      <c r="FZ132" s="411"/>
      <c r="GA132" s="413"/>
      <c r="GB132" s="413"/>
      <c r="GC132" s="413"/>
      <c r="GD132" s="408"/>
      <c r="GE132" s="408"/>
      <c r="GF132" s="408"/>
      <c r="GG132" s="408"/>
      <c r="GH132" s="408"/>
      <c r="GI132" s="408"/>
      <c r="GJ132" s="408"/>
      <c r="GK132" s="408"/>
      <c r="GL132" s="408"/>
      <c r="GM132" s="408"/>
      <c r="GN132" s="408"/>
      <c r="GO132" s="408"/>
      <c r="GP132" s="408"/>
      <c r="GQ132" s="408"/>
      <c r="GR132" s="408"/>
      <c r="GS132" s="408"/>
      <c r="GT132" s="408"/>
      <c r="GU132" s="408"/>
      <c r="GV132" s="408"/>
      <c r="GW132" s="408"/>
      <c r="GX132" s="412"/>
      <c r="GY132" s="411"/>
      <c r="GZ132" s="413"/>
      <c r="HA132" s="413"/>
      <c r="HB132" s="413"/>
      <c r="HC132" s="408"/>
      <c r="HD132" s="408"/>
      <c r="HE132" s="408"/>
      <c r="HF132" s="408"/>
      <c r="HG132" s="408"/>
      <c r="HH132" s="408"/>
      <c r="HI132" s="408"/>
      <c r="HJ132" s="408"/>
      <c r="HK132" s="408"/>
      <c r="HL132" s="408"/>
      <c r="HM132" s="408"/>
      <c r="HN132" s="408"/>
      <c r="HO132" s="408"/>
      <c r="HP132" s="408"/>
      <c r="HQ132" s="408"/>
      <c r="HR132" s="408"/>
      <c r="HS132" s="408"/>
      <c r="HT132" s="408"/>
      <c r="HU132" s="408"/>
      <c r="HV132" s="408"/>
      <c r="HW132" s="412"/>
    </row>
    <row r="133" spans="1:231" ht="24" customHeight="1" thickBot="1">
      <c r="A133" s="416"/>
      <c r="B133" s="2116" t="str">
        <f>'Вывод расчетов'!$AL$13</f>
        <v>Раздел 1</v>
      </c>
      <c r="C133" s="2114"/>
      <c r="D133" s="2114"/>
      <c r="E133" s="417"/>
      <c r="F133" s="2116" t="str">
        <f>'Вывод расчетов'!$AO$13</f>
        <v>Определение главных размеров асинхронного двигателя</v>
      </c>
      <c r="G133" s="2114"/>
      <c r="H133" s="2114"/>
      <c r="I133" s="2114"/>
      <c r="J133" s="2114"/>
      <c r="K133" s="2114"/>
      <c r="L133" s="2114"/>
      <c r="M133" s="2114"/>
      <c r="N133" s="2114"/>
      <c r="O133" s="2114"/>
      <c r="P133" s="2114"/>
      <c r="Q133" s="2114"/>
      <c r="R133" s="2117"/>
      <c r="S133" s="417"/>
      <c r="T133" s="2116" t="s">
        <v>1369</v>
      </c>
      <c r="U133" s="2114"/>
      <c r="V133" s="2117"/>
      <c r="W133" s="417"/>
      <c r="X133" s="2116">
        <v>7</v>
      </c>
      <c r="Y133" s="2117"/>
      <c r="Z133" s="418"/>
      <c r="AA133" s="546"/>
      <c r="AB133" s="546"/>
      <c r="AC133" s="546"/>
      <c r="AD133" s="546"/>
      <c r="AE133" s="546"/>
      <c r="AF133" s="416"/>
      <c r="AG133" s="2116" t="str">
        <f>'Вывод расчетов'!$CC$9</f>
        <v>Раздел 2</v>
      </c>
      <c r="AH133" s="2114"/>
      <c r="AI133" s="2114"/>
      <c r="AJ133" s="417"/>
      <c r="AK133" s="2116" t="str">
        <f>'Вывод расчетов'!$CF$9</f>
        <v>Расчет обмотки статора</v>
      </c>
      <c r="AL133" s="2114"/>
      <c r="AM133" s="2114"/>
      <c r="AN133" s="2114"/>
      <c r="AO133" s="2114"/>
      <c r="AP133" s="2114"/>
      <c r="AQ133" s="2114"/>
      <c r="AR133" s="2114"/>
      <c r="AS133" s="2114"/>
      <c r="AT133" s="2114"/>
      <c r="AU133" s="2114"/>
      <c r="AV133" s="2117"/>
      <c r="AW133" s="417"/>
      <c r="AX133" s="2116" t="s">
        <v>1369</v>
      </c>
      <c r="AY133" s="2114"/>
      <c r="AZ133" s="2117"/>
      <c r="BA133" s="417"/>
      <c r="BB133" s="2116">
        <v>11</v>
      </c>
      <c r="BC133" s="2117"/>
      <c r="BD133" s="418"/>
      <c r="BE133" s="416"/>
      <c r="BF133" s="2116" t="str">
        <f>'Вывод расчетов'!$CC$9</f>
        <v>Раздел 2</v>
      </c>
      <c r="BG133" s="2114"/>
      <c r="BH133" s="2114"/>
      <c r="BI133" s="417"/>
      <c r="BJ133" s="2116" t="str">
        <f>'Вывод расчетов'!$CF$9</f>
        <v>Расчет обмотки статора</v>
      </c>
      <c r="BK133" s="2114"/>
      <c r="BL133" s="2114"/>
      <c r="BM133" s="2114"/>
      <c r="BN133" s="2114"/>
      <c r="BO133" s="2114"/>
      <c r="BP133" s="2114"/>
      <c r="BQ133" s="2114"/>
      <c r="BR133" s="2114"/>
      <c r="BS133" s="2114"/>
      <c r="BT133" s="2114"/>
      <c r="BU133" s="2117"/>
      <c r="BV133" s="417"/>
      <c r="BW133" s="2116" t="s">
        <v>1369</v>
      </c>
      <c r="BX133" s="2114"/>
      <c r="BY133" s="2117"/>
      <c r="BZ133" s="417"/>
      <c r="CA133" s="2116">
        <v>11</v>
      </c>
      <c r="CB133" s="2117"/>
      <c r="CC133" s="418"/>
      <c r="CD133" s="416"/>
      <c r="CE133" s="2116" t="str">
        <f>'Вывод расчетов'!$CC$9</f>
        <v>Раздел 2</v>
      </c>
      <c r="CF133" s="2114"/>
      <c r="CG133" s="2114"/>
      <c r="CH133" s="417"/>
      <c r="CI133" s="2116" t="str">
        <f>'Вывод расчетов'!$CF$9</f>
        <v>Расчет обмотки статора</v>
      </c>
      <c r="CJ133" s="2114"/>
      <c r="CK133" s="2114"/>
      <c r="CL133" s="2114"/>
      <c r="CM133" s="2114"/>
      <c r="CN133" s="2114"/>
      <c r="CO133" s="2114"/>
      <c r="CP133" s="2114"/>
      <c r="CQ133" s="2114"/>
      <c r="CR133" s="2114"/>
      <c r="CS133" s="2114"/>
      <c r="CT133" s="2117"/>
      <c r="CU133" s="417"/>
      <c r="CV133" s="2116" t="s">
        <v>1369</v>
      </c>
      <c r="CW133" s="2114"/>
      <c r="CX133" s="2117"/>
      <c r="CY133" s="417"/>
      <c r="CZ133" s="2116">
        <v>11</v>
      </c>
      <c r="DA133" s="2117"/>
      <c r="DB133" s="418"/>
      <c r="DC133" s="416"/>
      <c r="DD133" s="2116" t="str">
        <f>'Вывод расчетов'!$CC$9</f>
        <v>Раздел 2</v>
      </c>
      <c r="DE133" s="2114"/>
      <c r="DF133" s="2114"/>
      <c r="DG133" s="417"/>
      <c r="DH133" s="2116" t="str">
        <f>'Вывод расчетов'!$CF$9</f>
        <v>Расчет обмотки статора</v>
      </c>
      <c r="DI133" s="2114"/>
      <c r="DJ133" s="2114"/>
      <c r="DK133" s="2114"/>
      <c r="DL133" s="2114"/>
      <c r="DM133" s="2114"/>
      <c r="DN133" s="2114"/>
      <c r="DO133" s="2114"/>
      <c r="DP133" s="2114"/>
      <c r="DQ133" s="2114"/>
      <c r="DR133" s="2114"/>
      <c r="DS133" s="2117"/>
      <c r="DT133" s="417"/>
      <c r="DU133" s="2116" t="s">
        <v>1369</v>
      </c>
      <c r="DV133" s="2114"/>
      <c r="DW133" s="2117"/>
      <c r="DX133" s="417"/>
      <c r="DY133" s="2116">
        <v>11</v>
      </c>
      <c r="DZ133" s="2117"/>
      <c r="EA133" s="418"/>
      <c r="EB133" s="416"/>
      <c r="EC133" s="2116" t="str">
        <f>'Вывод расчетов'!$CC$9</f>
        <v>Раздел 2</v>
      </c>
      <c r="ED133" s="2114"/>
      <c r="EE133" s="2114"/>
      <c r="EF133" s="417"/>
      <c r="EG133" s="2116" t="str">
        <f>'Вывод расчетов'!$CF$9</f>
        <v>Расчет обмотки статора</v>
      </c>
      <c r="EH133" s="2114"/>
      <c r="EI133" s="2114"/>
      <c r="EJ133" s="2114"/>
      <c r="EK133" s="2114"/>
      <c r="EL133" s="2114"/>
      <c r="EM133" s="2114"/>
      <c r="EN133" s="2114"/>
      <c r="EO133" s="2114"/>
      <c r="EP133" s="2114"/>
      <c r="EQ133" s="2114"/>
      <c r="ER133" s="2117"/>
      <c r="ES133" s="417"/>
      <c r="ET133" s="2116" t="s">
        <v>1369</v>
      </c>
      <c r="EU133" s="2114"/>
      <c r="EV133" s="2117"/>
      <c r="EW133" s="417"/>
      <c r="EX133" s="2116">
        <v>11</v>
      </c>
      <c r="EY133" s="2117"/>
      <c r="EZ133" s="418"/>
      <c r="FA133" s="416"/>
      <c r="FB133" s="2116" t="str">
        <f>'Вывод расчетов'!$CC$9</f>
        <v>Раздел 2</v>
      </c>
      <c r="FC133" s="2114"/>
      <c r="FD133" s="2114"/>
      <c r="FE133" s="417"/>
      <c r="FF133" s="2116" t="str">
        <f>'Вывод расчетов'!$CF$9</f>
        <v>Расчет обмотки статора</v>
      </c>
      <c r="FG133" s="2114"/>
      <c r="FH133" s="2114"/>
      <c r="FI133" s="2114"/>
      <c r="FJ133" s="2114"/>
      <c r="FK133" s="2114"/>
      <c r="FL133" s="2114"/>
      <c r="FM133" s="2114"/>
      <c r="FN133" s="2114"/>
      <c r="FO133" s="2114"/>
      <c r="FP133" s="2114"/>
      <c r="FQ133" s="2117"/>
      <c r="FR133" s="417"/>
      <c r="FS133" s="2116" t="s">
        <v>1369</v>
      </c>
      <c r="FT133" s="2114"/>
      <c r="FU133" s="2117"/>
      <c r="FV133" s="417"/>
      <c r="FW133" s="2116">
        <v>11</v>
      </c>
      <c r="FX133" s="2117"/>
      <c r="FY133" s="418"/>
      <c r="FZ133" s="416"/>
      <c r="GA133" s="2116" t="str">
        <f>'Вывод расчетов'!$CC$9</f>
        <v>Раздел 2</v>
      </c>
      <c r="GB133" s="2114"/>
      <c r="GC133" s="2114"/>
      <c r="GD133" s="417"/>
      <c r="GE133" s="2116" t="str">
        <f>'Вывод расчетов'!$CF$9</f>
        <v>Расчет обмотки статора</v>
      </c>
      <c r="GF133" s="2114"/>
      <c r="GG133" s="2114"/>
      <c r="GH133" s="2114"/>
      <c r="GI133" s="2114"/>
      <c r="GJ133" s="2114"/>
      <c r="GK133" s="2114"/>
      <c r="GL133" s="2114"/>
      <c r="GM133" s="2114"/>
      <c r="GN133" s="2114"/>
      <c r="GO133" s="2114"/>
      <c r="GP133" s="2117"/>
      <c r="GQ133" s="417"/>
      <c r="GR133" s="2116" t="s">
        <v>1369</v>
      </c>
      <c r="GS133" s="2114"/>
      <c r="GT133" s="2117"/>
      <c r="GU133" s="417"/>
      <c r="GV133" s="2116">
        <v>11</v>
      </c>
      <c r="GW133" s="2117"/>
      <c r="GX133" s="418"/>
      <c r="GY133" s="416"/>
      <c r="GZ133" s="2116" t="str">
        <f>'Вывод расчетов'!$CC$9</f>
        <v>Раздел 2</v>
      </c>
      <c r="HA133" s="2114"/>
      <c r="HB133" s="2114"/>
      <c r="HC133" s="417"/>
      <c r="HD133" s="2116" t="str">
        <f>'Вывод расчетов'!$CF$9</f>
        <v>Расчет обмотки статора</v>
      </c>
      <c r="HE133" s="2114"/>
      <c r="HF133" s="2114"/>
      <c r="HG133" s="2114"/>
      <c r="HH133" s="2114"/>
      <c r="HI133" s="2114"/>
      <c r="HJ133" s="2114"/>
      <c r="HK133" s="2114"/>
      <c r="HL133" s="2114"/>
      <c r="HM133" s="2114"/>
      <c r="HN133" s="2114"/>
      <c r="HO133" s="2117"/>
      <c r="HP133" s="417"/>
      <c r="HQ133" s="2116" t="s">
        <v>1369</v>
      </c>
      <c r="HR133" s="2114"/>
      <c r="HS133" s="2117"/>
      <c r="HT133" s="417"/>
      <c r="HU133" s="2116">
        <v>11</v>
      </c>
      <c r="HV133" s="2117"/>
      <c r="HW133" s="418"/>
    </row>
    <row r="134" spans="1:231" ht="24" customHeight="1" thickBot="1">
      <c r="AF134" s="2113" t="s">
        <v>1111</v>
      </c>
      <c r="AG134" s="2114"/>
      <c r="AH134" s="2114"/>
      <c r="AI134" s="2114"/>
      <c r="AJ134" s="2114"/>
      <c r="AK134" s="2114"/>
      <c r="AL134" s="2114"/>
      <c r="AM134" s="2114"/>
      <c r="AN134" s="2114"/>
      <c r="AO134" s="2114"/>
      <c r="AP134" s="2114"/>
      <c r="AQ134" s="2114"/>
      <c r="AR134" s="2114"/>
      <c r="AS134" s="2114"/>
      <c r="AT134" s="2114"/>
      <c r="AU134" s="2114"/>
      <c r="AV134" s="2114"/>
      <c r="AW134" s="2114"/>
      <c r="AX134" s="2114"/>
      <c r="AY134" s="2114"/>
      <c r="AZ134" s="2114"/>
      <c r="BA134" s="2114"/>
      <c r="BB134" s="2114"/>
      <c r="BC134" s="2114"/>
      <c r="BD134" s="2115"/>
      <c r="BE134" s="2113" t="s">
        <v>1111</v>
      </c>
      <c r="BF134" s="2114"/>
      <c r="BG134" s="2114"/>
      <c r="BH134" s="2114"/>
      <c r="BI134" s="2114"/>
      <c r="BJ134" s="2114"/>
      <c r="BK134" s="2114"/>
      <c r="BL134" s="2114"/>
      <c r="BM134" s="2114"/>
      <c r="BN134" s="2114"/>
      <c r="BO134" s="2114"/>
      <c r="BP134" s="2114"/>
      <c r="BQ134" s="2114"/>
      <c r="BR134" s="2114"/>
      <c r="BS134" s="2114"/>
      <c r="BT134" s="2114"/>
      <c r="BU134" s="2114"/>
      <c r="BV134" s="2114"/>
      <c r="BW134" s="2114"/>
      <c r="BX134" s="2114"/>
      <c r="BY134" s="2114"/>
      <c r="BZ134" s="2114"/>
      <c r="CA134" s="2114"/>
      <c r="CB134" s="2114"/>
      <c r="CC134" s="2115"/>
      <c r="CD134" s="2113" t="s">
        <v>1111</v>
      </c>
      <c r="CE134" s="2114"/>
      <c r="CF134" s="2114"/>
      <c r="CG134" s="2114"/>
      <c r="CH134" s="2114"/>
      <c r="CI134" s="2114"/>
      <c r="CJ134" s="2114"/>
      <c r="CK134" s="2114"/>
      <c r="CL134" s="2114"/>
      <c r="CM134" s="2114"/>
      <c r="CN134" s="2114"/>
      <c r="CO134" s="2114"/>
      <c r="CP134" s="2114"/>
      <c r="CQ134" s="2114"/>
      <c r="CR134" s="2114"/>
      <c r="CS134" s="2114"/>
      <c r="CT134" s="2114"/>
      <c r="CU134" s="2114"/>
      <c r="CV134" s="2114"/>
      <c r="CW134" s="2114"/>
      <c r="CX134" s="2114"/>
      <c r="CY134" s="2114"/>
      <c r="CZ134" s="2114"/>
      <c r="DA134" s="2114"/>
      <c r="DB134" s="2115"/>
      <c r="DC134" s="2113" t="s">
        <v>1111</v>
      </c>
      <c r="DD134" s="2114"/>
      <c r="DE134" s="2114"/>
      <c r="DF134" s="2114"/>
      <c r="DG134" s="2114"/>
      <c r="DH134" s="2114"/>
      <c r="DI134" s="2114"/>
      <c r="DJ134" s="2114"/>
      <c r="DK134" s="2114"/>
      <c r="DL134" s="2114"/>
      <c r="DM134" s="2114"/>
      <c r="DN134" s="2114"/>
      <c r="DO134" s="2114"/>
      <c r="DP134" s="2114"/>
      <c r="DQ134" s="2114"/>
      <c r="DR134" s="2114"/>
      <c r="DS134" s="2114"/>
      <c r="DT134" s="2114"/>
      <c r="DU134" s="2114"/>
      <c r="DV134" s="2114"/>
      <c r="DW134" s="2114"/>
      <c r="DX134" s="2114"/>
      <c r="DY134" s="2114"/>
      <c r="DZ134" s="2114"/>
      <c r="EA134" s="2115"/>
      <c r="EB134" s="2113" t="s">
        <v>1111</v>
      </c>
      <c r="EC134" s="2114"/>
      <c r="ED134" s="2114"/>
      <c r="EE134" s="2114"/>
      <c r="EF134" s="2114"/>
      <c r="EG134" s="2114"/>
      <c r="EH134" s="2114"/>
      <c r="EI134" s="2114"/>
      <c r="EJ134" s="2114"/>
      <c r="EK134" s="2114"/>
      <c r="EL134" s="2114"/>
      <c r="EM134" s="2114"/>
      <c r="EN134" s="2114"/>
      <c r="EO134" s="2114"/>
      <c r="EP134" s="2114"/>
      <c r="EQ134" s="2114"/>
      <c r="ER134" s="2114"/>
      <c r="ES134" s="2114"/>
      <c r="ET134" s="2114"/>
      <c r="EU134" s="2114"/>
      <c r="EV134" s="2114"/>
      <c r="EW134" s="2114"/>
      <c r="EX134" s="2114"/>
      <c r="EY134" s="2114"/>
      <c r="EZ134" s="2115"/>
      <c r="FZ134" s="2113" t="s">
        <v>1111</v>
      </c>
      <c r="GA134" s="2114"/>
      <c r="GB134" s="2114"/>
      <c r="GC134" s="2114"/>
      <c r="GD134" s="2114"/>
      <c r="GE134" s="2114"/>
      <c r="GF134" s="2114"/>
      <c r="GG134" s="2114"/>
      <c r="GH134" s="2114"/>
      <c r="GI134" s="2114"/>
      <c r="GJ134" s="2114"/>
      <c r="GK134" s="2114"/>
      <c r="GL134" s="2114"/>
      <c r="GM134" s="2114"/>
      <c r="GN134" s="2114"/>
      <c r="GO134" s="2114"/>
      <c r="GP134" s="2114"/>
      <c r="GQ134" s="2114"/>
      <c r="GR134" s="2114"/>
      <c r="GS134" s="2114"/>
      <c r="GT134" s="2114"/>
      <c r="GU134" s="2114"/>
      <c r="GV134" s="2114"/>
      <c r="GW134" s="2114"/>
      <c r="GX134" s="2115"/>
      <c r="GY134" s="2113" t="s">
        <v>1111</v>
      </c>
      <c r="GZ134" s="2114"/>
      <c r="HA134" s="2114"/>
      <c r="HB134" s="2114"/>
      <c r="HC134" s="2114"/>
      <c r="HD134" s="2114"/>
      <c r="HE134" s="2114"/>
      <c r="HF134" s="2114"/>
      <c r="HG134" s="2114"/>
      <c r="HH134" s="2114"/>
      <c r="HI134" s="2114"/>
      <c r="HJ134" s="2114"/>
      <c r="HK134" s="2114"/>
      <c r="HL134" s="2114"/>
      <c r="HM134" s="2114"/>
      <c r="HN134" s="2114"/>
      <c r="HO134" s="2114"/>
      <c r="HP134" s="2114"/>
      <c r="HQ134" s="2114"/>
      <c r="HR134" s="2114"/>
      <c r="HS134" s="2114"/>
      <c r="HT134" s="2114"/>
      <c r="HU134" s="2114"/>
      <c r="HV134" s="2114"/>
      <c r="HW134" s="2115"/>
    </row>
    <row r="135" spans="1:231" ht="24" customHeight="1">
      <c r="AF135" s="409"/>
      <c r="AG135" s="410"/>
      <c r="AH135" s="410"/>
      <c r="AI135" s="410"/>
      <c r="AJ135" s="410"/>
      <c r="AK135" s="410"/>
      <c r="AL135" s="410"/>
      <c r="AM135" s="410"/>
      <c r="AN135" s="410"/>
      <c r="AO135" s="410"/>
      <c r="AP135" s="410"/>
      <c r="AQ135" s="410"/>
      <c r="AR135" s="410"/>
      <c r="AS135" s="410"/>
      <c r="AT135" s="410"/>
      <c r="AU135" s="410"/>
      <c r="AV135" s="410"/>
      <c r="AW135" s="410"/>
      <c r="AX135" s="410"/>
      <c r="AY135" s="410"/>
      <c r="AZ135" s="410"/>
      <c r="BA135" s="410"/>
      <c r="BB135" s="410"/>
      <c r="BC135" s="410"/>
      <c r="BD135" s="419"/>
      <c r="BE135" s="409"/>
      <c r="BF135" s="410"/>
      <c r="BG135" s="410"/>
      <c r="BH135" s="410"/>
      <c r="BI135" s="410"/>
      <c r="BJ135" s="410"/>
      <c r="BK135" s="410"/>
      <c r="BL135" s="410"/>
      <c r="BM135" s="410"/>
      <c r="BN135" s="410"/>
      <c r="BO135" s="410"/>
      <c r="BP135" s="410"/>
      <c r="BQ135" s="410"/>
      <c r="BR135" s="410"/>
      <c r="BS135" s="410"/>
      <c r="BT135" s="410"/>
      <c r="BU135" s="410"/>
      <c r="BV135" s="410"/>
      <c r="BW135" s="410"/>
      <c r="BX135" s="410"/>
      <c r="BY135" s="410"/>
      <c r="BZ135" s="410"/>
      <c r="CA135" s="410"/>
      <c r="CB135" s="410"/>
      <c r="CC135" s="419"/>
      <c r="CD135" s="409"/>
      <c r="CE135" s="410"/>
      <c r="CF135" s="410"/>
      <c r="CG135" s="410"/>
      <c r="CH135" s="410"/>
      <c r="CI135" s="410"/>
      <c r="CJ135" s="410"/>
      <c r="CK135" s="410"/>
      <c r="CL135" s="410"/>
      <c r="CM135" s="410"/>
      <c r="CN135" s="410"/>
      <c r="CO135" s="410"/>
      <c r="CP135" s="410"/>
      <c r="CQ135" s="410"/>
      <c r="CR135" s="410"/>
      <c r="CS135" s="410"/>
      <c r="CT135" s="410"/>
      <c r="CU135" s="410"/>
      <c r="CV135" s="410"/>
      <c r="CW135" s="410"/>
      <c r="CX135" s="410"/>
      <c r="CY135" s="410"/>
      <c r="CZ135" s="410"/>
      <c r="DA135" s="410"/>
      <c r="DB135" s="419"/>
      <c r="DC135" s="409"/>
      <c r="DD135" s="410"/>
      <c r="DE135" s="410"/>
      <c r="DF135" s="410"/>
      <c r="DG135" s="410"/>
      <c r="DH135" s="410"/>
      <c r="DI135" s="410"/>
      <c r="DJ135" s="410"/>
      <c r="DK135" s="410"/>
      <c r="DL135" s="410"/>
      <c r="DM135" s="410"/>
      <c r="DN135" s="410"/>
      <c r="DO135" s="410"/>
      <c r="DP135" s="410"/>
      <c r="DQ135" s="410"/>
      <c r="DR135" s="410"/>
      <c r="DS135" s="410"/>
      <c r="DT135" s="410"/>
      <c r="DU135" s="410"/>
      <c r="DV135" s="410"/>
      <c r="DW135" s="410"/>
      <c r="DX135" s="410"/>
      <c r="DY135" s="410"/>
      <c r="DZ135" s="410"/>
      <c r="EA135" s="419"/>
      <c r="EB135" s="409"/>
      <c r="EC135" s="410"/>
      <c r="ED135" s="410"/>
      <c r="EE135" s="410"/>
      <c r="EF135" s="410"/>
      <c r="EG135" s="410"/>
      <c r="EH135" s="410"/>
      <c r="EI135" s="410"/>
      <c r="EJ135" s="410"/>
      <c r="EK135" s="410"/>
      <c r="EL135" s="410"/>
      <c r="EM135" s="410"/>
      <c r="EN135" s="410"/>
      <c r="EO135" s="410"/>
      <c r="EP135" s="410"/>
      <c r="EQ135" s="410"/>
      <c r="ER135" s="410"/>
      <c r="ES135" s="410"/>
      <c r="ET135" s="410"/>
      <c r="EU135" s="410"/>
      <c r="EV135" s="410"/>
      <c r="EW135" s="410"/>
      <c r="EX135" s="410"/>
      <c r="EY135" s="410"/>
      <c r="EZ135" s="419"/>
      <c r="FZ135" s="409"/>
      <c r="GA135" s="410"/>
      <c r="GB135" s="410"/>
      <c r="GC135" s="410"/>
      <c r="GD135" s="410"/>
      <c r="GE135" s="410"/>
      <c r="GF135" s="410"/>
      <c r="GG135" s="410"/>
      <c r="GH135" s="410"/>
      <c r="GI135" s="410"/>
      <c r="GJ135" s="410"/>
      <c r="GK135" s="410"/>
      <c r="GL135" s="410"/>
      <c r="GM135" s="410"/>
      <c r="GN135" s="410"/>
      <c r="GO135" s="410"/>
      <c r="GP135" s="410"/>
      <c r="GQ135" s="410"/>
      <c r="GR135" s="410"/>
      <c r="GS135" s="410"/>
      <c r="GT135" s="410"/>
      <c r="GU135" s="410"/>
      <c r="GV135" s="410"/>
      <c r="GW135" s="410"/>
      <c r="GX135" s="419"/>
      <c r="GY135" s="409"/>
      <c r="GZ135" s="410"/>
      <c r="HA135" s="410"/>
      <c r="HB135" s="410"/>
      <c r="HC135" s="410"/>
      <c r="HD135" s="410"/>
      <c r="HE135" s="410"/>
      <c r="HF135" s="410"/>
      <c r="HG135" s="410"/>
      <c r="HH135" s="410"/>
      <c r="HI135" s="410"/>
      <c r="HJ135" s="410"/>
      <c r="HK135" s="410"/>
      <c r="HL135" s="410"/>
      <c r="HM135" s="410"/>
      <c r="HN135" s="410"/>
      <c r="HO135" s="410"/>
      <c r="HP135" s="410"/>
      <c r="HQ135" s="410"/>
      <c r="HR135" s="410"/>
      <c r="HS135" s="410"/>
      <c r="HT135" s="410"/>
      <c r="HU135" s="410"/>
      <c r="HV135" s="410"/>
      <c r="HW135" s="419"/>
    </row>
    <row r="136" spans="1:231" ht="24" customHeight="1">
      <c r="AF136" s="411"/>
      <c r="AG136" s="408"/>
      <c r="AH136" s="408"/>
      <c r="AI136" s="408"/>
      <c r="AJ136" s="408"/>
      <c r="AK136" s="408"/>
      <c r="AL136" s="408"/>
      <c r="AM136" s="408"/>
      <c r="AN136" s="408"/>
      <c r="AO136" s="408"/>
      <c r="AP136" s="408"/>
      <c r="AQ136" s="408"/>
      <c r="AR136" s="408"/>
      <c r="AS136" s="408"/>
      <c r="AT136" s="408"/>
      <c r="AU136" s="408"/>
      <c r="AV136" s="408"/>
      <c r="AW136" s="408"/>
      <c r="AX136" s="408"/>
      <c r="AY136" s="408"/>
      <c r="AZ136" s="408"/>
      <c r="BA136" s="408"/>
      <c r="BB136" s="408"/>
      <c r="BC136" s="408"/>
      <c r="BD136" s="412"/>
      <c r="BE136" s="411"/>
      <c r="BF136" s="408"/>
      <c r="BG136" s="408"/>
      <c r="BH136" s="408"/>
      <c r="BI136" s="408"/>
      <c r="BJ136" s="408"/>
      <c r="BK136" s="408"/>
      <c r="BL136" s="408"/>
      <c r="BM136" s="408"/>
      <c r="BN136" s="408"/>
      <c r="BO136" s="408"/>
      <c r="BP136" s="408"/>
      <c r="BQ136" s="408"/>
      <c r="BR136" s="408"/>
      <c r="BS136" s="408"/>
      <c r="BT136" s="408"/>
      <c r="BU136" s="408"/>
      <c r="BV136" s="408"/>
      <c r="BW136" s="408"/>
      <c r="BX136" s="408"/>
      <c r="BY136" s="408"/>
      <c r="BZ136" s="408"/>
      <c r="CA136" s="408"/>
      <c r="CB136" s="408"/>
      <c r="CC136" s="412"/>
      <c r="CD136" s="411"/>
      <c r="CE136" s="408"/>
      <c r="CF136" s="408"/>
      <c r="CG136" s="408"/>
      <c r="CH136" s="408"/>
      <c r="CI136" s="408"/>
      <c r="CJ136" s="408"/>
      <c r="CK136" s="408"/>
      <c r="CL136" s="408"/>
      <c r="CM136" s="408"/>
      <c r="CN136" s="408"/>
      <c r="CO136" s="408"/>
      <c r="CP136" s="408"/>
      <c r="CQ136" s="408"/>
      <c r="CR136" s="408"/>
      <c r="CS136" s="408"/>
      <c r="CT136" s="408"/>
      <c r="CU136" s="408"/>
      <c r="CV136" s="408"/>
      <c r="CW136" s="408"/>
      <c r="CX136" s="408"/>
      <c r="CY136" s="408"/>
      <c r="CZ136" s="408"/>
      <c r="DA136" s="408"/>
      <c r="DB136" s="412"/>
      <c r="DC136" s="411"/>
      <c r="DD136" s="408"/>
      <c r="DE136" s="408"/>
      <c r="DF136" s="408"/>
      <c r="DG136" s="408"/>
      <c r="DH136" s="408"/>
      <c r="DI136" s="408"/>
      <c r="DJ136" s="408"/>
      <c r="DK136" s="408"/>
      <c r="DL136" s="408"/>
      <c r="DM136" s="408"/>
      <c r="DN136" s="408"/>
      <c r="DO136" s="408"/>
      <c r="DP136" s="408"/>
      <c r="DQ136" s="408"/>
      <c r="DR136" s="408"/>
      <c r="DS136" s="408"/>
      <c r="DT136" s="408"/>
      <c r="DU136" s="408"/>
      <c r="DV136" s="408"/>
      <c r="DW136" s="408"/>
      <c r="DX136" s="408"/>
      <c r="DY136" s="408"/>
      <c r="DZ136" s="408"/>
      <c r="EA136" s="412"/>
      <c r="EB136" s="411"/>
      <c r="EC136" s="408"/>
      <c r="ED136" s="408"/>
      <c r="EE136" s="408"/>
      <c r="EF136" s="408"/>
      <c r="EG136" s="408"/>
      <c r="EH136" s="408"/>
      <c r="EI136" s="408"/>
      <c r="EJ136" s="408"/>
      <c r="EK136" s="408"/>
      <c r="EL136" s="408"/>
      <c r="EM136" s="408"/>
      <c r="EN136" s="408"/>
      <c r="EO136" s="408"/>
      <c r="EP136" s="408"/>
      <c r="EQ136" s="408"/>
      <c r="ER136" s="408"/>
      <c r="ES136" s="408"/>
      <c r="ET136" s="408"/>
      <c r="EU136" s="408"/>
      <c r="EV136" s="408"/>
      <c r="EW136" s="408"/>
      <c r="EX136" s="408"/>
      <c r="EY136" s="408"/>
      <c r="EZ136" s="412"/>
      <c r="FZ136" s="411"/>
      <c r="GA136" s="408"/>
      <c r="GB136" s="408"/>
      <c r="GC136" s="408"/>
      <c r="GD136" s="408"/>
      <c r="GE136" s="408"/>
      <c r="GF136" s="408"/>
      <c r="GG136" s="408"/>
      <c r="GH136" s="408"/>
      <c r="GI136" s="408"/>
      <c r="GJ136" s="408"/>
      <c r="GK136" s="408"/>
      <c r="GL136" s="408"/>
      <c r="GM136" s="408"/>
      <c r="GN136" s="408"/>
      <c r="GO136" s="408"/>
      <c r="GP136" s="408"/>
      <c r="GQ136" s="408"/>
      <c r="GR136" s="408"/>
      <c r="GS136" s="408"/>
      <c r="GT136" s="408"/>
      <c r="GU136" s="408"/>
      <c r="GV136" s="408"/>
      <c r="GW136" s="408"/>
      <c r="GX136" s="412"/>
      <c r="GY136" s="411"/>
      <c r="GZ136" s="408"/>
      <c r="HA136" s="408"/>
      <c r="HB136" s="408"/>
      <c r="HC136" s="408"/>
      <c r="HD136" s="408"/>
      <c r="HE136" s="408"/>
      <c r="HF136" s="408"/>
      <c r="HG136" s="408"/>
      <c r="HH136" s="408"/>
      <c r="HI136" s="408"/>
      <c r="HJ136" s="408"/>
      <c r="HK136" s="408"/>
      <c r="HL136" s="408"/>
      <c r="HM136" s="408"/>
      <c r="HN136" s="408"/>
      <c r="HO136" s="408"/>
      <c r="HP136" s="408"/>
      <c r="HQ136" s="408"/>
      <c r="HR136" s="408"/>
      <c r="HS136" s="408"/>
      <c r="HT136" s="408"/>
      <c r="HU136" s="408"/>
      <c r="HV136" s="408"/>
      <c r="HW136" s="412"/>
    </row>
    <row r="137" spans="1:231" ht="24" customHeight="1">
      <c r="AF137" s="411"/>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12"/>
      <c r="BE137" s="411"/>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12"/>
      <c r="CD137" s="411"/>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12"/>
      <c r="DC137" s="411"/>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12"/>
      <c r="EB137" s="411"/>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12"/>
      <c r="FZ137" s="411"/>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12"/>
      <c r="GY137" s="411"/>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12"/>
    </row>
    <row r="138" spans="1:231" ht="24" customHeight="1">
      <c r="AF138" s="411"/>
      <c r="AG138" s="408"/>
      <c r="AH138" s="408"/>
      <c r="AI138" s="408"/>
      <c r="AJ138" s="408"/>
      <c r="AK138" s="408"/>
      <c r="AL138" s="408"/>
      <c r="AM138" s="408"/>
      <c r="AN138" s="408"/>
      <c r="AO138" s="408"/>
      <c r="AP138" s="408"/>
      <c r="AQ138" s="408"/>
      <c r="AR138" s="408"/>
      <c r="AS138" s="408"/>
      <c r="AT138" s="408"/>
      <c r="AU138" s="408"/>
      <c r="AV138" s="408"/>
      <c r="AW138" s="408"/>
      <c r="AX138" s="408"/>
      <c r="AY138" s="408"/>
      <c r="AZ138" s="408"/>
      <c r="BA138" s="408"/>
      <c r="BB138" s="408"/>
      <c r="BC138" s="408"/>
      <c r="BD138" s="412"/>
      <c r="BE138" s="411"/>
      <c r="BF138" s="408"/>
      <c r="BG138" s="408"/>
      <c r="BH138" s="408"/>
      <c r="BI138" s="408"/>
      <c r="BJ138" s="408"/>
      <c r="BK138" s="408"/>
      <c r="BL138" s="408"/>
      <c r="BM138" s="408"/>
      <c r="BN138" s="408"/>
      <c r="BO138" s="408"/>
      <c r="BP138" s="408"/>
      <c r="BQ138" s="408"/>
      <c r="BR138" s="408"/>
      <c r="BS138" s="408"/>
      <c r="BT138" s="408"/>
      <c r="BU138" s="408"/>
      <c r="BV138" s="408"/>
      <c r="BW138" s="408"/>
      <c r="BX138" s="408"/>
      <c r="BY138" s="408"/>
      <c r="BZ138" s="408"/>
      <c r="CA138" s="408"/>
      <c r="CB138" s="408"/>
      <c r="CC138" s="412"/>
      <c r="CD138" s="411"/>
      <c r="CE138" s="408"/>
      <c r="CF138" s="408"/>
      <c r="CG138" s="408"/>
      <c r="CH138" s="408"/>
      <c r="CI138" s="408"/>
      <c r="CJ138" s="408"/>
      <c r="CK138" s="408"/>
      <c r="CL138" s="408"/>
      <c r="CM138" s="408"/>
      <c r="CN138" s="408"/>
      <c r="CO138" s="408"/>
      <c r="CP138" s="408"/>
      <c r="CQ138" s="408"/>
      <c r="CR138" s="408"/>
      <c r="CS138" s="408"/>
      <c r="CT138" s="408"/>
      <c r="CU138" s="408"/>
      <c r="CV138" s="408"/>
      <c r="CW138" s="408"/>
      <c r="CX138" s="408"/>
      <c r="CY138" s="408"/>
      <c r="CZ138" s="408"/>
      <c r="DA138" s="408"/>
      <c r="DB138" s="412"/>
      <c r="DC138" s="411"/>
      <c r="DD138" s="408"/>
      <c r="DE138" s="408"/>
      <c r="DF138" s="408"/>
      <c r="DG138" s="408"/>
      <c r="DH138" s="408"/>
      <c r="DI138" s="408"/>
      <c r="DJ138" s="408"/>
      <c r="DK138" s="408"/>
      <c r="DL138" s="408"/>
      <c r="DM138" s="408"/>
      <c r="DN138" s="408"/>
      <c r="DO138" s="408"/>
      <c r="DP138" s="408"/>
      <c r="DQ138" s="408"/>
      <c r="DR138" s="408"/>
      <c r="DS138" s="408"/>
      <c r="DT138" s="408"/>
      <c r="DU138" s="408"/>
      <c r="DV138" s="408"/>
      <c r="DW138" s="408"/>
      <c r="DX138" s="408"/>
      <c r="DY138" s="408"/>
      <c r="DZ138" s="408"/>
      <c r="EA138" s="412"/>
      <c r="EB138" s="411"/>
      <c r="EC138" s="408"/>
      <c r="ED138" s="408"/>
      <c r="EE138" s="408"/>
      <c r="EF138" s="408"/>
      <c r="EG138" s="408"/>
      <c r="EH138" s="408"/>
      <c r="EI138" s="408"/>
      <c r="EJ138" s="408"/>
      <c r="EK138" s="408"/>
      <c r="EL138" s="408"/>
      <c r="EM138" s="408"/>
      <c r="EN138" s="408"/>
      <c r="EO138" s="408"/>
      <c r="EP138" s="408"/>
      <c r="EQ138" s="408"/>
      <c r="ER138" s="408"/>
      <c r="ES138" s="408"/>
      <c r="ET138" s="408"/>
      <c r="EU138" s="408"/>
      <c r="EV138" s="408"/>
      <c r="EW138" s="408"/>
      <c r="EX138" s="408"/>
      <c r="EY138" s="408"/>
      <c r="EZ138" s="412"/>
      <c r="FZ138" s="411"/>
      <c r="GA138" s="408"/>
      <c r="GB138" s="408"/>
      <c r="GC138" s="408"/>
      <c r="GD138" s="408"/>
      <c r="GE138" s="408"/>
      <c r="GF138" s="408"/>
      <c r="GG138" s="408"/>
      <c r="GH138" s="408"/>
      <c r="GI138" s="408"/>
      <c r="GJ138" s="408"/>
      <c r="GK138" s="408"/>
      <c r="GL138" s="408"/>
      <c r="GM138" s="408"/>
      <c r="GN138" s="408"/>
      <c r="GO138" s="408"/>
      <c r="GP138" s="408"/>
      <c r="GQ138" s="408"/>
      <c r="GR138" s="408"/>
      <c r="GS138" s="408"/>
      <c r="GT138" s="408"/>
      <c r="GU138" s="408"/>
      <c r="GV138" s="408"/>
      <c r="GW138" s="408"/>
      <c r="GX138" s="412"/>
      <c r="GY138" s="411"/>
      <c r="GZ138" s="408"/>
      <c r="HA138" s="408"/>
      <c r="HB138" s="408"/>
      <c r="HC138" s="408"/>
      <c r="HD138" s="408"/>
      <c r="HE138" s="408"/>
      <c r="HF138" s="408"/>
      <c r="HG138" s="408"/>
      <c r="HH138" s="408"/>
      <c r="HI138" s="408"/>
      <c r="HJ138" s="408"/>
      <c r="HK138" s="408"/>
      <c r="HL138" s="408"/>
      <c r="HM138" s="408"/>
      <c r="HN138" s="408"/>
      <c r="HO138" s="408"/>
      <c r="HP138" s="408"/>
      <c r="HQ138" s="408"/>
      <c r="HR138" s="408"/>
      <c r="HS138" s="408"/>
      <c r="HT138" s="408"/>
      <c r="HU138" s="408"/>
      <c r="HV138" s="408"/>
      <c r="HW138" s="412"/>
    </row>
    <row r="139" spans="1:231" ht="24" customHeight="1">
      <c r="AF139" s="411"/>
      <c r="AG139" s="408"/>
      <c r="AH139" s="408"/>
      <c r="AI139" s="408"/>
      <c r="AJ139" s="408"/>
      <c r="AK139" s="408"/>
      <c r="AL139" s="408"/>
      <c r="AM139" s="408"/>
      <c r="AN139" s="408"/>
      <c r="AO139" s="408"/>
      <c r="AP139" s="408"/>
      <c r="AQ139" s="408"/>
      <c r="AR139" s="408"/>
      <c r="AS139" s="408"/>
      <c r="AT139" s="408"/>
      <c r="AU139" s="408"/>
      <c r="AV139" s="408"/>
      <c r="AW139" s="408"/>
      <c r="AX139" s="408"/>
      <c r="AY139" s="408"/>
      <c r="AZ139" s="408"/>
      <c r="BA139" s="408"/>
      <c r="BB139" s="408"/>
      <c r="BC139" s="408"/>
      <c r="BD139" s="412"/>
      <c r="BE139" s="411"/>
      <c r="BF139" s="408"/>
      <c r="BG139" s="408"/>
      <c r="BH139" s="408"/>
      <c r="BI139" s="408"/>
      <c r="BJ139" s="408"/>
      <c r="BK139" s="408"/>
      <c r="BL139" s="408"/>
      <c r="BM139" s="408"/>
      <c r="BN139" s="408"/>
      <c r="BO139" s="408"/>
      <c r="BP139" s="408"/>
      <c r="BQ139" s="408"/>
      <c r="BR139" s="408"/>
      <c r="BS139" s="408"/>
      <c r="BT139" s="408"/>
      <c r="BU139" s="408"/>
      <c r="BV139" s="408"/>
      <c r="BW139" s="408"/>
      <c r="BX139" s="408"/>
      <c r="BY139" s="408"/>
      <c r="BZ139" s="408"/>
      <c r="CA139" s="408"/>
      <c r="CB139" s="408"/>
      <c r="CC139" s="412"/>
      <c r="CD139" s="411"/>
      <c r="CE139" s="408"/>
      <c r="CF139" s="408"/>
      <c r="CG139" s="408"/>
      <c r="CH139" s="408"/>
      <c r="CI139" s="408"/>
      <c r="CJ139" s="408"/>
      <c r="CK139" s="408"/>
      <c r="CL139" s="408"/>
      <c r="CM139" s="408"/>
      <c r="CN139" s="408"/>
      <c r="CO139" s="408"/>
      <c r="CP139" s="408"/>
      <c r="CQ139" s="408"/>
      <c r="CR139" s="408"/>
      <c r="CS139" s="408"/>
      <c r="CT139" s="408"/>
      <c r="CU139" s="408"/>
      <c r="CV139" s="408"/>
      <c r="CW139" s="408"/>
      <c r="CX139" s="408"/>
      <c r="CY139" s="408"/>
      <c r="CZ139" s="408"/>
      <c r="DA139" s="408"/>
      <c r="DB139" s="412"/>
      <c r="DC139" s="411"/>
      <c r="DD139" s="408"/>
      <c r="DE139" s="408"/>
      <c r="DF139" s="408"/>
      <c r="DG139" s="408"/>
      <c r="DH139" s="408"/>
      <c r="DI139" s="408"/>
      <c r="DJ139" s="408"/>
      <c r="DK139" s="408"/>
      <c r="DL139" s="408"/>
      <c r="DM139" s="408"/>
      <c r="DN139" s="408"/>
      <c r="DO139" s="408"/>
      <c r="DP139" s="408"/>
      <c r="DQ139" s="408"/>
      <c r="DR139" s="408"/>
      <c r="DS139" s="408"/>
      <c r="DT139" s="408"/>
      <c r="DU139" s="408"/>
      <c r="DV139" s="408"/>
      <c r="DW139" s="408"/>
      <c r="DX139" s="408"/>
      <c r="DY139" s="408"/>
      <c r="DZ139" s="408"/>
      <c r="EA139" s="412"/>
      <c r="EB139" s="411"/>
      <c r="EC139" s="408"/>
      <c r="ED139" s="408"/>
      <c r="EE139" s="408"/>
      <c r="EF139" s="408"/>
      <c r="EG139" s="408"/>
      <c r="EH139" s="408"/>
      <c r="EI139" s="408"/>
      <c r="EJ139" s="408"/>
      <c r="EK139" s="408"/>
      <c r="EL139" s="408"/>
      <c r="EM139" s="408"/>
      <c r="EN139" s="408"/>
      <c r="EO139" s="408"/>
      <c r="EP139" s="408"/>
      <c r="EQ139" s="408"/>
      <c r="ER139" s="408"/>
      <c r="ES139" s="408"/>
      <c r="ET139" s="408"/>
      <c r="EU139" s="408"/>
      <c r="EV139" s="408"/>
      <c r="EW139" s="408"/>
      <c r="EX139" s="408"/>
      <c r="EY139" s="408"/>
      <c r="EZ139" s="412"/>
      <c r="FZ139" s="411"/>
      <c r="GA139" s="408"/>
      <c r="GB139" s="408"/>
      <c r="GC139" s="408"/>
      <c r="GD139" s="408"/>
      <c r="GE139" s="408"/>
      <c r="GF139" s="408"/>
      <c r="GG139" s="408"/>
      <c r="GH139" s="408"/>
      <c r="GI139" s="408"/>
      <c r="GJ139" s="408"/>
      <c r="GK139" s="408"/>
      <c r="GL139" s="408"/>
      <c r="GM139" s="408"/>
      <c r="GN139" s="408"/>
      <c r="GO139" s="408"/>
      <c r="GP139" s="408"/>
      <c r="GQ139" s="408"/>
      <c r="GR139" s="408"/>
      <c r="GS139" s="408"/>
      <c r="GT139" s="408"/>
      <c r="GU139" s="408"/>
      <c r="GV139" s="408"/>
      <c r="GW139" s="408"/>
      <c r="GX139" s="412"/>
      <c r="GY139" s="411"/>
      <c r="GZ139" s="408"/>
      <c r="HA139" s="408"/>
      <c r="HB139" s="408"/>
      <c r="HC139" s="408"/>
      <c r="HD139" s="408"/>
      <c r="HE139" s="408"/>
      <c r="HF139" s="408"/>
      <c r="HG139" s="408"/>
      <c r="HH139" s="408"/>
      <c r="HI139" s="408"/>
      <c r="HJ139" s="408"/>
      <c r="HK139" s="408"/>
      <c r="HL139" s="408"/>
      <c r="HM139" s="408"/>
      <c r="HN139" s="408"/>
      <c r="HO139" s="408"/>
      <c r="HP139" s="408"/>
      <c r="HQ139" s="408"/>
      <c r="HR139" s="408"/>
      <c r="HS139" s="408"/>
      <c r="HT139" s="408"/>
      <c r="HU139" s="408"/>
      <c r="HV139" s="408"/>
      <c r="HW139" s="412"/>
    </row>
    <row r="140" spans="1:231" ht="24" customHeight="1">
      <c r="AF140" s="411"/>
      <c r="AG140" s="408"/>
      <c r="AH140" s="408"/>
      <c r="AI140" s="408"/>
      <c r="AJ140" s="408"/>
      <c r="AK140" s="408"/>
      <c r="AL140" s="408"/>
      <c r="AM140" s="408"/>
      <c r="AN140" s="408"/>
      <c r="AO140" s="408"/>
      <c r="AP140" s="408"/>
      <c r="AQ140" s="408"/>
      <c r="AR140" s="408"/>
      <c r="AS140" s="408"/>
      <c r="AT140" s="408"/>
      <c r="AU140" s="408"/>
      <c r="AV140" s="408"/>
      <c r="AW140" s="408"/>
      <c r="AX140" s="408"/>
      <c r="AY140" s="408"/>
      <c r="AZ140" s="408"/>
      <c r="BA140" s="408"/>
      <c r="BB140" s="408"/>
      <c r="BC140" s="408"/>
      <c r="BD140" s="412"/>
      <c r="BE140" s="411"/>
      <c r="BF140" s="408"/>
      <c r="BG140" s="408"/>
      <c r="BH140" s="408"/>
      <c r="BI140" s="408"/>
      <c r="BJ140" s="408"/>
      <c r="BK140" s="408"/>
      <c r="BL140" s="408"/>
      <c r="BM140" s="408"/>
      <c r="BN140" s="408"/>
      <c r="BO140" s="408"/>
      <c r="BP140" s="408"/>
      <c r="BQ140" s="408"/>
      <c r="BR140" s="408"/>
      <c r="BS140" s="408"/>
      <c r="BT140" s="408"/>
      <c r="BU140" s="408"/>
      <c r="BV140" s="408"/>
      <c r="BW140" s="408"/>
      <c r="BX140" s="408"/>
      <c r="BY140" s="408"/>
      <c r="BZ140" s="408"/>
      <c r="CA140" s="408"/>
      <c r="CB140" s="408"/>
      <c r="CC140" s="412"/>
      <c r="CD140" s="411"/>
      <c r="CE140" s="408"/>
      <c r="CF140" s="408"/>
      <c r="CG140" s="408"/>
      <c r="CH140" s="408"/>
      <c r="CI140" s="408"/>
      <c r="CJ140" s="408"/>
      <c r="CK140" s="408"/>
      <c r="CL140" s="408"/>
      <c r="CM140" s="408"/>
      <c r="CN140" s="408"/>
      <c r="CO140" s="408"/>
      <c r="CP140" s="408"/>
      <c r="CQ140" s="408"/>
      <c r="CR140" s="408"/>
      <c r="CS140" s="408"/>
      <c r="CT140" s="408"/>
      <c r="CU140" s="408"/>
      <c r="CV140" s="408"/>
      <c r="CW140" s="408"/>
      <c r="CX140" s="408"/>
      <c r="CY140" s="408"/>
      <c r="CZ140" s="408"/>
      <c r="DA140" s="408"/>
      <c r="DB140" s="412"/>
      <c r="DC140" s="411"/>
      <c r="DD140" s="408"/>
      <c r="DE140" s="408"/>
      <c r="DF140" s="408"/>
      <c r="DG140" s="408"/>
      <c r="DH140" s="408"/>
      <c r="DI140" s="408"/>
      <c r="DJ140" s="408"/>
      <c r="DK140" s="408"/>
      <c r="DL140" s="408"/>
      <c r="DM140" s="408"/>
      <c r="DN140" s="408"/>
      <c r="DO140" s="408"/>
      <c r="DP140" s="408"/>
      <c r="DQ140" s="408"/>
      <c r="DR140" s="408"/>
      <c r="DS140" s="408"/>
      <c r="DT140" s="408"/>
      <c r="DU140" s="408"/>
      <c r="DV140" s="408"/>
      <c r="DW140" s="408"/>
      <c r="DX140" s="408"/>
      <c r="DY140" s="408"/>
      <c r="DZ140" s="408"/>
      <c r="EA140" s="412"/>
      <c r="EB140" s="411"/>
      <c r="EC140" s="408"/>
      <c r="ED140" s="408"/>
      <c r="EE140" s="408"/>
      <c r="EF140" s="408"/>
      <c r="EG140" s="408"/>
      <c r="EH140" s="408"/>
      <c r="EI140" s="408"/>
      <c r="EJ140" s="408"/>
      <c r="EK140" s="408"/>
      <c r="EL140" s="408"/>
      <c r="EM140" s="408"/>
      <c r="EN140" s="408"/>
      <c r="EO140" s="408"/>
      <c r="EP140" s="408"/>
      <c r="EQ140" s="408"/>
      <c r="ER140" s="408"/>
      <c r="ES140" s="408"/>
      <c r="ET140" s="408"/>
      <c r="EU140" s="408"/>
      <c r="EV140" s="408"/>
      <c r="EW140" s="408"/>
      <c r="EX140" s="408"/>
      <c r="EY140" s="408"/>
      <c r="EZ140" s="412"/>
      <c r="FZ140" s="411"/>
      <c r="GA140" s="408"/>
      <c r="GB140" s="408"/>
      <c r="GC140" s="408"/>
      <c r="GD140" s="408"/>
      <c r="GE140" s="408"/>
      <c r="GF140" s="408"/>
      <c r="GG140" s="408"/>
      <c r="GH140" s="408"/>
      <c r="GI140" s="408"/>
      <c r="GJ140" s="408"/>
      <c r="GK140" s="408"/>
      <c r="GL140" s="408"/>
      <c r="GM140" s="408"/>
      <c r="GN140" s="408"/>
      <c r="GO140" s="408"/>
      <c r="GP140" s="408"/>
      <c r="GQ140" s="408"/>
      <c r="GR140" s="408"/>
      <c r="GS140" s="408"/>
      <c r="GT140" s="408"/>
      <c r="GU140" s="408"/>
      <c r="GV140" s="408"/>
      <c r="GW140" s="408"/>
      <c r="GX140" s="412"/>
      <c r="GY140" s="411"/>
      <c r="GZ140" s="408"/>
      <c r="HA140" s="408"/>
      <c r="HB140" s="408"/>
      <c r="HC140" s="408"/>
      <c r="HD140" s="408"/>
      <c r="HE140" s="408"/>
      <c r="HF140" s="408"/>
      <c r="HG140" s="408"/>
      <c r="HH140" s="408"/>
      <c r="HI140" s="408"/>
      <c r="HJ140" s="408"/>
      <c r="HK140" s="408"/>
      <c r="HL140" s="408"/>
      <c r="HM140" s="408"/>
      <c r="HN140" s="408"/>
      <c r="HO140" s="408"/>
      <c r="HP140" s="408"/>
      <c r="HQ140" s="408"/>
      <c r="HR140" s="408"/>
      <c r="HS140" s="408"/>
      <c r="HT140" s="408"/>
      <c r="HU140" s="408"/>
      <c r="HV140" s="408"/>
      <c r="HW140" s="412"/>
    </row>
    <row r="141" spans="1:231" ht="24" customHeight="1">
      <c r="AF141" s="411"/>
      <c r="AG141" s="408"/>
      <c r="AH141" s="408"/>
      <c r="AI141" s="408"/>
      <c r="AJ141" s="408"/>
      <c r="AK141" s="408"/>
      <c r="AL141" s="408"/>
      <c r="AM141" s="408"/>
      <c r="AN141" s="408"/>
      <c r="AO141" s="408"/>
      <c r="AP141" s="408"/>
      <c r="AQ141" s="408"/>
      <c r="AR141" s="408"/>
      <c r="AS141" s="408"/>
      <c r="AT141" s="408"/>
      <c r="AU141" s="408"/>
      <c r="AV141" s="408"/>
      <c r="AW141" s="408"/>
      <c r="AX141" s="408"/>
      <c r="AY141" s="408"/>
      <c r="AZ141" s="408"/>
      <c r="BA141" s="408"/>
      <c r="BB141" s="408"/>
      <c r="BC141" s="408"/>
      <c r="BD141" s="412"/>
      <c r="BE141" s="411"/>
      <c r="BF141" s="408"/>
      <c r="BG141" s="408"/>
      <c r="BH141" s="408"/>
      <c r="BI141" s="408"/>
      <c r="BJ141" s="408"/>
      <c r="BK141" s="408"/>
      <c r="BL141" s="408"/>
      <c r="BM141" s="408"/>
      <c r="BN141" s="408"/>
      <c r="BO141" s="408"/>
      <c r="BP141" s="408"/>
      <c r="BQ141" s="408"/>
      <c r="BR141" s="408"/>
      <c r="BS141" s="408"/>
      <c r="BT141" s="408"/>
      <c r="BU141" s="408"/>
      <c r="BV141" s="408"/>
      <c r="BW141" s="408"/>
      <c r="BX141" s="408"/>
      <c r="BY141" s="408"/>
      <c r="BZ141" s="408"/>
      <c r="CA141" s="408"/>
      <c r="CB141" s="408"/>
      <c r="CC141" s="412"/>
      <c r="CD141" s="411"/>
      <c r="CE141" s="408"/>
      <c r="CF141" s="408"/>
      <c r="CG141" s="408"/>
      <c r="CH141" s="408"/>
      <c r="CI141" s="408"/>
      <c r="CJ141" s="408"/>
      <c r="CK141" s="408"/>
      <c r="CL141" s="408"/>
      <c r="CM141" s="408"/>
      <c r="CN141" s="408"/>
      <c r="CO141" s="408"/>
      <c r="CP141" s="408"/>
      <c r="CQ141" s="408"/>
      <c r="CR141" s="408"/>
      <c r="CS141" s="408"/>
      <c r="CT141" s="408"/>
      <c r="CU141" s="408"/>
      <c r="CV141" s="408"/>
      <c r="CW141" s="408"/>
      <c r="CX141" s="408"/>
      <c r="CY141" s="408"/>
      <c r="CZ141" s="408"/>
      <c r="DA141" s="408"/>
      <c r="DB141" s="412"/>
      <c r="DC141" s="411"/>
      <c r="DD141" s="408"/>
      <c r="DE141" s="408"/>
      <c r="DF141" s="408"/>
      <c r="DG141" s="408"/>
      <c r="DH141" s="408"/>
      <c r="DI141" s="408"/>
      <c r="DJ141" s="408"/>
      <c r="DK141" s="408"/>
      <c r="DL141" s="408"/>
      <c r="DM141" s="408"/>
      <c r="DN141" s="408"/>
      <c r="DO141" s="408"/>
      <c r="DP141" s="408"/>
      <c r="DQ141" s="408"/>
      <c r="DR141" s="408"/>
      <c r="DS141" s="408"/>
      <c r="DT141" s="408"/>
      <c r="DU141" s="408"/>
      <c r="DV141" s="408"/>
      <c r="DW141" s="408"/>
      <c r="DX141" s="408"/>
      <c r="DY141" s="408"/>
      <c r="DZ141" s="408"/>
      <c r="EA141" s="412"/>
      <c r="EB141" s="411"/>
      <c r="EC141" s="408"/>
      <c r="ED141" s="408"/>
      <c r="EE141" s="408"/>
      <c r="EF141" s="408"/>
      <c r="EG141" s="408"/>
      <c r="EH141" s="408"/>
      <c r="EI141" s="408"/>
      <c r="EJ141" s="408"/>
      <c r="EK141" s="408"/>
      <c r="EL141" s="408"/>
      <c r="EM141" s="408"/>
      <c r="EN141" s="408"/>
      <c r="EO141" s="408"/>
      <c r="EP141" s="408"/>
      <c r="EQ141" s="408"/>
      <c r="ER141" s="408"/>
      <c r="ES141" s="408"/>
      <c r="ET141" s="408"/>
      <c r="EU141" s="408"/>
      <c r="EV141" s="408"/>
      <c r="EW141" s="408"/>
      <c r="EX141" s="408"/>
      <c r="EY141" s="408"/>
      <c r="EZ141" s="412"/>
      <c r="FZ141" s="411"/>
      <c r="GA141" s="408"/>
      <c r="GB141" s="408"/>
      <c r="GC141" s="408"/>
      <c r="GD141" s="408"/>
      <c r="GE141" s="408"/>
      <c r="GF141" s="408"/>
      <c r="GG141" s="408"/>
      <c r="GH141" s="408"/>
      <c r="GI141" s="408"/>
      <c r="GJ141" s="408"/>
      <c r="GK141" s="408"/>
      <c r="GL141" s="408"/>
      <c r="GM141" s="408"/>
      <c r="GN141" s="408"/>
      <c r="GO141" s="408"/>
      <c r="GP141" s="408"/>
      <c r="GQ141" s="408"/>
      <c r="GR141" s="408"/>
      <c r="GS141" s="408"/>
      <c r="GT141" s="408"/>
      <c r="GU141" s="408"/>
      <c r="GV141" s="408"/>
      <c r="GW141" s="408"/>
      <c r="GX141" s="412"/>
      <c r="GY141" s="411"/>
      <c r="GZ141" s="408"/>
      <c r="HA141" s="408"/>
      <c r="HB141" s="408"/>
      <c r="HC141" s="408"/>
      <c r="HD141" s="408"/>
      <c r="HE141" s="408"/>
      <c r="HF141" s="408"/>
      <c r="HG141" s="408"/>
      <c r="HH141" s="408"/>
      <c r="HI141" s="408"/>
      <c r="HJ141" s="408"/>
      <c r="HK141" s="408"/>
      <c r="HL141" s="408"/>
      <c r="HM141" s="408"/>
      <c r="HN141" s="408"/>
      <c r="HO141" s="408"/>
      <c r="HP141" s="408"/>
      <c r="HQ141" s="408"/>
      <c r="HR141" s="408"/>
      <c r="HS141" s="408"/>
      <c r="HT141" s="408"/>
      <c r="HU141" s="408"/>
      <c r="HV141" s="408"/>
      <c r="HW141" s="412"/>
    </row>
    <row r="142" spans="1:231" ht="24" customHeight="1">
      <c r="AF142" s="411"/>
      <c r="AG142" s="408"/>
      <c r="AH142" s="408"/>
      <c r="AI142" s="408"/>
      <c r="AJ142" s="408"/>
      <c r="AK142" s="408"/>
      <c r="AL142" s="408"/>
      <c r="AM142" s="408"/>
      <c r="AN142" s="408"/>
      <c r="AO142" s="408"/>
      <c r="AP142" s="408"/>
      <c r="AQ142" s="408"/>
      <c r="AR142" s="408"/>
      <c r="AS142" s="408"/>
      <c r="AT142" s="408"/>
      <c r="AU142" s="408"/>
      <c r="AV142" s="408"/>
      <c r="AW142" s="408"/>
      <c r="AX142" s="408"/>
      <c r="AY142" s="408"/>
      <c r="AZ142" s="408"/>
      <c r="BA142" s="408"/>
      <c r="BB142" s="408"/>
      <c r="BC142" s="408"/>
      <c r="BD142" s="412"/>
      <c r="BE142" s="411"/>
      <c r="BF142" s="408"/>
      <c r="BG142" s="408"/>
      <c r="BH142" s="408"/>
      <c r="BI142" s="408"/>
      <c r="BJ142" s="408"/>
      <c r="BK142" s="408"/>
      <c r="BL142" s="408"/>
      <c r="BM142" s="408"/>
      <c r="BN142" s="408"/>
      <c r="BO142" s="408"/>
      <c r="BP142" s="408"/>
      <c r="BQ142" s="408"/>
      <c r="BR142" s="408"/>
      <c r="BS142" s="408"/>
      <c r="BT142" s="408"/>
      <c r="BU142" s="408"/>
      <c r="BV142" s="408"/>
      <c r="BW142" s="408"/>
      <c r="BX142" s="408"/>
      <c r="BY142" s="408"/>
      <c r="BZ142" s="408"/>
      <c r="CA142" s="408"/>
      <c r="CB142" s="408"/>
      <c r="CC142" s="412"/>
      <c r="CD142" s="411"/>
      <c r="CE142" s="408"/>
      <c r="CF142" s="408"/>
      <c r="CG142" s="408"/>
      <c r="CH142" s="408"/>
      <c r="CI142" s="408"/>
      <c r="CJ142" s="408"/>
      <c r="CK142" s="408"/>
      <c r="CL142" s="408"/>
      <c r="CM142" s="408"/>
      <c r="CN142" s="408"/>
      <c r="CO142" s="408"/>
      <c r="CP142" s="408"/>
      <c r="CQ142" s="408"/>
      <c r="CR142" s="408"/>
      <c r="CS142" s="408"/>
      <c r="CT142" s="408"/>
      <c r="CU142" s="408"/>
      <c r="CV142" s="408"/>
      <c r="CW142" s="408"/>
      <c r="CX142" s="408"/>
      <c r="CY142" s="408"/>
      <c r="CZ142" s="408"/>
      <c r="DA142" s="408"/>
      <c r="DB142" s="412"/>
      <c r="DC142" s="411"/>
      <c r="DD142" s="408"/>
      <c r="DE142" s="408"/>
      <c r="DF142" s="408"/>
      <c r="DG142" s="408"/>
      <c r="DH142" s="408"/>
      <c r="DI142" s="408"/>
      <c r="DJ142" s="408"/>
      <c r="DK142" s="408"/>
      <c r="DL142" s="408"/>
      <c r="DM142" s="408"/>
      <c r="DN142" s="408"/>
      <c r="DO142" s="408"/>
      <c r="DP142" s="408"/>
      <c r="DQ142" s="408"/>
      <c r="DR142" s="408"/>
      <c r="DS142" s="408"/>
      <c r="DT142" s="408"/>
      <c r="DU142" s="408"/>
      <c r="DV142" s="408"/>
      <c r="DW142" s="408"/>
      <c r="DX142" s="408"/>
      <c r="DY142" s="408"/>
      <c r="DZ142" s="408"/>
      <c r="EA142" s="412"/>
      <c r="EB142" s="411"/>
      <c r="EC142" s="408"/>
      <c r="ED142" s="408"/>
      <c r="EE142" s="408"/>
      <c r="EF142" s="408"/>
      <c r="EG142" s="408"/>
      <c r="EH142" s="408"/>
      <c r="EI142" s="408"/>
      <c r="EJ142" s="408"/>
      <c r="EK142" s="408"/>
      <c r="EL142" s="408"/>
      <c r="EM142" s="408"/>
      <c r="EN142" s="408"/>
      <c r="EO142" s="408"/>
      <c r="EP142" s="408"/>
      <c r="EQ142" s="408"/>
      <c r="ER142" s="408"/>
      <c r="ES142" s="408"/>
      <c r="ET142" s="408"/>
      <c r="EU142" s="408"/>
      <c r="EV142" s="408"/>
      <c r="EW142" s="408"/>
      <c r="EX142" s="408"/>
      <c r="EY142" s="408"/>
      <c r="EZ142" s="412"/>
      <c r="FZ142" s="411"/>
      <c r="GA142" s="408"/>
      <c r="GB142" s="408"/>
      <c r="GC142" s="408"/>
      <c r="GD142" s="408"/>
      <c r="GE142" s="408"/>
      <c r="GF142" s="408"/>
      <c r="GG142" s="408"/>
      <c r="GH142" s="408"/>
      <c r="GI142" s="408"/>
      <c r="GJ142" s="408"/>
      <c r="GK142" s="408"/>
      <c r="GL142" s="408"/>
      <c r="GM142" s="408"/>
      <c r="GN142" s="408"/>
      <c r="GO142" s="408"/>
      <c r="GP142" s="408"/>
      <c r="GQ142" s="408"/>
      <c r="GR142" s="408"/>
      <c r="GS142" s="408"/>
      <c r="GT142" s="408"/>
      <c r="GU142" s="408"/>
      <c r="GV142" s="408"/>
      <c r="GW142" s="408"/>
      <c r="GX142" s="412"/>
      <c r="GY142" s="411"/>
      <c r="GZ142" s="408"/>
      <c r="HA142" s="408"/>
      <c r="HB142" s="408"/>
      <c r="HC142" s="408"/>
      <c r="HD142" s="408"/>
      <c r="HE142" s="408"/>
      <c r="HF142" s="408"/>
      <c r="HG142" s="408"/>
      <c r="HH142" s="408"/>
      <c r="HI142" s="408"/>
      <c r="HJ142" s="408"/>
      <c r="HK142" s="408"/>
      <c r="HL142" s="408"/>
      <c r="HM142" s="408"/>
      <c r="HN142" s="408"/>
      <c r="HO142" s="408"/>
      <c r="HP142" s="408"/>
      <c r="HQ142" s="408"/>
      <c r="HR142" s="408"/>
      <c r="HS142" s="408"/>
      <c r="HT142" s="408"/>
      <c r="HU142" s="408"/>
      <c r="HV142" s="408"/>
      <c r="HW142" s="412"/>
    </row>
    <row r="143" spans="1:231" ht="24" customHeight="1">
      <c r="AF143" s="411"/>
      <c r="AG143" s="408"/>
      <c r="AH143" s="408"/>
      <c r="AI143" s="408"/>
      <c r="AJ143" s="408"/>
      <c r="AK143" s="408"/>
      <c r="AL143" s="408"/>
      <c r="AM143" s="408"/>
      <c r="AN143" s="408"/>
      <c r="AO143" s="408"/>
      <c r="AP143" s="408"/>
      <c r="AQ143" s="408"/>
      <c r="AR143" s="408"/>
      <c r="AS143" s="408"/>
      <c r="AT143" s="408"/>
      <c r="AU143" s="408"/>
      <c r="AV143" s="408"/>
      <c r="AW143" s="408"/>
      <c r="AX143" s="408"/>
      <c r="AY143" s="408"/>
      <c r="AZ143" s="408"/>
      <c r="BA143" s="408"/>
      <c r="BB143" s="408"/>
      <c r="BC143" s="408"/>
      <c r="BD143" s="412"/>
      <c r="BE143" s="411"/>
      <c r="BF143" s="408"/>
      <c r="BG143" s="408"/>
      <c r="BH143" s="408"/>
      <c r="BI143" s="408"/>
      <c r="BJ143" s="408"/>
      <c r="BK143" s="408"/>
      <c r="BL143" s="408"/>
      <c r="BM143" s="408"/>
      <c r="BN143" s="408"/>
      <c r="BO143" s="408"/>
      <c r="BP143" s="408"/>
      <c r="BQ143" s="408"/>
      <c r="BR143" s="408"/>
      <c r="BS143" s="408"/>
      <c r="BT143" s="408"/>
      <c r="BU143" s="408"/>
      <c r="BV143" s="408"/>
      <c r="BW143" s="408"/>
      <c r="BX143" s="408"/>
      <c r="BY143" s="408"/>
      <c r="BZ143" s="408"/>
      <c r="CA143" s="408"/>
      <c r="CB143" s="408"/>
      <c r="CC143" s="412"/>
      <c r="CD143" s="411"/>
      <c r="CE143" s="408"/>
      <c r="CF143" s="408"/>
      <c r="CG143" s="408"/>
      <c r="CH143" s="408"/>
      <c r="CI143" s="408"/>
      <c r="CJ143" s="408"/>
      <c r="CK143" s="408"/>
      <c r="CL143" s="408"/>
      <c r="CM143" s="408"/>
      <c r="CN143" s="408"/>
      <c r="CO143" s="408"/>
      <c r="CP143" s="408"/>
      <c r="CQ143" s="408"/>
      <c r="CR143" s="408"/>
      <c r="CS143" s="408"/>
      <c r="CT143" s="408"/>
      <c r="CU143" s="408"/>
      <c r="CV143" s="408"/>
      <c r="CW143" s="408"/>
      <c r="CX143" s="408"/>
      <c r="CY143" s="408"/>
      <c r="CZ143" s="408"/>
      <c r="DA143" s="408"/>
      <c r="DB143" s="412"/>
      <c r="DC143" s="411"/>
      <c r="DD143" s="408"/>
      <c r="DE143" s="408"/>
      <c r="DF143" s="408"/>
      <c r="DG143" s="408"/>
      <c r="DH143" s="408"/>
      <c r="DI143" s="408"/>
      <c r="DJ143" s="408"/>
      <c r="DK143" s="408"/>
      <c r="DL143" s="408"/>
      <c r="DM143" s="408"/>
      <c r="DN143" s="408"/>
      <c r="DO143" s="408"/>
      <c r="DP143" s="408"/>
      <c r="DQ143" s="408"/>
      <c r="DR143" s="408"/>
      <c r="DS143" s="408"/>
      <c r="DT143" s="408"/>
      <c r="DU143" s="408"/>
      <c r="DV143" s="408"/>
      <c r="DW143" s="408"/>
      <c r="DX143" s="408"/>
      <c r="DY143" s="408"/>
      <c r="DZ143" s="408"/>
      <c r="EA143" s="412"/>
      <c r="EB143" s="411"/>
      <c r="EC143" s="408"/>
      <c r="ED143" s="408"/>
      <c r="EE143" s="408"/>
      <c r="EF143" s="408"/>
      <c r="EG143" s="408"/>
      <c r="EH143" s="408"/>
      <c r="EI143" s="408"/>
      <c r="EJ143" s="408"/>
      <c r="EK143" s="408"/>
      <c r="EL143" s="408"/>
      <c r="EM143" s="408"/>
      <c r="EN143" s="408"/>
      <c r="EO143" s="408"/>
      <c r="EP143" s="408"/>
      <c r="EQ143" s="408"/>
      <c r="ER143" s="408"/>
      <c r="ES143" s="408"/>
      <c r="ET143" s="408"/>
      <c r="EU143" s="408"/>
      <c r="EV143" s="408"/>
      <c r="EW143" s="408"/>
      <c r="EX143" s="408"/>
      <c r="EY143" s="408"/>
      <c r="EZ143" s="412"/>
      <c r="FZ143" s="411"/>
      <c r="GA143" s="408"/>
      <c r="GB143" s="408"/>
      <c r="GC143" s="408"/>
      <c r="GD143" s="408"/>
      <c r="GE143" s="408"/>
      <c r="GF143" s="408"/>
      <c r="GG143" s="408"/>
      <c r="GH143" s="408"/>
      <c r="GI143" s="408"/>
      <c r="GJ143" s="408"/>
      <c r="GK143" s="408"/>
      <c r="GL143" s="408"/>
      <c r="GM143" s="408"/>
      <c r="GN143" s="408"/>
      <c r="GO143" s="408"/>
      <c r="GP143" s="408"/>
      <c r="GQ143" s="408"/>
      <c r="GR143" s="408"/>
      <c r="GS143" s="408"/>
      <c r="GT143" s="408"/>
      <c r="GU143" s="408"/>
      <c r="GV143" s="408"/>
      <c r="GW143" s="408"/>
      <c r="GX143" s="412"/>
      <c r="GY143" s="411"/>
      <c r="GZ143" s="408"/>
      <c r="HA143" s="408"/>
      <c r="HB143" s="408"/>
      <c r="HC143" s="408"/>
      <c r="HD143" s="408"/>
      <c r="HE143" s="408"/>
      <c r="HF143" s="408"/>
      <c r="HG143" s="408"/>
      <c r="HH143" s="408"/>
      <c r="HI143" s="408"/>
      <c r="HJ143" s="408"/>
      <c r="HK143" s="408"/>
      <c r="HL143" s="408"/>
      <c r="HM143" s="408"/>
      <c r="HN143" s="408"/>
      <c r="HO143" s="408"/>
      <c r="HP143" s="408"/>
      <c r="HQ143" s="408"/>
      <c r="HR143" s="408"/>
      <c r="HS143" s="408"/>
      <c r="HT143" s="408"/>
      <c r="HU143" s="408"/>
      <c r="HV143" s="408"/>
      <c r="HW143" s="412"/>
    </row>
    <row r="144" spans="1:231" ht="24" customHeight="1">
      <c r="AF144" s="411"/>
      <c r="AG144" s="408"/>
      <c r="AH144" s="408"/>
      <c r="AI144" s="408"/>
      <c r="AJ144" s="408"/>
      <c r="AK144" s="408"/>
      <c r="AL144" s="408"/>
      <c r="AM144" s="408"/>
      <c r="AN144" s="408"/>
      <c r="AO144" s="408"/>
      <c r="AP144" s="408"/>
      <c r="AQ144" s="408"/>
      <c r="AR144" s="408"/>
      <c r="AS144" s="408"/>
      <c r="AT144" s="408"/>
      <c r="AU144" s="408"/>
      <c r="AV144" s="408"/>
      <c r="AW144" s="408"/>
      <c r="AX144" s="408"/>
      <c r="AY144" s="408"/>
      <c r="AZ144" s="408"/>
      <c r="BA144" s="408"/>
      <c r="BB144" s="408"/>
      <c r="BC144" s="408"/>
      <c r="BD144" s="412"/>
      <c r="BE144" s="411"/>
      <c r="BF144" s="408"/>
      <c r="BG144" s="408"/>
      <c r="BH144" s="408"/>
      <c r="BI144" s="408"/>
      <c r="BJ144" s="408"/>
      <c r="BK144" s="408"/>
      <c r="BL144" s="408"/>
      <c r="BM144" s="408"/>
      <c r="BN144" s="408"/>
      <c r="BO144" s="408"/>
      <c r="BP144" s="408"/>
      <c r="BQ144" s="408"/>
      <c r="BR144" s="408"/>
      <c r="BS144" s="408"/>
      <c r="BT144" s="408"/>
      <c r="BU144" s="408"/>
      <c r="BV144" s="408"/>
      <c r="BW144" s="408"/>
      <c r="BX144" s="408"/>
      <c r="BY144" s="408"/>
      <c r="BZ144" s="408"/>
      <c r="CA144" s="408"/>
      <c r="CB144" s="408"/>
      <c r="CC144" s="412"/>
      <c r="CD144" s="411"/>
      <c r="CE144" s="408"/>
      <c r="CF144" s="408"/>
      <c r="CG144" s="408"/>
      <c r="CH144" s="408"/>
      <c r="CI144" s="408"/>
      <c r="CJ144" s="408"/>
      <c r="CK144" s="408"/>
      <c r="CL144" s="408"/>
      <c r="CM144" s="408"/>
      <c r="CN144" s="408"/>
      <c r="CO144" s="408"/>
      <c r="CP144" s="408"/>
      <c r="CQ144" s="408"/>
      <c r="CR144" s="408"/>
      <c r="CS144" s="408"/>
      <c r="CT144" s="408"/>
      <c r="CU144" s="408"/>
      <c r="CV144" s="408"/>
      <c r="CW144" s="408"/>
      <c r="CX144" s="408"/>
      <c r="CY144" s="408"/>
      <c r="CZ144" s="408"/>
      <c r="DA144" s="408"/>
      <c r="DB144" s="412"/>
      <c r="DC144" s="411"/>
      <c r="DD144" s="408"/>
      <c r="DE144" s="408"/>
      <c r="DF144" s="408"/>
      <c r="DG144" s="408"/>
      <c r="DH144" s="408"/>
      <c r="DI144" s="408"/>
      <c r="DJ144" s="408"/>
      <c r="DK144" s="408"/>
      <c r="DL144" s="408"/>
      <c r="DM144" s="408"/>
      <c r="DN144" s="408"/>
      <c r="DO144" s="408"/>
      <c r="DP144" s="408"/>
      <c r="DQ144" s="408"/>
      <c r="DR144" s="408"/>
      <c r="DS144" s="408"/>
      <c r="DT144" s="408"/>
      <c r="DU144" s="408"/>
      <c r="DV144" s="408"/>
      <c r="DW144" s="408"/>
      <c r="DX144" s="408"/>
      <c r="DY144" s="408"/>
      <c r="DZ144" s="408"/>
      <c r="EA144" s="412"/>
      <c r="EB144" s="411"/>
      <c r="EC144" s="408"/>
      <c r="ED144" s="408"/>
      <c r="EE144" s="408"/>
      <c r="EF144" s="408"/>
      <c r="EG144" s="408"/>
      <c r="EH144" s="408"/>
      <c r="EI144" s="408"/>
      <c r="EJ144" s="408"/>
      <c r="EK144" s="408"/>
      <c r="EL144" s="408"/>
      <c r="EM144" s="408"/>
      <c r="EN144" s="408"/>
      <c r="EO144" s="408"/>
      <c r="EP144" s="408"/>
      <c r="EQ144" s="408"/>
      <c r="ER144" s="408"/>
      <c r="ES144" s="408"/>
      <c r="ET144" s="408"/>
      <c r="EU144" s="408"/>
      <c r="EV144" s="408"/>
      <c r="EW144" s="408"/>
      <c r="EX144" s="408"/>
      <c r="EY144" s="408"/>
      <c r="EZ144" s="412"/>
      <c r="FZ144" s="411"/>
      <c r="GA144" s="408"/>
      <c r="GB144" s="408"/>
      <c r="GC144" s="408"/>
      <c r="GD144" s="408"/>
      <c r="GE144" s="408"/>
      <c r="GF144" s="408"/>
      <c r="GG144" s="408"/>
      <c r="GH144" s="408"/>
      <c r="GI144" s="408"/>
      <c r="GJ144" s="408"/>
      <c r="GK144" s="408"/>
      <c r="GL144" s="408"/>
      <c r="GM144" s="408"/>
      <c r="GN144" s="408"/>
      <c r="GO144" s="408"/>
      <c r="GP144" s="408"/>
      <c r="GQ144" s="408"/>
      <c r="GR144" s="408"/>
      <c r="GS144" s="408"/>
      <c r="GT144" s="408"/>
      <c r="GU144" s="408"/>
      <c r="GV144" s="408"/>
      <c r="GW144" s="408"/>
      <c r="GX144" s="412"/>
      <c r="GY144" s="411"/>
      <c r="GZ144" s="408"/>
      <c r="HA144" s="408"/>
      <c r="HB144" s="408"/>
      <c r="HC144" s="408"/>
      <c r="HD144" s="408"/>
      <c r="HE144" s="408"/>
      <c r="HF144" s="408"/>
      <c r="HG144" s="408"/>
      <c r="HH144" s="408"/>
      <c r="HI144" s="408"/>
      <c r="HJ144" s="408"/>
      <c r="HK144" s="408"/>
      <c r="HL144" s="408"/>
      <c r="HM144" s="408"/>
      <c r="HN144" s="408"/>
      <c r="HO144" s="408"/>
      <c r="HP144" s="408"/>
      <c r="HQ144" s="408"/>
      <c r="HR144" s="408"/>
      <c r="HS144" s="408"/>
      <c r="HT144" s="408"/>
      <c r="HU144" s="408"/>
      <c r="HV144" s="408"/>
      <c r="HW144" s="412"/>
    </row>
    <row r="145" spans="32:231" ht="24" customHeight="1">
      <c r="AF145" s="411"/>
      <c r="AG145" s="408"/>
      <c r="AH145" s="408"/>
      <c r="AI145" s="408"/>
      <c r="AJ145" s="408"/>
      <c r="AK145" s="408"/>
      <c r="AL145" s="408"/>
      <c r="AM145" s="408"/>
      <c r="AN145" s="408"/>
      <c r="AO145" s="408"/>
      <c r="AP145" s="408"/>
      <c r="AQ145" s="408"/>
      <c r="AR145" s="408"/>
      <c r="AS145" s="408"/>
      <c r="AT145" s="408"/>
      <c r="AU145" s="408"/>
      <c r="AV145" s="408"/>
      <c r="AW145" s="408"/>
      <c r="AX145" s="408"/>
      <c r="AY145" s="408"/>
      <c r="AZ145" s="408"/>
      <c r="BA145" s="408"/>
      <c r="BB145" s="408"/>
      <c r="BC145" s="408"/>
      <c r="BD145" s="412"/>
      <c r="BE145" s="411"/>
      <c r="BF145" s="408"/>
      <c r="BG145" s="408"/>
      <c r="BH145" s="408"/>
      <c r="BI145" s="408"/>
      <c r="BJ145" s="408"/>
      <c r="BK145" s="408"/>
      <c r="BL145" s="408"/>
      <c r="BM145" s="408"/>
      <c r="BN145" s="408"/>
      <c r="BO145" s="408"/>
      <c r="BP145" s="408"/>
      <c r="BQ145" s="408"/>
      <c r="BR145" s="408"/>
      <c r="BS145" s="408"/>
      <c r="BT145" s="408"/>
      <c r="BU145" s="408"/>
      <c r="BV145" s="408"/>
      <c r="BW145" s="408"/>
      <c r="BX145" s="408"/>
      <c r="BY145" s="408"/>
      <c r="BZ145" s="408"/>
      <c r="CA145" s="408"/>
      <c r="CB145" s="408"/>
      <c r="CC145" s="412"/>
      <c r="CD145" s="411"/>
      <c r="CE145" s="408"/>
      <c r="CF145" s="408"/>
      <c r="CG145" s="408"/>
      <c r="CH145" s="408"/>
      <c r="CI145" s="408"/>
      <c r="CJ145" s="408"/>
      <c r="CK145" s="408"/>
      <c r="CL145" s="408"/>
      <c r="CM145" s="408"/>
      <c r="CN145" s="408"/>
      <c r="CO145" s="408"/>
      <c r="CP145" s="408"/>
      <c r="CQ145" s="408"/>
      <c r="CR145" s="408"/>
      <c r="CS145" s="408"/>
      <c r="CT145" s="408"/>
      <c r="CU145" s="408"/>
      <c r="CV145" s="408"/>
      <c r="CW145" s="408"/>
      <c r="CX145" s="408"/>
      <c r="CY145" s="408"/>
      <c r="CZ145" s="408"/>
      <c r="DA145" s="408"/>
      <c r="DB145" s="412"/>
      <c r="DC145" s="411"/>
      <c r="DD145" s="408"/>
      <c r="DE145" s="408"/>
      <c r="DF145" s="408"/>
      <c r="DG145" s="408"/>
      <c r="DH145" s="408"/>
      <c r="DI145" s="408"/>
      <c r="DJ145" s="408"/>
      <c r="DK145" s="408"/>
      <c r="DL145" s="408"/>
      <c r="DM145" s="408"/>
      <c r="DN145" s="408"/>
      <c r="DO145" s="408"/>
      <c r="DP145" s="408"/>
      <c r="DQ145" s="408"/>
      <c r="DR145" s="408"/>
      <c r="DS145" s="408"/>
      <c r="DT145" s="408"/>
      <c r="DU145" s="408"/>
      <c r="DV145" s="408"/>
      <c r="DW145" s="408"/>
      <c r="DX145" s="408"/>
      <c r="DY145" s="408"/>
      <c r="DZ145" s="408"/>
      <c r="EA145" s="412"/>
      <c r="EB145" s="411"/>
      <c r="EC145" s="408"/>
      <c r="ED145" s="408"/>
      <c r="EE145" s="408"/>
      <c r="EF145" s="408"/>
      <c r="EG145" s="408"/>
      <c r="EH145" s="408"/>
      <c r="EI145" s="408"/>
      <c r="EJ145" s="408"/>
      <c r="EK145" s="408"/>
      <c r="EL145" s="408"/>
      <c r="EM145" s="408"/>
      <c r="EN145" s="408"/>
      <c r="EO145" s="408"/>
      <c r="EP145" s="408"/>
      <c r="EQ145" s="408"/>
      <c r="ER145" s="408"/>
      <c r="ES145" s="408"/>
      <c r="ET145" s="408"/>
      <c r="EU145" s="408"/>
      <c r="EV145" s="408"/>
      <c r="EW145" s="408"/>
      <c r="EX145" s="408"/>
      <c r="EY145" s="408"/>
      <c r="EZ145" s="412"/>
      <c r="FZ145" s="411"/>
      <c r="GA145" s="408"/>
      <c r="GB145" s="408"/>
      <c r="GC145" s="408"/>
      <c r="GD145" s="408"/>
      <c r="GE145" s="408"/>
      <c r="GF145" s="408"/>
      <c r="GG145" s="408"/>
      <c r="GH145" s="408"/>
      <c r="GI145" s="408"/>
      <c r="GJ145" s="408"/>
      <c r="GK145" s="408"/>
      <c r="GL145" s="408"/>
      <c r="GM145" s="408"/>
      <c r="GN145" s="408"/>
      <c r="GO145" s="408"/>
      <c r="GP145" s="408"/>
      <c r="GQ145" s="408"/>
      <c r="GR145" s="408"/>
      <c r="GS145" s="408"/>
      <c r="GT145" s="408"/>
      <c r="GU145" s="408"/>
      <c r="GV145" s="408"/>
      <c r="GW145" s="408"/>
      <c r="GX145" s="412"/>
      <c r="GY145" s="411"/>
      <c r="GZ145" s="408"/>
      <c r="HA145" s="408"/>
      <c r="HB145" s="408"/>
      <c r="HC145" s="408"/>
      <c r="HD145" s="408"/>
      <c r="HE145" s="408"/>
      <c r="HF145" s="408"/>
      <c r="HG145" s="408"/>
      <c r="HH145" s="408"/>
      <c r="HI145" s="408"/>
      <c r="HJ145" s="408"/>
      <c r="HK145" s="408"/>
      <c r="HL145" s="408"/>
      <c r="HM145" s="408"/>
      <c r="HN145" s="408"/>
      <c r="HO145" s="408"/>
      <c r="HP145" s="408"/>
      <c r="HQ145" s="408"/>
      <c r="HR145" s="408"/>
      <c r="HS145" s="408"/>
      <c r="HT145" s="408"/>
      <c r="HU145" s="408"/>
      <c r="HV145" s="408"/>
      <c r="HW145" s="412"/>
    </row>
    <row r="146" spans="32:231" ht="24" customHeight="1">
      <c r="AF146" s="411"/>
      <c r="AG146" s="408"/>
      <c r="AH146" s="408"/>
      <c r="AI146" s="408"/>
      <c r="AJ146" s="408"/>
      <c r="AK146" s="408"/>
      <c r="AL146" s="408"/>
      <c r="AM146" s="408"/>
      <c r="AN146" s="408"/>
      <c r="AO146" s="408"/>
      <c r="AP146" s="408"/>
      <c r="AQ146" s="408"/>
      <c r="AR146" s="408"/>
      <c r="AS146" s="408"/>
      <c r="AT146" s="408"/>
      <c r="AU146" s="408"/>
      <c r="AV146" s="408"/>
      <c r="AW146" s="408"/>
      <c r="AX146" s="408"/>
      <c r="AY146" s="408"/>
      <c r="AZ146" s="408"/>
      <c r="BA146" s="408"/>
      <c r="BB146" s="408"/>
      <c r="BC146" s="408"/>
      <c r="BD146" s="412"/>
      <c r="BE146" s="411"/>
      <c r="BF146" s="408"/>
      <c r="BG146" s="408"/>
      <c r="BH146" s="408"/>
      <c r="BI146" s="408"/>
      <c r="BJ146" s="408"/>
      <c r="BK146" s="408"/>
      <c r="BL146" s="408"/>
      <c r="BM146" s="408"/>
      <c r="BN146" s="408"/>
      <c r="BO146" s="408"/>
      <c r="BP146" s="408"/>
      <c r="BQ146" s="408"/>
      <c r="BR146" s="408"/>
      <c r="BS146" s="408"/>
      <c r="BT146" s="408"/>
      <c r="BU146" s="408"/>
      <c r="BV146" s="408"/>
      <c r="BW146" s="408"/>
      <c r="BX146" s="408"/>
      <c r="BY146" s="408"/>
      <c r="BZ146" s="408"/>
      <c r="CA146" s="408"/>
      <c r="CB146" s="408"/>
      <c r="CC146" s="412"/>
      <c r="CD146" s="411"/>
      <c r="CE146" s="408"/>
      <c r="CF146" s="408"/>
      <c r="CG146" s="408"/>
      <c r="CH146" s="408"/>
      <c r="CI146" s="408"/>
      <c r="CJ146" s="408"/>
      <c r="CK146" s="408"/>
      <c r="CL146" s="408"/>
      <c r="CM146" s="408"/>
      <c r="CN146" s="408"/>
      <c r="CO146" s="408"/>
      <c r="CP146" s="408"/>
      <c r="CQ146" s="408"/>
      <c r="CR146" s="408"/>
      <c r="CS146" s="408"/>
      <c r="CT146" s="408"/>
      <c r="CU146" s="408"/>
      <c r="CV146" s="408"/>
      <c r="CW146" s="408"/>
      <c r="CX146" s="408"/>
      <c r="CY146" s="408"/>
      <c r="CZ146" s="408"/>
      <c r="DA146" s="408"/>
      <c r="DB146" s="412"/>
      <c r="DC146" s="411"/>
      <c r="DD146" s="408"/>
      <c r="DE146" s="408"/>
      <c r="DF146" s="408"/>
      <c r="DG146" s="408"/>
      <c r="DH146" s="408"/>
      <c r="DI146" s="408"/>
      <c r="DJ146" s="408"/>
      <c r="DK146" s="408"/>
      <c r="DL146" s="408"/>
      <c r="DM146" s="408"/>
      <c r="DN146" s="408"/>
      <c r="DO146" s="408"/>
      <c r="DP146" s="408"/>
      <c r="DQ146" s="408"/>
      <c r="DR146" s="408"/>
      <c r="DS146" s="408"/>
      <c r="DT146" s="408"/>
      <c r="DU146" s="408"/>
      <c r="DV146" s="408"/>
      <c r="DW146" s="408"/>
      <c r="DX146" s="408"/>
      <c r="DY146" s="408"/>
      <c r="DZ146" s="408"/>
      <c r="EA146" s="412"/>
      <c r="EB146" s="411"/>
      <c r="EC146" s="408"/>
      <c r="ED146" s="408"/>
      <c r="EE146" s="408"/>
      <c r="EF146" s="408"/>
      <c r="EG146" s="408"/>
      <c r="EH146" s="408"/>
      <c r="EI146" s="408"/>
      <c r="EJ146" s="408"/>
      <c r="EK146" s="408"/>
      <c r="EL146" s="408"/>
      <c r="EM146" s="408"/>
      <c r="EN146" s="408"/>
      <c r="EO146" s="408"/>
      <c r="EP146" s="408"/>
      <c r="EQ146" s="408"/>
      <c r="ER146" s="408"/>
      <c r="ES146" s="408"/>
      <c r="ET146" s="408"/>
      <c r="EU146" s="408"/>
      <c r="EV146" s="408"/>
      <c r="EW146" s="408"/>
      <c r="EX146" s="408"/>
      <c r="EY146" s="408"/>
      <c r="EZ146" s="412"/>
      <c r="FZ146" s="411"/>
      <c r="GA146" s="408"/>
      <c r="GB146" s="408"/>
      <c r="GC146" s="408"/>
      <c r="GD146" s="408"/>
      <c r="GE146" s="408"/>
      <c r="GF146" s="408"/>
      <c r="GG146" s="408"/>
      <c r="GH146" s="408"/>
      <c r="GI146" s="408"/>
      <c r="GJ146" s="408"/>
      <c r="GK146" s="408"/>
      <c r="GL146" s="408"/>
      <c r="GM146" s="408"/>
      <c r="GN146" s="408"/>
      <c r="GO146" s="408"/>
      <c r="GP146" s="408"/>
      <c r="GQ146" s="408"/>
      <c r="GR146" s="408"/>
      <c r="GS146" s="408"/>
      <c r="GT146" s="408"/>
      <c r="GU146" s="408"/>
      <c r="GV146" s="408"/>
      <c r="GW146" s="408"/>
      <c r="GX146" s="412"/>
      <c r="GY146" s="411"/>
      <c r="GZ146" s="408"/>
      <c r="HA146" s="408"/>
      <c r="HB146" s="408"/>
      <c r="HC146" s="408"/>
      <c r="HD146" s="408"/>
      <c r="HE146" s="408"/>
      <c r="HF146" s="408"/>
      <c r="HG146" s="408"/>
      <c r="HH146" s="408"/>
      <c r="HI146" s="408"/>
      <c r="HJ146" s="408"/>
      <c r="HK146" s="408"/>
      <c r="HL146" s="408"/>
      <c r="HM146" s="408"/>
      <c r="HN146" s="408"/>
      <c r="HO146" s="408"/>
      <c r="HP146" s="408"/>
      <c r="HQ146" s="408"/>
      <c r="HR146" s="408"/>
      <c r="HS146" s="408"/>
      <c r="HT146" s="408"/>
      <c r="HU146" s="408"/>
      <c r="HV146" s="408"/>
      <c r="HW146" s="412"/>
    </row>
    <row r="147" spans="32:231" ht="24" customHeight="1">
      <c r="AF147" s="411"/>
      <c r="AG147" s="408"/>
      <c r="AH147" s="408"/>
      <c r="AI147" s="408"/>
      <c r="AJ147" s="408"/>
      <c r="AK147" s="408"/>
      <c r="AL147" s="408"/>
      <c r="AM147" s="408"/>
      <c r="AN147" s="408"/>
      <c r="AO147" s="408"/>
      <c r="AP147" s="408"/>
      <c r="AQ147" s="408"/>
      <c r="AR147" s="408"/>
      <c r="AS147" s="408"/>
      <c r="AT147" s="408"/>
      <c r="AU147" s="408"/>
      <c r="AV147" s="408"/>
      <c r="AW147" s="408"/>
      <c r="AX147" s="408"/>
      <c r="AY147" s="408"/>
      <c r="AZ147" s="408"/>
      <c r="BA147" s="408"/>
      <c r="BB147" s="408"/>
      <c r="BC147" s="408"/>
      <c r="BD147" s="412"/>
      <c r="BE147" s="411"/>
      <c r="BF147" s="408"/>
      <c r="BG147" s="408"/>
      <c r="BH147" s="408"/>
      <c r="BI147" s="408"/>
      <c r="BJ147" s="408"/>
      <c r="BK147" s="408"/>
      <c r="BL147" s="408"/>
      <c r="BM147" s="408"/>
      <c r="BN147" s="408"/>
      <c r="BO147" s="408"/>
      <c r="BP147" s="408"/>
      <c r="BQ147" s="408"/>
      <c r="BR147" s="408"/>
      <c r="BS147" s="408"/>
      <c r="BT147" s="408"/>
      <c r="BU147" s="408"/>
      <c r="BV147" s="408"/>
      <c r="BW147" s="408"/>
      <c r="BX147" s="408"/>
      <c r="BY147" s="408"/>
      <c r="BZ147" s="408"/>
      <c r="CA147" s="408"/>
      <c r="CB147" s="408"/>
      <c r="CC147" s="412"/>
      <c r="CD147" s="411"/>
      <c r="CE147" s="408"/>
      <c r="CF147" s="408"/>
      <c r="CG147" s="408"/>
      <c r="CH147" s="408"/>
      <c r="CI147" s="408"/>
      <c r="CJ147" s="408"/>
      <c r="CK147" s="408"/>
      <c r="CL147" s="408"/>
      <c r="CM147" s="408"/>
      <c r="CN147" s="408"/>
      <c r="CO147" s="408"/>
      <c r="CP147" s="408"/>
      <c r="CQ147" s="408"/>
      <c r="CR147" s="408"/>
      <c r="CS147" s="408"/>
      <c r="CT147" s="408"/>
      <c r="CU147" s="408"/>
      <c r="CV147" s="408"/>
      <c r="CW147" s="408"/>
      <c r="CX147" s="408"/>
      <c r="CY147" s="408"/>
      <c r="CZ147" s="408"/>
      <c r="DA147" s="408"/>
      <c r="DB147" s="412"/>
      <c r="DC147" s="411"/>
      <c r="DD147" s="408"/>
      <c r="DE147" s="408"/>
      <c r="DF147" s="408"/>
      <c r="DG147" s="408"/>
      <c r="DH147" s="408"/>
      <c r="DI147" s="408"/>
      <c r="DJ147" s="408"/>
      <c r="DK147" s="408"/>
      <c r="DL147" s="408"/>
      <c r="DM147" s="408"/>
      <c r="DN147" s="408"/>
      <c r="DO147" s="408"/>
      <c r="DP147" s="408"/>
      <c r="DQ147" s="408"/>
      <c r="DR147" s="408"/>
      <c r="DS147" s="408"/>
      <c r="DT147" s="408"/>
      <c r="DU147" s="408"/>
      <c r="DV147" s="408"/>
      <c r="DW147" s="408"/>
      <c r="DX147" s="408"/>
      <c r="DY147" s="408"/>
      <c r="DZ147" s="408"/>
      <c r="EA147" s="412"/>
      <c r="EB147" s="411"/>
      <c r="EC147" s="408"/>
      <c r="ED147" s="408"/>
      <c r="EE147" s="408"/>
      <c r="EF147" s="408"/>
      <c r="EG147" s="408"/>
      <c r="EH147" s="408"/>
      <c r="EI147" s="408"/>
      <c r="EJ147" s="408"/>
      <c r="EK147" s="408"/>
      <c r="EL147" s="408"/>
      <c r="EM147" s="408"/>
      <c r="EN147" s="408"/>
      <c r="EO147" s="408"/>
      <c r="EP147" s="408"/>
      <c r="EQ147" s="408"/>
      <c r="ER147" s="408"/>
      <c r="ES147" s="408"/>
      <c r="ET147" s="408"/>
      <c r="EU147" s="408"/>
      <c r="EV147" s="408"/>
      <c r="EW147" s="408"/>
      <c r="EX147" s="408"/>
      <c r="EY147" s="408"/>
      <c r="EZ147" s="412"/>
      <c r="FZ147" s="411"/>
      <c r="GA147" s="408"/>
      <c r="GB147" s="408"/>
      <c r="GC147" s="408"/>
      <c r="GD147" s="408"/>
      <c r="GE147" s="408"/>
      <c r="GF147" s="408"/>
      <c r="GG147" s="408"/>
      <c r="GH147" s="408"/>
      <c r="GI147" s="408"/>
      <c r="GJ147" s="408"/>
      <c r="GK147" s="408"/>
      <c r="GL147" s="408"/>
      <c r="GM147" s="408"/>
      <c r="GN147" s="408"/>
      <c r="GO147" s="408"/>
      <c r="GP147" s="408"/>
      <c r="GQ147" s="408"/>
      <c r="GR147" s="408"/>
      <c r="GS147" s="408"/>
      <c r="GT147" s="408"/>
      <c r="GU147" s="408"/>
      <c r="GV147" s="408"/>
      <c r="GW147" s="408"/>
      <c r="GX147" s="412"/>
      <c r="GY147" s="411"/>
      <c r="GZ147" s="408"/>
      <c r="HA147" s="408"/>
      <c r="HB147" s="408"/>
      <c r="HC147" s="408"/>
      <c r="HD147" s="408"/>
      <c r="HE147" s="408"/>
      <c r="HF147" s="408"/>
      <c r="HG147" s="408"/>
      <c r="HH147" s="408"/>
      <c r="HI147" s="408"/>
      <c r="HJ147" s="408"/>
      <c r="HK147" s="408"/>
      <c r="HL147" s="408"/>
      <c r="HM147" s="408"/>
      <c r="HN147" s="408"/>
      <c r="HO147" s="408"/>
      <c r="HP147" s="408"/>
      <c r="HQ147" s="408"/>
      <c r="HR147" s="408"/>
      <c r="HS147" s="408"/>
      <c r="HT147" s="408"/>
      <c r="HU147" s="408"/>
      <c r="HV147" s="408"/>
      <c r="HW147" s="412"/>
    </row>
    <row r="148" spans="32:231" ht="24" customHeight="1">
      <c r="AF148" s="411"/>
      <c r="AG148" s="408"/>
      <c r="AH148" s="408"/>
      <c r="AI148" s="408"/>
      <c r="AJ148" s="408"/>
      <c r="AK148" s="408"/>
      <c r="AL148" s="408"/>
      <c r="AM148" s="408"/>
      <c r="AN148" s="408"/>
      <c r="AO148" s="408"/>
      <c r="AP148" s="408"/>
      <c r="AQ148" s="408"/>
      <c r="AR148" s="408"/>
      <c r="AS148" s="408"/>
      <c r="AT148" s="408"/>
      <c r="AU148" s="408"/>
      <c r="AV148" s="408"/>
      <c r="AW148" s="408"/>
      <c r="AX148" s="408"/>
      <c r="AY148" s="408"/>
      <c r="AZ148" s="408"/>
      <c r="BA148" s="408"/>
      <c r="BB148" s="408"/>
      <c r="BC148" s="408"/>
      <c r="BD148" s="412"/>
      <c r="BE148" s="411"/>
      <c r="BF148" s="408"/>
      <c r="BG148" s="408"/>
      <c r="BH148" s="408"/>
      <c r="BI148" s="408"/>
      <c r="BJ148" s="408"/>
      <c r="BK148" s="408"/>
      <c r="BL148" s="408"/>
      <c r="BM148" s="408"/>
      <c r="BN148" s="408"/>
      <c r="BO148" s="408"/>
      <c r="BP148" s="408"/>
      <c r="BQ148" s="408"/>
      <c r="BR148" s="408"/>
      <c r="BS148" s="408"/>
      <c r="BT148" s="408"/>
      <c r="BU148" s="408"/>
      <c r="BV148" s="408"/>
      <c r="BW148" s="408"/>
      <c r="BX148" s="408"/>
      <c r="BY148" s="408"/>
      <c r="BZ148" s="408"/>
      <c r="CA148" s="408"/>
      <c r="CB148" s="408"/>
      <c r="CC148" s="412"/>
      <c r="CD148" s="411"/>
      <c r="CE148" s="408"/>
      <c r="CF148" s="408"/>
      <c r="CG148" s="408"/>
      <c r="CH148" s="408"/>
      <c r="CI148" s="408"/>
      <c r="CJ148" s="408"/>
      <c r="CK148" s="408"/>
      <c r="CL148" s="408"/>
      <c r="CM148" s="408"/>
      <c r="CN148" s="408"/>
      <c r="CO148" s="408"/>
      <c r="CP148" s="408"/>
      <c r="CQ148" s="408"/>
      <c r="CR148" s="408"/>
      <c r="CS148" s="408"/>
      <c r="CT148" s="408"/>
      <c r="CU148" s="408"/>
      <c r="CV148" s="408"/>
      <c r="CW148" s="408"/>
      <c r="CX148" s="408"/>
      <c r="CY148" s="408"/>
      <c r="CZ148" s="408"/>
      <c r="DA148" s="408"/>
      <c r="DB148" s="412"/>
      <c r="DC148" s="411"/>
      <c r="DD148" s="408"/>
      <c r="DE148" s="408"/>
      <c r="DF148" s="408"/>
      <c r="DG148" s="408"/>
      <c r="DH148" s="408"/>
      <c r="DI148" s="408"/>
      <c r="DJ148" s="408"/>
      <c r="DK148" s="408"/>
      <c r="DL148" s="408"/>
      <c r="DM148" s="408"/>
      <c r="DN148" s="408"/>
      <c r="DO148" s="408"/>
      <c r="DP148" s="408"/>
      <c r="DQ148" s="408"/>
      <c r="DR148" s="408"/>
      <c r="DS148" s="408"/>
      <c r="DT148" s="408"/>
      <c r="DU148" s="408"/>
      <c r="DV148" s="408"/>
      <c r="DW148" s="408"/>
      <c r="DX148" s="408"/>
      <c r="DY148" s="408"/>
      <c r="DZ148" s="408"/>
      <c r="EA148" s="412"/>
      <c r="EB148" s="411"/>
      <c r="EC148" s="408"/>
      <c r="ED148" s="408"/>
      <c r="EE148" s="408"/>
      <c r="EF148" s="408"/>
      <c r="EG148" s="408"/>
      <c r="EH148" s="408"/>
      <c r="EI148" s="408"/>
      <c r="EJ148" s="408"/>
      <c r="EK148" s="408"/>
      <c r="EL148" s="408"/>
      <c r="EM148" s="408"/>
      <c r="EN148" s="408"/>
      <c r="EO148" s="408"/>
      <c r="EP148" s="408"/>
      <c r="EQ148" s="408"/>
      <c r="ER148" s="408"/>
      <c r="ES148" s="408"/>
      <c r="ET148" s="408"/>
      <c r="EU148" s="408"/>
      <c r="EV148" s="408"/>
      <c r="EW148" s="408"/>
      <c r="EX148" s="408"/>
      <c r="EY148" s="408"/>
      <c r="EZ148" s="412"/>
      <c r="FZ148" s="411"/>
      <c r="GA148" s="408"/>
      <c r="GB148" s="408"/>
      <c r="GC148" s="408"/>
      <c r="GD148" s="408"/>
      <c r="GE148" s="408"/>
      <c r="GF148" s="408"/>
      <c r="GG148" s="408"/>
      <c r="GH148" s="408"/>
      <c r="GI148" s="408"/>
      <c r="GJ148" s="408"/>
      <c r="GK148" s="408"/>
      <c r="GL148" s="408"/>
      <c r="GM148" s="408"/>
      <c r="GN148" s="408"/>
      <c r="GO148" s="408"/>
      <c r="GP148" s="408"/>
      <c r="GQ148" s="408"/>
      <c r="GR148" s="408"/>
      <c r="GS148" s="408"/>
      <c r="GT148" s="408"/>
      <c r="GU148" s="408"/>
      <c r="GV148" s="408"/>
      <c r="GW148" s="408"/>
      <c r="GX148" s="412"/>
      <c r="GY148" s="411"/>
      <c r="GZ148" s="408"/>
      <c r="HA148" s="408"/>
      <c r="HB148" s="408"/>
      <c r="HC148" s="408"/>
      <c r="HD148" s="408"/>
      <c r="HE148" s="408"/>
      <c r="HF148" s="408"/>
      <c r="HG148" s="408"/>
      <c r="HH148" s="408"/>
      <c r="HI148" s="408"/>
      <c r="HJ148" s="408"/>
      <c r="HK148" s="408"/>
      <c r="HL148" s="408"/>
      <c r="HM148" s="408"/>
      <c r="HN148" s="408"/>
      <c r="HO148" s="408"/>
      <c r="HP148" s="408"/>
      <c r="HQ148" s="408"/>
      <c r="HR148" s="408"/>
      <c r="HS148" s="408"/>
      <c r="HT148" s="408"/>
      <c r="HU148" s="408"/>
      <c r="HV148" s="408"/>
      <c r="HW148" s="412"/>
    </row>
    <row r="149" spans="32:231" ht="24" customHeight="1">
      <c r="AF149" s="411"/>
      <c r="AG149" s="408"/>
      <c r="AH149" s="408"/>
      <c r="AI149" s="408"/>
      <c r="AJ149" s="408"/>
      <c r="AK149" s="408"/>
      <c r="AL149" s="408"/>
      <c r="AM149" s="408"/>
      <c r="AN149" s="408"/>
      <c r="AO149" s="408"/>
      <c r="AP149" s="408"/>
      <c r="AQ149" s="408"/>
      <c r="AR149" s="408"/>
      <c r="AS149" s="408"/>
      <c r="AT149" s="408"/>
      <c r="AU149" s="408"/>
      <c r="AV149" s="408"/>
      <c r="AW149" s="408"/>
      <c r="AX149" s="408"/>
      <c r="AY149" s="408"/>
      <c r="AZ149" s="408"/>
      <c r="BA149" s="408"/>
      <c r="BB149" s="408"/>
      <c r="BC149" s="408"/>
      <c r="BD149" s="412"/>
      <c r="BE149" s="411"/>
      <c r="BF149" s="408"/>
      <c r="BG149" s="408"/>
      <c r="BH149" s="408"/>
      <c r="BI149" s="408"/>
      <c r="BJ149" s="408"/>
      <c r="BK149" s="408"/>
      <c r="BL149" s="408"/>
      <c r="BM149" s="408"/>
      <c r="BN149" s="408"/>
      <c r="BO149" s="408"/>
      <c r="BP149" s="408"/>
      <c r="BQ149" s="408"/>
      <c r="BR149" s="408"/>
      <c r="BS149" s="408"/>
      <c r="BT149" s="408"/>
      <c r="BU149" s="408"/>
      <c r="BV149" s="408"/>
      <c r="BW149" s="408"/>
      <c r="BX149" s="408"/>
      <c r="BY149" s="408"/>
      <c r="BZ149" s="408"/>
      <c r="CA149" s="408"/>
      <c r="CB149" s="408"/>
      <c r="CC149" s="412"/>
      <c r="CD149" s="411"/>
      <c r="CE149" s="408"/>
      <c r="CF149" s="408"/>
      <c r="CG149" s="408"/>
      <c r="CH149" s="408"/>
      <c r="CI149" s="408"/>
      <c r="CJ149" s="408"/>
      <c r="CK149" s="408"/>
      <c r="CL149" s="408"/>
      <c r="CM149" s="408"/>
      <c r="CN149" s="408"/>
      <c r="CO149" s="408"/>
      <c r="CP149" s="408"/>
      <c r="CQ149" s="408"/>
      <c r="CR149" s="408"/>
      <c r="CS149" s="408"/>
      <c r="CT149" s="408"/>
      <c r="CU149" s="408"/>
      <c r="CV149" s="408"/>
      <c r="CW149" s="408"/>
      <c r="CX149" s="408"/>
      <c r="CY149" s="408"/>
      <c r="CZ149" s="408"/>
      <c r="DA149" s="408"/>
      <c r="DB149" s="412"/>
      <c r="DC149" s="411"/>
      <c r="DD149" s="408"/>
      <c r="DE149" s="408"/>
      <c r="DF149" s="408"/>
      <c r="DG149" s="408"/>
      <c r="DH149" s="408"/>
      <c r="DI149" s="408"/>
      <c r="DJ149" s="408"/>
      <c r="DK149" s="408"/>
      <c r="DL149" s="408"/>
      <c r="DM149" s="408"/>
      <c r="DN149" s="408"/>
      <c r="DO149" s="408"/>
      <c r="DP149" s="408"/>
      <c r="DQ149" s="408"/>
      <c r="DR149" s="408"/>
      <c r="DS149" s="408"/>
      <c r="DT149" s="408"/>
      <c r="DU149" s="408"/>
      <c r="DV149" s="408"/>
      <c r="DW149" s="408"/>
      <c r="DX149" s="408"/>
      <c r="DY149" s="408"/>
      <c r="DZ149" s="408"/>
      <c r="EA149" s="412"/>
      <c r="EB149" s="411"/>
      <c r="EC149" s="408"/>
      <c r="ED149" s="408"/>
      <c r="EE149" s="408"/>
      <c r="EF149" s="408"/>
      <c r="EG149" s="408"/>
      <c r="EH149" s="408"/>
      <c r="EI149" s="408"/>
      <c r="EJ149" s="408"/>
      <c r="EK149" s="408"/>
      <c r="EL149" s="408"/>
      <c r="EM149" s="408"/>
      <c r="EN149" s="408"/>
      <c r="EO149" s="408"/>
      <c r="EP149" s="408"/>
      <c r="EQ149" s="408"/>
      <c r="ER149" s="408"/>
      <c r="ES149" s="408"/>
      <c r="ET149" s="408"/>
      <c r="EU149" s="408"/>
      <c r="EV149" s="408"/>
      <c r="EW149" s="408"/>
      <c r="EX149" s="408"/>
      <c r="EY149" s="408"/>
      <c r="EZ149" s="412"/>
      <c r="FZ149" s="411"/>
      <c r="GA149" s="408"/>
      <c r="GB149" s="408"/>
      <c r="GC149" s="408"/>
      <c r="GD149" s="408"/>
      <c r="GE149" s="408"/>
      <c r="GF149" s="408"/>
      <c r="GG149" s="408"/>
      <c r="GH149" s="408"/>
      <c r="GI149" s="408"/>
      <c r="GJ149" s="408"/>
      <c r="GK149" s="408"/>
      <c r="GL149" s="408"/>
      <c r="GM149" s="408"/>
      <c r="GN149" s="408"/>
      <c r="GO149" s="408"/>
      <c r="GP149" s="408"/>
      <c r="GQ149" s="408"/>
      <c r="GR149" s="408"/>
      <c r="GS149" s="408"/>
      <c r="GT149" s="408"/>
      <c r="GU149" s="408"/>
      <c r="GV149" s="408"/>
      <c r="GW149" s="408"/>
      <c r="GX149" s="412"/>
      <c r="GY149" s="411"/>
      <c r="GZ149" s="408"/>
      <c r="HA149" s="408"/>
      <c r="HB149" s="408"/>
      <c r="HC149" s="408"/>
      <c r="HD149" s="408"/>
      <c r="HE149" s="408"/>
      <c r="HF149" s="408"/>
      <c r="HG149" s="408"/>
      <c r="HH149" s="408"/>
      <c r="HI149" s="408"/>
      <c r="HJ149" s="408"/>
      <c r="HK149" s="408"/>
      <c r="HL149" s="408"/>
      <c r="HM149" s="408"/>
      <c r="HN149" s="408"/>
      <c r="HO149" s="408"/>
      <c r="HP149" s="408"/>
      <c r="HQ149" s="408"/>
      <c r="HR149" s="408"/>
      <c r="HS149" s="408"/>
      <c r="HT149" s="408"/>
      <c r="HU149" s="408"/>
      <c r="HV149" s="408"/>
      <c r="HW149" s="412"/>
    </row>
    <row r="150" spans="32:231" ht="24" customHeight="1">
      <c r="AF150" s="411"/>
      <c r="AG150" s="408"/>
      <c r="AH150" s="408"/>
      <c r="AI150" s="408"/>
      <c r="AJ150" s="408"/>
      <c r="AK150" s="408"/>
      <c r="AL150" s="408"/>
      <c r="AM150" s="408"/>
      <c r="AN150" s="408"/>
      <c r="AO150" s="408"/>
      <c r="AP150" s="408"/>
      <c r="AQ150" s="408"/>
      <c r="AR150" s="408"/>
      <c r="AS150" s="408"/>
      <c r="AT150" s="408"/>
      <c r="AU150" s="408"/>
      <c r="AV150" s="408"/>
      <c r="AW150" s="408"/>
      <c r="AX150" s="408"/>
      <c r="AY150" s="408"/>
      <c r="AZ150" s="408"/>
      <c r="BA150" s="408"/>
      <c r="BB150" s="408"/>
      <c r="BC150" s="408"/>
      <c r="BD150" s="412"/>
      <c r="BE150" s="411"/>
      <c r="BF150" s="408"/>
      <c r="BG150" s="408"/>
      <c r="BH150" s="408"/>
      <c r="BI150" s="408"/>
      <c r="BJ150" s="408"/>
      <c r="BK150" s="408"/>
      <c r="BL150" s="408"/>
      <c r="BM150" s="408"/>
      <c r="BN150" s="408"/>
      <c r="BO150" s="408"/>
      <c r="BP150" s="408"/>
      <c r="BQ150" s="408"/>
      <c r="BR150" s="408"/>
      <c r="BS150" s="408"/>
      <c r="BT150" s="408"/>
      <c r="BU150" s="408"/>
      <c r="BV150" s="408"/>
      <c r="BW150" s="408"/>
      <c r="BX150" s="408"/>
      <c r="BY150" s="408"/>
      <c r="BZ150" s="408"/>
      <c r="CA150" s="408"/>
      <c r="CB150" s="408"/>
      <c r="CC150" s="412"/>
      <c r="CD150" s="411"/>
      <c r="CE150" s="408"/>
      <c r="CF150" s="408"/>
      <c r="CG150" s="408"/>
      <c r="CH150" s="408"/>
      <c r="CI150" s="408"/>
      <c r="CJ150" s="408"/>
      <c r="CK150" s="408"/>
      <c r="CL150" s="408"/>
      <c r="CM150" s="408"/>
      <c r="CN150" s="408"/>
      <c r="CO150" s="408"/>
      <c r="CP150" s="408"/>
      <c r="CQ150" s="408"/>
      <c r="CR150" s="408"/>
      <c r="CS150" s="408"/>
      <c r="CT150" s="408"/>
      <c r="CU150" s="408"/>
      <c r="CV150" s="408"/>
      <c r="CW150" s="408"/>
      <c r="CX150" s="408"/>
      <c r="CY150" s="408"/>
      <c r="CZ150" s="408"/>
      <c r="DA150" s="408"/>
      <c r="DB150" s="412"/>
      <c r="DC150" s="411"/>
      <c r="DD150" s="408"/>
      <c r="DE150" s="408"/>
      <c r="DF150" s="408"/>
      <c r="DG150" s="408"/>
      <c r="DH150" s="408"/>
      <c r="DI150" s="408"/>
      <c r="DJ150" s="408"/>
      <c r="DK150" s="408"/>
      <c r="DL150" s="408"/>
      <c r="DM150" s="408"/>
      <c r="DN150" s="408"/>
      <c r="DO150" s="408"/>
      <c r="DP150" s="408"/>
      <c r="DQ150" s="408"/>
      <c r="DR150" s="408"/>
      <c r="DS150" s="408"/>
      <c r="DT150" s="408"/>
      <c r="DU150" s="408"/>
      <c r="DV150" s="408"/>
      <c r="DW150" s="408"/>
      <c r="DX150" s="408"/>
      <c r="DY150" s="408"/>
      <c r="DZ150" s="408"/>
      <c r="EA150" s="412"/>
      <c r="EB150" s="411"/>
      <c r="EC150" s="408"/>
      <c r="ED150" s="408"/>
      <c r="EE150" s="408"/>
      <c r="EF150" s="408"/>
      <c r="EG150" s="408"/>
      <c r="EH150" s="408"/>
      <c r="EI150" s="408"/>
      <c r="EJ150" s="408"/>
      <c r="EK150" s="408"/>
      <c r="EL150" s="408"/>
      <c r="EM150" s="408"/>
      <c r="EN150" s="408"/>
      <c r="EO150" s="408"/>
      <c r="EP150" s="408"/>
      <c r="EQ150" s="408"/>
      <c r="ER150" s="408"/>
      <c r="ES150" s="408"/>
      <c r="ET150" s="408"/>
      <c r="EU150" s="408"/>
      <c r="EV150" s="408"/>
      <c r="EW150" s="408"/>
      <c r="EX150" s="408"/>
      <c r="EY150" s="408"/>
      <c r="EZ150" s="412"/>
      <c r="FZ150" s="411"/>
      <c r="GA150" s="408"/>
      <c r="GB150" s="408"/>
      <c r="GC150" s="408"/>
      <c r="GD150" s="408"/>
      <c r="GE150" s="408"/>
      <c r="GF150" s="408"/>
      <c r="GG150" s="408"/>
      <c r="GH150" s="408"/>
      <c r="GI150" s="408"/>
      <c r="GJ150" s="408"/>
      <c r="GK150" s="408"/>
      <c r="GL150" s="408"/>
      <c r="GM150" s="408"/>
      <c r="GN150" s="408"/>
      <c r="GO150" s="408"/>
      <c r="GP150" s="408"/>
      <c r="GQ150" s="408"/>
      <c r="GR150" s="408"/>
      <c r="GS150" s="408"/>
      <c r="GT150" s="408"/>
      <c r="GU150" s="408"/>
      <c r="GV150" s="408"/>
      <c r="GW150" s="408"/>
      <c r="GX150" s="412"/>
      <c r="GY150" s="411"/>
      <c r="GZ150" s="408"/>
      <c r="HA150" s="408"/>
      <c r="HB150" s="408"/>
      <c r="HC150" s="408"/>
      <c r="HD150" s="408"/>
      <c r="HE150" s="408"/>
      <c r="HF150" s="408"/>
      <c r="HG150" s="408"/>
      <c r="HH150" s="408"/>
      <c r="HI150" s="408"/>
      <c r="HJ150" s="408"/>
      <c r="HK150" s="408"/>
      <c r="HL150" s="408"/>
      <c r="HM150" s="408"/>
      <c r="HN150" s="408"/>
      <c r="HO150" s="408"/>
      <c r="HP150" s="408"/>
      <c r="HQ150" s="408"/>
      <c r="HR150" s="408"/>
      <c r="HS150" s="408"/>
      <c r="HT150" s="408"/>
      <c r="HU150" s="408"/>
      <c r="HV150" s="408"/>
      <c r="HW150" s="412"/>
    </row>
    <row r="151" spans="32:231" ht="24" customHeight="1" thickBot="1">
      <c r="AF151" s="411"/>
      <c r="AG151" s="413"/>
      <c r="AH151" s="413"/>
      <c r="AI151" s="413"/>
      <c r="AJ151" s="408"/>
      <c r="AK151" s="408"/>
      <c r="AL151" s="408"/>
      <c r="AM151" s="408"/>
      <c r="AN151" s="408"/>
      <c r="AO151" s="408"/>
      <c r="AP151" s="408"/>
      <c r="AQ151" s="408"/>
      <c r="AR151" s="408"/>
      <c r="AS151" s="408"/>
      <c r="AT151" s="408"/>
      <c r="AU151" s="408"/>
      <c r="AV151" s="408"/>
      <c r="AW151" s="408"/>
      <c r="AX151" s="408"/>
      <c r="AY151" s="408"/>
      <c r="AZ151" s="408"/>
      <c r="BA151" s="408"/>
      <c r="BB151" s="408"/>
      <c r="BC151" s="408"/>
      <c r="BD151" s="412"/>
      <c r="BE151" s="411"/>
      <c r="BF151" s="413"/>
      <c r="BG151" s="413"/>
      <c r="BH151" s="413"/>
      <c r="BI151" s="408"/>
      <c r="BJ151" s="408"/>
      <c r="BK151" s="408"/>
      <c r="BL151" s="408"/>
      <c r="BM151" s="408"/>
      <c r="BN151" s="408"/>
      <c r="BO151" s="408"/>
      <c r="BP151" s="408"/>
      <c r="BQ151" s="408"/>
      <c r="BR151" s="408"/>
      <c r="BS151" s="408"/>
      <c r="BT151" s="408"/>
      <c r="BU151" s="408"/>
      <c r="BV151" s="408"/>
      <c r="BW151" s="408"/>
      <c r="BX151" s="408"/>
      <c r="BY151" s="408"/>
      <c r="BZ151" s="408"/>
      <c r="CA151" s="408"/>
      <c r="CB151" s="408"/>
      <c r="CC151" s="412"/>
      <c r="CD151" s="411"/>
      <c r="CE151" s="413"/>
      <c r="CF151" s="413"/>
      <c r="CG151" s="413"/>
      <c r="CH151" s="408"/>
      <c r="CI151" s="408"/>
      <c r="CJ151" s="408"/>
      <c r="CK151" s="408"/>
      <c r="CL151" s="408"/>
      <c r="CM151" s="408"/>
      <c r="CN151" s="408"/>
      <c r="CO151" s="408"/>
      <c r="CP151" s="408"/>
      <c r="CQ151" s="408"/>
      <c r="CR151" s="408"/>
      <c r="CS151" s="408"/>
      <c r="CT151" s="408"/>
      <c r="CU151" s="408"/>
      <c r="CV151" s="408"/>
      <c r="CW151" s="408"/>
      <c r="CX151" s="408"/>
      <c r="CY151" s="408"/>
      <c r="CZ151" s="408"/>
      <c r="DA151" s="408"/>
      <c r="DB151" s="412"/>
      <c r="DC151" s="411"/>
      <c r="DD151" s="413"/>
      <c r="DE151" s="413"/>
      <c r="DF151" s="413"/>
      <c r="DG151" s="408"/>
      <c r="DH151" s="408"/>
      <c r="DI151" s="408"/>
      <c r="DJ151" s="408"/>
      <c r="DK151" s="408"/>
      <c r="DL151" s="408"/>
      <c r="DM151" s="408"/>
      <c r="DN151" s="408"/>
      <c r="DO151" s="408"/>
      <c r="DP151" s="408"/>
      <c r="DQ151" s="408"/>
      <c r="DR151" s="408"/>
      <c r="DS151" s="408"/>
      <c r="DT151" s="408"/>
      <c r="DU151" s="408"/>
      <c r="DV151" s="408"/>
      <c r="DW151" s="408"/>
      <c r="DX151" s="408"/>
      <c r="DY151" s="408"/>
      <c r="DZ151" s="408"/>
      <c r="EA151" s="412"/>
      <c r="EB151" s="411"/>
      <c r="EC151" s="413"/>
      <c r="ED151" s="413"/>
      <c r="EE151" s="413"/>
      <c r="EF151" s="408"/>
      <c r="EG151" s="408"/>
      <c r="EH151" s="408"/>
      <c r="EI151" s="408"/>
      <c r="EJ151" s="408"/>
      <c r="EK151" s="408"/>
      <c r="EL151" s="408"/>
      <c r="EM151" s="408"/>
      <c r="EN151" s="408"/>
      <c r="EO151" s="408"/>
      <c r="EP151" s="408"/>
      <c r="EQ151" s="408"/>
      <c r="ER151" s="408"/>
      <c r="ES151" s="408"/>
      <c r="ET151" s="408"/>
      <c r="EU151" s="408"/>
      <c r="EV151" s="408"/>
      <c r="EW151" s="408"/>
      <c r="EX151" s="408"/>
      <c r="EY151" s="408"/>
      <c r="EZ151" s="412"/>
      <c r="FZ151" s="411"/>
      <c r="GA151" s="413"/>
      <c r="GB151" s="413"/>
      <c r="GC151" s="413"/>
      <c r="GD151" s="408"/>
      <c r="GE151" s="408"/>
      <c r="GF151" s="408"/>
      <c r="GG151" s="408"/>
      <c r="GH151" s="408"/>
      <c r="GI151" s="408"/>
      <c r="GJ151" s="408"/>
      <c r="GK151" s="408"/>
      <c r="GL151" s="408"/>
      <c r="GM151" s="408"/>
      <c r="GN151" s="408"/>
      <c r="GO151" s="408"/>
      <c r="GP151" s="408"/>
      <c r="GQ151" s="408"/>
      <c r="GR151" s="408"/>
      <c r="GS151" s="408"/>
      <c r="GT151" s="408"/>
      <c r="GU151" s="408"/>
      <c r="GV151" s="408"/>
      <c r="GW151" s="408"/>
      <c r="GX151" s="412"/>
      <c r="GY151" s="411"/>
      <c r="GZ151" s="413"/>
      <c r="HA151" s="413"/>
      <c r="HB151" s="413"/>
      <c r="HC151" s="408"/>
      <c r="HD151" s="408"/>
      <c r="HE151" s="408"/>
      <c r="HF151" s="408"/>
      <c r="HG151" s="408"/>
      <c r="HH151" s="408"/>
      <c r="HI151" s="408"/>
      <c r="HJ151" s="408"/>
      <c r="HK151" s="408"/>
      <c r="HL151" s="408"/>
      <c r="HM151" s="408"/>
      <c r="HN151" s="408"/>
      <c r="HO151" s="408"/>
      <c r="HP151" s="408"/>
      <c r="HQ151" s="408"/>
      <c r="HR151" s="408"/>
      <c r="HS151" s="408"/>
      <c r="HT151" s="408"/>
      <c r="HU151" s="408"/>
      <c r="HV151" s="408"/>
      <c r="HW151" s="412"/>
    </row>
    <row r="152" spans="32:231" ht="24" customHeight="1" thickBot="1">
      <c r="AF152" s="416"/>
      <c r="AG152" s="2116" t="str">
        <f>'Вывод расчетов'!$CC$9</f>
        <v>Раздел 2</v>
      </c>
      <c r="AH152" s="2114"/>
      <c r="AI152" s="2114"/>
      <c r="AJ152" s="417"/>
      <c r="AK152" s="2116" t="str">
        <f>'Вывод расчетов'!$CF$9</f>
        <v>Расчет обмотки статора</v>
      </c>
      <c r="AL152" s="2114"/>
      <c r="AM152" s="2114"/>
      <c r="AN152" s="2114"/>
      <c r="AO152" s="2114"/>
      <c r="AP152" s="2114"/>
      <c r="AQ152" s="2114"/>
      <c r="AR152" s="2114"/>
      <c r="AS152" s="2114"/>
      <c r="AT152" s="2114"/>
      <c r="AU152" s="2114"/>
      <c r="AV152" s="2117"/>
      <c r="AW152" s="417"/>
      <c r="AX152" s="2116" t="s">
        <v>1369</v>
      </c>
      <c r="AY152" s="2114"/>
      <c r="AZ152" s="2117"/>
      <c r="BA152" s="417"/>
      <c r="BB152" s="2116">
        <v>11</v>
      </c>
      <c r="BC152" s="2117"/>
      <c r="BD152" s="418"/>
      <c r="BE152" s="416"/>
      <c r="BF152" s="2116" t="str">
        <f>'Вывод расчетов'!$CC$9</f>
        <v>Раздел 2</v>
      </c>
      <c r="BG152" s="2114"/>
      <c r="BH152" s="2114"/>
      <c r="BI152" s="417"/>
      <c r="BJ152" s="2116" t="str">
        <f>'Вывод расчетов'!$CF$9</f>
        <v>Расчет обмотки статора</v>
      </c>
      <c r="BK152" s="2114"/>
      <c r="BL152" s="2114"/>
      <c r="BM152" s="2114"/>
      <c r="BN152" s="2114"/>
      <c r="BO152" s="2114"/>
      <c r="BP152" s="2114"/>
      <c r="BQ152" s="2114"/>
      <c r="BR152" s="2114"/>
      <c r="BS152" s="2114"/>
      <c r="BT152" s="2114"/>
      <c r="BU152" s="2117"/>
      <c r="BV152" s="417"/>
      <c r="BW152" s="2116" t="s">
        <v>1369</v>
      </c>
      <c r="BX152" s="2114"/>
      <c r="BY152" s="2117"/>
      <c r="BZ152" s="417"/>
      <c r="CA152" s="2116">
        <v>11</v>
      </c>
      <c r="CB152" s="2117"/>
      <c r="CC152" s="418"/>
      <c r="CD152" s="416"/>
      <c r="CE152" s="2116" t="str">
        <f>'Вывод расчетов'!$CC$9</f>
        <v>Раздел 2</v>
      </c>
      <c r="CF152" s="2114"/>
      <c r="CG152" s="2114"/>
      <c r="CH152" s="417"/>
      <c r="CI152" s="2116" t="str">
        <f>'Вывод расчетов'!$CF$9</f>
        <v>Расчет обмотки статора</v>
      </c>
      <c r="CJ152" s="2114"/>
      <c r="CK152" s="2114"/>
      <c r="CL152" s="2114"/>
      <c r="CM152" s="2114"/>
      <c r="CN152" s="2114"/>
      <c r="CO152" s="2114"/>
      <c r="CP152" s="2114"/>
      <c r="CQ152" s="2114"/>
      <c r="CR152" s="2114"/>
      <c r="CS152" s="2114"/>
      <c r="CT152" s="2117"/>
      <c r="CU152" s="417"/>
      <c r="CV152" s="2116" t="s">
        <v>1369</v>
      </c>
      <c r="CW152" s="2114"/>
      <c r="CX152" s="2117"/>
      <c r="CY152" s="417"/>
      <c r="CZ152" s="2116">
        <v>11</v>
      </c>
      <c r="DA152" s="2117"/>
      <c r="DB152" s="418"/>
      <c r="DC152" s="416"/>
      <c r="DD152" s="2116" t="str">
        <f>'Вывод расчетов'!$CC$9</f>
        <v>Раздел 2</v>
      </c>
      <c r="DE152" s="2114"/>
      <c r="DF152" s="2114"/>
      <c r="DG152" s="417"/>
      <c r="DH152" s="2116" t="str">
        <f>'Вывод расчетов'!$CF$9</f>
        <v>Расчет обмотки статора</v>
      </c>
      <c r="DI152" s="2114"/>
      <c r="DJ152" s="2114"/>
      <c r="DK152" s="2114"/>
      <c r="DL152" s="2114"/>
      <c r="DM152" s="2114"/>
      <c r="DN152" s="2114"/>
      <c r="DO152" s="2114"/>
      <c r="DP152" s="2114"/>
      <c r="DQ152" s="2114"/>
      <c r="DR152" s="2114"/>
      <c r="DS152" s="2117"/>
      <c r="DT152" s="417"/>
      <c r="DU152" s="2116" t="s">
        <v>1369</v>
      </c>
      <c r="DV152" s="2114"/>
      <c r="DW152" s="2117"/>
      <c r="DX152" s="417"/>
      <c r="DY152" s="2116">
        <v>11</v>
      </c>
      <c r="DZ152" s="2117"/>
      <c r="EA152" s="418"/>
      <c r="EB152" s="416"/>
      <c r="EC152" s="2116" t="str">
        <f>'Вывод расчетов'!$CC$9</f>
        <v>Раздел 2</v>
      </c>
      <c r="ED152" s="2114"/>
      <c r="EE152" s="2114"/>
      <c r="EF152" s="417"/>
      <c r="EG152" s="2116" t="str">
        <f>'Вывод расчетов'!$CF$9</f>
        <v>Расчет обмотки статора</v>
      </c>
      <c r="EH152" s="2114"/>
      <c r="EI152" s="2114"/>
      <c r="EJ152" s="2114"/>
      <c r="EK152" s="2114"/>
      <c r="EL152" s="2114"/>
      <c r="EM152" s="2114"/>
      <c r="EN152" s="2114"/>
      <c r="EO152" s="2114"/>
      <c r="EP152" s="2114"/>
      <c r="EQ152" s="2114"/>
      <c r="ER152" s="2117"/>
      <c r="ES152" s="417"/>
      <c r="ET152" s="2116" t="s">
        <v>1369</v>
      </c>
      <c r="EU152" s="2114"/>
      <c r="EV152" s="2117"/>
      <c r="EW152" s="417"/>
      <c r="EX152" s="2116">
        <v>11</v>
      </c>
      <c r="EY152" s="2117"/>
      <c r="EZ152" s="418"/>
      <c r="FZ152" s="416"/>
      <c r="GA152" s="2116" t="str">
        <f>'Вывод расчетов'!$CC$9</f>
        <v>Раздел 2</v>
      </c>
      <c r="GB152" s="2114"/>
      <c r="GC152" s="2114"/>
      <c r="GD152" s="417"/>
      <c r="GE152" s="2116" t="str">
        <f>'Вывод расчетов'!$CF$9</f>
        <v>Расчет обмотки статора</v>
      </c>
      <c r="GF152" s="2114"/>
      <c r="GG152" s="2114"/>
      <c r="GH152" s="2114"/>
      <c r="GI152" s="2114"/>
      <c r="GJ152" s="2114"/>
      <c r="GK152" s="2114"/>
      <c r="GL152" s="2114"/>
      <c r="GM152" s="2114"/>
      <c r="GN152" s="2114"/>
      <c r="GO152" s="2114"/>
      <c r="GP152" s="2117"/>
      <c r="GQ152" s="417"/>
      <c r="GR152" s="2116" t="s">
        <v>1369</v>
      </c>
      <c r="GS152" s="2114"/>
      <c r="GT152" s="2117"/>
      <c r="GU152" s="417"/>
      <c r="GV152" s="2116">
        <v>11</v>
      </c>
      <c r="GW152" s="2117"/>
      <c r="GX152" s="418"/>
      <c r="GY152" s="416"/>
      <c r="GZ152" s="2116" t="str">
        <f>'Вывод расчетов'!$CC$9</f>
        <v>Раздел 2</v>
      </c>
      <c r="HA152" s="2114"/>
      <c r="HB152" s="2114"/>
      <c r="HC152" s="417"/>
      <c r="HD152" s="2116" t="str">
        <f>'Вывод расчетов'!$CF$9</f>
        <v>Расчет обмотки статора</v>
      </c>
      <c r="HE152" s="2114"/>
      <c r="HF152" s="2114"/>
      <c r="HG152" s="2114"/>
      <c r="HH152" s="2114"/>
      <c r="HI152" s="2114"/>
      <c r="HJ152" s="2114"/>
      <c r="HK152" s="2114"/>
      <c r="HL152" s="2114"/>
      <c r="HM152" s="2114"/>
      <c r="HN152" s="2114"/>
      <c r="HO152" s="2117"/>
      <c r="HP152" s="417"/>
      <c r="HQ152" s="2116" t="s">
        <v>1369</v>
      </c>
      <c r="HR152" s="2114"/>
      <c r="HS152" s="2117"/>
      <c r="HT152" s="417"/>
      <c r="HU152" s="2116">
        <v>11</v>
      </c>
      <c r="HV152" s="2117"/>
      <c r="HW152" s="418"/>
    </row>
    <row r="153" spans="32:231" ht="24" customHeight="1" thickBot="1">
      <c r="BE153" s="2113" t="s">
        <v>1111</v>
      </c>
      <c r="BF153" s="2114"/>
      <c r="BG153" s="2114"/>
      <c r="BH153" s="2114"/>
      <c r="BI153" s="2114"/>
      <c r="BJ153" s="2114"/>
      <c r="BK153" s="2114"/>
      <c r="BL153" s="2114"/>
      <c r="BM153" s="2114"/>
      <c r="BN153" s="2114"/>
      <c r="BO153" s="2114"/>
      <c r="BP153" s="2114"/>
      <c r="BQ153" s="2114"/>
      <c r="BR153" s="2114"/>
      <c r="BS153" s="2114"/>
      <c r="BT153" s="2114"/>
      <c r="BU153" s="2114"/>
      <c r="BV153" s="2114"/>
      <c r="BW153" s="2114"/>
      <c r="BX153" s="2114"/>
      <c r="BY153" s="2114"/>
      <c r="BZ153" s="2114"/>
      <c r="CA153" s="2114"/>
      <c r="CB153" s="2114"/>
      <c r="CC153" s="2115"/>
      <c r="DC153" s="2113" t="s">
        <v>1111</v>
      </c>
      <c r="DD153" s="2114"/>
      <c r="DE153" s="2114"/>
      <c r="DF153" s="2114"/>
      <c r="DG153" s="2114"/>
      <c r="DH153" s="2114"/>
      <c r="DI153" s="2114"/>
      <c r="DJ153" s="2114"/>
      <c r="DK153" s="2114"/>
      <c r="DL153" s="2114"/>
      <c r="DM153" s="2114"/>
      <c r="DN153" s="2114"/>
      <c r="DO153" s="2114"/>
      <c r="DP153" s="2114"/>
      <c r="DQ153" s="2114"/>
      <c r="DR153" s="2114"/>
      <c r="DS153" s="2114"/>
      <c r="DT153" s="2114"/>
      <c r="DU153" s="2114"/>
      <c r="DV153" s="2114"/>
      <c r="DW153" s="2114"/>
      <c r="DX153" s="2114"/>
      <c r="DY153" s="2114"/>
      <c r="DZ153" s="2114"/>
      <c r="EA153" s="2115"/>
      <c r="EB153" s="2113" t="s">
        <v>1111</v>
      </c>
      <c r="EC153" s="2114"/>
      <c r="ED153" s="2114"/>
      <c r="EE153" s="2114"/>
      <c r="EF153" s="2114"/>
      <c r="EG153" s="2114"/>
      <c r="EH153" s="2114"/>
      <c r="EI153" s="2114"/>
      <c r="EJ153" s="2114"/>
      <c r="EK153" s="2114"/>
      <c r="EL153" s="2114"/>
      <c r="EM153" s="2114"/>
      <c r="EN153" s="2114"/>
      <c r="EO153" s="2114"/>
      <c r="EP153" s="2114"/>
      <c r="EQ153" s="2114"/>
      <c r="ER153" s="2114"/>
      <c r="ES153" s="2114"/>
      <c r="ET153" s="2114"/>
      <c r="EU153" s="2114"/>
      <c r="EV153" s="2114"/>
      <c r="EW153" s="2114"/>
      <c r="EX153" s="2114"/>
      <c r="EY153" s="2114"/>
      <c r="EZ153" s="2115"/>
      <c r="FZ153" s="2113" t="s">
        <v>1111</v>
      </c>
      <c r="GA153" s="2114"/>
      <c r="GB153" s="2114"/>
      <c r="GC153" s="2114"/>
      <c r="GD153" s="2114"/>
      <c r="GE153" s="2114"/>
      <c r="GF153" s="2114"/>
      <c r="GG153" s="2114"/>
      <c r="GH153" s="2114"/>
      <c r="GI153" s="2114"/>
      <c r="GJ153" s="2114"/>
      <c r="GK153" s="2114"/>
      <c r="GL153" s="2114"/>
      <c r="GM153" s="2114"/>
      <c r="GN153" s="2114"/>
      <c r="GO153" s="2114"/>
      <c r="GP153" s="2114"/>
      <c r="GQ153" s="2114"/>
      <c r="GR153" s="2114"/>
      <c r="GS153" s="2114"/>
      <c r="GT153" s="2114"/>
      <c r="GU153" s="2114"/>
      <c r="GV153" s="2114"/>
      <c r="GW153" s="2114"/>
      <c r="GX153" s="2115"/>
      <c r="GY153" s="2113" t="s">
        <v>1111</v>
      </c>
      <c r="GZ153" s="2114"/>
      <c r="HA153" s="2114"/>
      <c r="HB153" s="2114"/>
      <c r="HC153" s="2114"/>
      <c r="HD153" s="2114"/>
      <c r="HE153" s="2114"/>
      <c r="HF153" s="2114"/>
      <c r="HG153" s="2114"/>
      <c r="HH153" s="2114"/>
      <c r="HI153" s="2114"/>
      <c r="HJ153" s="2114"/>
      <c r="HK153" s="2114"/>
      <c r="HL153" s="2114"/>
      <c r="HM153" s="2114"/>
      <c r="HN153" s="2114"/>
      <c r="HO153" s="2114"/>
      <c r="HP153" s="2114"/>
      <c r="HQ153" s="2114"/>
      <c r="HR153" s="2114"/>
      <c r="HS153" s="2114"/>
      <c r="HT153" s="2114"/>
      <c r="HU153" s="2114"/>
      <c r="HV153" s="2114"/>
      <c r="HW153" s="2115"/>
    </row>
    <row r="154" spans="32:231" ht="24" customHeight="1">
      <c r="BE154" s="409"/>
      <c r="BF154" s="410"/>
      <c r="BG154" s="410"/>
      <c r="BH154" s="410"/>
      <c r="BI154" s="410"/>
      <c r="BJ154" s="410"/>
      <c r="BK154" s="410"/>
      <c r="BL154" s="410"/>
      <c r="BM154" s="410"/>
      <c r="BN154" s="410"/>
      <c r="BO154" s="410"/>
      <c r="BP154" s="410"/>
      <c r="BQ154" s="410"/>
      <c r="BR154" s="410"/>
      <c r="BS154" s="410"/>
      <c r="BT154" s="410"/>
      <c r="BU154" s="410"/>
      <c r="BV154" s="410"/>
      <c r="BW154" s="410"/>
      <c r="BX154" s="410"/>
      <c r="BY154" s="410"/>
      <c r="BZ154" s="410"/>
      <c r="CA154" s="410"/>
      <c r="CB154" s="410"/>
      <c r="CC154" s="419"/>
      <c r="DC154" s="409"/>
      <c r="DD154" s="410"/>
      <c r="DE154" s="410"/>
      <c r="DF154" s="410"/>
      <c r="DG154" s="410"/>
      <c r="DH154" s="410"/>
      <c r="DI154" s="410"/>
      <c r="DJ154" s="410"/>
      <c r="DK154" s="410"/>
      <c r="DL154" s="410"/>
      <c r="DM154" s="410"/>
      <c r="DN154" s="410"/>
      <c r="DO154" s="410"/>
      <c r="DP154" s="410"/>
      <c r="DQ154" s="410"/>
      <c r="DR154" s="410"/>
      <c r="DS154" s="410"/>
      <c r="DT154" s="410"/>
      <c r="DU154" s="410"/>
      <c r="DV154" s="410"/>
      <c r="DW154" s="410"/>
      <c r="DX154" s="410"/>
      <c r="DY154" s="410"/>
      <c r="DZ154" s="410"/>
      <c r="EA154" s="419"/>
      <c r="EB154" s="409"/>
      <c r="EC154" s="410"/>
      <c r="ED154" s="410"/>
      <c r="EE154" s="410"/>
      <c r="EF154" s="410"/>
      <c r="EG154" s="410"/>
      <c r="EH154" s="410"/>
      <c r="EI154" s="410"/>
      <c r="EJ154" s="410"/>
      <c r="EK154" s="410"/>
      <c r="EL154" s="410"/>
      <c r="EM154" s="410"/>
      <c r="EN154" s="410"/>
      <c r="EO154" s="410"/>
      <c r="EP154" s="410"/>
      <c r="EQ154" s="410"/>
      <c r="ER154" s="410"/>
      <c r="ES154" s="410"/>
      <c r="ET154" s="410"/>
      <c r="EU154" s="410"/>
      <c r="EV154" s="410"/>
      <c r="EW154" s="410"/>
      <c r="EX154" s="410"/>
      <c r="EY154" s="410"/>
      <c r="EZ154" s="419"/>
      <c r="FZ154" s="409"/>
      <c r="GA154" s="410"/>
      <c r="GB154" s="410"/>
      <c r="GC154" s="410"/>
      <c r="GD154" s="410"/>
      <c r="GE154" s="410"/>
      <c r="GF154" s="410"/>
      <c r="GG154" s="410"/>
      <c r="GH154" s="410"/>
      <c r="GI154" s="410"/>
      <c r="GJ154" s="410"/>
      <c r="GK154" s="410"/>
      <c r="GL154" s="410"/>
      <c r="GM154" s="410"/>
      <c r="GN154" s="410"/>
      <c r="GO154" s="410"/>
      <c r="GP154" s="410"/>
      <c r="GQ154" s="410"/>
      <c r="GR154" s="410"/>
      <c r="GS154" s="410"/>
      <c r="GT154" s="410"/>
      <c r="GU154" s="410"/>
      <c r="GV154" s="410"/>
      <c r="GW154" s="410"/>
      <c r="GX154" s="419"/>
      <c r="GY154" s="409"/>
      <c r="GZ154" s="410"/>
      <c r="HA154" s="410"/>
      <c r="HB154" s="410"/>
      <c r="HC154" s="410"/>
      <c r="HD154" s="410"/>
      <c r="HE154" s="410"/>
      <c r="HF154" s="410"/>
      <c r="HG154" s="410"/>
      <c r="HH154" s="410"/>
      <c r="HI154" s="410"/>
      <c r="HJ154" s="410"/>
      <c r="HK154" s="410"/>
      <c r="HL154" s="410"/>
      <c r="HM154" s="410"/>
      <c r="HN154" s="410"/>
      <c r="HO154" s="410"/>
      <c r="HP154" s="410"/>
      <c r="HQ154" s="410"/>
      <c r="HR154" s="410"/>
      <c r="HS154" s="410"/>
      <c r="HT154" s="410"/>
      <c r="HU154" s="410"/>
      <c r="HV154" s="410"/>
      <c r="HW154" s="419"/>
    </row>
    <row r="155" spans="32:231" ht="24" customHeight="1">
      <c r="BE155" s="411"/>
      <c r="BF155" s="408"/>
      <c r="BG155" s="408"/>
      <c r="BH155" s="408"/>
      <c r="BI155" s="408"/>
      <c r="BJ155" s="408"/>
      <c r="BK155" s="408"/>
      <c r="BL155" s="408"/>
      <c r="BM155" s="408"/>
      <c r="BN155" s="408"/>
      <c r="BO155" s="408"/>
      <c r="BP155" s="408"/>
      <c r="BQ155" s="408"/>
      <c r="BR155" s="408"/>
      <c r="BS155" s="408"/>
      <c r="BT155" s="408"/>
      <c r="BU155" s="408"/>
      <c r="BV155" s="408"/>
      <c r="BW155" s="408"/>
      <c r="BX155" s="408"/>
      <c r="BY155" s="408"/>
      <c r="BZ155" s="408"/>
      <c r="CA155" s="408"/>
      <c r="CB155" s="408"/>
      <c r="CC155" s="412"/>
      <c r="DC155" s="411"/>
      <c r="DD155" s="408"/>
      <c r="DE155" s="408"/>
      <c r="DF155" s="408"/>
      <c r="DG155" s="408"/>
      <c r="DH155" s="408"/>
      <c r="DI155" s="408"/>
      <c r="DJ155" s="408"/>
      <c r="DK155" s="408"/>
      <c r="DL155" s="408"/>
      <c r="DM155" s="408"/>
      <c r="DN155" s="408"/>
      <c r="DO155" s="408"/>
      <c r="DP155" s="408"/>
      <c r="DQ155" s="408"/>
      <c r="DR155" s="408"/>
      <c r="DS155" s="408"/>
      <c r="DT155" s="408"/>
      <c r="DU155" s="408"/>
      <c r="DV155" s="408"/>
      <c r="DW155" s="408"/>
      <c r="DX155" s="408"/>
      <c r="DY155" s="408"/>
      <c r="DZ155" s="408"/>
      <c r="EA155" s="412"/>
      <c r="EB155" s="411"/>
      <c r="EC155" s="408"/>
      <c r="ED155" s="408"/>
      <c r="EE155" s="408"/>
      <c r="EF155" s="408"/>
      <c r="EG155" s="408"/>
      <c r="EH155" s="408"/>
      <c r="EI155" s="408"/>
      <c r="EJ155" s="408"/>
      <c r="EK155" s="408"/>
      <c r="EL155" s="408"/>
      <c r="EM155" s="408"/>
      <c r="EN155" s="408"/>
      <c r="EO155" s="408"/>
      <c r="EP155" s="408"/>
      <c r="EQ155" s="408"/>
      <c r="ER155" s="408"/>
      <c r="ES155" s="408"/>
      <c r="ET155" s="408"/>
      <c r="EU155" s="408"/>
      <c r="EV155" s="408"/>
      <c r="EW155" s="408"/>
      <c r="EX155" s="408"/>
      <c r="EY155" s="408"/>
      <c r="EZ155" s="412"/>
      <c r="FZ155" s="411"/>
      <c r="GA155" s="408"/>
      <c r="GB155" s="408"/>
      <c r="GC155" s="408"/>
      <c r="GD155" s="408"/>
      <c r="GE155" s="408"/>
      <c r="GF155" s="408"/>
      <c r="GG155" s="408"/>
      <c r="GH155" s="408"/>
      <c r="GI155" s="408"/>
      <c r="GJ155" s="408"/>
      <c r="GK155" s="408"/>
      <c r="GL155" s="408"/>
      <c r="GM155" s="408"/>
      <c r="GN155" s="408"/>
      <c r="GO155" s="408"/>
      <c r="GP155" s="408"/>
      <c r="GQ155" s="408"/>
      <c r="GR155" s="408"/>
      <c r="GS155" s="408"/>
      <c r="GT155" s="408"/>
      <c r="GU155" s="408"/>
      <c r="GV155" s="408"/>
      <c r="GW155" s="408"/>
      <c r="GX155" s="412"/>
      <c r="GY155" s="411"/>
      <c r="GZ155" s="408"/>
      <c r="HA155" s="408"/>
      <c r="HB155" s="408"/>
      <c r="HC155" s="408"/>
      <c r="HD155" s="408"/>
      <c r="HE155" s="408"/>
      <c r="HF155" s="408"/>
      <c r="HG155" s="408"/>
      <c r="HH155" s="408"/>
      <c r="HI155" s="408"/>
      <c r="HJ155" s="408"/>
      <c r="HK155" s="408"/>
      <c r="HL155" s="408"/>
      <c r="HM155" s="408"/>
      <c r="HN155" s="408"/>
      <c r="HO155" s="408"/>
      <c r="HP155" s="408"/>
      <c r="HQ155" s="408"/>
      <c r="HR155" s="408"/>
      <c r="HS155" s="408"/>
      <c r="HT155" s="408"/>
      <c r="HU155" s="408"/>
      <c r="HV155" s="408"/>
      <c r="HW155" s="412"/>
    </row>
    <row r="156" spans="32:231" ht="24" customHeight="1">
      <c r="BE156" s="411"/>
      <c r="BF156" s="408"/>
      <c r="BG156" s="408"/>
      <c r="BH156" s="408"/>
      <c r="BI156" s="408"/>
      <c r="BJ156" s="408"/>
      <c r="BK156" s="408"/>
      <c r="BL156" s="408"/>
      <c r="BM156" s="408"/>
      <c r="BN156" s="408"/>
      <c r="BO156" s="408"/>
      <c r="BP156" s="408"/>
      <c r="BQ156" s="408"/>
      <c r="BR156" s="408"/>
      <c r="BS156" s="408"/>
      <c r="BT156" s="408"/>
      <c r="BU156" s="408"/>
      <c r="BV156" s="408"/>
      <c r="BW156" s="408"/>
      <c r="BX156" s="408"/>
      <c r="BY156" s="408"/>
      <c r="BZ156" s="408"/>
      <c r="CA156" s="408"/>
      <c r="CB156" s="408"/>
      <c r="CC156" s="412"/>
      <c r="DC156" s="411"/>
      <c r="DD156" s="408"/>
      <c r="DE156" s="408"/>
      <c r="DF156" s="408"/>
      <c r="DG156" s="408"/>
      <c r="DH156" s="408"/>
      <c r="DI156" s="408"/>
      <c r="DJ156" s="408"/>
      <c r="DK156" s="408"/>
      <c r="DL156" s="408"/>
      <c r="DM156" s="408"/>
      <c r="DN156" s="408"/>
      <c r="DO156" s="408"/>
      <c r="DP156" s="408"/>
      <c r="DQ156" s="408"/>
      <c r="DR156" s="408"/>
      <c r="DS156" s="408"/>
      <c r="DT156" s="408"/>
      <c r="DU156" s="408"/>
      <c r="DV156" s="408"/>
      <c r="DW156" s="408"/>
      <c r="DX156" s="408"/>
      <c r="DY156" s="408"/>
      <c r="DZ156" s="408"/>
      <c r="EA156" s="412"/>
      <c r="EB156" s="411"/>
      <c r="EC156" s="408"/>
      <c r="ED156" s="408"/>
      <c r="EE156" s="408"/>
      <c r="EF156" s="408"/>
      <c r="EG156" s="408"/>
      <c r="EH156" s="408"/>
      <c r="EI156" s="408"/>
      <c r="EJ156" s="408"/>
      <c r="EK156" s="408"/>
      <c r="EL156" s="408"/>
      <c r="EM156" s="408"/>
      <c r="EN156" s="408"/>
      <c r="EO156" s="408"/>
      <c r="EP156" s="408"/>
      <c r="EQ156" s="408"/>
      <c r="ER156" s="408"/>
      <c r="ES156" s="408"/>
      <c r="ET156" s="408"/>
      <c r="EU156" s="408"/>
      <c r="EV156" s="408"/>
      <c r="EW156" s="408"/>
      <c r="EX156" s="408"/>
      <c r="EY156" s="408"/>
      <c r="EZ156" s="412"/>
      <c r="FZ156" s="411"/>
      <c r="GA156" s="408"/>
      <c r="GB156" s="408"/>
      <c r="GC156" s="408"/>
      <c r="GD156" s="408"/>
      <c r="GE156" s="408"/>
      <c r="GF156" s="408"/>
      <c r="GG156" s="408"/>
      <c r="GH156" s="408"/>
      <c r="GI156" s="408"/>
      <c r="GJ156" s="408"/>
      <c r="GK156" s="408"/>
      <c r="GL156" s="408"/>
      <c r="GM156" s="408"/>
      <c r="GN156" s="408"/>
      <c r="GO156" s="408"/>
      <c r="GP156" s="408"/>
      <c r="GQ156" s="408"/>
      <c r="GR156" s="408"/>
      <c r="GS156" s="408"/>
      <c r="GT156" s="408"/>
      <c r="GU156" s="408"/>
      <c r="GV156" s="408"/>
      <c r="GW156" s="408"/>
      <c r="GX156" s="412"/>
      <c r="GY156" s="411"/>
      <c r="GZ156" s="408"/>
      <c r="HA156" s="408"/>
      <c r="HB156" s="408"/>
      <c r="HC156" s="408"/>
      <c r="HD156" s="408"/>
      <c r="HE156" s="408"/>
      <c r="HF156" s="408"/>
      <c r="HG156" s="408"/>
      <c r="HH156" s="408"/>
      <c r="HI156" s="408"/>
      <c r="HJ156" s="408"/>
      <c r="HK156" s="408"/>
      <c r="HL156" s="408"/>
      <c r="HM156" s="408"/>
      <c r="HN156" s="408"/>
      <c r="HO156" s="408"/>
      <c r="HP156" s="408"/>
      <c r="HQ156" s="408"/>
      <c r="HR156" s="408"/>
      <c r="HS156" s="408"/>
      <c r="HT156" s="408"/>
      <c r="HU156" s="408"/>
      <c r="HV156" s="408"/>
      <c r="HW156" s="412"/>
    </row>
    <row r="157" spans="32:231" ht="24" customHeight="1">
      <c r="BE157" s="411"/>
      <c r="BF157" s="408"/>
      <c r="BG157" s="408"/>
      <c r="BH157" s="408"/>
      <c r="BI157" s="408"/>
      <c r="BJ157" s="408"/>
      <c r="BK157" s="408"/>
      <c r="BL157" s="408"/>
      <c r="BM157" s="408"/>
      <c r="BN157" s="408"/>
      <c r="BO157" s="408"/>
      <c r="BP157" s="408"/>
      <c r="BQ157" s="408"/>
      <c r="BR157" s="408"/>
      <c r="BS157" s="408"/>
      <c r="BT157" s="408"/>
      <c r="BU157" s="408"/>
      <c r="BV157" s="408"/>
      <c r="BW157" s="408"/>
      <c r="BX157" s="408"/>
      <c r="BY157" s="408"/>
      <c r="BZ157" s="408"/>
      <c r="CA157" s="408"/>
      <c r="CB157" s="408"/>
      <c r="CC157" s="412"/>
      <c r="DC157" s="411"/>
      <c r="DD157" s="408"/>
      <c r="DE157" s="408"/>
      <c r="DF157" s="408"/>
      <c r="DG157" s="408"/>
      <c r="DH157" s="408"/>
      <c r="DI157" s="408"/>
      <c r="DJ157" s="408"/>
      <c r="DK157" s="408"/>
      <c r="DL157" s="408"/>
      <c r="DM157" s="408"/>
      <c r="DN157" s="408"/>
      <c r="DO157" s="408"/>
      <c r="DP157" s="408"/>
      <c r="DQ157" s="408"/>
      <c r="DR157" s="408"/>
      <c r="DS157" s="408"/>
      <c r="DT157" s="408"/>
      <c r="DU157" s="408"/>
      <c r="DV157" s="408"/>
      <c r="DW157" s="408"/>
      <c r="DX157" s="408"/>
      <c r="DY157" s="408"/>
      <c r="DZ157" s="408"/>
      <c r="EA157" s="412"/>
      <c r="EB157" s="411"/>
      <c r="EC157" s="408"/>
      <c r="ED157" s="408"/>
      <c r="EE157" s="408"/>
      <c r="EF157" s="408"/>
      <c r="EG157" s="408"/>
      <c r="EH157" s="408"/>
      <c r="EI157" s="408"/>
      <c r="EJ157" s="408"/>
      <c r="EK157" s="408"/>
      <c r="EL157" s="408"/>
      <c r="EM157" s="408"/>
      <c r="EN157" s="408"/>
      <c r="EO157" s="408"/>
      <c r="EP157" s="408"/>
      <c r="EQ157" s="408"/>
      <c r="ER157" s="408"/>
      <c r="ES157" s="408"/>
      <c r="ET157" s="408"/>
      <c r="EU157" s="408"/>
      <c r="EV157" s="408"/>
      <c r="EW157" s="408"/>
      <c r="EX157" s="408"/>
      <c r="EY157" s="408"/>
      <c r="EZ157" s="412"/>
      <c r="FZ157" s="411"/>
      <c r="GA157" s="408"/>
      <c r="GB157" s="408"/>
      <c r="GC157" s="408"/>
      <c r="GD157" s="408"/>
      <c r="GE157" s="408"/>
      <c r="GF157" s="408"/>
      <c r="GG157" s="408"/>
      <c r="GH157" s="408"/>
      <c r="GI157" s="408"/>
      <c r="GJ157" s="408"/>
      <c r="GK157" s="408"/>
      <c r="GL157" s="408"/>
      <c r="GM157" s="408"/>
      <c r="GN157" s="408"/>
      <c r="GO157" s="408"/>
      <c r="GP157" s="408"/>
      <c r="GQ157" s="408"/>
      <c r="GR157" s="408"/>
      <c r="GS157" s="408"/>
      <c r="GT157" s="408"/>
      <c r="GU157" s="408"/>
      <c r="GV157" s="408"/>
      <c r="GW157" s="408"/>
      <c r="GX157" s="412"/>
      <c r="GY157" s="411"/>
      <c r="GZ157" s="408"/>
      <c r="HA157" s="408"/>
      <c r="HB157" s="408"/>
      <c r="HC157" s="408"/>
      <c r="HD157" s="408"/>
      <c r="HE157" s="408"/>
      <c r="HF157" s="408"/>
      <c r="HG157" s="408"/>
      <c r="HH157" s="408"/>
      <c r="HI157" s="408"/>
      <c r="HJ157" s="408"/>
      <c r="HK157" s="408"/>
      <c r="HL157" s="408"/>
      <c r="HM157" s="408"/>
      <c r="HN157" s="408"/>
      <c r="HO157" s="408"/>
      <c r="HP157" s="408"/>
      <c r="HQ157" s="408"/>
      <c r="HR157" s="408"/>
      <c r="HS157" s="408"/>
      <c r="HT157" s="408"/>
      <c r="HU157" s="408"/>
      <c r="HV157" s="408"/>
      <c r="HW157" s="412"/>
    </row>
    <row r="158" spans="32:231" ht="24" customHeight="1">
      <c r="BE158" s="411"/>
      <c r="BF158" s="408"/>
      <c r="BG158" s="408"/>
      <c r="BH158" s="408"/>
      <c r="BI158" s="408"/>
      <c r="BJ158" s="408"/>
      <c r="BK158" s="408"/>
      <c r="BL158" s="408"/>
      <c r="BM158" s="408"/>
      <c r="BN158" s="408"/>
      <c r="BO158" s="408"/>
      <c r="BP158" s="408"/>
      <c r="BQ158" s="408"/>
      <c r="BR158" s="408"/>
      <c r="BS158" s="408"/>
      <c r="BT158" s="408"/>
      <c r="BU158" s="408"/>
      <c r="BV158" s="408"/>
      <c r="BW158" s="408"/>
      <c r="BX158" s="408"/>
      <c r="BY158" s="408"/>
      <c r="BZ158" s="408"/>
      <c r="CA158" s="408"/>
      <c r="CB158" s="408"/>
      <c r="CC158" s="412"/>
      <c r="DC158" s="411"/>
      <c r="DD158" s="408"/>
      <c r="DE158" s="408"/>
      <c r="DF158" s="408"/>
      <c r="DG158" s="408"/>
      <c r="DH158" s="408"/>
      <c r="DI158" s="408"/>
      <c r="DJ158" s="408"/>
      <c r="DK158" s="408"/>
      <c r="DL158" s="408"/>
      <c r="DM158" s="408"/>
      <c r="DN158" s="408"/>
      <c r="DO158" s="408"/>
      <c r="DP158" s="408"/>
      <c r="DQ158" s="408"/>
      <c r="DR158" s="408"/>
      <c r="DS158" s="408"/>
      <c r="DT158" s="408"/>
      <c r="DU158" s="408"/>
      <c r="DV158" s="408"/>
      <c r="DW158" s="408"/>
      <c r="DX158" s="408"/>
      <c r="DY158" s="408"/>
      <c r="DZ158" s="408"/>
      <c r="EA158" s="412"/>
      <c r="EB158" s="411"/>
      <c r="EC158" s="408"/>
      <c r="ED158" s="408"/>
      <c r="EE158" s="408"/>
      <c r="EF158" s="408"/>
      <c r="EG158" s="408"/>
      <c r="EH158" s="408"/>
      <c r="EI158" s="408"/>
      <c r="EJ158" s="408"/>
      <c r="EK158" s="408"/>
      <c r="EL158" s="408"/>
      <c r="EM158" s="408"/>
      <c r="EN158" s="408"/>
      <c r="EO158" s="408"/>
      <c r="EP158" s="408"/>
      <c r="EQ158" s="408"/>
      <c r="ER158" s="408"/>
      <c r="ES158" s="408"/>
      <c r="ET158" s="408"/>
      <c r="EU158" s="408"/>
      <c r="EV158" s="408"/>
      <c r="EW158" s="408"/>
      <c r="EX158" s="408"/>
      <c r="EY158" s="408"/>
      <c r="EZ158" s="412"/>
      <c r="FZ158" s="411"/>
      <c r="GA158" s="408"/>
      <c r="GB158" s="408"/>
      <c r="GC158" s="408"/>
      <c r="GD158" s="408"/>
      <c r="GE158" s="408"/>
      <c r="GF158" s="408"/>
      <c r="GG158" s="408"/>
      <c r="GH158" s="408"/>
      <c r="GI158" s="408"/>
      <c r="GJ158" s="408"/>
      <c r="GK158" s="408"/>
      <c r="GL158" s="408"/>
      <c r="GM158" s="408"/>
      <c r="GN158" s="408"/>
      <c r="GO158" s="408"/>
      <c r="GP158" s="408"/>
      <c r="GQ158" s="408"/>
      <c r="GR158" s="408"/>
      <c r="GS158" s="408"/>
      <c r="GT158" s="408"/>
      <c r="GU158" s="408"/>
      <c r="GV158" s="408"/>
      <c r="GW158" s="408"/>
      <c r="GX158" s="412"/>
      <c r="GY158" s="411"/>
      <c r="GZ158" s="408"/>
      <c r="HA158" s="408"/>
      <c r="HB158" s="408"/>
      <c r="HC158" s="408"/>
      <c r="HD158" s="408"/>
      <c r="HE158" s="408"/>
      <c r="HF158" s="408"/>
      <c r="HG158" s="408"/>
      <c r="HH158" s="408"/>
      <c r="HI158" s="408"/>
      <c r="HJ158" s="408"/>
      <c r="HK158" s="408"/>
      <c r="HL158" s="408"/>
      <c r="HM158" s="408"/>
      <c r="HN158" s="408"/>
      <c r="HO158" s="408"/>
      <c r="HP158" s="408"/>
      <c r="HQ158" s="408"/>
      <c r="HR158" s="408"/>
      <c r="HS158" s="408"/>
      <c r="HT158" s="408"/>
      <c r="HU158" s="408"/>
      <c r="HV158" s="408"/>
      <c r="HW158" s="412"/>
    </row>
    <row r="159" spans="32:231" ht="24" customHeight="1">
      <c r="BE159" s="411"/>
      <c r="BF159" s="408"/>
      <c r="BG159" s="408"/>
      <c r="BH159" s="408"/>
      <c r="BI159" s="408"/>
      <c r="BJ159" s="408"/>
      <c r="BK159" s="408"/>
      <c r="BL159" s="408"/>
      <c r="BM159" s="408"/>
      <c r="BN159" s="408"/>
      <c r="BO159" s="408"/>
      <c r="BP159" s="408"/>
      <c r="BQ159" s="408"/>
      <c r="BR159" s="408"/>
      <c r="BS159" s="408"/>
      <c r="BT159" s="408"/>
      <c r="BU159" s="408"/>
      <c r="BV159" s="408"/>
      <c r="BW159" s="408"/>
      <c r="BX159" s="408"/>
      <c r="BY159" s="408"/>
      <c r="BZ159" s="408"/>
      <c r="CA159" s="408"/>
      <c r="CB159" s="408"/>
      <c r="CC159" s="412"/>
      <c r="DC159" s="411"/>
      <c r="DD159" s="408"/>
      <c r="DE159" s="408"/>
      <c r="DF159" s="408"/>
      <c r="DG159" s="408"/>
      <c r="DH159" s="408"/>
      <c r="DI159" s="408"/>
      <c r="DJ159" s="408"/>
      <c r="DK159" s="408"/>
      <c r="DL159" s="408"/>
      <c r="DM159" s="408"/>
      <c r="DN159" s="408"/>
      <c r="DO159" s="408"/>
      <c r="DP159" s="408"/>
      <c r="DQ159" s="408"/>
      <c r="DR159" s="408"/>
      <c r="DS159" s="408"/>
      <c r="DT159" s="408"/>
      <c r="DU159" s="408"/>
      <c r="DV159" s="408"/>
      <c r="DW159" s="408"/>
      <c r="DX159" s="408"/>
      <c r="DY159" s="408"/>
      <c r="DZ159" s="408"/>
      <c r="EA159" s="412"/>
      <c r="EB159" s="411"/>
      <c r="EC159" s="408"/>
      <c r="ED159" s="408"/>
      <c r="EE159" s="408"/>
      <c r="EF159" s="408"/>
      <c r="EG159" s="408"/>
      <c r="EH159" s="408"/>
      <c r="EI159" s="408"/>
      <c r="EJ159" s="408"/>
      <c r="EK159" s="408"/>
      <c r="EL159" s="408"/>
      <c r="EM159" s="408"/>
      <c r="EN159" s="408"/>
      <c r="EO159" s="408"/>
      <c r="EP159" s="408"/>
      <c r="EQ159" s="408"/>
      <c r="ER159" s="408"/>
      <c r="ES159" s="408"/>
      <c r="ET159" s="408"/>
      <c r="EU159" s="408"/>
      <c r="EV159" s="408"/>
      <c r="EW159" s="408"/>
      <c r="EX159" s="408"/>
      <c r="EY159" s="408"/>
      <c r="EZ159" s="412"/>
      <c r="FZ159" s="411"/>
      <c r="GA159" s="408"/>
      <c r="GB159" s="408"/>
      <c r="GC159" s="408"/>
      <c r="GD159" s="408"/>
      <c r="GE159" s="408"/>
      <c r="GF159" s="408"/>
      <c r="GG159" s="408"/>
      <c r="GH159" s="408"/>
      <c r="GI159" s="408"/>
      <c r="GJ159" s="408"/>
      <c r="GK159" s="408"/>
      <c r="GL159" s="408"/>
      <c r="GM159" s="408"/>
      <c r="GN159" s="408"/>
      <c r="GO159" s="408"/>
      <c r="GP159" s="408"/>
      <c r="GQ159" s="408"/>
      <c r="GR159" s="408"/>
      <c r="GS159" s="408"/>
      <c r="GT159" s="408"/>
      <c r="GU159" s="408"/>
      <c r="GV159" s="408"/>
      <c r="GW159" s="408"/>
      <c r="GX159" s="412"/>
      <c r="GY159" s="411"/>
      <c r="GZ159" s="408"/>
      <c r="HA159" s="408"/>
      <c r="HB159" s="408"/>
      <c r="HC159" s="408"/>
      <c r="HD159" s="408"/>
      <c r="HE159" s="408"/>
      <c r="HF159" s="408"/>
      <c r="HG159" s="408"/>
      <c r="HH159" s="408"/>
      <c r="HI159" s="408"/>
      <c r="HJ159" s="408"/>
      <c r="HK159" s="408"/>
      <c r="HL159" s="408"/>
      <c r="HM159" s="408"/>
      <c r="HN159" s="408"/>
      <c r="HO159" s="408"/>
      <c r="HP159" s="408"/>
      <c r="HQ159" s="408"/>
      <c r="HR159" s="408"/>
      <c r="HS159" s="408"/>
      <c r="HT159" s="408"/>
      <c r="HU159" s="408"/>
      <c r="HV159" s="408"/>
      <c r="HW159" s="412"/>
    </row>
    <row r="160" spans="32:231" ht="24" customHeight="1">
      <c r="BE160" s="411"/>
      <c r="BF160" s="408"/>
      <c r="BG160" s="408"/>
      <c r="BH160" s="408"/>
      <c r="BI160" s="408"/>
      <c r="BJ160" s="408"/>
      <c r="BK160" s="408"/>
      <c r="BL160" s="408"/>
      <c r="BM160" s="408"/>
      <c r="BN160" s="408"/>
      <c r="BO160" s="408"/>
      <c r="BP160" s="408"/>
      <c r="BQ160" s="408"/>
      <c r="BR160" s="408"/>
      <c r="BS160" s="408"/>
      <c r="BT160" s="408"/>
      <c r="BU160" s="408"/>
      <c r="BV160" s="408"/>
      <c r="BW160" s="408"/>
      <c r="BX160" s="408"/>
      <c r="BY160" s="408"/>
      <c r="BZ160" s="408"/>
      <c r="CA160" s="408"/>
      <c r="CB160" s="408"/>
      <c r="CC160" s="412"/>
      <c r="DC160" s="411"/>
      <c r="DD160" s="408"/>
      <c r="DE160" s="408"/>
      <c r="DF160" s="408"/>
      <c r="DG160" s="408"/>
      <c r="DH160" s="408"/>
      <c r="DI160" s="408"/>
      <c r="DJ160" s="408"/>
      <c r="DK160" s="408"/>
      <c r="DL160" s="408"/>
      <c r="DM160" s="408"/>
      <c r="DN160" s="408"/>
      <c r="DO160" s="408"/>
      <c r="DP160" s="408"/>
      <c r="DQ160" s="408"/>
      <c r="DR160" s="408"/>
      <c r="DS160" s="408"/>
      <c r="DT160" s="408"/>
      <c r="DU160" s="408"/>
      <c r="DV160" s="408"/>
      <c r="DW160" s="408"/>
      <c r="DX160" s="408"/>
      <c r="DY160" s="408"/>
      <c r="DZ160" s="408"/>
      <c r="EA160" s="412"/>
      <c r="EB160" s="411"/>
      <c r="EC160" s="408"/>
      <c r="ED160" s="408"/>
      <c r="EE160" s="408"/>
      <c r="EF160" s="408"/>
      <c r="EG160" s="408"/>
      <c r="EH160" s="408"/>
      <c r="EI160" s="408"/>
      <c r="EJ160" s="408"/>
      <c r="EK160" s="408"/>
      <c r="EL160" s="408"/>
      <c r="EM160" s="408"/>
      <c r="EN160" s="408"/>
      <c r="EO160" s="408"/>
      <c r="EP160" s="408"/>
      <c r="EQ160" s="408"/>
      <c r="ER160" s="408"/>
      <c r="ES160" s="408"/>
      <c r="ET160" s="408"/>
      <c r="EU160" s="408"/>
      <c r="EV160" s="408"/>
      <c r="EW160" s="408"/>
      <c r="EX160" s="408"/>
      <c r="EY160" s="408"/>
      <c r="EZ160" s="412"/>
      <c r="FZ160" s="411"/>
      <c r="GA160" s="408"/>
      <c r="GB160" s="408"/>
      <c r="GC160" s="408"/>
      <c r="GD160" s="408"/>
      <c r="GE160" s="408"/>
      <c r="GF160" s="408"/>
      <c r="GG160" s="408"/>
      <c r="GH160" s="408"/>
      <c r="GI160" s="408"/>
      <c r="GJ160" s="408"/>
      <c r="GK160" s="408"/>
      <c r="GL160" s="408"/>
      <c r="GM160" s="408"/>
      <c r="GN160" s="408"/>
      <c r="GO160" s="408"/>
      <c r="GP160" s="408"/>
      <c r="GQ160" s="408"/>
      <c r="GR160" s="408"/>
      <c r="GS160" s="408"/>
      <c r="GT160" s="408"/>
      <c r="GU160" s="408"/>
      <c r="GV160" s="408"/>
      <c r="GW160" s="408"/>
      <c r="GX160" s="412"/>
      <c r="GY160" s="411"/>
      <c r="GZ160" s="408"/>
      <c r="HA160" s="408"/>
      <c r="HB160" s="408"/>
      <c r="HC160" s="408"/>
      <c r="HD160" s="408"/>
      <c r="HE160" s="408"/>
      <c r="HF160" s="408"/>
      <c r="HG160" s="408"/>
      <c r="HH160" s="408"/>
      <c r="HI160" s="408"/>
      <c r="HJ160" s="408"/>
      <c r="HK160" s="408"/>
      <c r="HL160" s="408"/>
      <c r="HM160" s="408"/>
      <c r="HN160" s="408"/>
      <c r="HO160" s="408"/>
      <c r="HP160" s="408"/>
      <c r="HQ160" s="408"/>
      <c r="HR160" s="408"/>
      <c r="HS160" s="408"/>
      <c r="HT160" s="408"/>
      <c r="HU160" s="408"/>
      <c r="HV160" s="408"/>
      <c r="HW160" s="412"/>
    </row>
    <row r="161" spans="57:231" ht="24" customHeight="1">
      <c r="BE161" s="411"/>
      <c r="BF161" s="408"/>
      <c r="BG161" s="408"/>
      <c r="BH161" s="408"/>
      <c r="BI161" s="408"/>
      <c r="BJ161" s="408"/>
      <c r="BK161" s="408"/>
      <c r="BL161" s="408"/>
      <c r="BM161" s="408"/>
      <c r="BN161" s="408"/>
      <c r="BO161" s="408"/>
      <c r="BP161" s="408"/>
      <c r="BQ161" s="408"/>
      <c r="BR161" s="408"/>
      <c r="BS161" s="408"/>
      <c r="BT161" s="408"/>
      <c r="BU161" s="408"/>
      <c r="BV161" s="408"/>
      <c r="BW161" s="408"/>
      <c r="BX161" s="408"/>
      <c r="BY161" s="408"/>
      <c r="BZ161" s="408"/>
      <c r="CA161" s="408"/>
      <c r="CB161" s="408"/>
      <c r="CC161" s="412"/>
      <c r="DC161" s="411"/>
      <c r="DD161" s="408"/>
      <c r="DE161" s="408"/>
      <c r="DF161" s="408"/>
      <c r="DG161" s="408"/>
      <c r="DH161" s="408"/>
      <c r="DI161" s="408"/>
      <c r="DJ161" s="408"/>
      <c r="DK161" s="408"/>
      <c r="DL161" s="408"/>
      <c r="DM161" s="408"/>
      <c r="DN161" s="408"/>
      <c r="DO161" s="408"/>
      <c r="DP161" s="408"/>
      <c r="DQ161" s="408"/>
      <c r="DR161" s="408"/>
      <c r="DS161" s="408"/>
      <c r="DT161" s="408"/>
      <c r="DU161" s="408"/>
      <c r="DV161" s="408"/>
      <c r="DW161" s="408"/>
      <c r="DX161" s="408"/>
      <c r="DY161" s="408"/>
      <c r="DZ161" s="408"/>
      <c r="EA161" s="412"/>
      <c r="EB161" s="411"/>
      <c r="EC161" s="408"/>
      <c r="ED161" s="408"/>
      <c r="EE161" s="408"/>
      <c r="EF161" s="408"/>
      <c r="EG161" s="408"/>
      <c r="EH161" s="408"/>
      <c r="EI161" s="408"/>
      <c r="EJ161" s="408"/>
      <c r="EK161" s="408"/>
      <c r="EL161" s="408"/>
      <c r="EM161" s="408"/>
      <c r="EN161" s="408"/>
      <c r="EO161" s="408"/>
      <c r="EP161" s="408"/>
      <c r="EQ161" s="408"/>
      <c r="ER161" s="408"/>
      <c r="ES161" s="408"/>
      <c r="ET161" s="408"/>
      <c r="EU161" s="408"/>
      <c r="EV161" s="408"/>
      <c r="EW161" s="408"/>
      <c r="EX161" s="408"/>
      <c r="EY161" s="408"/>
      <c r="EZ161" s="412"/>
      <c r="FZ161" s="411"/>
      <c r="GA161" s="408"/>
      <c r="GB161" s="408"/>
      <c r="GC161" s="408"/>
      <c r="GD161" s="408"/>
      <c r="GE161" s="408"/>
      <c r="GF161" s="408"/>
      <c r="GG161" s="408"/>
      <c r="GH161" s="408"/>
      <c r="GI161" s="408"/>
      <c r="GJ161" s="408"/>
      <c r="GK161" s="408"/>
      <c r="GL161" s="408"/>
      <c r="GM161" s="408"/>
      <c r="GN161" s="408"/>
      <c r="GO161" s="408"/>
      <c r="GP161" s="408"/>
      <c r="GQ161" s="408"/>
      <c r="GR161" s="408"/>
      <c r="GS161" s="408"/>
      <c r="GT161" s="408"/>
      <c r="GU161" s="408"/>
      <c r="GV161" s="408"/>
      <c r="GW161" s="408"/>
      <c r="GX161" s="412"/>
      <c r="GY161" s="411"/>
      <c r="GZ161" s="408"/>
      <c r="HA161" s="408"/>
      <c r="HB161" s="408"/>
      <c r="HC161" s="408"/>
      <c r="HD161" s="408"/>
      <c r="HE161" s="408"/>
      <c r="HF161" s="408"/>
      <c r="HG161" s="408"/>
      <c r="HH161" s="408"/>
      <c r="HI161" s="408"/>
      <c r="HJ161" s="408"/>
      <c r="HK161" s="408"/>
      <c r="HL161" s="408"/>
      <c r="HM161" s="408"/>
      <c r="HN161" s="408"/>
      <c r="HO161" s="408"/>
      <c r="HP161" s="408"/>
      <c r="HQ161" s="408"/>
      <c r="HR161" s="408"/>
      <c r="HS161" s="408"/>
      <c r="HT161" s="408"/>
      <c r="HU161" s="408"/>
      <c r="HV161" s="408"/>
      <c r="HW161" s="412"/>
    </row>
    <row r="162" spans="57:231" ht="24" customHeight="1">
      <c r="BE162" s="411"/>
      <c r="BF162" s="408"/>
      <c r="BG162" s="408"/>
      <c r="BH162" s="408"/>
      <c r="BI162" s="408"/>
      <c r="BJ162" s="408"/>
      <c r="BK162" s="408"/>
      <c r="BL162" s="408"/>
      <c r="BM162" s="408"/>
      <c r="BN162" s="408"/>
      <c r="BO162" s="408"/>
      <c r="BP162" s="408"/>
      <c r="BQ162" s="408"/>
      <c r="BR162" s="408"/>
      <c r="BS162" s="408"/>
      <c r="BT162" s="408"/>
      <c r="BU162" s="408"/>
      <c r="BV162" s="408"/>
      <c r="BW162" s="408"/>
      <c r="BX162" s="408"/>
      <c r="BY162" s="408"/>
      <c r="BZ162" s="408"/>
      <c r="CA162" s="408"/>
      <c r="CB162" s="408"/>
      <c r="CC162" s="412"/>
      <c r="DC162" s="411"/>
      <c r="DD162" s="408"/>
      <c r="DE162" s="408"/>
      <c r="DF162" s="408"/>
      <c r="DG162" s="408"/>
      <c r="DH162" s="408"/>
      <c r="DI162" s="408"/>
      <c r="DJ162" s="408"/>
      <c r="DK162" s="408"/>
      <c r="DL162" s="408"/>
      <c r="DM162" s="408"/>
      <c r="DN162" s="408"/>
      <c r="DO162" s="408"/>
      <c r="DP162" s="408"/>
      <c r="DQ162" s="408"/>
      <c r="DR162" s="408"/>
      <c r="DS162" s="408"/>
      <c r="DT162" s="408"/>
      <c r="DU162" s="408"/>
      <c r="DV162" s="408"/>
      <c r="DW162" s="408"/>
      <c r="DX162" s="408"/>
      <c r="DY162" s="408"/>
      <c r="DZ162" s="408"/>
      <c r="EA162" s="412"/>
      <c r="EB162" s="411"/>
      <c r="EC162" s="408"/>
      <c r="ED162" s="408"/>
      <c r="EE162" s="408"/>
      <c r="EF162" s="408"/>
      <c r="EG162" s="408"/>
      <c r="EH162" s="408"/>
      <c r="EI162" s="408"/>
      <c r="EJ162" s="408"/>
      <c r="EK162" s="408"/>
      <c r="EL162" s="408"/>
      <c r="EM162" s="408"/>
      <c r="EN162" s="408"/>
      <c r="EO162" s="408"/>
      <c r="EP162" s="408"/>
      <c r="EQ162" s="408"/>
      <c r="ER162" s="408"/>
      <c r="ES162" s="408"/>
      <c r="ET162" s="408"/>
      <c r="EU162" s="408"/>
      <c r="EV162" s="408"/>
      <c r="EW162" s="408"/>
      <c r="EX162" s="408"/>
      <c r="EY162" s="408"/>
      <c r="EZ162" s="412"/>
      <c r="FZ162" s="411"/>
      <c r="GA162" s="408"/>
      <c r="GB162" s="408"/>
      <c r="GC162" s="408"/>
      <c r="GD162" s="408"/>
      <c r="GE162" s="408"/>
      <c r="GF162" s="408"/>
      <c r="GG162" s="408"/>
      <c r="GH162" s="408"/>
      <c r="GI162" s="408"/>
      <c r="GJ162" s="408"/>
      <c r="GK162" s="408"/>
      <c r="GL162" s="408"/>
      <c r="GM162" s="408"/>
      <c r="GN162" s="408"/>
      <c r="GO162" s="408"/>
      <c r="GP162" s="408"/>
      <c r="GQ162" s="408"/>
      <c r="GR162" s="408"/>
      <c r="GS162" s="408"/>
      <c r="GT162" s="408"/>
      <c r="GU162" s="408"/>
      <c r="GV162" s="408"/>
      <c r="GW162" s="408"/>
      <c r="GX162" s="412"/>
      <c r="GY162" s="411"/>
      <c r="GZ162" s="408"/>
      <c r="HA162" s="408"/>
      <c r="HB162" s="408"/>
      <c r="HC162" s="408"/>
      <c r="HD162" s="408"/>
      <c r="HE162" s="408"/>
      <c r="HF162" s="408"/>
      <c r="HG162" s="408"/>
      <c r="HH162" s="408"/>
      <c r="HI162" s="408"/>
      <c r="HJ162" s="408"/>
      <c r="HK162" s="408"/>
      <c r="HL162" s="408"/>
      <c r="HM162" s="408"/>
      <c r="HN162" s="408"/>
      <c r="HO162" s="408"/>
      <c r="HP162" s="408"/>
      <c r="HQ162" s="408"/>
      <c r="HR162" s="408"/>
      <c r="HS162" s="408"/>
      <c r="HT162" s="408"/>
      <c r="HU162" s="408"/>
      <c r="HV162" s="408"/>
      <c r="HW162" s="412"/>
    </row>
    <row r="163" spans="57:231" ht="24" customHeight="1">
      <c r="BE163" s="411"/>
      <c r="BF163" s="408"/>
      <c r="BG163" s="408"/>
      <c r="BH163" s="408"/>
      <c r="BI163" s="408"/>
      <c r="BJ163" s="408"/>
      <c r="BK163" s="408"/>
      <c r="BL163" s="408"/>
      <c r="BM163" s="408"/>
      <c r="BN163" s="408"/>
      <c r="BO163" s="408"/>
      <c r="BP163" s="408"/>
      <c r="BQ163" s="408"/>
      <c r="BR163" s="408"/>
      <c r="BS163" s="408"/>
      <c r="BT163" s="408"/>
      <c r="BU163" s="408"/>
      <c r="BV163" s="408"/>
      <c r="BW163" s="408"/>
      <c r="BX163" s="408"/>
      <c r="BY163" s="408"/>
      <c r="BZ163" s="408"/>
      <c r="CA163" s="408"/>
      <c r="CB163" s="408"/>
      <c r="CC163" s="412"/>
      <c r="DC163" s="411"/>
      <c r="DD163" s="408"/>
      <c r="DE163" s="408"/>
      <c r="DF163" s="408"/>
      <c r="DG163" s="408"/>
      <c r="DH163" s="408"/>
      <c r="DI163" s="408"/>
      <c r="DJ163" s="408"/>
      <c r="DK163" s="408"/>
      <c r="DL163" s="408"/>
      <c r="DM163" s="408"/>
      <c r="DN163" s="408"/>
      <c r="DO163" s="408"/>
      <c r="DP163" s="408"/>
      <c r="DQ163" s="408"/>
      <c r="DR163" s="408"/>
      <c r="DS163" s="408"/>
      <c r="DT163" s="408"/>
      <c r="DU163" s="408"/>
      <c r="DV163" s="408"/>
      <c r="DW163" s="408"/>
      <c r="DX163" s="408"/>
      <c r="DY163" s="408"/>
      <c r="DZ163" s="408"/>
      <c r="EA163" s="412"/>
      <c r="EB163" s="411"/>
      <c r="EC163" s="408"/>
      <c r="ED163" s="408"/>
      <c r="EE163" s="408"/>
      <c r="EF163" s="408"/>
      <c r="EG163" s="408"/>
      <c r="EH163" s="408"/>
      <c r="EI163" s="408"/>
      <c r="EJ163" s="408"/>
      <c r="EK163" s="408"/>
      <c r="EL163" s="408"/>
      <c r="EM163" s="408"/>
      <c r="EN163" s="408"/>
      <c r="EO163" s="408"/>
      <c r="EP163" s="408"/>
      <c r="EQ163" s="408"/>
      <c r="ER163" s="408"/>
      <c r="ES163" s="408"/>
      <c r="ET163" s="408"/>
      <c r="EU163" s="408"/>
      <c r="EV163" s="408"/>
      <c r="EW163" s="408"/>
      <c r="EX163" s="408"/>
      <c r="EY163" s="408"/>
      <c r="EZ163" s="412"/>
      <c r="FZ163" s="411"/>
      <c r="GA163" s="408"/>
      <c r="GB163" s="408"/>
      <c r="GC163" s="408"/>
      <c r="GD163" s="408"/>
      <c r="GE163" s="408"/>
      <c r="GF163" s="408"/>
      <c r="GG163" s="408"/>
      <c r="GH163" s="408"/>
      <c r="GI163" s="408"/>
      <c r="GJ163" s="408"/>
      <c r="GK163" s="408"/>
      <c r="GL163" s="408"/>
      <c r="GM163" s="408"/>
      <c r="GN163" s="408"/>
      <c r="GO163" s="408"/>
      <c r="GP163" s="408"/>
      <c r="GQ163" s="408"/>
      <c r="GR163" s="408"/>
      <c r="GS163" s="408"/>
      <c r="GT163" s="408"/>
      <c r="GU163" s="408"/>
      <c r="GV163" s="408"/>
      <c r="GW163" s="408"/>
      <c r="GX163" s="412"/>
      <c r="GY163" s="411"/>
      <c r="GZ163" s="408"/>
      <c r="HA163" s="408"/>
      <c r="HB163" s="408"/>
      <c r="HC163" s="408"/>
      <c r="HD163" s="408"/>
      <c r="HE163" s="408"/>
      <c r="HF163" s="408"/>
      <c r="HG163" s="408"/>
      <c r="HH163" s="408"/>
      <c r="HI163" s="408"/>
      <c r="HJ163" s="408"/>
      <c r="HK163" s="408"/>
      <c r="HL163" s="408"/>
      <c r="HM163" s="408"/>
      <c r="HN163" s="408"/>
      <c r="HO163" s="408"/>
      <c r="HP163" s="408"/>
      <c r="HQ163" s="408"/>
      <c r="HR163" s="408"/>
      <c r="HS163" s="408"/>
      <c r="HT163" s="408"/>
      <c r="HU163" s="408"/>
      <c r="HV163" s="408"/>
      <c r="HW163" s="412"/>
    </row>
    <row r="164" spans="57:231" ht="24" customHeight="1">
      <c r="BE164" s="411"/>
      <c r="BF164" s="408"/>
      <c r="BG164" s="408"/>
      <c r="BH164" s="408"/>
      <c r="BI164" s="408"/>
      <c r="BJ164" s="408"/>
      <c r="BK164" s="408"/>
      <c r="BL164" s="408"/>
      <c r="BM164" s="408"/>
      <c r="BN164" s="408"/>
      <c r="BO164" s="408"/>
      <c r="BP164" s="408"/>
      <c r="BQ164" s="408"/>
      <c r="BR164" s="408"/>
      <c r="BS164" s="408"/>
      <c r="BT164" s="408"/>
      <c r="BU164" s="408"/>
      <c r="BV164" s="408"/>
      <c r="BW164" s="408"/>
      <c r="BX164" s="408"/>
      <c r="BY164" s="408"/>
      <c r="BZ164" s="408"/>
      <c r="CA164" s="408"/>
      <c r="CB164" s="408"/>
      <c r="CC164" s="412"/>
      <c r="DC164" s="411"/>
      <c r="DD164" s="408"/>
      <c r="DE164" s="408"/>
      <c r="DF164" s="408"/>
      <c r="DG164" s="408"/>
      <c r="DH164" s="408"/>
      <c r="DI164" s="408"/>
      <c r="DJ164" s="408"/>
      <c r="DK164" s="408"/>
      <c r="DL164" s="408"/>
      <c r="DM164" s="408"/>
      <c r="DN164" s="408"/>
      <c r="DO164" s="408"/>
      <c r="DP164" s="408"/>
      <c r="DQ164" s="408"/>
      <c r="DR164" s="408"/>
      <c r="DS164" s="408"/>
      <c r="DT164" s="408"/>
      <c r="DU164" s="408"/>
      <c r="DV164" s="408"/>
      <c r="DW164" s="408"/>
      <c r="DX164" s="408"/>
      <c r="DY164" s="408"/>
      <c r="DZ164" s="408"/>
      <c r="EA164" s="412"/>
      <c r="EB164" s="411"/>
      <c r="EC164" s="408"/>
      <c r="ED164" s="408"/>
      <c r="EE164" s="408"/>
      <c r="EF164" s="408"/>
      <c r="EG164" s="408"/>
      <c r="EH164" s="408"/>
      <c r="EI164" s="408"/>
      <c r="EJ164" s="408"/>
      <c r="EK164" s="408"/>
      <c r="EL164" s="408"/>
      <c r="EM164" s="408"/>
      <c r="EN164" s="408"/>
      <c r="EO164" s="408"/>
      <c r="EP164" s="408"/>
      <c r="EQ164" s="408"/>
      <c r="ER164" s="408"/>
      <c r="ES164" s="408"/>
      <c r="ET164" s="408"/>
      <c r="EU164" s="408"/>
      <c r="EV164" s="408"/>
      <c r="EW164" s="408"/>
      <c r="EX164" s="408"/>
      <c r="EY164" s="408"/>
      <c r="EZ164" s="412"/>
      <c r="FZ164" s="411"/>
      <c r="GA164" s="408"/>
      <c r="GB164" s="408"/>
      <c r="GC164" s="408"/>
      <c r="GD164" s="408"/>
      <c r="GE164" s="408"/>
      <c r="GF164" s="408"/>
      <c r="GG164" s="408"/>
      <c r="GH164" s="408"/>
      <c r="GI164" s="408"/>
      <c r="GJ164" s="408"/>
      <c r="GK164" s="408"/>
      <c r="GL164" s="408"/>
      <c r="GM164" s="408"/>
      <c r="GN164" s="408"/>
      <c r="GO164" s="408"/>
      <c r="GP164" s="408"/>
      <c r="GQ164" s="408"/>
      <c r="GR164" s="408"/>
      <c r="GS164" s="408"/>
      <c r="GT164" s="408"/>
      <c r="GU164" s="408"/>
      <c r="GV164" s="408"/>
      <c r="GW164" s="408"/>
      <c r="GX164" s="412"/>
      <c r="GY164" s="411"/>
      <c r="GZ164" s="408"/>
      <c r="HA164" s="408"/>
      <c r="HB164" s="408"/>
      <c r="HC164" s="408"/>
      <c r="HD164" s="408"/>
      <c r="HE164" s="408"/>
      <c r="HF164" s="408"/>
      <c r="HG164" s="408"/>
      <c r="HH164" s="408"/>
      <c r="HI164" s="408"/>
      <c r="HJ164" s="408"/>
      <c r="HK164" s="408"/>
      <c r="HL164" s="408"/>
      <c r="HM164" s="408"/>
      <c r="HN164" s="408"/>
      <c r="HO164" s="408"/>
      <c r="HP164" s="408"/>
      <c r="HQ164" s="408"/>
      <c r="HR164" s="408"/>
      <c r="HS164" s="408"/>
      <c r="HT164" s="408"/>
      <c r="HU164" s="408"/>
      <c r="HV164" s="408"/>
      <c r="HW164" s="412"/>
    </row>
    <row r="165" spans="57:231" ht="24" customHeight="1">
      <c r="BE165" s="411"/>
      <c r="BF165" s="408"/>
      <c r="BG165" s="408"/>
      <c r="BH165" s="408"/>
      <c r="BI165" s="408"/>
      <c r="BJ165" s="408"/>
      <c r="BK165" s="408"/>
      <c r="BL165" s="408"/>
      <c r="BM165" s="408"/>
      <c r="BN165" s="408"/>
      <c r="BO165" s="408"/>
      <c r="BP165" s="408"/>
      <c r="BQ165" s="408"/>
      <c r="BR165" s="408"/>
      <c r="BS165" s="408"/>
      <c r="BT165" s="408"/>
      <c r="BU165" s="408"/>
      <c r="BV165" s="408"/>
      <c r="BW165" s="408"/>
      <c r="BX165" s="408"/>
      <c r="BY165" s="408"/>
      <c r="BZ165" s="408"/>
      <c r="CA165" s="408"/>
      <c r="CB165" s="408"/>
      <c r="CC165" s="412"/>
      <c r="DC165" s="411"/>
      <c r="DD165" s="408"/>
      <c r="DE165" s="408"/>
      <c r="DF165" s="408"/>
      <c r="DG165" s="408"/>
      <c r="DH165" s="408"/>
      <c r="DI165" s="408"/>
      <c r="DJ165" s="408"/>
      <c r="DK165" s="408"/>
      <c r="DL165" s="408"/>
      <c r="DM165" s="408"/>
      <c r="DN165" s="408"/>
      <c r="DO165" s="408"/>
      <c r="DP165" s="408"/>
      <c r="DQ165" s="408"/>
      <c r="DR165" s="408"/>
      <c r="DS165" s="408"/>
      <c r="DT165" s="408"/>
      <c r="DU165" s="408"/>
      <c r="DV165" s="408"/>
      <c r="DW165" s="408"/>
      <c r="DX165" s="408"/>
      <c r="DY165" s="408"/>
      <c r="DZ165" s="408"/>
      <c r="EA165" s="412"/>
      <c r="EB165" s="411"/>
      <c r="EC165" s="408"/>
      <c r="ED165" s="408"/>
      <c r="EE165" s="408"/>
      <c r="EF165" s="408"/>
      <c r="EG165" s="408"/>
      <c r="EH165" s="408"/>
      <c r="EI165" s="408"/>
      <c r="EJ165" s="408"/>
      <c r="EK165" s="408"/>
      <c r="EL165" s="408"/>
      <c r="EM165" s="408"/>
      <c r="EN165" s="408"/>
      <c r="EO165" s="408"/>
      <c r="EP165" s="408"/>
      <c r="EQ165" s="408"/>
      <c r="ER165" s="408"/>
      <c r="ES165" s="408"/>
      <c r="ET165" s="408"/>
      <c r="EU165" s="408"/>
      <c r="EV165" s="408"/>
      <c r="EW165" s="408"/>
      <c r="EX165" s="408"/>
      <c r="EY165" s="408"/>
      <c r="EZ165" s="412"/>
      <c r="FZ165" s="411"/>
      <c r="GA165" s="408"/>
      <c r="GB165" s="408"/>
      <c r="GC165" s="408"/>
      <c r="GD165" s="408"/>
      <c r="GE165" s="408"/>
      <c r="GF165" s="408"/>
      <c r="GG165" s="408"/>
      <c r="GH165" s="408"/>
      <c r="GI165" s="408"/>
      <c r="GJ165" s="408"/>
      <c r="GK165" s="408"/>
      <c r="GL165" s="408"/>
      <c r="GM165" s="408"/>
      <c r="GN165" s="408"/>
      <c r="GO165" s="408"/>
      <c r="GP165" s="408"/>
      <c r="GQ165" s="408"/>
      <c r="GR165" s="408"/>
      <c r="GS165" s="408"/>
      <c r="GT165" s="408"/>
      <c r="GU165" s="408"/>
      <c r="GV165" s="408"/>
      <c r="GW165" s="408"/>
      <c r="GX165" s="412"/>
      <c r="GY165" s="411"/>
      <c r="GZ165" s="408"/>
      <c r="HA165" s="408"/>
      <c r="HB165" s="408"/>
      <c r="HC165" s="408"/>
      <c r="HD165" s="408"/>
      <c r="HE165" s="408"/>
      <c r="HF165" s="408"/>
      <c r="HG165" s="408"/>
      <c r="HH165" s="408"/>
      <c r="HI165" s="408"/>
      <c r="HJ165" s="408"/>
      <c r="HK165" s="408"/>
      <c r="HL165" s="408"/>
      <c r="HM165" s="408"/>
      <c r="HN165" s="408"/>
      <c r="HO165" s="408"/>
      <c r="HP165" s="408"/>
      <c r="HQ165" s="408"/>
      <c r="HR165" s="408"/>
      <c r="HS165" s="408"/>
      <c r="HT165" s="408"/>
      <c r="HU165" s="408"/>
      <c r="HV165" s="408"/>
      <c r="HW165" s="412"/>
    </row>
    <row r="166" spans="57:231" ht="24" customHeight="1">
      <c r="BE166" s="411"/>
      <c r="BF166" s="408"/>
      <c r="BG166" s="408"/>
      <c r="BH166" s="408"/>
      <c r="BI166" s="408"/>
      <c r="BJ166" s="408"/>
      <c r="BK166" s="408"/>
      <c r="BL166" s="408"/>
      <c r="BM166" s="408"/>
      <c r="BN166" s="408"/>
      <c r="BO166" s="408"/>
      <c r="BP166" s="408"/>
      <c r="BQ166" s="408"/>
      <c r="BR166" s="408"/>
      <c r="BS166" s="408"/>
      <c r="BT166" s="408"/>
      <c r="BU166" s="408"/>
      <c r="BV166" s="408"/>
      <c r="BW166" s="408"/>
      <c r="BX166" s="408"/>
      <c r="BY166" s="408"/>
      <c r="BZ166" s="408"/>
      <c r="CA166" s="408"/>
      <c r="CB166" s="408"/>
      <c r="CC166" s="412"/>
      <c r="DC166" s="411"/>
      <c r="DD166" s="408"/>
      <c r="DE166" s="408"/>
      <c r="DF166" s="408"/>
      <c r="DG166" s="408"/>
      <c r="DH166" s="408"/>
      <c r="DI166" s="408"/>
      <c r="DJ166" s="408"/>
      <c r="DK166" s="408"/>
      <c r="DL166" s="408"/>
      <c r="DM166" s="408"/>
      <c r="DN166" s="408"/>
      <c r="DO166" s="408"/>
      <c r="DP166" s="408"/>
      <c r="DQ166" s="408"/>
      <c r="DR166" s="408"/>
      <c r="DS166" s="408"/>
      <c r="DT166" s="408"/>
      <c r="DU166" s="408"/>
      <c r="DV166" s="408"/>
      <c r="DW166" s="408"/>
      <c r="DX166" s="408"/>
      <c r="DY166" s="408"/>
      <c r="DZ166" s="408"/>
      <c r="EA166" s="412"/>
      <c r="EB166" s="411"/>
      <c r="EC166" s="408"/>
      <c r="ED166" s="408"/>
      <c r="EE166" s="408"/>
      <c r="EF166" s="408"/>
      <c r="EG166" s="408"/>
      <c r="EH166" s="408"/>
      <c r="EI166" s="408"/>
      <c r="EJ166" s="408"/>
      <c r="EK166" s="408"/>
      <c r="EL166" s="408"/>
      <c r="EM166" s="408"/>
      <c r="EN166" s="408"/>
      <c r="EO166" s="408"/>
      <c r="EP166" s="408"/>
      <c r="EQ166" s="408"/>
      <c r="ER166" s="408"/>
      <c r="ES166" s="408"/>
      <c r="ET166" s="408"/>
      <c r="EU166" s="408"/>
      <c r="EV166" s="408"/>
      <c r="EW166" s="408"/>
      <c r="EX166" s="408"/>
      <c r="EY166" s="408"/>
      <c r="EZ166" s="412"/>
      <c r="FZ166" s="411"/>
      <c r="GA166" s="408"/>
      <c r="GB166" s="408"/>
      <c r="GC166" s="408"/>
      <c r="GD166" s="408"/>
      <c r="GE166" s="408"/>
      <c r="GF166" s="408"/>
      <c r="GG166" s="408"/>
      <c r="GH166" s="408"/>
      <c r="GI166" s="408"/>
      <c r="GJ166" s="408"/>
      <c r="GK166" s="408"/>
      <c r="GL166" s="408"/>
      <c r="GM166" s="408"/>
      <c r="GN166" s="408"/>
      <c r="GO166" s="408"/>
      <c r="GP166" s="408"/>
      <c r="GQ166" s="408"/>
      <c r="GR166" s="408"/>
      <c r="GS166" s="408"/>
      <c r="GT166" s="408"/>
      <c r="GU166" s="408"/>
      <c r="GV166" s="408"/>
      <c r="GW166" s="408"/>
      <c r="GX166" s="412"/>
      <c r="GY166" s="411"/>
      <c r="GZ166" s="408"/>
      <c r="HA166" s="408"/>
      <c r="HB166" s="408"/>
      <c r="HC166" s="408"/>
      <c r="HD166" s="408"/>
      <c r="HE166" s="408"/>
      <c r="HF166" s="408"/>
      <c r="HG166" s="408"/>
      <c r="HH166" s="408"/>
      <c r="HI166" s="408"/>
      <c r="HJ166" s="408"/>
      <c r="HK166" s="408"/>
      <c r="HL166" s="408"/>
      <c r="HM166" s="408"/>
      <c r="HN166" s="408"/>
      <c r="HO166" s="408"/>
      <c r="HP166" s="408"/>
      <c r="HQ166" s="408"/>
      <c r="HR166" s="408"/>
      <c r="HS166" s="408"/>
      <c r="HT166" s="408"/>
      <c r="HU166" s="408"/>
      <c r="HV166" s="408"/>
      <c r="HW166" s="412"/>
    </row>
    <row r="167" spans="57:231" ht="24" customHeight="1">
      <c r="BE167" s="411"/>
      <c r="BF167" s="408"/>
      <c r="BG167" s="408"/>
      <c r="BH167" s="408"/>
      <c r="BI167" s="408"/>
      <c r="BJ167" s="408"/>
      <c r="BK167" s="408"/>
      <c r="BL167" s="408"/>
      <c r="BM167" s="408"/>
      <c r="BN167" s="408"/>
      <c r="BO167" s="408"/>
      <c r="BP167" s="408"/>
      <c r="BQ167" s="408"/>
      <c r="BR167" s="408"/>
      <c r="BS167" s="408"/>
      <c r="BT167" s="408"/>
      <c r="BU167" s="408"/>
      <c r="BV167" s="408"/>
      <c r="BW167" s="408"/>
      <c r="BX167" s="408"/>
      <c r="BY167" s="408"/>
      <c r="BZ167" s="408"/>
      <c r="CA167" s="408"/>
      <c r="CB167" s="408"/>
      <c r="CC167" s="412"/>
      <c r="DC167" s="411"/>
      <c r="DD167" s="408"/>
      <c r="DE167" s="408"/>
      <c r="DF167" s="408"/>
      <c r="DG167" s="408"/>
      <c r="DH167" s="408"/>
      <c r="DI167" s="408"/>
      <c r="DJ167" s="408"/>
      <c r="DK167" s="408"/>
      <c r="DL167" s="408"/>
      <c r="DM167" s="408"/>
      <c r="DN167" s="408"/>
      <c r="DO167" s="408"/>
      <c r="DP167" s="408"/>
      <c r="DQ167" s="408"/>
      <c r="DR167" s="408"/>
      <c r="DS167" s="408"/>
      <c r="DT167" s="408"/>
      <c r="DU167" s="408"/>
      <c r="DV167" s="408"/>
      <c r="DW167" s="408"/>
      <c r="DX167" s="408"/>
      <c r="DY167" s="408"/>
      <c r="DZ167" s="408"/>
      <c r="EA167" s="412"/>
      <c r="EB167" s="411"/>
      <c r="EC167" s="408"/>
      <c r="ED167" s="408"/>
      <c r="EE167" s="408"/>
      <c r="EF167" s="408"/>
      <c r="EG167" s="408"/>
      <c r="EH167" s="408"/>
      <c r="EI167" s="408"/>
      <c r="EJ167" s="408"/>
      <c r="EK167" s="408"/>
      <c r="EL167" s="408"/>
      <c r="EM167" s="408"/>
      <c r="EN167" s="408"/>
      <c r="EO167" s="408"/>
      <c r="EP167" s="408"/>
      <c r="EQ167" s="408"/>
      <c r="ER167" s="408"/>
      <c r="ES167" s="408"/>
      <c r="ET167" s="408"/>
      <c r="EU167" s="408"/>
      <c r="EV167" s="408"/>
      <c r="EW167" s="408"/>
      <c r="EX167" s="408"/>
      <c r="EY167" s="408"/>
      <c r="EZ167" s="412"/>
      <c r="FZ167" s="411"/>
      <c r="GA167" s="408"/>
      <c r="GB167" s="408"/>
      <c r="GC167" s="408"/>
      <c r="GD167" s="408"/>
      <c r="GE167" s="408"/>
      <c r="GF167" s="408"/>
      <c r="GG167" s="408"/>
      <c r="GH167" s="408"/>
      <c r="GI167" s="408"/>
      <c r="GJ167" s="408"/>
      <c r="GK167" s="408"/>
      <c r="GL167" s="408"/>
      <c r="GM167" s="408"/>
      <c r="GN167" s="408"/>
      <c r="GO167" s="408"/>
      <c r="GP167" s="408"/>
      <c r="GQ167" s="408"/>
      <c r="GR167" s="408"/>
      <c r="GS167" s="408"/>
      <c r="GT167" s="408"/>
      <c r="GU167" s="408"/>
      <c r="GV167" s="408"/>
      <c r="GW167" s="408"/>
      <c r="GX167" s="412"/>
      <c r="GY167" s="411"/>
      <c r="GZ167" s="408"/>
      <c r="HA167" s="408"/>
      <c r="HB167" s="408"/>
      <c r="HC167" s="408"/>
      <c r="HD167" s="408"/>
      <c r="HE167" s="408"/>
      <c r="HF167" s="408"/>
      <c r="HG167" s="408"/>
      <c r="HH167" s="408"/>
      <c r="HI167" s="408"/>
      <c r="HJ167" s="408"/>
      <c r="HK167" s="408"/>
      <c r="HL167" s="408"/>
      <c r="HM167" s="408"/>
      <c r="HN167" s="408"/>
      <c r="HO167" s="408"/>
      <c r="HP167" s="408"/>
      <c r="HQ167" s="408"/>
      <c r="HR167" s="408"/>
      <c r="HS167" s="408"/>
      <c r="HT167" s="408"/>
      <c r="HU167" s="408"/>
      <c r="HV167" s="408"/>
      <c r="HW167" s="412"/>
    </row>
    <row r="168" spans="57:231" ht="24" customHeight="1">
      <c r="BE168" s="411"/>
      <c r="BF168" s="408"/>
      <c r="BG168" s="408"/>
      <c r="BH168" s="408"/>
      <c r="BI168" s="408"/>
      <c r="BJ168" s="408"/>
      <c r="BK168" s="408"/>
      <c r="BL168" s="408"/>
      <c r="BM168" s="408"/>
      <c r="BN168" s="408"/>
      <c r="BO168" s="408"/>
      <c r="BP168" s="408"/>
      <c r="BQ168" s="408"/>
      <c r="BR168" s="408"/>
      <c r="BS168" s="408"/>
      <c r="BT168" s="408"/>
      <c r="BU168" s="408"/>
      <c r="BV168" s="408"/>
      <c r="BW168" s="408"/>
      <c r="BX168" s="408"/>
      <c r="BY168" s="408"/>
      <c r="BZ168" s="408"/>
      <c r="CA168" s="408"/>
      <c r="CB168" s="408"/>
      <c r="CC168" s="412"/>
      <c r="DC168" s="411"/>
      <c r="DD168" s="408"/>
      <c r="DE168" s="408"/>
      <c r="DF168" s="408"/>
      <c r="DG168" s="408"/>
      <c r="DH168" s="408"/>
      <c r="DI168" s="408"/>
      <c r="DJ168" s="408"/>
      <c r="DK168" s="408"/>
      <c r="DL168" s="408"/>
      <c r="DM168" s="408"/>
      <c r="DN168" s="408"/>
      <c r="DO168" s="408"/>
      <c r="DP168" s="408"/>
      <c r="DQ168" s="408"/>
      <c r="DR168" s="408"/>
      <c r="DS168" s="408"/>
      <c r="DT168" s="408"/>
      <c r="DU168" s="408"/>
      <c r="DV168" s="408"/>
      <c r="DW168" s="408"/>
      <c r="DX168" s="408"/>
      <c r="DY168" s="408"/>
      <c r="DZ168" s="408"/>
      <c r="EA168" s="412"/>
      <c r="EB168" s="411"/>
      <c r="EC168" s="408"/>
      <c r="ED168" s="408"/>
      <c r="EE168" s="408"/>
      <c r="EF168" s="408"/>
      <c r="EG168" s="408"/>
      <c r="EH168" s="408"/>
      <c r="EI168" s="408"/>
      <c r="EJ168" s="408"/>
      <c r="EK168" s="408"/>
      <c r="EL168" s="408"/>
      <c r="EM168" s="408"/>
      <c r="EN168" s="408"/>
      <c r="EO168" s="408"/>
      <c r="EP168" s="408"/>
      <c r="EQ168" s="408"/>
      <c r="ER168" s="408"/>
      <c r="ES168" s="408"/>
      <c r="ET168" s="408"/>
      <c r="EU168" s="408"/>
      <c r="EV168" s="408"/>
      <c r="EW168" s="408"/>
      <c r="EX168" s="408"/>
      <c r="EY168" s="408"/>
      <c r="EZ168" s="412"/>
      <c r="FZ168" s="411"/>
      <c r="GA168" s="408"/>
      <c r="GB168" s="408"/>
      <c r="GC168" s="408"/>
      <c r="GD168" s="408"/>
      <c r="GE168" s="408"/>
      <c r="GF168" s="408"/>
      <c r="GG168" s="408"/>
      <c r="GH168" s="408"/>
      <c r="GI168" s="408"/>
      <c r="GJ168" s="408"/>
      <c r="GK168" s="408"/>
      <c r="GL168" s="408"/>
      <c r="GM168" s="408"/>
      <c r="GN168" s="408"/>
      <c r="GO168" s="408"/>
      <c r="GP168" s="408"/>
      <c r="GQ168" s="408"/>
      <c r="GR168" s="408"/>
      <c r="GS168" s="408"/>
      <c r="GT168" s="408"/>
      <c r="GU168" s="408"/>
      <c r="GV168" s="408"/>
      <c r="GW168" s="408"/>
      <c r="GX168" s="412"/>
      <c r="GY168" s="411"/>
      <c r="GZ168" s="408"/>
      <c r="HA168" s="408"/>
      <c r="HB168" s="408"/>
      <c r="HC168" s="408"/>
      <c r="HD168" s="408"/>
      <c r="HE168" s="408"/>
      <c r="HF168" s="408"/>
      <c r="HG168" s="408"/>
      <c r="HH168" s="408"/>
      <c r="HI168" s="408"/>
      <c r="HJ168" s="408"/>
      <c r="HK168" s="408"/>
      <c r="HL168" s="408"/>
      <c r="HM168" s="408"/>
      <c r="HN168" s="408"/>
      <c r="HO168" s="408"/>
      <c r="HP168" s="408"/>
      <c r="HQ168" s="408"/>
      <c r="HR168" s="408"/>
      <c r="HS168" s="408"/>
      <c r="HT168" s="408"/>
      <c r="HU168" s="408"/>
      <c r="HV168" s="408"/>
      <c r="HW168" s="412"/>
    </row>
    <row r="169" spans="57:231" ht="24" customHeight="1">
      <c r="BE169" s="411"/>
      <c r="BF169" s="408"/>
      <c r="BG169" s="408"/>
      <c r="BH169" s="408"/>
      <c r="BI169" s="408"/>
      <c r="BJ169" s="408"/>
      <c r="BK169" s="408"/>
      <c r="BL169" s="408"/>
      <c r="BM169" s="408"/>
      <c r="BN169" s="408"/>
      <c r="BO169" s="408"/>
      <c r="BP169" s="408"/>
      <c r="BQ169" s="408"/>
      <c r="BR169" s="408"/>
      <c r="BS169" s="408"/>
      <c r="BT169" s="408"/>
      <c r="BU169" s="408"/>
      <c r="BV169" s="408"/>
      <c r="BW169" s="408"/>
      <c r="BX169" s="408"/>
      <c r="BY169" s="408"/>
      <c r="BZ169" s="408"/>
      <c r="CA169" s="408"/>
      <c r="CB169" s="408"/>
      <c r="CC169" s="412"/>
      <c r="DC169" s="411"/>
      <c r="DD169" s="408"/>
      <c r="DE169" s="408"/>
      <c r="DF169" s="408"/>
      <c r="DG169" s="408"/>
      <c r="DH169" s="408"/>
      <c r="DI169" s="408"/>
      <c r="DJ169" s="408"/>
      <c r="DK169" s="408"/>
      <c r="DL169" s="408"/>
      <c r="DM169" s="408"/>
      <c r="DN169" s="408"/>
      <c r="DO169" s="408"/>
      <c r="DP169" s="408"/>
      <c r="DQ169" s="408"/>
      <c r="DR169" s="408"/>
      <c r="DS169" s="408"/>
      <c r="DT169" s="408"/>
      <c r="DU169" s="408"/>
      <c r="DV169" s="408"/>
      <c r="DW169" s="408"/>
      <c r="DX169" s="408"/>
      <c r="DY169" s="408"/>
      <c r="DZ169" s="408"/>
      <c r="EA169" s="412"/>
      <c r="EB169" s="411"/>
      <c r="EC169" s="408"/>
      <c r="ED169" s="408"/>
      <c r="EE169" s="408"/>
      <c r="EF169" s="408"/>
      <c r="EG169" s="408"/>
      <c r="EH169" s="408"/>
      <c r="EI169" s="408"/>
      <c r="EJ169" s="408"/>
      <c r="EK169" s="408"/>
      <c r="EL169" s="408"/>
      <c r="EM169" s="408"/>
      <c r="EN169" s="408"/>
      <c r="EO169" s="408"/>
      <c r="EP169" s="408"/>
      <c r="EQ169" s="408"/>
      <c r="ER169" s="408"/>
      <c r="ES169" s="408"/>
      <c r="ET169" s="408"/>
      <c r="EU169" s="408"/>
      <c r="EV169" s="408"/>
      <c r="EW169" s="408"/>
      <c r="EX169" s="408"/>
      <c r="EY169" s="408"/>
      <c r="EZ169" s="412"/>
      <c r="FZ169" s="411"/>
      <c r="GA169" s="408"/>
      <c r="GB169" s="408"/>
      <c r="GC169" s="408"/>
      <c r="GD169" s="408"/>
      <c r="GE169" s="408"/>
      <c r="GF169" s="408"/>
      <c r="GG169" s="408"/>
      <c r="GH169" s="408"/>
      <c r="GI169" s="408"/>
      <c r="GJ169" s="408"/>
      <c r="GK169" s="408"/>
      <c r="GL169" s="408"/>
      <c r="GM169" s="408"/>
      <c r="GN169" s="408"/>
      <c r="GO169" s="408"/>
      <c r="GP169" s="408"/>
      <c r="GQ169" s="408"/>
      <c r="GR169" s="408"/>
      <c r="GS169" s="408"/>
      <c r="GT169" s="408"/>
      <c r="GU169" s="408"/>
      <c r="GV169" s="408"/>
      <c r="GW169" s="408"/>
      <c r="GX169" s="412"/>
      <c r="GY169" s="411"/>
      <c r="GZ169" s="408"/>
      <c r="HA169" s="408"/>
      <c r="HB169" s="408"/>
      <c r="HC169" s="408"/>
      <c r="HD169" s="408"/>
      <c r="HE169" s="408"/>
      <c r="HF169" s="408"/>
      <c r="HG169" s="408"/>
      <c r="HH169" s="408"/>
      <c r="HI169" s="408"/>
      <c r="HJ169" s="408"/>
      <c r="HK169" s="408"/>
      <c r="HL169" s="408"/>
      <c r="HM169" s="408"/>
      <c r="HN169" s="408"/>
      <c r="HO169" s="408"/>
      <c r="HP169" s="408"/>
      <c r="HQ169" s="408"/>
      <c r="HR169" s="408"/>
      <c r="HS169" s="408"/>
      <c r="HT169" s="408"/>
      <c r="HU169" s="408"/>
      <c r="HV169" s="408"/>
      <c r="HW169" s="412"/>
    </row>
    <row r="170" spans="57:231" ht="24" customHeight="1" thickBot="1">
      <c r="BE170" s="411"/>
      <c r="BF170" s="413"/>
      <c r="BG170" s="413"/>
      <c r="BH170" s="413"/>
      <c r="BI170" s="408"/>
      <c r="BJ170" s="408"/>
      <c r="BK170" s="408"/>
      <c r="BL170" s="408"/>
      <c r="BM170" s="408"/>
      <c r="BN170" s="408"/>
      <c r="BO170" s="408"/>
      <c r="BP170" s="408"/>
      <c r="BQ170" s="408"/>
      <c r="BR170" s="408"/>
      <c r="BS170" s="408"/>
      <c r="BT170" s="408"/>
      <c r="BU170" s="408"/>
      <c r="BV170" s="408"/>
      <c r="BW170" s="408"/>
      <c r="BX170" s="408"/>
      <c r="BY170" s="408"/>
      <c r="BZ170" s="408"/>
      <c r="CA170" s="408"/>
      <c r="CB170" s="408"/>
      <c r="CC170" s="412"/>
      <c r="DC170" s="411"/>
      <c r="DD170" s="413"/>
      <c r="DE170" s="413"/>
      <c r="DF170" s="413"/>
      <c r="DG170" s="408"/>
      <c r="DH170" s="408"/>
      <c r="DI170" s="408"/>
      <c r="DJ170" s="408"/>
      <c r="DK170" s="408"/>
      <c r="DL170" s="408"/>
      <c r="DM170" s="408"/>
      <c r="DN170" s="408"/>
      <c r="DO170" s="408"/>
      <c r="DP170" s="408"/>
      <c r="DQ170" s="408"/>
      <c r="DR170" s="408"/>
      <c r="DS170" s="408"/>
      <c r="DT170" s="408"/>
      <c r="DU170" s="408"/>
      <c r="DV170" s="408"/>
      <c r="DW170" s="408"/>
      <c r="DX170" s="408"/>
      <c r="DY170" s="408"/>
      <c r="DZ170" s="408"/>
      <c r="EA170" s="412"/>
      <c r="EB170" s="411"/>
      <c r="EC170" s="413"/>
      <c r="ED170" s="413"/>
      <c r="EE170" s="413"/>
      <c r="EF170" s="408"/>
      <c r="EG170" s="408"/>
      <c r="EH170" s="408"/>
      <c r="EI170" s="408"/>
      <c r="EJ170" s="408"/>
      <c r="EK170" s="408"/>
      <c r="EL170" s="408"/>
      <c r="EM170" s="408"/>
      <c r="EN170" s="408"/>
      <c r="EO170" s="408"/>
      <c r="EP170" s="408"/>
      <c r="EQ170" s="408"/>
      <c r="ER170" s="408"/>
      <c r="ES170" s="408"/>
      <c r="ET170" s="408"/>
      <c r="EU170" s="408"/>
      <c r="EV170" s="408"/>
      <c r="EW170" s="408"/>
      <c r="EX170" s="408"/>
      <c r="EY170" s="408"/>
      <c r="EZ170" s="412"/>
      <c r="FZ170" s="411"/>
      <c r="GA170" s="413"/>
      <c r="GB170" s="413"/>
      <c r="GC170" s="413"/>
      <c r="GD170" s="408"/>
      <c r="GE170" s="408"/>
      <c r="GF170" s="408"/>
      <c r="GG170" s="408"/>
      <c r="GH170" s="408"/>
      <c r="GI170" s="408"/>
      <c r="GJ170" s="408"/>
      <c r="GK170" s="408"/>
      <c r="GL170" s="408"/>
      <c r="GM170" s="408"/>
      <c r="GN170" s="408"/>
      <c r="GO170" s="408"/>
      <c r="GP170" s="408"/>
      <c r="GQ170" s="408"/>
      <c r="GR170" s="408"/>
      <c r="GS170" s="408"/>
      <c r="GT170" s="408"/>
      <c r="GU170" s="408"/>
      <c r="GV170" s="408"/>
      <c r="GW170" s="408"/>
      <c r="GX170" s="412"/>
      <c r="GY170" s="411"/>
      <c r="GZ170" s="413"/>
      <c r="HA170" s="413"/>
      <c r="HB170" s="413"/>
      <c r="HC170" s="408"/>
      <c r="HD170" s="408"/>
      <c r="HE170" s="408"/>
      <c r="HF170" s="408"/>
      <c r="HG170" s="408"/>
      <c r="HH170" s="408"/>
      <c r="HI170" s="408"/>
      <c r="HJ170" s="408"/>
      <c r="HK170" s="408"/>
      <c r="HL170" s="408"/>
      <c r="HM170" s="408"/>
      <c r="HN170" s="408"/>
      <c r="HO170" s="408"/>
      <c r="HP170" s="408"/>
      <c r="HQ170" s="408"/>
      <c r="HR170" s="408"/>
      <c r="HS170" s="408"/>
      <c r="HT170" s="408"/>
      <c r="HU170" s="408"/>
      <c r="HV170" s="408"/>
      <c r="HW170" s="412"/>
    </row>
    <row r="171" spans="57:231" ht="24" customHeight="1" thickBot="1">
      <c r="BE171" s="416"/>
      <c r="BF171" s="2116" t="str">
        <f>'Вывод расчетов'!$CC$9</f>
        <v>Раздел 2</v>
      </c>
      <c r="BG171" s="2114"/>
      <c r="BH171" s="2114"/>
      <c r="BI171" s="417"/>
      <c r="BJ171" s="2116" t="str">
        <f>'Вывод расчетов'!$CF$9</f>
        <v>Расчет обмотки статора</v>
      </c>
      <c r="BK171" s="2114"/>
      <c r="BL171" s="2114"/>
      <c r="BM171" s="2114"/>
      <c r="BN171" s="2114"/>
      <c r="BO171" s="2114"/>
      <c r="BP171" s="2114"/>
      <c r="BQ171" s="2114"/>
      <c r="BR171" s="2114"/>
      <c r="BS171" s="2114"/>
      <c r="BT171" s="2114"/>
      <c r="BU171" s="2117"/>
      <c r="BV171" s="417"/>
      <c r="BW171" s="2116" t="s">
        <v>1369</v>
      </c>
      <c r="BX171" s="2114"/>
      <c r="BY171" s="2117"/>
      <c r="BZ171" s="417"/>
      <c r="CA171" s="2116">
        <v>11</v>
      </c>
      <c r="CB171" s="2117"/>
      <c r="CC171" s="418"/>
      <c r="DC171" s="416"/>
      <c r="DD171" s="2116" t="str">
        <f>'Вывод расчетов'!$CC$9</f>
        <v>Раздел 2</v>
      </c>
      <c r="DE171" s="2114"/>
      <c r="DF171" s="2114"/>
      <c r="DG171" s="417"/>
      <c r="DH171" s="2116" t="str">
        <f>'Вывод расчетов'!$CF$9</f>
        <v>Расчет обмотки статора</v>
      </c>
      <c r="DI171" s="2114"/>
      <c r="DJ171" s="2114"/>
      <c r="DK171" s="2114"/>
      <c r="DL171" s="2114"/>
      <c r="DM171" s="2114"/>
      <c r="DN171" s="2114"/>
      <c r="DO171" s="2114"/>
      <c r="DP171" s="2114"/>
      <c r="DQ171" s="2114"/>
      <c r="DR171" s="2114"/>
      <c r="DS171" s="2117"/>
      <c r="DT171" s="417"/>
      <c r="DU171" s="2116" t="s">
        <v>1369</v>
      </c>
      <c r="DV171" s="2114"/>
      <c r="DW171" s="2117"/>
      <c r="DX171" s="417"/>
      <c r="DY171" s="2116">
        <v>11</v>
      </c>
      <c r="DZ171" s="2117"/>
      <c r="EA171" s="418"/>
      <c r="EB171" s="416"/>
      <c r="EC171" s="2116" t="str">
        <f>'Вывод расчетов'!$CC$9</f>
        <v>Раздел 2</v>
      </c>
      <c r="ED171" s="2114"/>
      <c r="EE171" s="2114"/>
      <c r="EF171" s="417"/>
      <c r="EG171" s="2116" t="str">
        <f>'Вывод расчетов'!$CF$9</f>
        <v>Расчет обмотки статора</v>
      </c>
      <c r="EH171" s="2114"/>
      <c r="EI171" s="2114"/>
      <c r="EJ171" s="2114"/>
      <c r="EK171" s="2114"/>
      <c r="EL171" s="2114"/>
      <c r="EM171" s="2114"/>
      <c r="EN171" s="2114"/>
      <c r="EO171" s="2114"/>
      <c r="EP171" s="2114"/>
      <c r="EQ171" s="2114"/>
      <c r="ER171" s="2117"/>
      <c r="ES171" s="417"/>
      <c r="ET171" s="2116" t="s">
        <v>1369</v>
      </c>
      <c r="EU171" s="2114"/>
      <c r="EV171" s="2117"/>
      <c r="EW171" s="417"/>
      <c r="EX171" s="2116">
        <v>11</v>
      </c>
      <c r="EY171" s="2117"/>
      <c r="EZ171" s="418"/>
      <c r="FZ171" s="416"/>
      <c r="GA171" s="2116" t="str">
        <f>'Вывод расчетов'!$CC$9</f>
        <v>Раздел 2</v>
      </c>
      <c r="GB171" s="2114"/>
      <c r="GC171" s="2114"/>
      <c r="GD171" s="417"/>
      <c r="GE171" s="2116" t="str">
        <f>'Вывод расчетов'!$CF$9</f>
        <v>Расчет обмотки статора</v>
      </c>
      <c r="GF171" s="2114"/>
      <c r="GG171" s="2114"/>
      <c r="GH171" s="2114"/>
      <c r="GI171" s="2114"/>
      <c r="GJ171" s="2114"/>
      <c r="GK171" s="2114"/>
      <c r="GL171" s="2114"/>
      <c r="GM171" s="2114"/>
      <c r="GN171" s="2114"/>
      <c r="GO171" s="2114"/>
      <c r="GP171" s="2117"/>
      <c r="GQ171" s="417"/>
      <c r="GR171" s="2116" t="s">
        <v>1369</v>
      </c>
      <c r="GS171" s="2114"/>
      <c r="GT171" s="2117"/>
      <c r="GU171" s="417"/>
      <c r="GV171" s="2116">
        <v>11</v>
      </c>
      <c r="GW171" s="2117"/>
      <c r="GX171" s="418"/>
      <c r="GY171" s="416"/>
      <c r="GZ171" s="2116" t="str">
        <f>'Вывод расчетов'!$CC$9</f>
        <v>Раздел 2</v>
      </c>
      <c r="HA171" s="2114"/>
      <c r="HB171" s="2114"/>
      <c r="HC171" s="417"/>
      <c r="HD171" s="2116" t="str">
        <f>'Вывод расчетов'!$CF$9</f>
        <v>Расчет обмотки статора</v>
      </c>
      <c r="HE171" s="2114"/>
      <c r="HF171" s="2114"/>
      <c r="HG171" s="2114"/>
      <c r="HH171" s="2114"/>
      <c r="HI171" s="2114"/>
      <c r="HJ171" s="2114"/>
      <c r="HK171" s="2114"/>
      <c r="HL171" s="2114"/>
      <c r="HM171" s="2114"/>
      <c r="HN171" s="2114"/>
      <c r="HO171" s="2117"/>
      <c r="HP171" s="417"/>
      <c r="HQ171" s="2116" t="s">
        <v>1369</v>
      </c>
      <c r="HR171" s="2114"/>
      <c r="HS171" s="2117"/>
      <c r="HT171" s="417"/>
      <c r="HU171" s="2116">
        <v>11</v>
      </c>
      <c r="HV171" s="2117"/>
      <c r="HW171" s="418"/>
    </row>
    <row r="172" spans="57:231" ht="24" customHeight="1" thickBot="1">
      <c r="DC172" s="2113" t="s">
        <v>1111</v>
      </c>
      <c r="DD172" s="2114"/>
      <c r="DE172" s="2114"/>
      <c r="DF172" s="2114"/>
      <c r="DG172" s="2114"/>
      <c r="DH172" s="2114"/>
      <c r="DI172" s="2114"/>
      <c r="DJ172" s="2114"/>
      <c r="DK172" s="2114"/>
      <c r="DL172" s="2114"/>
      <c r="DM172" s="2114"/>
      <c r="DN172" s="2114"/>
      <c r="DO172" s="2114"/>
      <c r="DP172" s="2114"/>
      <c r="DQ172" s="2114"/>
      <c r="DR172" s="2114"/>
      <c r="DS172" s="2114"/>
      <c r="DT172" s="2114"/>
      <c r="DU172" s="2114"/>
      <c r="DV172" s="2114"/>
      <c r="DW172" s="2114"/>
      <c r="DX172" s="2114"/>
      <c r="DY172" s="2114"/>
      <c r="DZ172" s="2114"/>
      <c r="EA172" s="2115"/>
      <c r="EB172" s="2113" t="s">
        <v>1111</v>
      </c>
      <c r="EC172" s="2114"/>
      <c r="ED172" s="2114"/>
      <c r="EE172" s="2114"/>
      <c r="EF172" s="2114"/>
      <c r="EG172" s="2114"/>
      <c r="EH172" s="2114"/>
      <c r="EI172" s="2114"/>
      <c r="EJ172" s="2114"/>
      <c r="EK172" s="2114"/>
      <c r="EL172" s="2114"/>
      <c r="EM172" s="2114"/>
      <c r="EN172" s="2114"/>
      <c r="EO172" s="2114"/>
      <c r="EP172" s="2114"/>
      <c r="EQ172" s="2114"/>
      <c r="ER172" s="2114"/>
      <c r="ES172" s="2114"/>
      <c r="ET172" s="2114"/>
      <c r="EU172" s="2114"/>
      <c r="EV172" s="2114"/>
      <c r="EW172" s="2114"/>
      <c r="EX172" s="2114"/>
      <c r="EY172" s="2114"/>
      <c r="EZ172" s="2115"/>
      <c r="FZ172" s="2113" t="s">
        <v>1111</v>
      </c>
      <c r="GA172" s="2114"/>
      <c r="GB172" s="2114"/>
      <c r="GC172" s="2114"/>
      <c r="GD172" s="2114"/>
      <c r="GE172" s="2114"/>
      <c r="GF172" s="2114"/>
      <c r="GG172" s="2114"/>
      <c r="GH172" s="2114"/>
      <c r="GI172" s="2114"/>
      <c r="GJ172" s="2114"/>
      <c r="GK172" s="2114"/>
      <c r="GL172" s="2114"/>
      <c r="GM172" s="2114"/>
      <c r="GN172" s="2114"/>
      <c r="GO172" s="2114"/>
      <c r="GP172" s="2114"/>
      <c r="GQ172" s="2114"/>
      <c r="GR172" s="2114"/>
      <c r="GS172" s="2114"/>
      <c r="GT172" s="2114"/>
      <c r="GU172" s="2114"/>
      <c r="GV172" s="2114"/>
      <c r="GW172" s="2114"/>
      <c r="GX172" s="2115"/>
      <c r="GY172" s="2113" t="s">
        <v>1111</v>
      </c>
      <c r="GZ172" s="2114"/>
      <c r="HA172" s="2114"/>
      <c r="HB172" s="2114"/>
      <c r="HC172" s="2114"/>
      <c r="HD172" s="2114"/>
      <c r="HE172" s="2114"/>
      <c r="HF172" s="2114"/>
      <c r="HG172" s="2114"/>
      <c r="HH172" s="2114"/>
      <c r="HI172" s="2114"/>
      <c r="HJ172" s="2114"/>
      <c r="HK172" s="2114"/>
      <c r="HL172" s="2114"/>
      <c r="HM172" s="2114"/>
      <c r="HN172" s="2114"/>
      <c r="HO172" s="2114"/>
      <c r="HP172" s="2114"/>
      <c r="HQ172" s="2114"/>
      <c r="HR172" s="2114"/>
      <c r="HS172" s="2114"/>
      <c r="HT172" s="2114"/>
      <c r="HU172" s="2114"/>
      <c r="HV172" s="2114"/>
      <c r="HW172" s="2115"/>
    </row>
    <row r="173" spans="57:231" ht="24" customHeight="1">
      <c r="DC173" s="409"/>
      <c r="DD173" s="410"/>
      <c r="DE173" s="410"/>
      <c r="DF173" s="410"/>
      <c r="DG173" s="410"/>
      <c r="DH173" s="410"/>
      <c r="DI173" s="410"/>
      <c r="DJ173" s="410"/>
      <c r="DK173" s="410"/>
      <c r="DL173" s="410"/>
      <c r="DM173" s="410"/>
      <c r="DN173" s="410"/>
      <c r="DO173" s="410"/>
      <c r="DP173" s="410"/>
      <c r="DQ173" s="410"/>
      <c r="DR173" s="410"/>
      <c r="DS173" s="410"/>
      <c r="DT173" s="410"/>
      <c r="DU173" s="410"/>
      <c r="DV173" s="410"/>
      <c r="DW173" s="410"/>
      <c r="DX173" s="410"/>
      <c r="DY173" s="410"/>
      <c r="DZ173" s="410"/>
      <c r="EA173" s="419"/>
      <c r="EB173" s="409"/>
      <c r="EC173" s="410"/>
      <c r="ED173" s="410"/>
      <c r="EE173" s="410"/>
      <c r="EF173" s="410"/>
      <c r="EG173" s="410"/>
      <c r="EH173" s="410"/>
      <c r="EI173" s="410"/>
      <c r="EJ173" s="410"/>
      <c r="EK173" s="410"/>
      <c r="EL173" s="410"/>
      <c r="EM173" s="410"/>
      <c r="EN173" s="410"/>
      <c r="EO173" s="410"/>
      <c r="EP173" s="410"/>
      <c r="EQ173" s="410"/>
      <c r="ER173" s="410"/>
      <c r="ES173" s="410"/>
      <c r="ET173" s="410"/>
      <c r="EU173" s="410"/>
      <c r="EV173" s="410"/>
      <c r="EW173" s="410"/>
      <c r="EX173" s="410"/>
      <c r="EY173" s="410"/>
      <c r="EZ173" s="419"/>
      <c r="FZ173" s="409"/>
      <c r="GA173" s="410"/>
      <c r="GB173" s="410"/>
      <c r="GC173" s="410"/>
      <c r="GD173" s="410"/>
      <c r="GE173" s="410"/>
      <c r="GF173" s="410"/>
      <c r="GG173" s="410"/>
      <c r="GH173" s="410"/>
      <c r="GI173" s="410"/>
      <c r="GJ173" s="410"/>
      <c r="GK173" s="410"/>
      <c r="GL173" s="410"/>
      <c r="GM173" s="410"/>
      <c r="GN173" s="410"/>
      <c r="GO173" s="410"/>
      <c r="GP173" s="410"/>
      <c r="GQ173" s="410"/>
      <c r="GR173" s="410"/>
      <c r="GS173" s="410"/>
      <c r="GT173" s="410"/>
      <c r="GU173" s="410"/>
      <c r="GV173" s="410"/>
      <c r="GW173" s="410"/>
      <c r="GX173" s="419"/>
      <c r="GY173" s="409"/>
      <c r="GZ173" s="410"/>
      <c r="HA173" s="410"/>
      <c r="HB173" s="410"/>
      <c r="HC173" s="410"/>
      <c r="HD173" s="410"/>
      <c r="HE173" s="410"/>
      <c r="HF173" s="410"/>
      <c r="HG173" s="410"/>
      <c r="HH173" s="410"/>
      <c r="HI173" s="410"/>
      <c r="HJ173" s="410"/>
      <c r="HK173" s="410"/>
      <c r="HL173" s="410"/>
      <c r="HM173" s="410"/>
      <c r="HN173" s="410"/>
      <c r="HO173" s="410"/>
      <c r="HP173" s="410"/>
      <c r="HQ173" s="410"/>
      <c r="HR173" s="410"/>
      <c r="HS173" s="410"/>
      <c r="HT173" s="410"/>
      <c r="HU173" s="410"/>
      <c r="HV173" s="410"/>
      <c r="HW173" s="419"/>
    </row>
    <row r="174" spans="57:231" ht="24" customHeight="1">
      <c r="DC174" s="411"/>
      <c r="DD174" s="408"/>
      <c r="DE174" s="408"/>
      <c r="DF174" s="408"/>
      <c r="DG174" s="408"/>
      <c r="DH174" s="408"/>
      <c r="DI174" s="408"/>
      <c r="DJ174" s="408"/>
      <c r="DK174" s="408"/>
      <c r="DL174" s="408"/>
      <c r="DM174" s="408"/>
      <c r="DN174" s="408"/>
      <c r="DO174" s="408"/>
      <c r="DP174" s="408"/>
      <c r="DQ174" s="408"/>
      <c r="DR174" s="408"/>
      <c r="DS174" s="408"/>
      <c r="DT174" s="408"/>
      <c r="DU174" s="408"/>
      <c r="DV174" s="408"/>
      <c r="DW174" s="408"/>
      <c r="DX174" s="408"/>
      <c r="DY174" s="408"/>
      <c r="DZ174" s="408"/>
      <c r="EA174" s="412"/>
      <c r="EB174" s="411"/>
      <c r="EC174" s="408"/>
      <c r="ED174" s="408"/>
      <c r="EE174" s="408"/>
      <c r="EF174" s="408"/>
      <c r="EG174" s="408"/>
      <c r="EH174" s="408"/>
      <c r="EI174" s="408"/>
      <c r="EJ174" s="408"/>
      <c r="EK174" s="408"/>
      <c r="EL174" s="408"/>
      <c r="EM174" s="408"/>
      <c r="EN174" s="408"/>
      <c r="EO174" s="408"/>
      <c r="EP174" s="408"/>
      <c r="EQ174" s="408"/>
      <c r="ER174" s="408"/>
      <c r="ES174" s="408"/>
      <c r="ET174" s="408"/>
      <c r="EU174" s="408"/>
      <c r="EV174" s="408"/>
      <c r="EW174" s="408"/>
      <c r="EX174" s="408"/>
      <c r="EY174" s="408"/>
      <c r="EZ174" s="412"/>
      <c r="FZ174" s="411"/>
      <c r="GA174" s="408"/>
      <c r="GB174" s="408"/>
      <c r="GC174" s="408"/>
      <c r="GD174" s="408"/>
      <c r="GE174" s="408"/>
      <c r="GF174" s="408"/>
      <c r="GG174" s="408"/>
      <c r="GH174" s="408"/>
      <c r="GI174" s="408"/>
      <c r="GJ174" s="408"/>
      <c r="GK174" s="408"/>
      <c r="GL174" s="408"/>
      <c r="GM174" s="408"/>
      <c r="GN174" s="408"/>
      <c r="GO174" s="408"/>
      <c r="GP174" s="408"/>
      <c r="GQ174" s="408"/>
      <c r="GR174" s="408"/>
      <c r="GS174" s="408"/>
      <c r="GT174" s="408"/>
      <c r="GU174" s="408"/>
      <c r="GV174" s="408"/>
      <c r="GW174" s="408"/>
      <c r="GX174" s="412"/>
      <c r="GY174" s="411"/>
      <c r="GZ174" s="408"/>
      <c r="HA174" s="408"/>
      <c r="HB174" s="408"/>
      <c r="HC174" s="408"/>
      <c r="HD174" s="408"/>
      <c r="HE174" s="408"/>
      <c r="HF174" s="408"/>
      <c r="HG174" s="408"/>
      <c r="HH174" s="408"/>
      <c r="HI174" s="408"/>
      <c r="HJ174" s="408"/>
      <c r="HK174" s="408"/>
      <c r="HL174" s="408"/>
      <c r="HM174" s="408"/>
      <c r="HN174" s="408"/>
      <c r="HO174" s="408"/>
      <c r="HP174" s="408"/>
      <c r="HQ174" s="408"/>
      <c r="HR174" s="408"/>
      <c r="HS174" s="408"/>
      <c r="HT174" s="408"/>
      <c r="HU174" s="408"/>
      <c r="HV174" s="408"/>
      <c r="HW174" s="412"/>
    </row>
    <row r="175" spans="57:231" ht="24" customHeight="1">
      <c r="DC175" s="411"/>
      <c r="DD175" s="408"/>
      <c r="DE175" s="408"/>
      <c r="DF175" s="408"/>
      <c r="DG175" s="408"/>
      <c r="DH175" s="408"/>
      <c r="DI175" s="408"/>
      <c r="DJ175" s="408"/>
      <c r="DK175" s="408"/>
      <c r="DL175" s="408"/>
      <c r="DM175" s="408"/>
      <c r="DN175" s="408"/>
      <c r="DO175" s="408"/>
      <c r="DP175" s="408"/>
      <c r="DQ175" s="408"/>
      <c r="DR175" s="408"/>
      <c r="DS175" s="408"/>
      <c r="DT175" s="408"/>
      <c r="DU175" s="408"/>
      <c r="DV175" s="408"/>
      <c r="DW175" s="408"/>
      <c r="DX175" s="408"/>
      <c r="DY175" s="408"/>
      <c r="DZ175" s="408"/>
      <c r="EA175" s="412"/>
      <c r="EB175" s="411"/>
      <c r="EC175" s="408"/>
      <c r="ED175" s="408"/>
      <c r="EE175" s="408"/>
      <c r="EF175" s="408"/>
      <c r="EG175" s="408"/>
      <c r="EH175" s="408"/>
      <c r="EI175" s="408"/>
      <c r="EJ175" s="408"/>
      <c r="EK175" s="408"/>
      <c r="EL175" s="408"/>
      <c r="EM175" s="408"/>
      <c r="EN175" s="408"/>
      <c r="EO175" s="408"/>
      <c r="EP175" s="408"/>
      <c r="EQ175" s="408"/>
      <c r="ER175" s="408"/>
      <c r="ES175" s="408"/>
      <c r="ET175" s="408"/>
      <c r="EU175" s="408"/>
      <c r="EV175" s="408"/>
      <c r="EW175" s="408"/>
      <c r="EX175" s="408"/>
      <c r="EY175" s="408"/>
      <c r="EZ175" s="412"/>
      <c r="FZ175" s="411"/>
      <c r="GA175" s="408"/>
      <c r="GB175" s="408"/>
      <c r="GC175" s="408"/>
      <c r="GD175" s="408"/>
      <c r="GE175" s="408"/>
      <c r="GF175" s="408"/>
      <c r="GG175" s="408"/>
      <c r="GH175" s="408"/>
      <c r="GI175" s="408"/>
      <c r="GJ175" s="408"/>
      <c r="GK175" s="408"/>
      <c r="GL175" s="408"/>
      <c r="GM175" s="408"/>
      <c r="GN175" s="408"/>
      <c r="GO175" s="408"/>
      <c r="GP175" s="408"/>
      <c r="GQ175" s="408"/>
      <c r="GR175" s="408"/>
      <c r="GS175" s="408"/>
      <c r="GT175" s="408"/>
      <c r="GU175" s="408"/>
      <c r="GV175" s="408"/>
      <c r="GW175" s="408"/>
      <c r="GX175" s="412"/>
      <c r="GY175" s="411"/>
      <c r="GZ175" s="408"/>
      <c r="HA175" s="408"/>
      <c r="HB175" s="408"/>
      <c r="HC175" s="408"/>
      <c r="HD175" s="408"/>
      <c r="HE175" s="408"/>
      <c r="HF175" s="408"/>
      <c r="HG175" s="408"/>
      <c r="HH175" s="408"/>
      <c r="HI175" s="408"/>
      <c r="HJ175" s="408"/>
      <c r="HK175" s="408"/>
      <c r="HL175" s="408"/>
      <c r="HM175" s="408"/>
      <c r="HN175" s="408"/>
      <c r="HO175" s="408"/>
      <c r="HP175" s="408"/>
      <c r="HQ175" s="408"/>
      <c r="HR175" s="408"/>
      <c r="HS175" s="408"/>
      <c r="HT175" s="408"/>
      <c r="HU175" s="408"/>
      <c r="HV175" s="408"/>
      <c r="HW175" s="412"/>
    </row>
    <row r="176" spans="57:231" ht="24" customHeight="1">
      <c r="DC176" s="411"/>
      <c r="DD176" s="408"/>
      <c r="DE176" s="408"/>
      <c r="DF176" s="408"/>
      <c r="DG176" s="408"/>
      <c r="DH176" s="408"/>
      <c r="DI176" s="408"/>
      <c r="DJ176" s="408"/>
      <c r="DK176" s="408"/>
      <c r="DL176" s="408"/>
      <c r="DM176" s="408"/>
      <c r="DN176" s="408"/>
      <c r="DO176" s="408"/>
      <c r="DP176" s="408"/>
      <c r="DQ176" s="408"/>
      <c r="DR176" s="408"/>
      <c r="DS176" s="408"/>
      <c r="DT176" s="408"/>
      <c r="DU176" s="408"/>
      <c r="DV176" s="408"/>
      <c r="DW176" s="408"/>
      <c r="DX176" s="408"/>
      <c r="DY176" s="408"/>
      <c r="DZ176" s="408"/>
      <c r="EA176" s="412"/>
      <c r="EB176" s="411"/>
      <c r="EC176" s="408"/>
      <c r="ED176" s="408"/>
      <c r="EE176" s="408"/>
      <c r="EF176" s="408"/>
      <c r="EG176" s="408"/>
      <c r="EH176" s="408"/>
      <c r="EI176" s="408"/>
      <c r="EJ176" s="408"/>
      <c r="EK176" s="408"/>
      <c r="EL176" s="408"/>
      <c r="EM176" s="408"/>
      <c r="EN176" s="408"/>
      <c r="EO176" s="408"/>
      <c r="EP176" s="408"/>
      <c r="EQ176" s="408"/>
      <c r="ER176" s="408"/>
      <c r="ES176" s="408"/>
      <c r="ET176" s="408"/>
      <c r="EU176" s="408"/>
      <c r="EV176" s="408"/>
      <c r="EW176" s="408"/>
      <c r="EX176" s="408"/>
      <c r="EY176" s="408"/>
      <c r="EZ176" s="412"/>
      <c r="FZ176" s="411"/>
      <c r="GA176" s="408"/>
      <c r="GB176" s="408"/>
      <c r="GC176" s="408"/>
      <c r="GD176" s="408"/>
      <c r="GE176" s="408"/>
      <c r="GF176" s="408"/>
      <c r="GG176" s="408"/>
      <c r="GH176" s="408"/>
      <c r="GI176" s="408"/>
      <c r="GJ176" s="408"/>
      <c r="GK176" s="408"/>
      <c r="GL176" s="408"/>
      <c r="GM176" s="408"/>
      <c r="GN176" s="408"/>
      <c r="GO176" s="408"/>
      <c r="GP176" s="408"/>
      <c r="GQ176" s="408"/>
      <c r="GR176" s="408"/>
      <c r="GS176" s="408"/>
      <c r="GT176" s="408"/>
      <c r="GU176" s="408"/>
      <c r="GV176" s="408"/>
      <c r="GW176" s="408"/>
      <c r="GX176" s="412"/>
      <c r="GY176" s="411"/>
      <c r="GZ176" s="408"/>
      <c r="HA176" s="408"/>
      <c r="HB176" s="408"/>
      <c r="HC176" s="408"/>
      <c r="HD176" s="408"/>
      <c r="HE176" s="408"/>
      <c r="HF176" s="408"/>
      <c r="HG176" s="408"/>
      <c r="HH176" s="408"/>
      <c r="HI176" s="408"/>
      <c r="HJ176" s="408"/>
      <c r="HK176" s="408"/>
      <c r="HL176" s="408"/>
      <c r="HM176" s="408"/>
      <c r="HN176" s="408"/>
      <c r="HO176" s="408"/>
      <c r="HP176" s="408"/>
      <c r="HQ176" s="408"/>
      <c r="HR176" s="408"/>
      <c r="HS176" s="408"/>
      <c r="HT176" s="408"/>
      <c r="HU176" s="408"/>
      <c r="HV176" s="408"/>
      <c r="HW176" s="412"/>
    </row>
    <row r="177" spans="107:231" ht="24" customHeight="1">
      <c r="DC177" s="411"/>
      <c r="DD177" s="408"/>
      <c r="DE177" s="408"/>
      <c r="DF177" s="408"/>
      <c r="DG177" s="408"/>
      <c r="DH177" s="408"/>
      <c r="DI177" s="408"/>
      <c r="DJ177" s="408"/>
      <c r="DK177" s="408"/>
      <c r="DL177" s="408"/>
      <c r="DM177" s="408"/>
      <c r="DN177" s="408"/>
      <c r="DO177" s="408"/>
      <c r="DP177" s="408"/>
      <c r="DQ177" s="408"/>
      <c r="DR177" s="408"/>
      <c r="DS177" s="408"/>
      <c r="DT177" s="408"/>
      <c r="DU177" s="408"/>
      <c r="DV177" s="408"/>
      <c r="DW177" s="408"/>
      <c r="DX177" s="408"/>
      <c r="DY177" s="408"/>
      <c r="DZ177" s="408"/>
      <c r="EA177" s="412"/>
      <c r="EB177" s="411"/>
      <c r="EC177" s="408"/>
      <c r="ED177" s="408"/>
      <c r="EE177" s="408"/>
      <c r="EF177" s="408"/>
      <c r="EG177" s="408"/>
      <c r="EH177" s="408"/>
      <c r="EI177" s="408"/>
      <c r="EJ177" s="408"/>
      <c r="EK177" s="408"/>
      <c r="EL177" s="408"/>
      <c r="EM177" s="408"/>
      <c r="EN177" s="408"/>
      <c r="EO177" s="408"/>
      <c r="EP177" s="408"/>
      <c r="EQ177" s="408"/>
      <c r="ER177" s="408"/>
      <c r="ES177" s="408"/>
      <c r="ET177" s="408"/>
      <c r="EU177" s="408"/>
      <c r="EV177" s="408"/>
      <c r="EW177" s="408"/>
      <c r="EX177" s="408"/>
      <c r="EY177" s="408"/>
      <c r="EZ177" s="412"/>
      <c r="FZ177" s="411"/>
      <c r="GA177" s="408"/>
      <c r="GB177" s="408"/>
      <c r="GC177" s="408"/>
      <c r="GD177" s="408"/>
      <c r="GE177" s="408"/>
      <c r="GF177" s="408"/>
      <c r="GG177" s="408"/>
      <c r="GH177" s="408"/>
      <c r="GI177" s="408"/>
      <c r="GJ177" s="408"/>
      <c r="GK177" s="408"/>
      <c r="GL177" s="408"/>
      <c r="GM177" s="408"/>
      <c r="GN177" s="408"/>
      <c r="GO177" s="408"/>
      <c r="GP177" s="408"/>
      <c r="GQ177" s="408"/>
      <c r="GR177" s="408"/>
      <c r="GS177" s="408"/>
      <c r="GT177" s="408"/>
      <c r="GU177" s="408"/>
      <c r="GV177" s="408"/>
      <c r="GW177" s="408"/>
      <c r="GX177" s="412"/>
      <c r="GY177" s="411"/>
      <c r="GZ177" s="408"/>
      <c r="HA177" s="408"/>
      <c r="HB177" s="408"/>
      <c r="HC177" s="408"/>
      <c r="HD177" s="408"/>
      <c r="HE177" s="408"/>
      <c r="HF177" s="408"/>
      <c r="HG177" s="408"/>
      <c r="HH177" s="408"/>
      <c r="HI177" s="408"/>
      <c r="HJ177" s="408"/>
      <c r="HK177" s="408"/>
      <c r="HL177" s="408"/>
      <c r="HM177" s="408"/>
      <c r="HN177" s="408"/>
      <c r="HO177" s="408"/>
      <c r="HP177" s="408"/>
      <c r="HQ177" s="408"/>
      <c r="HR177" s="408"/>
      <c r="HS177" s="408"/>
      <c r="HT177" s="408"/>
      <c r="HU177" s="408"/>
      <c r="HV177" s="408"/>
      <c r="HW177" s="412"/>
    </row>
    <row r="178" spans="107:231" ht="24" customHeight="1">
      <c r="DC178" s="411"/>
      <c r="DD178" s="408"/>
      <c r="DE178" s="408"/>
      <c r="DF178" s="408"/>
      <c r="DG178" s="408"/>
      <c r="DH178" s="408"/>
      <c r="DI178" s="408"/>
      <c r="DJ178" s="408"/>
      <c r="DK178" s="408"/>
      <c r="DL178" s="408"/>
      <c r="DM178" s="408"/>
      <c r="DN178" s="408"/>
      <c r="DO178" s="408"/>
      <c r="DP178" s="408"/>
      <c r="DQ178" s="408"/>
      <c r="DR178" s="408"/>
      <c r="DS178" s="408"/>
      <c r="DT178" s="408"/>
      <c r="DU178" s="408"/>
      <c r="DV178" s="408"/>
      <c r="DW178" s="408"/>
      <c r="DX178" s="408"/>
      <c r="DY178" s="408"/>
      <c r="DZ178" s="408"/>
      <c r="EA178" s="412"/>
      <c r="EB178" s="411"/>
      <c r="EC178" s="408"/>
      <c r="ED178" s="408"/>
      <c r="EE178" s="408"/>
      <c r="EF178" s="408"/>
      <c r="EG178" s="408"/>
      <c r="EH178" s="408"/>
      <c r="EI178" s="408"/>
      <c r="EJ178" s="408"/>
      <c r="EK178" s="408"/>
      <c r="EL178" s="408"/>
      <c r="EM178" s="408"/>
      <c r="EN178" s="408"/>
      <c r="EO178" s="408"/>
      <c r="EP178" s="408"/>
      <c r="EQ178" s="408"/>
      <c r="ER178" s="408"/>
      <c r="ES178" s="408"/>
      <c r="ET178" s="408"/>
      <c r="EU178" s="408"/>
      <c r="EV178" s="408"/>
      <c r="EW178" s="408"/>
      <c r="EX178" s="408"/>
      <c r="EY178" s="408"/>
      <c r="EZ178" s="412"/>
      <c r="FZ178" s="411"/>
      <c r="GA178" s="408"/>
      <c r="GB178" s="408"/>
      <c r="GC178" s="408"/>
      <c r="GD178" s="408"/>
      <c r="GE178" s="408"/>
      <c r="GF178" s="408"/>
      <c r="GG178" s="408"/>
      <c r="GH178" s="408"/>
      <c r="GI178" s="408"/>
      <c r="GJ178" s="408"/>
      <c r="GK178" s="408"/>
      <c r="GL178" s="408"/>
      <c r="GM178" s="408"/>
      <c r="GN178" s="408"/>
      <c r="GO178" s="408"/>
      <c r="GP178" s="408"/>
      <c r="GQ178" s="408"/>
      <c r="GR178" s="408"/>
      <c r="GS178" s="408"/>
      <c r="GT178" s="408"/>
      <c r="GU178" s="408"/>
      <c r="GV178" s="408"/>
      <c r="GW178" s="408"/>
      <c r="GX178" s="412"/>
      <c r="GY178" s="411"/>
      <c r="GZ178" s="408"/>
      <c r="HA178" s="408"/>
      <c r="HB178" s="408"/>
      <c r="HC178" s="408"/>
      <c r="HD178" s="408"/>
      <c r="HE178" s="408"/>
      <c r="HF178" s="408"/>
      <c r="HG178" s="408"/>
      <c r="HH178" s="408"/>
      <c r="HI178" s="408"/>
      <c r="HJ178" s="408"/>
      <c r="HK178" s="408"/>
      <c r="HL178" s="408"/>
      <c r="HM178" s="408"/>
      <c r="HN178" s="408"/>
      <c r="HO178" s="408"/>
      <c r="HP178" s="408"/>
      <c r="HQ178" s="408"/>
      <c r="HR178" s="408"/>
      <c r="HS178" s="408"/>
      <c r="HT178" s="408"/>
      <c r="HU178" s="408"/>
      <c r="HV178" s="408"/>
      <c r="HW178" s="412"/>
    </row>
    <row r="179" spans="107:231" ht="24" customHeight="1">
      <c r="DC179" s="411"/>
      <c r="DD179" s="408"/>
      <c r="DE179" s="408"/>
      <c r="DF179" s="408"/>
      <c r="DG179" s="408"/>
      <c r="DH179" s="408"/>
      <c r="DI179" s="408"/>
      <c r="DJ179" s="408"/>
      <c r="DK179" s="408"/>
      <c r="DL179" s="408"/>
      <c r="DM179" s="408"/>
      <c r="DN179" s="408"/>
      <c r="DO179" s="408"/>
      <c r="DP179" s="408"/>
      <c r="DQ179" s="408"/>
      <c r="DR179" s="408"/>
      <c r="DS179" s="408"/>
      <c r="DT179" s="408"/>
      <c r="DU179" s="408"/>
      <c r="DV179" s="408"/>
      <c r="DW179" s="408"/>
      <c r="DX179" s="408"/>
      <c r="DY179" s="408"/>
      <c r="DZ179" s="408"/>
      <c r="EA179" s="412"/>
      <c r="EB179" s="411"/>
      <c r="EC179" s="408"/>
      <c r="ED179" s="408"/>
      <c r="EE179" s="408"/>
      <c r="EF179" s="408"/>
      <c r="EG179" s="408"/>
      <c r="EH179" s="408"/>
      <c r="EI179" s="408"/>
      <c r="EJ179" s="408"/>
      <c r="EK179" s="408"/>
      <c r="EL179" s="408"/>
      <c r="EM179" s="408"/>
      <c r="EN179" s="408"/>
      <c r="EO179" s="408"/>
      <c r="EP179" s="408"/>
      <c r="EQ179" s="408"/>
      <c r="ER179" s="408"/>
      <c r="ES179" s="408"/>
      <c r="ET179" s="408"/>
      <c r="EU179" s="408"/>
      <c r="EV179" s="408"/>
      <c r="EW179" s="408"/>
      <c r="EX179" s="408"/>
      <c r="EY179" s="408"/>
      <c r="EZ179" s="412"/>
      <c r="FZ179" s="411"/>
      <c r="GA179" s="408"/>
      <c r="GB179" s="408"/>
      <c r="GC179" s="408"/>
      <c r="GD179" s="408"/>
      <c r="GE179" s="408"/>
      <c r="GF179" s="408"/>
      <c r="GG179" s="408"/>
      <c r="GH179" s="408"/>
      <c r="GI179" s="408"/>
      <c r="GJ179" s="408"/>
      <c r="GK179" s="408"/>
      <c r="GL179" s="408"/>
      <c r="GM179" s="408"/>
      <c r="GN179" s="408"/>
      <c r="GO179" s="408"/>
      <c r="GP179" s="408"/>
      <c r="GQ179" s="408"/>
      <c r="GR179" s="408"/>
      <c r="GS179" s="408"/>
      <c r="GT179" s="408"/>
      <c r="GU179" s="408"/>
      <c r="GV179" s="408"/>
      <c r="GW179" s="408"/>
      <c r="GX179" s="412"/>
      <c r="GY179" s="411"/>
      <c r="GZ179" s="408"/>
      <c r="HA179" s="408"/>
      <c r="HB179" s="408"/>
      <c r="HC179" s="408"/>
      <c r="HD179" s="408"/>
      <c r="HE179" s="408"/>
      <c r="HF179" s="408"/>
      <c r="HG179" s="408"/>
      <c r="HH179" s="408"/>
      <c r="HI179" s="408"/>
      <c r="HJ179" s="408"/>
      <c r="HK179" s="408"/>
      <c r="HL179" s="408"/>
      <c r="HM179" s="408"/>
      <c r="HN179" s="408"/>
      <c r="HO179" s="408"/>
      <c r="HP179" s="408"/>
      <c r="HQ179" s="408"/>
      <c r="HR179" s="408"/>
      <c r="HS179" s="408"/>
      <c r="HT179" s="408"/>
      <c r="HU179" s="408"/>
      <c r="HV179" s="408"/>
      <c r="HW179" s="412"/>
    </row>
    <row r="180" spans="107:231" ht="24" customHeight="1">
      <c r="DC180" s="411"/>
      <c r="DD180" s="408"/>
      <c r="DE180" s="408"/>
      <c r="DF180" s="408"/>
      <c r="DG180" s="408"/>
      <c r="DH180" s="408"/>
      <c r="DI180" s="408"/>
      <c r="DJ180" s="408"/>
      <c r="DK180" s="408"/>
      <c r="DL180" s="408"/>
      <c r="DM180" s="408"/>
      <c r="DN180" s="408"/>
      <c r="DO180" s="408"/>
      <c r="DP180" s="408"/>
      <c r="DQ180" s="408"/>
      <c r="DR180" s="408"/>
      <c r="DS180" s="408"/>
      <c r="DT180" s="408"/>
      <c r="DU180" s="408"/>
      <c r="DV180" s="408"/>
      <c r="DW180" s="408"/>
      <c r="DX180" s="408"/>
      <c r="DY180" s="408"/>
      <c r="DZ180" s="408"/>
      <c r="EA180" s="412"/>
      <c r="EB180" s="411"/>
      <c r="EC180" s="408"/>
      <c r="ED180" s="408"/>
      <c r="EE180" s="408"/>
      <c r="EF180" s="408"/>
      <c r="EG180" s="408"/>
      <c r="EH180" s="408"/>
      <c r="EI180" s="408"/>
      <c r="EJ180" s="408"/>
      <c r="EK180" s="408"/>
      <c r="EL180" s="408"/>
      <c r="EM180" s="408"/>
      <c r="EN180" s="408"/>
      <c r="EO180" s="408"/>
      <c r="EP180" s="408"/>
      <c r="EQ180" s="408"/>
      <c r="ER180" s="408"/>
      <c r="ES180" s="408"/>
      <c r="ET180" s="408"/>
      <c r="EU180" s="408"/>
      <c r="EV180" s="408"/>
      <c r="EW180" s="408"/>
      <c r="EX180" s="408"/>
      <c r="EY180" s="408"/>
      <c r="EZ180" s="412"/>
      <c r="FZ180" s="411"/>
      <c r="GA180" s="408"/>
      <c r="GB180" s="408"/>
      <c r="GC180" s="408"/>
      <c r="GD180" s="408"/>
      <c r="GE180" s="408"/>
      <c r="GF180" s="408"/>
      <c r="GG180" s="408"/>
      <c r="GH180" s="408"/>
      <c r="GI180" s="408"/>
      <c r="GJ180" s="408"/>
      <c r="GK180" s="408"/>
      <c r="GL180" s="408"/>
      <c r="GM180" s="408"/>
      <c r="GN180" s="408"/>
      <c r="GO180" s="408"/>
      <c r="GP180" s="408"/>
      <c r="GQ180" s="408"/>
      <c r="GR180" s="408"/>
      <c r="GS180" s="408"/>
      <c r="GT180" s="408"/>
      <c r="GU180" s="408"/>
      <c r="GV180" s="408"/>
      <c r="GW180" s="408"/>
      <c r="GX180" s="412"/>
      <c r="GY180" s="411"/>
      <c r="GZ180" s="408"/>
      <c r="HA180" s="408"/>
      <c r="HB180" s="408"/>
      <c r="HC180" s="408"/>
      <c r="HD180" s="408"/>
      <c r="HE180" s="408"/>
      <c r="HF180" s="408"/>
      <c r="HG180" s="408"/>
      <c r="HH180" s="408"/>
      <c r="HI180" s="408"/>
      <c r="HJ180" s="408"/>
      <c r="HK180" s="408"/>
      <c r="HL180" s="408"/>
      <c r="HM180" s="408"/>
      <c r="HN180" s="408"/>
      <c r="HO180" s="408"/>
      <c r="HP180" s="408"/>
      <c r="HQ180" s="408"/>
      <c r="HR180" s="408"/>
      <c r="HS180" s="408"/>
      <c r="HT180" s="408"/>
      <c r="HU180" s="408"/>
      <c r="HV180" s="408"/>
      <c r="HW180" s="412"/>
    </row>
    <row r="181" spans="107:231" ht="24" customHeight="1">
      <c r="DC181" s="411"/>
      <c r="DD181" s="408"/>
      <c r="DE181" s="408"/>
      <c r="DF181" s="408"/>
      <c r="DG181" s="408"/>
      <c r="DH181" s="408"/>
      <c r="DI181" s="408"/>
      <c r="DJ181" s="408"/>
      <c r="DK181" s="408"/>
      <c r="DL181" s="408"/>
      <c r="DM181" s="408"/>
      <c r="DN181" s="408"/>
      <c r="DO181" s="408"/>
      <c r="DP181" s="408"/>
      <c r="DQ181" s="408"/>
      <c r="DR181" s="408"/>
      <c r="DS181" s="408"/>
      <c r="DT181" s="408"/>
      <c r="DU181" s="408"/>
      <c r="DV181" s="408"/>
      <c r="DW181" s="408"/>
      <c r="DX181" s="408"/>
      <c r="DY181" s="408"/>
      <c r="DZ181" s="408"/>
      <c r="EA181" s="412"/>
      <c r="EB181" s="411"/>
      <c r="EC181" s="408"/>
      <c r="ED181" s="408"/>
      <c r="EE181" s="408"/>
      <c r="EF181" s="408"/>
      <c r="EG181" s="408"/>
      <c r="EH181" s="408"/>
      <c r="EI181" s="408"/>
      <c r="EJ181" s="408"/>
      <c r="EK181" s="408"/>
      <c r="EL181" s="408"/>
      <c r="EM181" s="408"/>
      <c r="EN181" s="408"/>
      <c r="EO181" s="408"/>
      <c r="EP181" s="408"/>
      <c r="EQ181" s="408"/>
      <c r="ER181" s="408"/>
      <c r="ES181" s="408"/>
      <c r="ET181" s="408"/>
      <c r="EU181" s="408"/>
      <c r="EV181" s="408"/>
      <c r="EW181" s="408"/>
      <c r="EX181" s="408"/>
      <c r="EY181" s="408"/>
      <c r="EZ181" s="412"/>
      <c r="FZ181" s="411"/>
      <c r="GA181" s="408"/>
      <c r="GB181" s="408"/>
      <c r="GC181" s="408"/>
      <c r="GD181" s="408"/>
      <c r="GE181" s="408"/>
      <c r="GF181" s="408"/>
      <c r="GG181" s="408"/>
      <c r="GH181" s="408"/>
      <c r="GI181" s="408"/>
      <c r="GJ181" s="408"/>
      <c r="GK181" s="408"/>
      <c r="GL181" s="408"/>
      <c r="GM181" s="408"/>
      <c r="GN181" s="408"/>
      <c r="GO181" s="408"/>
      <c r="GP181" s="408"/>
      <c r="GQ181" s="408"/>
      <c r="GR181" s="408"/>
      <c r="GS181" s="408"/>
      <c r="GT181" s="408"/>
      <c r="GU181" s="408"/>
      <c r="GV181" s="408"/>
      <c r="GW181" s="408"/>
      <c r="GX181" s="412"/>
      <c r="GY181" s="411"/>
      <c r="GZ181" s="408"/>
      <c r="HA181" s="408"/>
      <c r="HB181" s="408"/>
      <c r="HC181" s="408"/>
      <c r="HD181" s="408"/>
      <c r="HE181" s="408"/>
      <c r="HF181" s="408"/>
      <c r="HG181" s="408"/>
      <c r="HH181" s="408"/>
      <c r="HI181" s="408"/>
      <c r="HJ181" s="408"/>
      <c r="HK181" s="408"/>
      <c r="HL181" s="408"/>
      <c r="HM181" s="408"/>
      <c r="HN181" s="408"/>
      <c r="HO181" s="408"/>
      <c r="HP181" s="408"/>
      <c r="HQ181" s="408"/>
      <c r="HR181" s="408"/>
      <c r="HS181" s="408"/>
      <c r="HT181" s="408"/>
      <c r="HU181" s="408"/>
      <c r="HV181" s="408"/>
      <c r="HW181" s="412"/>
    </row>
    <row r="182" spans="107:231" ht="24" customHeight="1">
      <c r="DC182" s="411"/>
      <c r="DD182" s="408"/>
      <c r="DE182" s="408"/>
      <c r="DF182" s="408"/>
      <c r="DG182" s="408"/>
      <c r="DH182" s="408"/>
      <c r="DI182" s="408"/>
      <c r="DJ182" s="408"/>
      <c r="DK182" s="408"/>
      <c r="DL182" s="408"/>
      <c r="DM182" s="408"/>
      <c r="DN182" s="408"/>
      <c r="DO182" s="408"/>
      <c r="DP182" s="408"/>
      <c r="DQ182" s="408"/>
      <c r="DR182" s="408"/>
      <c r="DS182" s="408"/>
      <c r="DT182" s="408"/>
      <c r="DU182" s="408"/>
      <c r="DV182" s="408"/>
      <c r="DW182" s="408"/>
      <c r="DX182" s="408"/>
      <c r="DY182" s="408"/>
      <c r="DZ182" s="408"/>
      <c r="EA182" s="412"/>
      <c r="EB182" s="411"/>
      <c r="EC182" s="408"/>
      <c r="ED182" s="408"/>
      <c r="EE182" s="408"/>
      <c r="EF182" s="408"/>
      <c r="EG182" s="408"/>
      <c r="EH182" s="408"/>
      <c r="EI182" s="408"/>
      <c r="EJ182" s="408"/>
      <c r="EK182" s="408"/>
      <c r="EL182" s="408"/>
      <c r="EM182" s="408"/>
      <c r="EN182" s="408"/>
      <c r="EO182" s="408"/>
      <c r="EP182" s="408"/>
      <c r="EQ182" s="408"/>
      <c r="ER182" s="408"/>
      <c r="ES182" s="408"/>
      <c r="ET182" s="408"/>
      <c r="EU182" s="408"/>
      <c r="EV182" s="408"/>
      <c r="EW182" s="408"/>
      <c r="EX182" s="408"/>
      <c r="EY182" s="408"/>
      <c r="EZ182" s="412"/>
      <c r="FZ182" s="411"/>
      <c r="GA182" s="408"/>
      <c r="GB182" s="408"/>
      <c r="GC182" s="408"/>
      <c r="GD182" s="408"/>
      <c r="GE182" s="408"/>
      <c r="GF182" s="408"/>
      <c r="GG182" s="408"/>
      <c r="GH182" s="408"/>
      <c r="GI182" s="408"/>
      <c r="GJ182" s="408"/>
      <c r="GK182" s="408"/>
      <c r="GL182" s="408"/>
      <c r="GM182" s="408"/>
      <c r="GN182" s="408"/>
      <c r="GO182" s="408"/>
      <c r="GP182" s="408"/>
      <c r="GQ182" s="408"/>
      <c r="GR182" s="408"/>
      <c r="GS182" s="408"/>
      <c r="GT182" s="408"/>
      <c r="GU182" s="408"/>
      <c r="GV182" s="408"/>
      <c r="GW182" s="408"/>
      <c r="GX182" s="412"/>
      <c r="GY182" s="411"/>
      <c r="GZ182" s="408"/>
      <c r="HA182" s="408"/>
      <c r="HB182" s="408"/>
      <c r="HC182" s="408"/>
      <c r="HD182" s="408"/>
      <c r="HE182" s="408"/>
      <c r="HF182" s="408"/>
      <c r="HG182" s="408"/>
      <c r="HH182" s="408"/>
      <c r="HI182" s="408"/>
      <c r="HJ182" s="408"/>
      <c r="HK182" s="408"/>
      <c r="HL182" s="408"/>
      <c r="HM182" s="408"/>
      <c r="HN182" s="408"/>
      <c r="HO182" s="408"/>
      <c r="HP182" s="408"/>
      <c r="HQ182" s="408"/>
      <c r="HR182" s="408"/>
      <c r="HS182" s="408"/>
      <c r="HT182" s="408"/>
      <c r="HU182" s="408"/>
      <c r="HV182" s="408"/>
      <c r="HW182" s="412"/>
    </row>
    <row r="183" spans="107:231" ht="24" customHeight="1">
      <c r="DC183" s="411"/>
      <c r="DD183" s="408"/>
      <c r="DE183" s="408"/>
      <c r="DF183" s="408"/>
      <c r="DG183" s="408"/>
      <c r="DH183" s="408"/>
      <c r="DI183" s="408"/>
      <c r="DJ183" s="408"/>
      <c r="DK183" s="408"/>
      <c r="DL183" s="408"/>
      <c r="DM183" s="408"/>
      <c r="DN183" s="408"/>
      <c r="DO183" s="408"/>
      <c r="DP183" s="408"/>
      <c r="DQ183" s="408"/>
      <c r="DR183" s="408"/>
      <c r="DS183" s="408"/>
      <c r="DT183" s="408"/>
      <c r="DU183" s="408"/>
      <c r="DV183" s="408"/>
      <c r="DW183" s="408"/>
      <c r="DX183" s="408"/>
      <c r="DY183" s="408"/>
      <c r="DZ183" s="408"/>
      <c r="EA183" s="412"/>
      <c r="EB183" s="411"/>
      <c r="EC183" s="408"/>
      <c r="ED183" s="408"/>
      <c r="EE183" s="408"/>
      <c r="EF183" s="408"/>
      <c r="EG183" s="408"/>
      <c r="EH183" s="408"/>
      <c r="EI183" s="408"/>
      <c r="EJ183" s="408"/>
      <c r="EK183" s="408"/>
      <c r="EL183" s="408"/>
      <c r="EM183" s="408"/>
      <c r="EN183" s="408"/>
      <c r="EO183" s="408"/>
      <c r="EP183" s="408"/>
      <c r="EQ183" s="408"/>
      <c r="ER183" s="408"/>
      <c r="ES183" s="408"/>
      <c r="ET183" s="408"/>
      <c r="EU183" s="408"/>
      <c r="EV183" s="408"/>
      <c r="EW183" s="408"/>
      <c r="EX183" s="408"/>
      <c r="EY183" s="408"/>
      <c r="EZ183" s="412"/>
      <c r="FZ183" s="411"/>
      <c r="GA183" s="408"/>
      <c r="GB183" s="408"/>
      <c r="GC183" s="408"/>
      <c r="GD183" s="408"/>
      <c r="GE183" s="408"/>
      <c r="GF183" s="408"/>
      <c r="GG183" s="408"/>
      <c r="GH183" s="408"/>
      <c r="GI183" s="408"/>
      <c r="GJ183" s="408"/>
      <c r="GK183" s="408"/>
      <c r="GL183" s="408"/>
      <c r="GM183" s="408"/>
      <c r="GN183" s="408"/>
      <c r="GO183" s="408"/>
      <c r="GP183" s="408"/>
      <c r="GQ183" s="408"/>
      <c r="GR183" s="408"/>
      <c r="GS183" s="408"/>
      <c r="GT183" s="408"/>
      <c r="GU183" s="408"/>
      <c r="GV183" s="408"/>
      <c r="GW183" s="408"/>
      <c r="GX183" s="412"/>
      <c r="GY183" s="411"/>
      <c r="GZ183" s="408"/>
      <c r="HA183" s="408"/>
      <c r="HB183" s="408"/>
      <c r="HC183" s="408"/>
      <c r="HD183" s="408"/>
      <c r="HE183" s="408"/>
      <c r="HF183" s="408"/>
      <c r="HG183" s="408"/>
      <c r="HH183" s="408"/>
      <c r="HI183" s="408"/>
      <c r="HJ183" s="408"/>
      <c r="HK183" s="408"/>
      <c r="HL183" s="408"/>
      <c r="HM183" s="408"/>
      <c r="HN183" s="408"/>
      <c r="HO183" s="408"/>
      <c r="HP183" s="408"/>
      <c r="HQ183" s="408"/>
      <c r="HR183" s="408"/>
      <c r="HS183" s="408"/>
      <c r="HT183" s="408"/>
      <c r="HU183" s="408"/>
      <c r="HV183" s="408"/>
      <c r="HW183" s="412"/>
    </row>
    <row r="184" spans="107:231" ht="24" customHeight="1">
      <c r="DC184" s="411"/>
      <c r="DD184" s="408"/>
      <c r="DE184" s="408"/>
      <c r="DF184" s="408"/>
      <c r="DG184" s="408"/>
      <c r="DH184" s="408"/>
      <c r="DI184" s="408"/>
      <c r="DJ184" s="408"/>
      <c r="DK184" s="408"/>
      <c r="DL184" s="408"/>
      <c r="DM184" s="408"/>
      <c r="DN184" s="408"/>
      <c r="DO184" s="408"/>
      <c r="DP184" s="408"/>
      <c r="DQ184" s="408"/>
      <c r="DR184" s="408"/>
      <c r="DS184" s="408"/>
      <c r="DT184" s="408"/>
      <c r="DU184" s="408"/>
      <c r="DV184" s="408"/>
      <c r="DW184" s="408"/>
      <c r="DX184" s="408"/>
      <c r="DY184" s="408"/>
      <c r="DZ184" s="408"/>
      <c r="EA184" s="412"/>
      <c r="EB184" s="411"/>
      <c r="EC184" s="408"/>
      <c r="ED184" s="408"/>
      <c r="EE184" s="408"/>
      <c r="EF184" s="408"/>
      <c r="EG184" s="408"/>
      <c r="EH184" s="408"/>
      <c r="EI184" s="408"/>
      <c r="EJ184" s="408"/>
      <c r="EK184" s="408"/>
      <c r="EL184" s="408"/>
      <c r="EM184" s="408"/>
      <c r="EN184" s="408"/>
      <c r="EO184" s="408"/>
      <c r="EP184" s="408"/>
      <c r="EQ184" s="408"/>
      <c r="ER184" s="408"/>
      <c r="ES184" s="408"/>
      <c r="ET184" s="408"/>
      <c r="EU184" s="408"/>
      <c r="EV184" s="408"/>
      <c r="EW184" s="408"/>
      <c r="EX184" s="408"/>
      <c r="EY184" s="408"/>
      <c r="EZ184" s="412"/>
      <c r="FZ184" s="411"/>
      <c r="GA184" s="408"/>
      <c r="GB184" s="408"/>
      <c r="GC184" s="408"/>
      <c r="GD184" s="408"/>
      <c r="GE184" s="408"/>
      <c r="GF184" s="408"/>
      <c r="GG184" s="408"/>
      <c r="GH184" s="408"/>
      <c r="GI184" s="408"/>
      <c r="GJ184" s="408"/>
      <c r="GK184" s="408"/>
      <c r="GL184" s="408"/>
      <c r="GM184" s="408"/>
      <c r="GN184" s="408"/>
      <c r="GO184" s="408"/>
      <c r="GP184" s="408"/>
      <c r="GQ184" s="408"/>
      <c r="GR184" s="408"/>
      <c r="GS184" s="408"/>
      <c r="GT184" s="408"/>
      <c r="GU184" s="408"/>
      <c r="GV184" s="408"/>
      <c r="GW184" s="408"/>
      <c r="GX184" s="412"/>
      <c r="GY184" s="411"/>
      <c r="GZ184" s="408"/>
      <c r="HA184" s="408"/>
      <c r="HB184" s="408"/>
      <c r="HC184" s="408"/>
      <c r="HD184" s="408"/>
      <c r="HE184" s="408"/>
      <c r="HF184" s="408"/>
      <c r="HG184" s="408"/>
      <c r="HH184" s="408"/>
      <c r="HI184" s="408"/>
      <c r="HJ184" s="408"/>
      <c r="HK184" s="408"/>
      <c r="HL184" s="408"/>
      <c r="HM184" s="408"/>
      <c r="HN184" s="408"/>
      <c r="HO184" s="408"/>
      <c r="HP184" s="408"/>
      <c r="HQ184" s="408"/>
      <c r="HR184" s="408"/>
      <c r="HS184" s="408"/>
      <c r="HT184" s="408"/>
      <c r="HU184" s="408"/>
      <c r="HV184" s="408"/>
      <c r="HW184" s="412"/>
    </row>
    <row r="185" spans="107:231" ht="24" customHeight="1">
      <c r="DC185" s="411"/>
      <c r="DD185" s="408"/>
      <c r="DE185" s="408"/>
      <c r="DF185" s="408"/>
      <c r="DG185" s="408"/>
      <c r="DH185" s="408"/>
      <c r="DI185" s="408"/>
      <c r="DJ185" s="408"/>
      <c r="DK185" s="408"/>
      <c r="DL185" s="408"/>
      <c r="DM185" s="408"/>
      <c r="DN185" s="408"/>
      <c r="DO185" s="408"/>
      <c r="DP185" s="408"/>
      <c r="DQ185" s="408"/>
      <c r="DR185" s="408"/>
      <c r="DS185" s="408"/>
      <c r="DT185" s="408"/>
      <c r="DU185" s="408"/>
      <c r="DV185" s="408"/>
      <c r="DW185" s="408"/>
      <c r="DX185" s="408"/>
      <c r="DY185" s="408"/>
      <c r="DZ185" s="408"/>
      <c r="EA185" s="412"/>
      <c r="EB185" s="411"/>
      <c r="EC185" s="408"/>
      <c r="ED185" s="408"/>
      <c r="EE185" s="408"/>
      <c r="EF185" s="408"/>
      <c r="EG185" s="408"/>
      <c r="EH185" s="408"/>
      <c r="EI185" s="408"/>
      <c r="EJ185" s="408"/>
      <c r="EK185" s="408"/>
      <c r="EL185" s="408"/>
      <c r="EM185" s="408"/>
      <c r="EN185" s="408"/>
      <c r="EO185" s="408"/>
      <c r="EP185" s="408"/>
      <c r="EQ185" s="408"/>
      <c r="ER185" s="408"/>
      <c r="ES185" s="408"/>
      <c r="ET185" s="408"/>
      <c r="EU185" s="408"/>
      <c r="EV185" s="408"/>
      <c r="EW185" s="408"/>
      <c r="EX185" s="408"/>
      <c r="EY185" s="408"/>
      <c r="EZ185" s="412"/>
      <c r="FZ185" s="411"/>
      <c r="GA185" s="408"/>
      <c r="GB185" s="408"/>
      <c r="GC185" s="408"/>
      <c r="GD185" s="408"/>
      <c r="GE185" s="408"/>
      <c r="GF185" s="408"/>
      <c r="GG185" s="408"/>
      <c r="GH185" s="408"/>
      <c r="GI185" s="408"/>
      <c r="GJ185" s="408"/>
      <c r="GK185" s="408"/>
      <c r="GL185" s="408"/>
      <c r="GM185" s="408"/>
      <c r="GN185" s="408"/>
      <c r="GO185" s="408"/>
      <c r="GP185" s="408"/>
      <c r="GQ185" s="408"/>
      <c r="GR185" s="408"/>
      <c r="GS185" s="408"/>
      <c r="GT185" s="408"/>
      <c r="GU185" s="408"/>
      <c r="GV185" s="408"/>
      <c r="GW185" s="408"/>
      <c r="GX185" s="412"/>
      <c r="GY185" s="411"/>
      <c r="GZ185" s="408"/>
      <c r="HA185" s="408"/>
      <c r="HB185" s="408"/>
      <c r="HC185" s="408"/>
      <c r="HD185" s="408"/>
      <c r="HE185" s="408"/>
      <c r="HF185" s="408"/>
      <c r="HG185" s="408"/>
      <c r="HH185" s="408"/>
      <c r="HI185" s="408"/>
      <c r="HJ185" s="408"/>
      <c r="HK185" s="408"/>
      <c r="HL185" s="408"/>
      <c r="HM185" s="408"/>
      <c r="HN185" s="408"/>
      <c r="HO185" s="408"/>
      <c r="HP185" s="408"/>
      <c r="HQ185" s="408"/>
      <c r="HR185" s="408"/>
      <c r="HS185" s="408"/>
      <c r="HT185" s="408"/>
      <c r="HU185" s="408"/>
      <c r="HV185" s="408"/>
      <c r="HW185" s="412"/>
    </row>
    <row r="186" spans="107:231" ht="24" customHeight="1">
      <c r="DC186" s="411"/>
      <c r="DD186" s="408"/>
      <c r="DE186" s="408"/>
      <c r="DF186" s="408"/>
      <c r="DG186" s="408"/>
      <c r="DH186" s="408"/>
      <c r="DI186" s="408"/>
      <c r="DJ186" s="408"/>
      <c r="DK186" s="408"/>
      <c r="DL186" s="408"/>
      <c r="DM186" s="408"/>
      <c r="DN186" s="408"/>
      <c r="DO186" s="408"/>
      <c r="DP186" s="408"/>
      <c r="DQ186" s="408"/>
      <c r="DR186" s="408"/>
      <c r="DS186" s="408"/>
      <c r="DT186" s="408"/>
      <c r="DU186" s="408"/>
      <c r="DV186" s="408"/>
      <c r="DW186" s="408"/>
      <c r="DX186" s="408"/>
      <c r="DY186" s="408"/>
      <c r="DZ186" s="408"/>
      <c r="EA186" s="412"/>
      <c r="EB186" s="411"/>
      <c r="EC186" s="408"/>
      <c r="ED186" s="408"/>
      <c r="EE186" s="408"/>
      <c r="EF186" s="408"/>
      <c r="EG186" s="408"/>
      <c r="EH186" s="408"/>
      <c r="EI186" s="408"/>
      <c r="EJ186" s="408"/>
      <c r="EK186" s="408"/>
      <c r="EL186" s="408"/>
      <c r="EM186" s="408"/>
      <c r="EN186" s="408"/>
      <c r="EO186" s="408"/>
      <c r="EP186" s="408"/>
      <c r="EQ186" s="408"/>
      <c r="ER186" s="408"/>
      <c r="ES186" s="408"/>
      <c r="ET186" s="408"/>
      <c r="EU186" s="408"/>
      <c r="EV186" s="408"/>
      <c r="EW186" s="408"/>
      <c r="EX186" s="408"/>
      <c r="EY186" s="408"/>
      <c r="EZ186" s="412"/>
      <c r="FZ186" s="411"/>
      <c r="GA186" s="408"/>
      <c r="GB186" s="408"/>
      <c r="GC186" s="408"/>
      <c r="GD186" s="408"/>
      <c r="GE186" s="408"/>
      <c r="GF186" s="408"/>
      <c r="GG186" s="408"/>
      <c r="GH186" s="408"/>
      <c r="GI186" s="408"/>
      <c r="GJ186" s="408"/>
      <c r="GK186" s="408"/>
      <c r="GL186" s="408"/>
      <c r="GM186" s="408"/>
      <c r="GN186" s="408"/>
      <c r="GO186" s="408"/>
      <c r="GP186" s="408"/>
      <c r="GQ186" s="408"/>
      <c r="GR186" s="408"/>
      <c r="GS186" s="408"/>
      <c r="GT186" s="408"/>
      <c r="GU186" s="408"/>
      <c r="GV186" s="408"/>
      <c r="GW186" s="408"/>
      <c r="GX186" s="412"/>
      <c r="GY186" s="411"/>
      <c r="GZ186" s="408"/>
      <c r="HA186" s="408"/>
      <c r="HB186" s="408"/>
      <c r="HC186" s="408"/>
      <c r="HD186" s="408"/>
      <c r="HE186" s="408"/>
      <c r="HF186" s="408"/>
      <c r="HG186" s="408"/>
      <c r="HH186" s="408"/>
      <c r="HI186" s="408"/>
      <c r="HJ186" s="408"/>
      <c r="HK186" s="408"/>
      <c r="HL186" s="408"/>
      <c r="HM186" s="408"/>
      <c r="HN186" s="408"/>
      <c r="HO186" s="408"/>
      <c r="HP186" s="408"/>
      <c r="HQ186" s="408"/>
      <c r="HR186" s="408"/>
      <c r="HS186" s="408"/>
      <c r="HT186" s="408"/>
      <c r="HU186" s="408"/>
      <c r="HV186" s="408"/>
      <c r="HW186" s="412"/>
    </row>
    <row r="187" spans="107:231" ht="24" customHeight="1">
      <c r="DC187" s="411"/>
      <c r="DD187" s="408"/>
      <c r="DE187" s="408"/>
      <c r="DF187" s="408"/>
      <c r="DG187" s="408"/>
      <c r="DH187" s="408"/>
      <c r="DI187" s="408"/>
      <c r="DJ187" s="408"/>
      <c r="DK187" s="408"/>
      <c r="DL187" s="408"/>
      <c r="DM187" s="408"/>
      <c r="DN187" s="408"/>
      <c r="DO187" s="408"/>
      <c r="DP187" s="408"/>
      <c r="DQ187" s="408"/>
      <c r="DR187" s="408"/>
      <c r="DS187" s="408"/>
      <c r="DT187" s="408"/>
      <c r="DU187" s="408"/>
      <c r="DV187" s="408"/>
      <c r="DW187" s="408"/>
      <c r="DX187" s="408"/>
      <c r="DY187" s="408"/>
      <c r="DZ187" s="408"/>
      <c r="EA187" s="412"/>
      <c r="EB187" s="411"/>
      <c r="EC187" s="408"/>
      <c r="ED187" s="408"/>
      <c r="EE187" s="408"/>
      <c r="EF187" s="408"/>
      <c r="EG187" s="408"/>
      <c r="EH187" s="408"/>
      <c r="EI187" s="408"/>
      <c r="EJ187" s="408"/>
      <c r="EK187" s="408"/>
      <c r="EL187" s="408"/>
      <c r="EM187" s="408"/>
      <c r="EN187" s="408"/>
      <c r="EO187" s="408"/>
      <c r="EP187" s="408"/>
      <c r="EQ187" s="408"/>
      <c r="ER187" s="408"/>
      <c r="ES187" s="408"/>
      <c r="ET187" s="408"/>
      <c r="EU187" s="408"/>
      <c r="EV187" s="408"/>
      <c r="EW187" s="408"/>
      <c r="EX187" s="408"/>
      <c r="EY187" s="408"/>
      <c r="EZ187" s="412"/>
      <c r="FZ187" s="411"/>
      <c r="GA187" s="408"/>
      <c r="GB187" s="408"/>
      <c r="GC187" s="408"/>
      <c r="GD187" s="408"/>
      <c r="GE187" s="408"/>
      <c r="GF187" s="408"/>
      <c r="GG187" s="408"/>
      <c r="GH187" s="408"/>
      <c r="GI187" s="408"/>
      <c r="GJ187" s="408"/>
      <c r="GK187" s="408"/>
      <c r="GL187" s="408"/>
      <c r="GM187" s="408"/>
      <c r="GN187" s="408"/>
      <c r="GO187" s="408"/>
      <c r="GP187" s="408"/>
      <c r="GQ187" s="408"/>
      <c r="GR187" s="408"/>
      <c r="GS187" s="408"/>
      <c r="GT187" s="408"/>
      <c r="GU187" s="408"/>
      <c r="GV187" s="408"/>
      <c r="GW187" s="408"/>
      <c r="GX187" s="412"/>
      <c r="GY187" s="411"/>
      <c r="GZ187" s="408"/>
      <c r="HA187" s="408"/>
      <c r="HB187" s="408"/>
      <c r="HC187" s="408"/>
      <c r="HD187" s="408"/>
      <c r="HE187" s="408"/>
      <c r="HF187" s="408"/>
      <c r="HG187" s="408"/>
      <c r="HH187" s="408"/>
      <c r="HI187" s="408"/>
      <c r="HJ187" s="408"/>
      <c r="HK187" s="408"/>
      <c r="HL187" s="408"/>
      <c r="HM187" s="408"/>
      <c r="HN187" s="408"/>
      <c r="HO187" s="408"/>
      <c r="HP187" s="408"/>
      <c r="HQ187" s="408"/>
      <c r="HR187" s="408"/>
      <c r="HS187" s="408"/>
      <c r="HT187" s="408"/>
      <c r="HU187" s="408"/>
      <c r="HV187" s="408"/>
      <c r="HW187" s="412"/>
    </row>
    <row r="188" spans="107:231" ht="24" customHeight="1">
      <c r="DC188" s="411"/>
      <c r="DD188" s="408"/>
      <c r="DE188" s="408"/>
      <c r="DF188" s="408"/>
      <c r="DG188" s="408"/>
      <c r="DH188" s="408"/>
      <c r="DI188" s="408"/>
      <c r="DJ188" s="408"/>
      <c r="DK188" s="408"/>
      <c r="DL188" s="408"/>
      <c r="DM188" s="408"/>
      <c r="DN188" s="408"/>
      <c r="DO188" s="408"/>
      <c r="DP188" s="408"/>
      <c r="DQ188" s="408"/>
      <c r="DR188" s="408"/>
      <c r="DS188" s="408"/>
      <c r="DT188" s="408"/>
      <c r="DU188" s="408"/>
      <c r="DV188" s="408"/>
      <c r="DW188" s="408"/>
      <c r="DX188" s="408"/>
      <c r="DY188" s="408"/>
      <c r="DZ188" s="408"/>
      <c r="EA188" s="412"/>
      <c r="EB188" s="411"/>
      <c r="EC188" s="408"/>
      <c r="ED188" s="408"/>
      <c r="EE188" s="408"/>
      <c r="EF188" s="408"/>
      <c r="EG188" s="408"/>
      <c r="EH188" s="408"/>
      <c r="EI188" s="408"/>
      <c r="EJ188" s="408"/>
      <c r="EK188" s="408"/>
      <c r="EL188" s="408"/>
      <c r="EM188" s="408"/>
      <c r="EN188" s="408"/>
      <c r="EO188" s="408"/>
      <c r="EP188" s="408"/>
      <c r="EQ188" s="408"/>
      <c r="ER188" s="408"/>
      <c r="ES188" s="408"/>
      <c r="ET188" s="408"/>
      <c r="EU188" s="408"/>
      <c r="EV188" s="408"/>
      <c r="EW188" s="408"/>
      <c r="EX188" s="408"/>
      <c r="EY188" s="408"/>
      <c r="EZ188" s="412"/>
      <c r="FZ188" s="411"/>
      <c r="GA188" s="408"/>
      <c r="GB188" s="408"/>
      <c r="GC188" s="408"/>
      <c r="GD188" s="408"/>
      <c r="GE188" s="408"/>
      <c r="GF188" s="408"/>
      <c r="GG188" s="408"/>
      <c r="GH188" s="408"/>
      <c r="GI188" s="408"/>
      <c r="GJ188" s="408"/>
      <c r="GK188" s="408"/>
      <c r="GL188" s="408"/>
      <c r="GM188" s="408"/>
      <c r="GN188" s="408"/>
      <c r="GO188" s="408"/>
      <c r="GP188" s="408"/>
      <c r="GQ188" s="408"/>
      <c r="GR188" s="408"/>
      <c r="GS188" s="408"/>
      <c r="GT188" s="408"/>
      <c r="GU188" s="408"/>
      <c r="GV188" s="408"/>
      <c r="GW188" s="408"/>
      <c r="GX188" s="412"/>
      <c r="GY188" s="411"/>
      <c r="GZ188" s="408"/>
      <c r="HA188" s="408"/>
      <c r="HB188" s="408"/>
      <c r="HC188" s="408"/>
      <c r="HD188" s="408"/>
      <c r="HE188" s="408"/>
      <c r="HF188" s="408"/>
      <c r="HG188" s="408"/>
      <c r="HH188" s="408"/>
      <c r="HI188" s="408"/>
      <c r="HJ188" s="408"/>
      <c r="HK188" s="408"/>
      <c r="HL188" s="408"/>
      <c r="HM188" s="408"/>
      <c r="HN188" s="408"/>
      <c r="HO188" s="408"/>
      <c r="HP188" s="408"/>
      <c r="HQ188" s="408"/>
      <c r="HR188" s="408"/>
      <c r="HS188" s="408"/>
      <c r="HT188" s="408"/>
      <c r="HU188" s="408"/>
      <c r="HV188" s="408"/>
      <c r="HW188" s="412"/>
    </row>
    <row r="189" spans="107:231" ht="24" customHeight="1" thickBot="1">
      <c r="DC189" s="411"/>
      <c r="DD189" s="413"/>
      <c r="DE189" s="413"/>
      <c r="DF189" s="413"/>
      <c r="DG189" s="408"/>
      <c r="DH189" s="408"/>
      <c r="DI189" s="408"/>
      <c r="DJ189" s="408"/>
      <c r="DK189" s="408"/>
      <c r="DL189" s="408"/>
      <c r="DM189" s="408"/>
      <c r="DN189" s="408"/>
      <c r="DO189" s="408"/>
      <c r="DP189" s="408"/>
      <c r="DQ189" s="408"/>
      <c r="DR189" s="408"/>
      <c r="DS189" s="408"/>
      <c r="DT189" s="408"/>
      <c r="DU189" s="408"/>
      <c r="DV189" s="408"/>
      <c r="DW189" s="408"/>
      <c r="DX189" s="408"/>
      <c r="DY189" s="408"/>
      <c r="DZ189" s="408"/>
      <c r="EA189" s="412"/>
      <c r="EB189" s="411"/>
      <c r="EC189" s="413"/>
      <c r="ED189" s="413"/>
      <c r="EE189" s="413"/>
      <c r="EF189" s="408"/>
      <c r="EG189" s="408"/>
      <c r="EH189" s="408"/>
      <c r="EI189" s="408"/>
      <c r="EJ189" s="408"/>
      <c r="EK189" s="408"/>
      <c r="EL189" s="408"/>
      <c r="EM189" s="408"/>
      <c r="EN189" s="408"/>
      <c r="EO189" s="408"/>
      <c r="EP189" s="408"/>
      <c r="EQ189" s="408"/>
      <c r="ER189" s="408"/>
      <c r="ES189" s="408"/>
      <c r="ET189" s="408"/>
      <c r="EU189" s="408"/>
      <c r="EV189" s="408"/>
      <c r="EW189" s="408"/>
      <c r="EX189" s="408"/>
      <c r="EY189" s="408"/>
      <c r="EZ189" s="412"/>
      <c r="FZ189" s="411"/>
      <c r="GA189" s="413"/>
      <c r="GB189" s="413"/>
      <c r="GC189" s="413"/>
      <c r="GD189" s="408"/>
      <c r="GE189" s="408"/>
      <c r="GF189" s="408"/>
      <c r="GG189" s="408"/>
      <c r="GH189" s="408"/>
      <c r="GI189" s="408"/>
      <c r="GJ189" s="408"/>
      <c r="GK189" s="408"/>
      <c r="GL189" s="408"/>
      <c r="GM189" s="408"/>
      <c r="GN189" s="408"/>
      <c r="GO189" s="408"/>
      <c r="GP189" s="408"/>
      <c r="GQ189" s="408"/>
      <c r="GR189" s="408"/>
      <c r="GS189" s="408"/>
      <c r="GT189" s="408"/>
      <c r="GU189" s="408"/>
      <c r="GV189" s="408"/>
      <c r="GW189" s="408"/>
      <c r="GX189" s="412"/>
      <c r="GY189" s="411"/>
      <c r="GZ189" s="413"/>
      <c r="HA189" s="413"/>
      <c r="HB189" s="413"/>
      <c r="HC189" s="408"/>
      <c r="HD189" s="408"/>
      <c r="HE189" s="408"/>
      <c r="HF189" s="408"/>
      <c r="HG189" s="408"/>
      <c r="HH189" s="408"/>
      <c r="HI189" s="408"/>
      <c r="HJ189" s="408"/>
      <c r="HK189" s="408"/>
      <c r="HL189" s="408"/>
      <c r="HM189" s="408"/>
      <c r="HN189" s="408"/>
      <c r="HO189" s="408"/>
      <c r="HP189" s="408"/>
      <c r="HQ189" s="408"/>
      <c r="HR189" s="408"/>
      <c r="HS189" s="408"/>
      <c r="HT189" s="408"/>
      <c r="HU189" s="408"/>
      <c r="HV189" s="408"/>
      <c r="HW189" s="412"/>
    </row>
    <row r="190" spans="107:231" ht="24" customHeight="1" thickBot="1">
      <c r="DC190" s="416"/>
      <c r="DD190" s="2116" t="str">
        <f>'Вывод расчетов'!$CC$9</f>
        <v>Раздел 2</v>
      </c>
      <c r="DE190" s="2114"/>
      <c r="DF190" s="2114"/>
      <c r="DG190" s="417"/>
      <c r="DH190" s="2116" t="str">
        <f>'Вывод расчетов'!$CF$9</f>
        <v>Расчет обмотки статора</v>
      </c>
      <c r="DI190" s="2114"/>
      <c r="DJ190" s="2114"/>
      <c r="DK190" s="2114"/>
      <c r="DL190" s="2114"/>
      <c r="DM190" s="2114"/>
      <c r="DN190" s="2114"/>
      <c r="DO190" s="2114"/>
      <c r="DP190" s="2114"/>
      <c r="DQ190" s="2114"/>
      <c r="DR190" s="2114"/>
      <c r="DS190" s="2117"/>
      <c r="DT190" s="417"/>
      <c r="DU190" s="2116" t="s">
        <v>1369</v>
      </c>
      <c r="DV190" s="2114"/>
      <c r="DW190" s="2117"/>
      <c r="DX190" s="417"/>
      <c r="DY190" s="2116">
        <v>11</v>
      </c>
      <c r="DZ190" s="2117"/>
      <c r="EA190" s="418"/>
      <c r="EB190" s="416"/>
      <c r="EC190" s="2116" t="str">
        <f>'Вывод расчетов'!$CC$9</f>
        <v>Раздел 2</v>
      </c>
      <c r="ED190" s="2114"/>
      <c r="EE190" s="2114"/>
      <c r="EF190" s="417"/>
      <c r="EG190" s="2116" t="str">
        <f>'Вывод расчетов'!$CF$9</f>
        <v>Расчет обмотки статора</v>
      </c>
      <c r="EH190" s="2114"/>
      <c r="EI190" s="2114"/>
      <c r="EJ190" s="2114"/>
      <c r="EK190" s="2114"/>
      <c r="EL190" s="2114"/>
      <c r="EM190" s="2114"/>
      <c r="EN190" s="2114"/>
      <c r="EO190" s="2114"/>
      <c r="EP190" s="2114"/>
      <c r="EQ190" s="2114"/>
      <c r="ER190" s="2117"/>
      <c r="ES190" s="417"/>
      <c r="ET190" s="2116" t="s">
        <v>1369</v>
      </c>
      <c r="EU190" s="2114"/>
      <c r="EV190" s="2117"/>
      <c r="EW190" s="417"/>
      <c r="EX190" s="2116">
        <v>11</v>
      </c>
      <c r="EY190" s="2117"/>
      <c r="EZ190" s="418"/>
      <c r="FZ190" s="416"/>
      <c r="GA190" s="2116" t="str">
        <f>'Вывод расчетов'!$CC$9</f>
        <v>Раздел 2</v>
      </c>
      <c r="GB190" s="2114"/>
      <c r="GC190" s="2114"/>
      <c r="GD190" s="417"/>
      <c r="GE190" s="2116" t="str">
        <f>'Вывод расчетов'!$CF$9</f>
        <v>Расчет обмотки статора</v>
      </c>
      <c r="GF190" s="2114"/>
      <c r="GG190" s="2114"/>
      <c r="GH190" s="2114"/>
      <c r="GI190" s="2114"/>
      <c r="GJ190" s="2114"/>
      <c r="GK190" s="2114"/>
      <c r="GL190" s="2114"/>
      <c r="GM190" s="2114"/>
      <c r="GN190" s="2114"/>
      <c r="GO190" s="2114"/>
      <c r="GP190" s="2117"/>
      <c r="GQ190" s="417"/>
      <c r="GR190" s="2116" t="s">
        <v>1369</v>
      </c>
      <c r="GS190" s="2114"/>
      <c r="GT190" s="2117"/>
      <c r="GU190" s="417"/>
      <c r="GV190" s="2116">
        <v>11</v>
      </c>
      <c r="GW190" s="2117"/>
      <c r="GX190" s="418"/>
      <c r="GY190" s="416"/>
      <c r="GZ190" s="2116" t="str">
        <f>'Вывод расчетов'!$CC$9</f>
        <v>Раздел 2</v>
      </c>
      <c r="HA190" s="2114"/>
      <c r="HB190" s="2114"/>
      <c r="HC190" s="417"/>
      <c r="HD190" s="2116" t="str">
        <f>'Вывод расчетов'!$CF$9</f>
        <v>Расчет обмотки статора</v>
      </c>
      <c r="HE190" s="2114"/>
      <c r="HF190" s="2114"/>
      <c r="HG190" s="2114"/>
      <c r="HH190" s="2114"/>
      <c r="HI190" s="2114"/>
      <c r="HJ190" s="2114"/>
      <c r="HK190" s="2114"/>
      <c r="HL190" s="2114"/>
      <c r="HM190" s="2114"/>
      <c r="HN190" s="2114"/>
      <c r="HO190" s="2117"/>
      <c r="HP190" s="417"/>
      <c r="HQ190" s="2116" t="s">
        <v>1369</v>
      </c>
      <c r="HR190" s="2114"/>
      <c r="HS190" s="2117"/>
      <c r="HT190" s="417"/>
      <c r="HU190" s="2116">
        <v>11</v>
      </c>
      <c r="HV190" s="2117"/>
      <c r="HW190" s="418"/>
    </row>
    <row r="191" spans="107:231" ht="24" customHeight="1" thickBot="1">
      <c r="DC191" s="2113" t="s">
        <v>1111</v>
      </c>
      <c r="DD191" s="2114"/>
      <c r="DE191" s="2114"/>
      <c r="DF191" s="2114"/>
      <c r="DG191" s="2114"/>
      <c r="DH191" s="2114"/>
      <c r="DI191" s="2114"/>
      <c r="DJ191" s="2114"/>
      <c r="DK191" s="2114"/>
      <c r="DL191" s="2114"/>
      <c r="DM191" s="2114"/>
      <c r="DN191" s="2114"/>
      <c r="DO191" s="2114"/>
      <c r="DP191" s="2114"/>
      <c r="DQ191" s="2114"/>
      <c r="DR191" s="2114"/>
      <c r="DS191" s="2114"/>
      <c r="DT191" s="2114"/>
      <c r="DU191" s="2114"/>
      <c r="DV191" s="2114"/>
      <c r="DW191" s="2114"/>
      <c r="DX191" s="2114"/>
      <c r="DY191" s="2114"/>
      <c r="DZ191" s="2114"/>
      <c r="EA191" s="2115"/>
      <c r="EB191" s="2113" t="s">
        <v>1111</v>
      </c>
      <c r="EC191" s="2114"/>
      <c r="ED191" s="2114"/>
      <c r="EE191" s="2114"/>
      <c r="EF191" s="2114"/>
      <c r="EG191" s="2114"/>
      <c r="EH191" s="2114"/>
      <c r="EI191" s="2114"/>
      <c r="EJ191" s="2114"/>
      <c r="EK191" s="2114"/>
      <c r="EL191" s="2114"/>
      <c r="EM191" s="2114"/>
      <c r="EN191" s="2114"/>
      <c r="EO191" s="2114"/>
      <c r="EP191" s="2114"/>
      <c r="EQ191" s="2114"/>
      <c r="ER191" s="2114"/>
      <c r="ES191" s="2114"/>
      <c r="ET191" s="2114"/>
      <c r="EU191" s="2114"/>
      <c r="EV191" s="2114"/>
      <c r="EW191" s="2114"/>
      <c r="EX191" s="2114"/>
      <c r="EY191" s="2114"/>
      <c r="EZ191" s="2115"/>
      <c r="FZ191" s="2113" t="s">
        <v>1111</v>
      </c>
      <c r="GA191" s="2114"/>
      <c r="GB191" s="2114"/>
      <c r="GC191" s="2114"/>
      <c r="GD191" s="2114"/>
      <c r="GE191" s="2114"/>
      <c r="GF191" s="2114"/>
      <c r="GG191" s="2114"/>
      <c r="GH191" s="2114"/>
      <c r="GI191" s="2114"/>
      <c r="GJ191" s="2114"/>
      <c r="GK191" s="2114"/>
      <c r="GL191" s="2114"/>
      <c r="GM191" s="2114"/>
      <c r="GN191" s="2114"/>
      <c r="GO191" s="2114"/>
      <c r="GP191" s="2114"/>
      <c r="GQ191" s="2114"/>
      <c r="GR191" s="2114"/>
      <c r="GS191" s="2114"/>
      <c r="GT191" s="2114"/>
      <c r="GU191" s="2114"/>
      <c r="GV191" s="2114"/>
      <c r="GW191" s="2114"/>
      <c r="GX191" s="2115"/>
      <c r="GY191" s="2113" t="s">
        <v>1111</v>
      </c>
      <c r="GZ191" s="2114"/>
      <c r="HA191" s="2114"/>
      <c r="HB191" s="2114"/>
      <c r="HC191" s="2114"/>
      <c r="HD191" s="2114"/>
      <c r="HE191" s="2114"/>
      <c r="HF191" s="2114"/>
      <c r="HG191" s="2114"/>
      <c r="HH191" s="2114"/>
      <c r="HI191" s="2114"/>
      <c r="HJ191" s="2114"/>
      <c r="HK191" s="2114"/>
      <c r="HL191" s="2114"/>
      <c r="HM191" s="2114"/>
      <c r="HN191" s="2114"/>
      <c r="HO191" s="2114"/>
      <c r="HP191" s="2114"/>
      <c r="HQ191" s="2114"/>
      <c r="HR191" s="2114"/>
      <c r="HS191" s="2114"/>
      <c r="HT191" s="2114"/>
      <c r="HU191" s="2114"/>
      <c r="HV191" s="2114"/>
      <c r="HW191" s="2115"/>
    </row>
    <row r="192" spans="107:231" ht="24" customHeight="1">
      <c r="DC192" s="409"/>
      <c r="DD192" s="410"/>
      <c r="DE192" s="410"/>
      <c r="DF192" s="410"/>
      <c r="DG192" s="410"/>
      <c r="DH192" s="410"/>
      <c r="DI192" s="410"/>
      <c r="DJ192" s="410"/>
      <c r="DK192" s="410"/>
      <c r="DL192" s="410"/>
      <c r="DM192" s="410"/>
      <c r="DN192" s="410"/>
      <c r="DO192" s="410"/>
      <c r="DP192" s="410"/>
      <c r="DQ192" s="410"/>
      <c r="DR192" s="410"/>
      <c r="DS192" s="410"/>
      <c r="DT192" s="410"/>
      <c r="DU192" s="410"/>
      <c r="DV192" s="410"/>
      <c r="DW192" s="410"/>
      <c r="DX192" s="410"/>
      <c r="DY192" s="410"/>
      <c r="DZ192" s="410"/>
      <c r="EA192" s="419"/>
      <c r="EB192" s="409"/>
      <c r="EC192" s="410"/>
      <c r="ED192" s="410"/>
      <c r="EE192" s="410"/>
      <c r="EF192" s="410"/>
      <c r="EG192" s="410"/>
      <c r="EH192" s="410"/>
      <c r="EI192" s="410"/>
      <c r="EJ192" s="410"/>
      <c r="EK192" s="410"/>
      <c r="EL192" s="410"/>
      <c r="EM192" s="410"/>
      <c r="EN192" s="410"/>
      <c r="EO192" s="410"/>
      <c r="EP192" s="410"/>
      <c r="EQ192" s="410"/>
      <c r="ER192" s="410"/>
      <c r="ES192" s="410"/>
      <c r="ET192" s="410"/>
      <c r="EU192" s="410"/>
      <c r="EV192" s="410"/>
      <c r="EW192" s="410"/>
      <c r="EX192" s="410"/>
      <c r="EY192" s="410"/>
      <c r="EZ192" s="419"/>
      <c r="FZ192" s="409"/>
      <c r="GA192" s="410"/>
      <c r="GB192" s="410"/>
      <c r="GC192" s="410"/>
      <c r="GD192" s="410"/>
      <c r="GE192" s="410"/>
      <c r="GF192" s="410"/>
      <c r="GG192" s="410"/>
      <c r="GH192" s="410"/>
      <c r="GI192" s="410"/>
      <c r="GJ192" s="410"/>
      <c r="GK192" s="410"/>
      <c r="GL192" s="410"/>
      <c r="GM192" s="410"/>
      <c r="GN192" s="410"/>
      <c r="GO192" s="410"/>
      <c r="GP192" s="410"/>
      <c r="GQ192" s="410"/>
      <c r="GR192" s="410"/>
      <c r="GS192" s="410"/>
      <c r="GT192" s="410"/>
      <c r="GU192" s="410"/>
      <c r="GV192" s="410"/>
      <c r="GW192" s="410"/>
      <c r="GX192" s="419"/>
      <c r="GY192" s="409"/>
      <c r="GZ192" s="410"/>
      <c r="HA192" s="410"/>
      <c r="HB192" s="410"/>
      <c r="HC192" s="410"/>
      <c r="HD192" s="410"/>
      <c r="HE192" s="410"/>
      <c r="HF192" s="410"/>
      <c r="HG192" s="410"/>
      <c r="HH192" s="410"/>
      <c r="HI192" s="410"/>
      <c r="HJ192" s="410"/>
      <c r="HK192" s="410"/>
      <c r="HL192" s="410"/>
      <c r="HM192" s="410"/>
      <c r="HN192" s="410"/>
      <c r="HO192" s="410"/>
      <c r="HP192" s="410"/>
      <c r="HQ192" s="410"/>
      <c r="HR192" s="410"/>
      <c r="HS192" s="410"/>
      <c r="HT192" s="410"/>
      <c r="HU192" s="410"/>
      <c r="HV192" s="410"/>
      <c r="HW192" s="419"/>
    </row>
    <row r="193" spans="107:231" ht="24" customHeight="1">
      <c r="DC193" s="411"/>
      <c r="DD193" s="408"/>
      <c r="DE193" s="408"/>
      <c r="DF193" s="408"/>
      <c r="DG193" s="408"/>
      <c r="DH193" s="408"/>
      <c r="DI193" s="408"/>
      <c r="DJ193" s="408"/>
      <c r="DK193" s="408"/>
      <c r="DL193" s="408"/>
      <c r="DM193" s="408"/>
      <c r="DN193" s="408"/>
      <c r="DO193" s="408"/>
      <c r="DP193" s="408"/>
      <c r="DQ193" s="408"/>
      <c r="DR193" s="408"/>
      <c r="DS193" s="408"/>
      <c r="DT193" s="408"/>
      <c r="DU193" s="408"/>
      <c r="DV193" s="408"/>
      <c r="DW193" s="408"/>
      <c r="DX193" s="408"/>
      <c r="DY193" s="408"/>
      <c r="DZ193" s="408"/>
      <c r="EA193" s="412"/>
      <c r="EB193" s="411"/>
      <c r="EC193" s="408"/>
      <c r="ED193" s="408"/>
      <c r="EE193" s="408"/>
      <c r="EF193" s="408"/>
      <c r="EG193" s="408"/>
      <c r="EH193" s="408"/>
      <c r="EI193" s="408"/>
      <c r="EJ193" s="408"/>
      <c r="EK193" s="408"/>
      <c r="EL193" s="408"/>
      <c r="EM193" s="408"/>
      <c r="EN193" s="408"/>
      <c r="EO193" s="408"/>
      <c r="EP193" s="408"/>
      <c r="EQ193" s="408"/>
      <c r="ER193" s="408"/>
      <c r="ES193" s="408"/>
      <c r="ET193" s="408"/>
      <c r="EU193" s="408"/>
      <c r="EV193" s="408"/>
      <c r="EW193" s="408"/>
      <c r="EX193" s="408"/>
      <c r="EY193" s="408"/>
      <c r="EZ193" s="412"/>
      <c r="FZ193" s="411"/>
      <c r="GA193" s="408"/>
      <c r="GB193" s="408"/>
      <c r="GC193" s="408"/>
      <c r="GD193" s="408"/>
      <c r="GE193" s="408"/>
      <c r="GF193" s="408"/>
      <c r="GG193" s="408"/>
      <c r="GH193" s="408"/>
      <c r="GI193" s="408"/>
      <c r="GJ193" s="408"/>
      <c r="GK193" s="408"/>
      <c r="GL193" s="408"/>
      <c r="GM193" s="408"/>
      <c r="GN193" s="408"/>
      <c r="GO193" s="408"/>
      <c r="GP193" s="408"/>
      <c r="GQ193" s="408"/>
      <c r="GR193" s="408"/>
      <c r="GS193" s="408"/>
      <c r="GT193" s="408"/>
      <c r="GU193" s="408"/>
      <c r="GV193" s="408"/>
      <c r="GW193" s="408"/>
      <c r="GX193" s="412"/>
      <c r="GY193" s="411"/>
      <c r="GZ193" s="408"/>
      <c r="HA193" s="408"/>
      <c r="HB193" s="408"/>
      <c r="HC193" s="408"/>
      <c r="HD193" s="408"/>
      <c r="HE193" s="408"/>
      <c r="HF193" s="408"/>
      <c r="HG193" s="408"/>
      <c r="HH193" s="408"/>
      <c r="HI193" s="408"/>
      <c r="HJ193" s="408"/>
      <c r="HK193" s="408"/>
      <c r="HL193" s="408"/>
      <c r="HM193" s="408"/>
      <c r="HN193" s="408"/>
      <c r="HO193" s="408"/>
      <c r="HP193" s="408"/>
      <c r="HQ193" s="408"/>
      <c r="HR193" s="408"/>
      <c r="HS193" s="408"/>
      <c r="HT193" s="408"/>
      <c r="HU193" s="408"/>
      <c r="HV193" s="408"/>
      <c r="HW193" s="412"/>
    </row>
    <row r="194" spans="107:231" ht="24" customHeight="1">
      <c r="DC194" s="411"/>
      <c r="DD194" s="408"/>
      <c r="DE194" s="408"/>
      <c r="DF194" s="408"/>
      <c r="DG194" s="408"/>
      <c r="DH194" s="408"/>
      <c r="DI194" s="408"/>
      <c r="DJ194" s="408"/>
      <c r="DK194" s="408"/>
      <c r="DL194" s="408"/>
      <c r="DM194" s="408"/>
      <c r="DN194" s="408"/>
      <c r="DO194" s="408"/>
      <c r="DP194" s="408"/>
      <c r="DQ194" s="408"/>
      <c r="DR194" s="408"/>
      <c r="DS194" s="408"/>
      <c r="DT194" s="408"/>
      <c r="DU194" s="408"/>
      <c r="DV194" s="408"/>
      <c r="DW194" s="408"/>
      <c r="DX194" s="408"/>
      <c r="DY194" s="408"/>
      <c r="DZ194" s="408"/>
      <c r="EA194" s="412"/>
      <c r="EB194" s="411"/>
      <c r="EC194" s="408"/>
      <c r="ED194" s="408"/>
      <c r="EE194" s="408"/>
      <c r="EF194" s="408"/>
      <c r="EG194" s="408"/>
      <c r="EH194" s="408"/>
      <c r="EI194" s="408"/>
      <c r="EJ194" s="408"/>
      <c r="EK194" s="408"/>
      <c r="EL194" s="408"/>
      <c r="EM194" s="408"/>
      <c r="EN194" s="408"/>
      <c r="EO194" s="408"/>
      <c r="EP194" s="408"/>
      <c r="EQ194" s="408"/>
      <c r="ER194" s="408"/>
      <c r="ES194" s="408"/>
      <c r="ET194" s="408"/>
      <c r="EU194" s="408"/>
      <c r="EV194" s="408"/>
      <c r="EW194" s="408"/>
      <c r="EX194" s="408"/>
      <c r="EY194" s="408"/>
      <c r="EZ194" s="412"/>
      <c r="FZ194" s="411"/>
      <c r="GA194" s="408"/>
      <c r="GB194" s="408"/>
      <c r="GC194" s="408"/>
      <c r="GD194" s="408"/>
      <c r="GE194" s="408"/>
      <c r="GF194" s="408"/>
      <c r="GG194" s="408"/>
      <c r="GH194" s="408"/>
      <c r="GI194" s="408"/>
      <c r="GJ194" s="408"/>
      <c r="GK194" s="408"/>
      <c r="GL194" s="408"/>
      <c r="GM194" s="408"/>
      <c r="GN194" s="408"/>
      <c r="GO194" s="408"/>
      <c r="GP194" s="408"/>
      <c r="GQ194" s="408"/>
      <c r="GR194" s="408"/>
      <c r="GS194" s="408"/>
      <c r="GT194" s="408"/>
      <c r="GU194" s="408"/>
      <c r="GV194" s="408"/>
      <c r="GW194" s="408"/>
      <c r="GX194" s="412"/>
      <c r="GY194" s="411"/>
      <c r="GZ194" s="408"/>
      <c r="HA194" s="408"/>
      <c r="HB194" s="408"/>
      <c r="HC194" s="408"/>
      <c r="HD194" s="408"/>
      <c r="HE194" s="408"/>
      <c r="HF194" s="408"/>
      <c r="HG194" s="408"/>
      <c r="HH194" s="408"/>
      <c r="HI194" s="408"/>
      <c r="HJ194" s="408"/>
      <c r="HK194" s="408"/>
      <c r="HL194" s="408"/>
      <c r="HM194" s="408"/>
      <c r="HN194" s="408"/>
      <c r="HO194" s="408"/>
      <c r="HP194" s="408"/>
      <c r="HQ194" s="408"/>
      <c r="HR194" s="408"/>
      <c r="HS194" s="408"/>
      <c r="HT194" s="408"/>
      <c r="HU194" s="408"/>
      <c r="HV194" s="408"/>
      <c r="HW194" s="412"/>
    </row>
    <row r="195" spans="107:231" ht="24" customHeight="1">
      <c r="DC195" s="411"/>
      <c r="DD195" s="408"/>
      <c r="DE195" s="408"/>
      <c r="DF195" s="408"/>
      <c r="DG195" s="408"/>
      <c r="DH195" s="408"/>
      <c r="DI195" s="408"/>
      <c r="DJ195" s="408"/>
      <c r="DK195" s="408"/>
      <c r="DL195" s="408"/>
      <c r="DM195" s="408"/>
      <c r="DN195" s="408"/>
      <c r="DO195" s="408"/>
      <c r="DP195" s="408"/>
      <c r="DQ195" s="408"/>
      <c r="DR195" s="408"/>
      <c r="DS195" s="408"/>
      <c r="DT195" s="408"/>
      <c r="DU195" s="408"/>
      <c r="DV195" s="408"/>
      <c r="DW195" s="408"/>
      <c r="DX195" s="408"/>
      <c r="DY195" s="408"/>
      <c r="DZ195" s="408"/>
      <c r="EA195" s="412"/>
      <c r="EB195" s="411"/>
      <c r="EC195" s="408"/>
      <c r="ED195" s="408"/>
      <c r="EE195" s="408"/>
      <c r="EF195" s="408"/>
      <c r="EG195" s="408"/>
      <c r="EH195" s="408"/>
      <c r="EI195" s="408"/>
      <c r="EJ195" s="408"/>
      <c r="EK195" s="408"/>
      <c r="EL195" s="408"/>
      <c r="EM195" s="408"/>
      <c r="EN195" s="408"/>
      <c r="EO195" s="408"/>
      <c r="EP195" s="408"/>
      <c r="EQ195" s="408"/>
      <c r="ER195" s="408"/>
      <c r="ES195" s="408"/>
      <c r="ET195" s="408"/>
      <c r="EU195" s="408"/>
      <c r="EV195" s="408"/>
      <c r="EW195" s="408"/>
      <c r="EX195" s="408"/>
      <c r="EY195" s="408"/>
      <c r="EZ195" s="412"/>
      <c r="FZ195" s="411"/>
      <c r="GA195" s="408"/>
      <c r="GB195" s="408"/>
      <c r="GC195" s="408"/>
      <c r="GD195" s="408"/>
      <c r="GE195" s="408"/>
      <c r="GF195" s="408"/>
      <c r="GG195" s="408"/>
      <c r="GH195" s="408"/>
      <c r="GI195" s="408"/>
      <c r="GJ195" s="408"/>
      <c r="GK195" s="408"/>
      <c r="GL195" s="408"/>
      <c r="GM195" s="408"/>
      <c r="GN195" s="408"/>
      <c r="GO195" s="408"/>
      <c r="GP195" s="408"/>
      <c r="GQ195" s="408"/>
      <c r="GR195" s="408"/>
      <c r="GS195" s="408"/>
      <c r="GT195" s="408"/>
      <c r="GU195" s="408"/>
      <c r="GV195" s="408"/>
      <c r="GW195" s="408"/>
      <c r="GX195" s="412"/>
      <c r="GY195" s="411"/>
      <c r="GZ195" s="408"/>
      <c r="HA195" s="408"/>
      <c r="HB195" s="408"/>
      <c r="HC195" s="408"/>
      <c r="HD195" s="408"/>
      <c r="HE195" s="408"/>
      <c r="HF195" s="408"/>
      <c r="HG195" s="408"/>
      <c r="HH195" s="408"/>
      <c r="HI195" s="408"/>
      <c r="HJ195" s="408"/>
      <c r="HK195" s="408"/>
      <c r="HL195" s="408"/>
      <c r="HM195" s="408"/>
      <c r="HN195" s="408"/>
      <c r="HO195" s="408"/>
      <c r="HP195" s="408"/>
      <c r="HQ195" s="408"/>
      <c r="HR195" s="408"/>
      <c r="HS195" s="408"/>
      <c r="HT195" s="408"/>
      <c r="HU195" s="408"/>
      <c r="HV195" s="408"/>
      <c r="HW195" s="412"/>
    </row>
    <row r="196" spans="107:231" ht="24" customHeight="1">
      <c r="DC196" s="411"/>
      <c r="DD196" s="408"/>
      <c r="DE196" s="408"/>
      <c r="DF196" s="408"/>
      <c r="DG196" s="408"/>
      <c r="DH196" s="408"/>
      <c r="DI196" s="408"/>
      <c r="DJ196" s="408"/>
      <c r="DK196" s="408"/>
      <c r="DL196" s="408"/>
      <c r="DM196" s="408"/>
      <c r="DN196" s="408"/>
      <c r="DO196" s="408"/>
      <c r="DP196" s="408"/>
      <c r="DQ196" s="408"/>
      <c r="DR196" s="408"/>
      <c r="DS196" s="408"/>
      <c r="DT196" s="408"/>
      <c r="DU196" s="408"/>
      <c r="DV196" s="408"/>
      <c r="DW196" s="408"/>
      <c r="DX196" s="408"/>
      <c r="DY196" s="408"/>
      <c r="DZ196" s="408"/>
      <c r="EA196" s="412"/>
      <c r="EB196" s="411"/>
      <c r="EC196" s="408"/>
      <c r="ED196" s="408"/>
      <c r="EE196" s="408"/>
      <c r="EF196" s="408"/>
      <c r="EG196" s="408"/>
      <c r="EH196" s="408"/>
      <c r="EI196" s="408"/>
      <c r="EJ196" s="408"/>
      <c r="EK196" s="408"/>
      <c r="EL196" s="408"/>
      <c r="EM196" s="408"/>
      <c r="EN196" s="408"/>
      <c r="EO196" s="408"/>
      <c r="EP196" s="408"/>
      <c r="EQ196" s="408"/>
      <c r="ER196" s="408"/>
      <c r="ES196" s="408"/>
      <c r="ET196" s="408"/>
      <c r="EU196" s="408"/>
      <c r="EV196" s="408"/>
      <c r="EW196" s="408"/>
      <c r="EX196" s="408"/>
      <c r="EY196" s="408"/>
      <c r="EZ196" s="412"/>
      <c r="FZ196" s="411"/>
      <c r="GA196" s="408"/>
      <c r="GB196" s="408"/>
      <c r="GC196" s="408"/>
      <c r="GD196" s="408"/>
      <c r="GE196" s="408"/>
      <c r="GF196" s="408"/>
      <c r="GG196" s="408"/>
      <c r="GH196" s="408"/>
      <c r="GI196" s="408"/>
      <c r="GJ196" s="408"/>
      <c r="GK196" s="408"/>
      <c r="GL196" s="408"/>
      <c r="GM196" s="408"/>
      <c r="GN196" s="408"/>
      <c r="GO196" s="408"/>
      <c r="GP196" s="408"/>
      <c r="GQ196" s="408"/>
      <c r="GR196" s="408"/>
      <c r="GS196" s="408"/>
      <c r="GT196" s="408"/>
      <c r="GU196" s="408"/>
      <c r="GV196" s="408"/>
      <c r="GW196" s="408"/>
      <c r="GX196" s="412"/>
      <c r="GY196" s="411"/>
      <c r="GZ196" s="408"/>
      <c r="HA196" s="408"/>
      <c r="HB196" s="408"/>
      <c r="HC196" s="408"/>
      <c r="HD196" s="408"/>
      <c r="HE196" s="408"/>
      <c r="HF196" s="408"/>
      <c r="HG196" s="408"/>
      <c r="HH196" s="408"/>
      <c r="HI196" s="408"/>
      <c r="HJ196" s="408"/>
      <c r="HK196" s="408"/>
      <c r="HL196" s="408"/>
      <c r="HM196" s="408"/>
      <c r="HN196" s="408"/>
      <c r="HO196" s="408"/>
      <c r="HP196" s="408"/>
      <c r="HQ196" s="408"/>
      <c r="HR196" s="408"/>
      <c r="HS196" s="408"/>
      <c r="HT196" s="408"/>
      <c r="HU196" s="408"/>
      <c r="HV196" s="408"/>
      <c r="HW196" s="412"/>
    </row>
    <row r="197" spans="107:231" ht="24" customHeight="1">
      <c r="DC197" s="411"/>
      <c r="DD197" s="408"/>
      <c r="DE197" s="408"/>
      <c r="DF197" s="408"/>
      <c r="DG197" s="408"/>
      <c r="DH197" s="408"/>
      <c r="DI197" s="408"/>
      <c r="DJ197" s="408"/>
      <c r="DK197" s="408"/>
      <c r="DL197" s="408"/>
      <c r="DM197" s="408"/>
      <c r="DN197" s="408"/>
      <c r="DO197" s="408"/>
      <c r="DP197" s="408"/>
      <c r="DQ197" s="408"/>
      <c r="DR197" s="408"/>
      <c r="DS197" s="408"/>
      <c r="DT197" s="408"/>
      <c r="DU197" s="408"/>
      <c r="DV197" s="408"/>
      <c r="DW197" s="408"/>
      <c r="DX197" s="408"/>
      <c r="DY197" s="408"/>
      <c r="DZ197" s="408"/>
      <c r="EA197" s="412"/>
      <c r="EB197" s="411"/>
      <c r="EC197" s="408"/>
      <c r="ED197" s="408"/>
      <c r="EE197" s="408"/>
      <c r="EF197" s="408"/>
      <c r="EG197" s="408"/>
      <c r="EH197" s="408"/>
      <c r="EI197" s="408"/>
      <c r="EJ197" s="408"/>
      <c r="EK197" s="408"/>
      <c r="EL197" s="408"/>
      <c r="EM197" s="408"/>
      <c r="EN197" s="408"/>
      <c r="EO197" s="408"/>
      <c r="EP197" s="408"/>
      <c r="EQ197" s="408"/>
      <c r="ER197" s="408"/>
      <c r="ES197" s="408"/>
      <c r="ET197" s="408"/>
      <c r="EU197" s="408"/>
      <c r="EV197" s="408"/>
      <c r="EW197" s="408"/>
      <c r="EX197" s="408"/>
      <c r="EY197" s="408"/>
      <c r="EZ197" s="412"/>
      <c r="FZ197" s="411"/>
      <c r="GA197" s="408"/>
      <c r="GB197" s="408"/>
      <c r="GC197" s="408"/>
      <c r="GD197" s="408"/>
      <c r="GE197" s="408"/>
      <c r="GF197" s="408"/>
      <c r="GG197" s="408"/>
      <c r="GH197" s="408"/>
      <c r="GI197" s="408"/>
      <c r="GJ197" s="408"/>
      <c r="GK197" s="408"/>
      <c r="GL197" s="408"/>
      <c r="GM197" s="408"/>
      <c r="GN197" s="408"/>
      <c r="GO197" s="408"/>
      <c r="GP197" s="408"/>
      <c r="GQ197" s="408"/>
      <c r="GR197" s="408"/>
      <c r="GS197" s="408"/>
      <c r="GT197" s="408"/>
      <c r="GU197" s="408"/>
      <c r="GV197" s="408"/>
      <c r="GW197" s="408"/>
      <c r="GX197" s="412"/>
      <c r="GY197" s="411"/>
      <c r="GZ197" s="408"/>
      <c r="HA197" s="408"/>
      <c r="HB197" s="408"/>
      <c r="HC197" s="408"/>
      <c r="HD197" s="408"/>
      <c r="HE197" s="408"/>
      <c r="HF197" s="408"/>
      <c r="HG197" s="408"/>
      <c r="HH197" s="408"/>
      <c r="HI197" s="408"/>
      <c r="HJ197" s="408"/>
      <c r="HK197" s="408"/>
      <c r="HL197" s="408"/>
      <c r="HM197" s="408"/>
      <c r="HN197" s="408"/>
      <c r="HO197" s="408"/>
      <c r="HP197" s="408"/>
      <c r="HQ197" s="408"/>
      <c r="HR197" s="408"/>
      <c r="HS197" s="408"/>
      <c r="HT197" s="408"/>
      <c r="HU197" s="408"/>
      <c r="HV197" s="408"/>
      <c r="HW197" s="412"/>
    </row>
    <row r="198" spans="107:231" ht="24" customHeight="1">
      <c r="DC198" s="411"/>
      <c r="DD198" s="408"/>
      <c r="DE198" s="408"/>
      <c r="DF198" s="408"/>
      <c r="DG198" s="408"/>
      <c r="DH198" s="408"/>
      <c r="DI198" s="408"/>
      <c r="DJ198" s="408"/>
      <c r="DK198" s="408"/>
      <c r="DL198" s="408"/>
      <c r="DM198" s="408"/>
      <c r="DN198" s="408"/>
      <c r="DO198" s="408"/>
      <c r="DP198" s="408"/>
      <c r="DQ198" s="408"/>
      <c r="DR198" s="408"/>
      <c r="DS198" s="408"/>
      <c r="DT198" s="408"/>
      <c r="DU198" s="408"/>
      <c r="DV198" s="408"/>
      <c r="DW198" s="408"/>
      <c r="DX198" s="408"/>
      <c r="DY198" s="408"/>
      <c r="DZ198" s="408"/>
      <c r="EA198" s="412"/>
      <c r="EB198" s="411"/>
      <c r="EC198" s="408"/>
      <c r="ED198" s="408"/>
      <c r="EE198" s="408"/>
      <c r="EF198" s="408"/>
      <c r="EG198" s="408"/>
      <c r="EH198" s="408"/>
      <c r="EI198" s="408"/>
      <c r="EJ198" s="408"/>
      <c r="EK198" s="408"/>
      <c r="EL198" s="408"/>
      <c r="EM198" s="408"/>
      <c r="EN198" s="408"/>
      <c r="EO198" s="408"/>
      <c r="EP198" s="408"/>
      <c r="EQ198" s="408"/>
      <c r="ER198" s="408"/>
      <c r="ES198" s="408"/>
      <c r="ET198" s="408"/>
      <c r="EU198" s="408"/>
      <c r="EV198" s="408"/>
      <c r="EW198" s="408"/>
      <c r="EX198" s="408"/>
      <c r="EY198" s="408"/>
      <c r="EZ198" s="412"/>
      <c r="FZ198" s="411"/>
      <c r="GA198" s="408"/>
      <c r="GB198" s="408"/>
      <c r="GC198" s="408"/>
      <c r="GD198" s="408"/>
      <c r="GE198" s="408"/>
      <c r="GF198" s="408"/>
      <c r="GG198" s="408"/>
      <c r="GH198" s="408"/>
      <c r="GI198" s="408"/>
      <c r="GJ198" s="408"/>
      <c r="GK198" s="408"/>
      <c r="GL198" s="408"/>
      <c r="GM198" s="408"/>
      <c r="GN198" s="408"/>
      <c r="GO198" s="408"/>
      <c r="GP198" s="408"/>
      <c r="GQ198" s="408"/>
      <c r="GR198" s="408"/>
      <c r="GS198" s="408"/>
      <c r="GT198" s="408"/>
      <c r="GU198" s="408"/>
      <c r="GV198" s="408"/>
      <c r="GW198" s="408"/>
      <c r="GX198" s="412"/>
      <c r="GY198" s="411"/>
      <c r="GZ198" s="408"/>
      <c r="HA198" s="408"/>
      <c r="HB198" s="408"/>
      <c r="HC198" s="408"/>
      <c r="HD198" s="408"/>
      <c r="HE198" s="408"/>
      <c r="HF198" s="408"/>
      <c r="HG198" s="408"/>
      <c r="HH198" s="408"/>
      <c r="HI198" s="408"/>
      <c r="HJ198" s="408"/>
      <c r="HK198" s="408"/>
      <c r="HL198" s="408"/>
      <c r="HM198" s="408"/>
      <c r="HN198" s="408"/>
      <c r="HO198" s="408"/>
      <c r="HP198" s="408"/>
      <c r="HQ198" s="408"/>
      <c r="HR198" s="408"/>
      <c r="HS198" s="408"/>
      <c r="HT198" s="408"/>
      <c r="HU198" s="408"/>
      <c r="HV198" s="408"/>
      <c r="HW198" s="412"/>
    </row>
    <row r="199" spans="107:231" ht="24" customHeight="1">
      <c r="DC199" s="411"/>
      <c r="DD199" s="408"/>
      <c r="DE199" s="408"/>
      <c r="DF199" s="408"/>
      <c r="DG199" s="408"/>
      <c r="DH199" s="408"/>
      <c r="DI199" s="408"/>
      <c r="DJ199" s="408"/>
      <c r="DK199" s="408"/>
      <c r="DL199" s="408"/>
      <c r="DM199" s="408"/>
      <c r="DN199" s="408"/>
      <c r="DO199" s="408"/>
      <c r="DP199" s="408"/>
      <c r="DQ199" s="408"/>
      <c r="DR199" s="408"/>
      <c r="DS199" s="408"/>
      <c r="DT199" s="408"/>
      <c r="DU199" s="408"/>
      <c r="DV199" s="408"/>
      <c r="DW199" s="408"/>
      <c r="DX199" s="408"/>
      <c r="DY199" s="408"/>
      <c r="DZ199" s="408"/>
      <c r="EA199" s="412"/>
      <c r="EB199" s="411"/>
      <c r="EC199" s="408"/>
      <c r="ED199" s="408"/>
      <c r="EE199" s="408"/>
      <c r="EF199" s="408"/>
      <c r="EG199" s="408"/>
      <c r="EH199" s="408"/>
      <c r="EI199" s="408"/>
      <c r="EJ199" s="408"/>
      <c r="EK199" s="408"/>
      <c r="EL199" s="408"/>
      <c r="EM199" s="408"/>
      <c r="EN199" s="408"/>
      <c r="EO199" s="408"/>
      <c r="EP199" s="408"/>
      <c r="EQ199" s="408"/>
      <c r="ER199" s="408"/>
      <c r="ES199" s="408"/>
      <c r="ET199" s="408"/>
      <c r="EU199" s="408"/>
      <c r="EV199" s="408"/>
      <c r="EW199" s="408"/>
      <c r="EX199" s="408"/>
      <c r="EY199" s="408"/>
      <c r="EZ199" s="412"/>
      <c r="FZ199" s="411"/>
      <c r="GA199" s="408"/>
      <c r="GB199" s="408"/>
      <c r="GC199" s="408"/>
      <c r="GD199" s="408"/>
      <c r="GE199" s="408"/>
      <c r="GF199" s="408"/>
      <c r="GG199" s="408"/>
      <c r="GH199" s="408"/>
      <c r="GI199" s="408"/>
      <c r="GJ199" s="408"/>
      <c r="GK199" s="408"/>
      <c r="GL199" s="408"/>
      <c r="GM199" s="408"/>
      <c r="GN199" s="408"/>
      <c r="GO199" s="408"/>
      <c r="GP199" s="408"/>
      <c r="GQ199" s="408"/>
      <c r="GR199" s="408"/>
      <c r="GS199" s="408"/>
      <c r="GT199" s="408"/>
      <c r="GU199" s="408"/>
      <c r="GV199" s="408"/>
      <c r="GW199" s="408"/>
      <c r="GX199" s="412"/>
      <c r="GY199" s="411"/>
      <c r="GZ199" s="408"/>
      <c r="HA199" s="408"/>
      <c r="HB199" s="408"/>
      <c r="HC199" s="408"/>
      <c r="HD199" s="408"/>
      <c r="HE199" s="408"/>
      <c r="HF199" s="408"/>
      <c r="HG199" s="408"/>
      <c r="HH199" s="408"/>
      <c r="HI199" s="408"/>
      <c r="HJ199" s="408"/>
      <c r="HK199" s="408"/>
      <c r="HL199" s="408"/>
      <c r="HM199" s="408"/>
      <c r="HN199" s="408"/>
      <c r="HO199" s="408"/>
      <c r="HP199" s="408"/>
      <c r="HQ199" s="408"/>
      <c r="HR199" s="408"/>
      <c r="HS199" s="408"/>
      <c r="HT199" s="408"/>
      <c r="HU199" s="408"/>
      <c r="HV199" s="408"/>
      <c r="HW199" s="412"/>
    </row>
    <row r="200" spans="107:231" ht="24" customHeight="1">
      <c r="DC200" s="411"/>
      <c r="DD200" s="408"/>
      <c r="DE200" s="408"/>
      <c r="DF200" s="408"/>
      <c r="DG200" s="408"/>
      <c r="DH200" s="408"/>
      <c r="DI200" s="408"/>
      <c r="DJ200" s="408"/>
      <c r="DK200" s="408"/>
      <c r="DL200" s="408"/>
      <c r="DM200" s="408"/>
      <c r="DN200" s="408"/>
      <c r="DO200" s="408"/>
      <c r="DP200" s="408"/>
      <c r="DQ200" s="408"/>
      <c r="DR200" s="408"/>
      <c r="DS200" s="408"/>
      <c r="DT200" s="408"/>
      <c r="DU200" s="408"/>
      <c r="DV200" s="408"/>
      <c r="DW200" s="408"/>
      <c r="DX200" s="408"/>
      <c r="DY200" s="408"/>
      <c r="DZ200" s="408"/>
      <c r="EA200" s="412"/>
      <c r="EB200" s="411"/>
      <c r="EC200" s="408"/>
      <c r="ED200" s="408"/>
      <c r="EE200" s="408"/>
      <c r="EF200" s="408"/>
      <c r="EG200" s="408"/>
      <c r="EH200" s="408"/>
      <c r="EI200" s="408"/>
      <c r="EJ200" s="408"/>
      <c r="EK200" s="408"/>
      <c r="EL200" s="408"/>
      <c r="EM200" s="408"/>
      <c r="EN200" s="408"/>
      <c r="EO200" s="408"/>
      <c r="EP200" s="408"/>
      <c r="EQ200" s="408"/>
      <c r="ER200" s="408"/>
      <c r="ES200" s="408"/>
      <c r="ET200" s="408"/>
      <c r="EU200" s="408"/>
      <c r="EV200" s="408"/>
      <c r="EW200" s="408"/>
      <c r="EX200" s="408"/>
      <c r="EY200" s="408"/>
      <c r="EZ200" s="412"/>
      <c r="FZ200" s="411"/>
      <c r="GA200" s="408"/>
      <c r="GB200" s="408"/>
      <c r="GC200" s="408"/>
      <c r="GD200" s="408"/>
      <c r="GE200" s="408"/>
      <c r="GF200" s="408"/>
      <c r="GG200" s="408"/>
      <c r="GH200" s="408"/>
      <c r="GI200" s="408"/>
      <c r="GJ200" s="408"/>
      <c r="GK200" s="408"/>
      <c r="GL200" s="408"/>
      <c r="GM200" s="408"/>
      <c r="GN200" s="408"/>
      <c r="GO200" s="408"/>
      <c r="GP200" s="408"/>
      <c r="GQ200" s="408"/>
      <c r="GR200" s="408"/>
      <c r="GS200" s="408"/>
      <c r="GT200" s="408"/>
      <c r="GU200" s="408"/>
      <c r="GV200" s="408"/>
      <c r="GW200" s="408"/>
      <c r="GX200" s="412"/>
      <c r="GY200" s="411"/>
      <c r="GZ200" s="408"/>
      <c r="HA200" s="408"/>
      <c r="HB200" s="408"/>
      <c r="HC200" s="408"/>
      <c r="HD200" s="408"/>
      <c r="HE200" s="408"/>
      <c r="HF200" s="408"/>
      <c r="HG200" s="408"/>
      <c r="HH200" s="408"/>
      <c r="HI200" s="408"/>
      <c r="HJ200" s="408"/>
      <c r="HK200" s="408"/>
      <c r="HL200" s="408"/>
      <c r="HM200" s="408"/>
      <c r="HN200" s="408"/>
      <c r="HO200" s="408"/>
      <c r="HP200" s="408"/>
      <c r="HQ200" s="408"/>
      <c r="HR200" s="408"/>
      <c r="HS200" s="408"/>
      <c r="HT200" s="408"/>
      <c r="HU200" s="408"/>
      <c r="HV200" s="408"/>
      <c r="HW200" s="412"/>
    </row>
    <row r="201" spans="107:231" ht="24" customHeight="1">
      <c r="DC201" s="411"/>
      <c r="DD201" s="408"/>
      <c r="DE201" s="408"/>
      <c r="DF201" s="408"/>
      <c r="DG201" s="408"/>
      <c r="DH201" s="408"/>
      <c r="DI201" s="408"/>
      <c r="DJ201" s="408"/>
      <c r="DK201" s="408"/>
      <c r="DL201" s="408"/>
      <c r="DM201" s="408"/>
      <c r="DN201" s="408"/>
      <c r="DO201" s="408"/>
      <c r="DP201" s="408"/>
      <c r="DQ201" s="408"/>
      <c r="DR201" s="408"/>
      <c r="DS201" s="408"/>
      <c r="DT201" s="408"/>
      <c r="DU201" s="408"/>
      <c r="DV201" s="408"/>
      <c r="DW201" s="408"/>
      <c r="DX201" s="408"/>
      <c r="DY201" s="408"/>
      <c r="DZ201" s="408"/>
      <c r="EA201" s="412"/>
      <c r="EB201" s="411"/>
      <c r="EC201" s="408"/>
      <c r="ED201" s="408"/>
      <c r="EE201" s="408"/>
      <c r="EF201" s="408"/>
      <c r="EG201" s="408"/>
      <c r="EH201" s="408"/>
      <c r="EI201" s="408"/>
      <c r="EJ201" s="408"/>
      <c r="EK201" s="408"/>
      <c r="EL201" s="408"/>
      <c r="EM201" s="408"/>
      <c r="EN201" s="408"/>
      <c r="EO201" s="408"/>
      <c r="EP201" s="408"/>
      <c r="EQ201" s="408"/>
      <c r="ER201" s="408"/>
      <c r="ES201" s="408"/>
      <c r="ET201" s="408"/>
      <c r="EU201" s="408"/>
      <c r="EV201" s="408"/>
      <c r="EW201" s="408"/>
      <c r="EX201" s="408"/>
      <c r="EY201" s="408"/>
      <c r="EZ201" s="412"/>
      <c r="FZ201" s="411"/>
      <c r="GA201" s="408"/>
      <c r="GB201" s="408"/>
      <c r="GC201" s="408"/>
      <c r="GD201" s="408"/>
      <c r="GE201" s="408"/>
      <c r="GF201" s="408"/>
      <c r="GG201" s="408"/>
      <c r="GH201" s="408"/>
      <c r="GI201" s="408"/>
      <c r="GJ201" s="408"/>
      <c r="GK201" s="408"/>
      <c r="GL201" s="408"/>
      <c r="GM201" s="408"/>
      <c r="GN201" s="408"/>
      <c r="GO201" s="408"/>
      <c r="GP201" s="408"/>
      <c r="GQ201" s="408"/>
      <c r="GR201" s="408"/>
      <c r="GS201" s="408"/>
      <c r="GT201" s="408"/>
      <c r="GU201" s="408"/>
      <c r="GV201" s="408"/>
      <c r="GW201" s="408"/>
      <c r="GX201" s="412"/>
      <c r="GY201" s="411"/>
      <c r="GZ201" s="408"/>
      <c r="HA201" s="408"/>
      <c r="HB201" s="408"/>
      <c r="HC201" s="408"/>
      <c r="HD201" s="408"/>
      <c r="HE201" s="408"/>
      <c r="HF201" s="408"/>
      <c r="HG201" s="408"/>
      <c r="HH201" s="408"/>
      <c r="HI201" s="408"/>
      <c r="HJ201" s="408"/>
      <c r="HK201" s="408"/>
      <c r="HL201" s="408"/>
      <c r="HM201" s="408"/>
      <c r="HN201" s="408"/>
      <c r="HO201" s="408"/>
      <c r="HP201" s="408"/>
      <c r="HQ201" s="408"/>
      <c r="HR201" s="408"/>
      <c r="HS201" s="408"/>
      <c r="HT201" s="408"/>
      <c r="HU201" s="408"/>
      <c r="HV201" s="408"/>
      <c r="HW201" s="412"/>
    </row>
    <row r="202" spans="107:231" ht="24" customHeight="1">
      <c r="DC202" s="411"/>
      <c r="DD202" s="408"/>
      <c r="DE202" s="408"/>
      <c r="DF202" s="408"/>
      <c r="DG202" s="408"/>
      <c r="DH202" s="408"/>
      <c r="DI202" s="408"/>
      <c r="DJ202" s="408"/>
      <c r="DK202" s="408"/>
      <c r="DL202" s="408"/>
      <c r="DM202" s="408"/>
      <c r="DN202" s="408"/>
      <c r="DO202" s="408"/>
      <c r="DP202" s="408"/>
      <c r="DQ202" s="408"/>
      <c r="DR202" s="408"/>
      <c r="DS202" s="408"/>
      <c r="DT202" s="408"/>
      <c r="DU202" s="408"/>
      <c r="DV202" s="408"/>
      <c r="DW202" s="408"/>
      <c r="DX202" s="408"/>
      <c r="DY202" s="408"/>
      <c r="DZ202" s="408"/>
      <c r="EA202" s="412"/>
      <c r="EB202" s="411"/>
      <c r="EC202" s="408"/>
      <c r="ED202" s="408"/>
      <c r="EE202" s="408"/>
      <c r="EF202" s="408"/>
      <c r="EG202" s="408"/>
      <c r="EH202" s="408"/>
      <c r="EI202" s="408"/>
      <c r="EJ202" s="408"/>
      <c r="EK202" s="408"/>
      <c r="EL202" s="408"/>
      <c r="EM202" s="408"/>
      <c r="EN202" s="408"/>
      <c r="EO202" s="408"/>
      <c r="EP202" s="408"/>
      <c r="EQ202" s="408"/>
      <c r="ER202" s="408"/>
      <c r="ES202" s="408"/>
      <c r="ET202" s="408"/>
      <c r="EU202" s="408"/>
      <c r="EV202" s="408"/>
      <c r="EW202" s="408"/>
      <c r="EX202" s="408"/>
      <c r="EY202" s="408"/>
      <c r="EZ202" s="412"/>
      <c r="FZ202" s="411"/>
      <c r="GA202" s="408"/>
      <c r="GB202" s="408"/>
      <c r="GC202" s="408"/>
      <c r="GD202" s="408"/>
      <c r="GE202" s="408"/>
      <c r="GF202" s="408"/>
      <c r="GG202" s="408"/>
      <c r="GH202" s="408"/>
      <c r="GI202" s="408"/>
      <c r="GJ202" s="408"/>
      <c r="GK202" s="408"/>
      <c r="GL202" s="408"/>
      <c r="GM202" s="408"/>
      <c r="GN202" s="408"/>
      <c r="GO202" s="408"/>
      <c r="GP202" s="408"/>
      <c r="GQ202" s="408"/>
      <c r="GR202" s="408"/>
      <c r="GS202" s="408"/>
      <c r="GT202" s="408"/>
      <c r="GU202" s="408"/>
      <c r="GV202" s="408"/>
      <c r="GW202" s="408"/>
      <c r="GX202" s="412"/>
      <c r="GY202" s="411"/>
      <c r="GZ202" s="408"/>
      <c r="HA202" s="408"/>
      <c r="HB202" s="408"/>
      <c r="HC202" s="408"/>
      <c r="HD202" s="408"/>
      <c r="HE202" s="408"/>
      <c r="HF202" s="408"/>
      <c r="HG202" s="408"/>
      <c r="HH202" s="408"/>
      <c r="HI202" s="408"/>
      <c r="HJ202" s="408"/>
      <c r="HK202" s="408"/>
      <c r="HL202" s="408"/>
      <c r="HM202" s="408"/>
      <c r="HN202" s="408"/>
      <c r="HO202" s="408"/>
      <c r="HP202" s="408"/>
      <c r="HQ202" s="408"/>
      <c r="HR202" s="408"/>
      <c r="HS202" s="408"/>
      <c r="HT202" s="408"/>
      <c r="HU202" s="408"/>
      <c r="HV202" s="408"/>
      <c r="HW202" s="412"/>
    </row>
    <row r="203" spans="107:231" ht="24" customHeight="1">
      <c r="DC203" s="411"/>
      <c r="DD203" s="408"/>
      <c r="DE203" s="408"/>
      <c r="DF203" s="408"/>
      <c r="DG203" s="408"/>
      <c r="DH203" s="408"/>
      <c r="DI203" s="408"/>
      <c r="DJ203" s="408"/>
      <c r="DK203" s="408"/>
      <c r="DL203" s="408"/>
      <c r="DM203" s="408"/>
      <c r="DN203" s="408"/>
      <c r="DO203" s="408"/>
      <c r="DP203" s="408"/>
      <c r="DQ203" s="408"/>
      <c r="DR203" s="408"/>
      <c r="DS203" s="408"/>
      <c r="DT203" s="408"/>
      <c r="DU203" s="408"/>
      <c r="DV203" s="408"/>
      <c r="DW203" s="408"/>
      <c r="DX203" s="408"/>
      <c r="DY203" s="408"/>
      <c r="DZ203" s="408"/>
      <c r="EA203" s="412"/>
      <c r="EB203" s="411"/>
      <c r="EC203" s="408"/>
      <c r="ED203" s="408"/>
      <c r="EE203" s="408"/>
      <c r="EF203" s="408"/>
      <c r="EG203" s="408"/>
      <c r="EH203" s="408"/>
      <c r="EI203" s="408"/>
      <c r="EJ203" s="408"/>
      <c r="EK203" s="408"/>
      <c r="EL203" s="408"/>
      <c r="EM203" s="408"/>
      <c r="EN203" s="408"/>
      <c r="EO203" s="408"/>
      <c r="EP203" s="408"/>
      <c r="EQ203" s="408"/>
      <c r="ER203" s="408"/>
      <c r="ES203" s="408"/>
      <c r="ET203" s="408"/>
      <c r="EU203" s="408"/>
      <c r="EV203" s="408"/>
      <c r="EW203" s="408"/>
      <c r="EX203" s="408"/>
      <c r="EY203" s="408"/>
      <c r="EZ203" s="412"/>
      <c r="FZ203" s="411"/>
      <c r="GA203" s="408"/>
      <c r="GB203" s="408"/>
      <c r="GC203" s="408"/>
      <c r="GD203" s="408"/>
      <c r="GE203" s="408"/>
      <c r="GF203" s="408"/>
      <c r="GG203" s="408"/>
      <c r="GH203" s="408"/>
      <c r="GI203" s="408"/>
      <c r="GJ203" s="408"/>
      <c r="GK203" s="408"/>
      <c r="GL203" s="408"/>
      <c r="GM203" s="408"/>
      <c r="GN203" s="408"/>
      <c r="GO203" s="408"/>
      <c r="GP203" s="408"/>
      <c r="GQ203" s="408"/>
      <c r="GR203" s="408"/>
      <c r="GS203" s="408"/>
      <c r="GT203" s="408"/>
      <c r="GU203" s="408"/>
      <c r="GV203" s="408"/>
      <c r="GW203" s="408"/>
      <c r="GX203" s="412"/>
      <c r="GY203" s="411"/>
      <c r="GZ203" s="408"/>
      <c r="HA203" s="408"/>
      <c r="HB203" s="408"/>
      <c r="HC203" s="408"/>
      <c r="HD203" s="408"/>
      <c r="HE203" s="408"/>
      <c r="HF203" s="408"/>
      <c r="HG203" s="408"/>
      <c r="HH203" s="408"/>
      <c r="HI203" s="408"/>
      <c r="HJ203" s="408"/>
      <c r="HK203" s="408"/>
      <c r="HL203" s="408"/>
      <c r="HM203" s="408"/>
      <c r="HN203" s="408"/>
      <c r="HO203" s="408"/>
      <c r="HP203" s="408"/>
      <c r="HQ203" s="408"/>
      <c r="HR203" s="408"/>
      <c r="HS203" s="408"/>
      <c r="HT203" s="408"/>
      <c r="HU203" s="408"/>
      <c r="HV203" s="408"/>
      <c r="HW203" s="412"/>
    </row>
    <row r="204" spans="107:231" ht="24" customHeight="1">
      <c r="DC204" s="411"/>
      <c r="DD204" s="408"/>
      <c r="DE204" s="408"/>
      <c r="DF204" s="408"/>
      <c r="DG204" s="408"/>
      <c r="DH204" s="408"/>
      <c r="DI204" s="408"/>
      <c r="DJ204" s="408"/>
      <c r="DK204" s="408"/>
      <c r="DL204" s="408"/>
      <c r="DM204" s="408"/>
      <c r="DN204" s="408"/>
      <c r="DO204" s="408"/>
      <c r="DP204" s="408"/>
      <c r="DQ204" s="408"/>
      <c r="DR204" s="408"/>
      <c r="DS204" s="408"/>
      <c r="DT204" s="408"/>
      <c r="DU204" s="408"/>
      <c r="DV204" s="408"/>
      <c r="DW204" s="408"/>
      <c r="DX204" s="408"/>
      <c r="DY204" s="408"/>
      <c r="DZ204" s="408"/>
      <c r="EA204" s="412"/>
      <c r="EB204" s="411"/>
      <c r="EC204" s="408"/>
      <c r="ED204" s="408"/>
      <c r="EE204" s="408"/>
      <c r="EF204" s="408"/>
      <c r="EG204" s="408"/>
      <c r="EH204" s="408"/>
      <c r="EI204" s="408"/>
      <c r="EJ204" s="408"/>
      <c r="EK204" s="408"/>
      <c r="EL204" s="408"/>
      <c r="EM204" s="408"/>
      <c r="EN204" s="408"/>
      <c r="EO204" s="408"/>
      <c r="EP204" s="408"/>
      <c r="EQ204" s="408"/>
      <c r="ER204" s="408"/>
      <c r="ES204" s="408"/>
      <c r="ET204" s="408"/>
      <c r="EU204" s="408"/>
      <c r="EV204" s="408"/>
      <c r="EW204" s="408"/>
      <c r="EX204" s="408"/>
      <c r="EY204" s="408"/>
      <c r="EZ204" s="412"/>
      <c r="FZ204" s="411"/>
      <c r="GA204" s="408"/>
      <c r="GB204" s="408"/>
      <c r="GC204" s="408"/>
      <c r="GD204" s="408"/>
      <c r="GE204" s="408"/>
      <c r="GF204" s="408"/>
      <c r="GG204" s="408"/>
      <c r="GH204" s="408"/>
      <c r="GI204" s="408"/>
      <c r="GJ204" s="408"/>
      <c r="GK204" s="408"/>
      <c r="GL204" s="408"/>
      <c r="GM204" s="408"/>
      <c r="GN204" s="408"/>
      <c r="GO204" s="408"/>
      <c r="GP204" s="408"/>
      <c r="GQ204" s="408"/>
      <c r="GR204" s="408"/>
      <c r="GS204" s="408"/>
      <c r="GT204" s="408"/>
      <c r="GU204" s="408"/>
      <c r="GV204" s="408"/>
      <c r="GW204" s="408"/>
      <c r="GX204" s="412"/>
      <c r="GY204" s="411"/>
      <c r="GZ204" s="408"/>
      <c r="HA204" s="408"/>
      <c r="HB204" s="408"/>
      <c r="HC204" s="408"/>
      <c r="HD204" s="408"/>
      <c r="HE204" s="408"/>
      <c r="HF204" s="408"/>
      <c r="HG204" s="408"/>
      <c r="HH204" s="408"/>
      <c r="HI204" s="408"/>
      <c r="HJ204" s="408"/>
      <c r="HK204" s="408"/>
      <c r="HL204" s="408"/>
      <c r="HM204" s="408"/>
      <c r="HN204" s="408"/>
      <c r="HO204" s="408"/>
      <c r="HP204" s="408"/>
      <c r="HQ204" s="408"/>
      <c r="HR204" s="408"/>
      <c r="HS204" s="408"/>
      <c r="HT204" s="408"/>
      <c r="HU204" s="408"/>
      <c r="HV204" s="408"/>
      <c r="HW204" s="412"/>
    </row>
    <row r="205" spans="107:231" ht="24" customHeight="1">
      <c r="DC205" s="411"/>
      <c r="DD205" s="408"/>
      <c r="DE205" s="408"/>
      <c r="DF205" s="408"/>
      <c r="DG205" s="408"/>
      <c r="DH205" s="408"/>
      <c r="DI205" s="408"/>
      <c r="DJ205" s="408"/>
      <c r="DK205" s="408"/>
      <c r="DL205" s="408"/>
      <c r="DM205" s="408"/>
      <c r="DN205" s="408"/>
      <c r="DO205" s="408"/>
      <c r="DP205" s="408"/>
      <c r="DQ205" s="408"/>
      <c r="DR205" s="408"/>
      <c r="DS205" s="408"/>
      <c r="DT205" s="408"/>
      <c r="DU205" s="408"/>
      <c r="DV205" s="408"/>
      <c r="DW205" s="408"/>
      <c r="DX205" s="408"/>
      <c r="DY205" s="408"/>
      <c r="DZ205" s="408"/>
      <c r="EA205" s="412"/>
      <c r="EB205" s="411"/>
      <c r="EC205" s="408"/>
      <c r="ED205" s="408"/>
      <c r="EE205" s="408"/>
      <c r="EF205" s="408"/>
      <c r="EG205" s="408"/>
      <c r="EH205" s="408"/>
      <c r="EI205" s="408"/>
      <c r="EJ205" s="408"/>
      <c r="EK205" s="408"/>
      <c r="EL205" s="408"/>
      <c r="EM205" s="408"/>
      <c r="EN205" s="408"/>
      <c r="EO205" s="408"/>
      <c r="EP205" s="408"/>
      <c r="EQ205" s="408"/>
      <c r="ER205" s="408"/>
      <c r="ES205" s="408"/>
      <c r="ET205" s="408"/>
      <c r="EU205" s="408"/>
      <c r="EV205" s="408"/>
      <c r="EW205" s="408"/>
      <c r="EX205" s="408"/>
      <c r="EY205" s="408"/>
      <c r="EZ205" s="412"/>
      <c r="FZ205" s="411"/>
      <c r="GA205" s="408"/>
      <c r="GB205" s="408"/>
      <c r="GC205" s="408"/>
      <c r="GD205" s="408"/>
      <c r="GE205" s="408"/>
      <c r="GF205" s="408"/>
      <c r="GG205" s="408"/>
      <c r="GH205" s="408"/>
      <c r="GI205" s="408"/>
      <c r="GJ205" s="408"/>
      <c r="GK205" s="408"/>
      <c r="GL205" s="408"/>
      <c r="GM205" s="408"/>
      <c r="GN205" s="408"/>
      <c r="GO205" s="408"/>
      <c r="GP205" s="408"/>
      <c r="GQ205" s="408"/>
      <c r="GR205" s="408"/>
      <c r="GS205" s="408"/>
      <c r="GT205" s="408"/>
      <c r="GU205" s="408"/>
      <c r="GV205" s="408"/>
      <c r="GW205" s="408"/>
      <c r="GX205" s="412"/>
      <c r="GY205" s="411"/>
      <c r="GZ205" s="408"/>
      <c r="HA205" s="408"/>
      <c r="HB205" s="408"/>
      <c r="HC205" s="408"/>
      <c r="HD205" s="408"/>
      <c r="HE205" s="408"/>
      <c r="HF205" s="408"/>
      <c r="HG205" s="408"/>
      <c r="HH205" s="408"/>
      <c r="HI205" s="408"/>
      <c r="HJ205" s="408"/>
      <c r="HK205" s="408"/>
      <c r="HL205" s="408"/>
      <c r="HM205" s="408"/>
      <c r="HN205" s="408"/>
      <c r="HO205" s="408"/>
      <c r="HP205" s="408"/>
      <c r="HQ205" s="408"/>
      <c r="HR205" s="408"/>
      <c r="HS205" s="408"/>
      <c r="HT205" s="408"/>
      <c r="HU205" s="408"/>
      <c r="HV205" s="408"/>
      <c r="HW205" s="412"/>
    </row>
    <row r="206" spans="107:231" ht="24" customHeight="1">
      <c r="DC206" s="411"/>
      <c r="DD206" s="408"/>
      <c r="DE206" s="408"/>
      <c r="DF206" s="408"/>
      <c r="DG206" s="408"/>
      <c r="DH206" s="408"/>
      <c r="DI206" s="408"/>
      <c r="DJ206" s="408"/>
      <c r="DK206" s="408"/>
      <c r="DL206" s="408"/>
      <c r="DM206" s="408"/>
      <c r="DN206" s="408"/>
      <c r="DO206" s="408"/>
      <c r="DP206" s="408"/>
      <c r="DQ206" s="408"/>
      <c r="DR206" s="408"/>
      <c r="DS206" s="408"/>
      <c r="DT206" s="408"/>
      <c r="DU206" s="408"/>
      <c r="DV206" s="408"/>
      <c r="DW206" s="408"/>
      <c r="DX206" s="408"/>
      <c r="DY206" s="408"/>
      <c r="DZ206" s="408"/>
      <c r="EA206" s="412"/>
      <c r="EB206" s="411"/>
      <c r="EC206" s="408"/>
      <c r="ED206" s="408"/>
      <c r="EE206" s="408"/>
      <c r="EF206" s="408"/>
      <c r="EG206" s="408"/>
      <c r="EH206" s="408"/>
      <c r="EI206" s="408"/>
      <c r="EJ206" s="408"/>
      <c r="EK206" s="408"/>
      <c r="EL206" s="408"/>
      <c r="EM206" s="408"/>
      <c r="EN206" s="408"/>
      <c r="EO206" s="408"/>
      <c r="EP206" s="408"/>
      <c r="EQ206" s="408"/>
      <c r="ER206" s="408"/>
      <c r="ES206" s="408"/>
      <c r="ET206" s="408"/>
      <c r="EU206" s="408"/>
      <c r="EV206" s="408"/>
      <c r="EW206" s="408"/>
      <c r="EX206" s="408"/>
      <c r="EY206" s="408"/>
      <c r="EZ206" s="412"/>
      <c r="FZ206" s="411"/>
      <c r="GA206" s="408"/>
      <c r="GB206" s="408"/>
      <c r="GC206" s="408"/>
      <c r="GD206" s="408"/>
      <c r="GE206" s="408"/>
      <c r="GF206" s="408"/>
      <c r="GG206" s="408"/>
      <c r="GH206" s="408"/>
      <c r="GI206" s="408"/>
      <c r="GJ206" s="408"/>
      <c r="GK206" s="408"/>
      <c r="GL206" s="408"/>
      <c r="GM206" s="408"/>
      <c r="GN206" s="408"/>
      <c r="GO206" s="408"/>
      <c r="GP206" s="408"/>
      <c r="GQ206" s="408"/>
      <c r="GR206" s="408"/>
      <c r="GS206" s="408"/>
      <c r="GT206" s="408"/>
      <c r="GU206" s="408"/>
      <c r="GV206" s="408"/>
      <c r="GW206" s="408"/>
      <c r="GX206" s="412"/>
      <c r="GY206" s="411"/>
      <c r="GZ206" s="408"/>
      <c r="HA206" s="408"/>
      <c r="HB206" s="408"/>
      <c r="HC206" s="408"/>
      <c r="HD206" s="408"/>
      <c r="HE206" s="408"/>
      <c r="HF206" s="408"/>
      <c r="HG206" s="408"/>
      <c r="HH206" s="408"/>
      <c r="HI206" s="408"/>
      <c r="HJ206" s="408"/>
      <c r="HK206" s="408"/>
      <c r="HL206" s="408"/>
      <c r="HM206" s="408"/>
      <c r="HN206" s="408"/>
      <c r="HO206" s="408"/>
      <c r="HP206" s="408"/>
      <c r="HQ206" s="408"/>
      <c r="HR206" s="408"/>
      <c r="HS206" s="408"/>
      <c r="HT206" s="408"/>
      <c r="HU206" s="408"/>
      <c r="HV206" s="408"/>
      <c r="HW206" s="412"/>
    </row>
    <row r="207" spans="107:231" ht="24" customHeight="1">
      <c r="DC207" s="411"/>
      <c r="DD207" s="408"/>
      <c r="DE207" s="408"/>
      <c r="DF207" s="408"/>
      <c r="DG207" s="408"/>
      <c r="DH207" s="408"/>
      <c r="DI207" s="408"/>
      <c r="DJ207" s="408"/>
      <c r="DK207" s="408"/>
      <c r="DL207" s="408"/>
      <c r="DM207" s="408"/>
      <c r="DN207" s="408"/>
      <c r="DO207" s="408"/>
      <c r="DP207" s="408"/>
      <c r="DQ207" s="408"/>
      <c r="DR207" s="408"/>
      <c r="DS207" s="408"/>
      <c r="DT207" s="408"/>
      <c r="DU207" s="408"/>
      <c r="DV207" s="408"/>
      <c r="DW207" s="408"/>
      <c r="DX207" s="408"/>
      <c r="DY207" s="408"/>
      <c r="DZ207" s="408"/>
      <c r="EA207" s="412"/>
      <c r="EB207" s="411"/>
      <c r="EC207" s="408"/>
      <c r="ED207" s="408"/>
      <c r="EE207" s="408"/>
      <c r="EF207" s="408"/>
      <c r="EG207" s="408"/>
      <c r="EH207" s="408"/>
      <c r="EI207" s="408"/>
      <c r="EJ207" s="408"/>
      <c r="EK207" s="408"/>
      <c r="EL207" s="408"/>
      <c r="EM207" s="408"/>
      <c r="EN207" s="408"/>
      <c r="EO207" s="408"/>
      <c r="EP207" s="408"/>
      <c r="EQ207" s="408"/>
      <c r="ER207" s="408"/>
      <c r="ES207" s="408"/>
      <c r="ET207" s="408"/>
      <c r="EU207" s="408"/>
      <c r="EV207" s="408"/>
      <c r="EW207" s="408"/>
      <c r="EX207" s="408"/>
      <c r="EY207" s="408"/>
      <c r="EZ207" s="412"/>
      <c r="FZ207" s="411"/>
      <c r="GA207" s="408"/>
      <c r="GB207" s="408"/>
      <c r="GC207" s="408"/>
      <c r="GD207" s="408"/>
      <c r="GE207" s="408"/>
      <c r="GF207" s="408"/>
      <c r="GG207" s="408"/>
      <c r="GH207" s="408"/>
      <c r="GI207" s="408"/>
      <c r="GJ207" s="408"/>
      <c r="GK207" s="408"/>
      <c r="GL207" s="408"/>
      <c r="GM207" s="408"/>
      <c r="GN207" s="408"/>
      <c r="GO207" s="408"/>
      <c r="GP207" s="408"/>
      <c r="GQ207" s="408"/>
      <c r="GR207" s="408"/>
      <c r="GS207" s="408"/>
      <c r="GT207" s="408"/>
      <c r="GU207" s="408"/>
      <c r="GV207" s="408"/>
      <c r="GW207" s="408"/>
      <c r="GX207" s="412"/>
      <c r="GY207" s="411"/>
      <c r="GZ207" s="408"/>
      <c r="HA207" s="408"/>
      <c r="HB207" s="408"/>
      <c r="HC207" s="408"/>
      <c r="HD207" s="408"/>
      <c r="HE207" s="408"/>
      <c r="HF207" s="408"/>
      <c r="HG207" s="408"/>
      <c r="HH207" s="408"/>
      <c r="HI207" s="408"/>
      <c r="HJ207" s="408"/>
      <c r="HK207" s="408"/>
      <c r="HL207" s="408"/>
      <c r="HM207" s="408"/>
      <c r="HN207" s="408"/>
      <c r="HO207" s="408"/>
      <c r="HP207" s="408"/>
      <c r="HQ207" s="408"/>
      <c r="HR207" s="408"/>
      <c r="HS207" s="408"/>
      <c r="HT207" s="408"/>
      <c r="HU207" s="408"/>
      <c r="HV207" s="408"/>
      <c r="HW207" s="412"/>
    </row>
    <row r="208" spans="107:231" ht="24" customHeight="1" thickBot="1">
      <c r="DC208" s="411"/>
      <c r="DD208" s="413"/>
      <c r="DE208" s="413"/>
      <c r="DF208" s="413"/>
      <c r="DG208" s="408"/>
      <c r="DH208" s="408"/>
      <c r="DI208" s="408"/>
      <c r="DJ208" s="408"/>
      <c r="DK208" s="408"/>
      <c r="DL208" s="408"/>
      <c r="DM208" s="408"/>
      <c r="DN208" s="408"/>
      <c r="DO208" s="408"/>
      <c r="DP208" s="408"/>
      <c r="DQ208" s="408"/>
      <c r="DR208" s="408"/>
      <c r="DS208" s="408"/>
      <c r="DT208" s="408"/>
      <c r="DU208" s="408"/>
      <c r="DV208" s="408"/>
      <c r="DW208" s="408"/>
      <c r="DX208" s="408"/>
      <c r="DY208" s="408"/>
      <c r="DZ208" s="408"/>
      <c r="EA208" s="412"/>
      <c r="EB208" s="411"/>
      <c r="EC208" s="413"/>
      <c r="ED208" s="413"/>
      <c r="EE208" s="413"/>
      <c r="EF208" s="408"/>
      <c r="EG208" s="408"/>
      <c r="EH208" s="408"/>
      <c r="EI208" s="408"/>
      <c r="EJ208" s="408"/>
      <c r="EK208" s="408"/>
      <c r="EL208" s="408"/>
      <c r="EM208" s="408"/>
      <c r="EN208" s="408"/>
      <c r="EO208" s="408"/>
      <c r="EP208" s="408"/>
      <c r="EQ208" s="408"/>
      <c r="ER208" s="408"/>
      <c r="ES208" s="408"/>
      <c r="ET208" s="408"/>
      <c r="EU208" s="408"/>
      <c r="EV208" s="408"/>
      <c r="EW208" s="408"/>
      <c r="EX208" s="408"/>
      <c r="EY208" s="408"/>
      <c r="EZ208" s="412"/>
      <c r="FZ208" s="411"/>
      <c r="GA208" s="413"/>
      <c r="GB208" s="413"/>
      <c r="GC208" s="413"/>
      <c r="GD208" s="408"/>
      <c r="GE208" s="408"/>
      <c r="GF208" s="408"/>
      <c r="GG208" s="408"/>
      <c r="GH208" s="408"/>
      <c r="GI208" s="408"/>
      <c r="GJ208" s="408"/>
      <c r="GK208" s="408"/>
      <c r="GL208" s="408"/>
      <c r="GM208" s="408"/>
      <c r="GN208" s="408"/>
      <c r="GO208" s="408"/>
      <c r="GP208" s="408"/>
      <c r="GQ208" s="408"/>
      <c r="GR208" s="408"/>
      <c r="GS208" s="408"/>
      <c r="GT208" s="408"/>
      <c r="GU208" s="408"/>
      <c r="GV208" s="408"/>
      <c r="GW208" s="408"/>
      <c r="GX208" s="412"/>
      <c r="GY208" s="411"/>
      <c r="GZ208" s="413"/>
      <c r="HA208" s="413"/>
      <c r="HB208" s="413"/>
      <c r="HC208" s="408"/>
      <c r="HD208" s="408"/>
      <c r="HE208" s="408"/>
      <c r="HF208" s="408"/>
      <c r="HG208" s="408"/>
      <c r="HH208" s="408"/>
      <c r="HI208" s="408"/>
      <c r="HJ208" s="408"/>
      <c r="HK208" s="408"/>
      <c r="HL208" s="408"/>
      <c r="HM208" s="408"/>
      <c r="HN208" s="408"/>
      <c r="HO208" s="408"/>
      <c r="HP208" s="408"/>
      <c r="HQ208" s="408"/>
      <c r="HR208" s="408"/>
      <c r="HS208" s="408"/>
      <c r="HT208" s="408"/>
      <c r="HU208" s="408"/>
      <c r="HV208" s="408"/>
      <c r="HW208" s="412"/>
    </row>
    <row r="209" spans="107:231" ht="24" customHeight="1" thickBot="1">
      <c r="DC209" s="416"/>
      <c r="DD209" s="2116" t="str">
        <f>'Вывод расчетов'!$CC$9</f>
        <v>Раздел 2</v>
      </c>
      <c r="DE209" s="2114"/>
      <c r="DF209" s="2114"/>
      <c r="DG209" s="417"/>
      <c r="DH209" s="2116" t="str">
        <f>'Вывод расчетов'!$CF$9</f>
        <v>Расчет обмотки статора</v>
      </c>
      <c r="DI209" s="2114"/>
      <c r="DJ209" s="2114"/>
      <c r="DK209" s="2114"/>
      <c r="DL209" s="2114"/>
      <c r="DM209" s="2114"/>
      <c r="DN209" s="2114"/>
      <c r="DO209" s="2114"/>
      <c r="DP209" s="2114"/>
      <c r="DQ209" s="2114"/>
      <c r="DR209" s="2114"/>
      <c r="DS209" s="2117"/>
      <c r="DT209" s="417"/>
      <c r="DU209" s="2116" t="s">
        <v>1369</v>
      </c>
      <c r="DV209" s="2114"/>
      <c r="DW209" s="2117"/>
      <c r="DX209" s="417"/>
      <c r="DY209" s="2116">
        <v>11</v>
      </c>
      <c r="DZ209" s="2117"/>
      <c r="EA209" s="418"/>
      <c r="EB209" s="416"/>
      <c r="EC209" s="2116" t="str">
        <f>'Вывод расчетов'!$CC$9</f>
        <v>Раздел 2</v>
      </c>
      <c r="ED209" s="2114"/>
      <c r="EE209" s="2114"/>
      <c r="EF209" s="417"/>
      <c r="EG209" s="2116" t="str">
        <f>'Вывод расчетов'!$CF$9</f>
        <v>Расчет обмотки статора</v>
      </c>
      <c r="EH209" s="2114"/>
      <c r="EI209" s="2114"/>
      <c r="EJ209" s="2114"/>
      <c r="EK209" s="2114"/>
      <c r="EL209" s="2114"/>
      <c r="EM209" s="2114"/>
      <c r="EN209" s="2114"/>
      <c r="EO209" s="2114"/>
      <c r="EP209" s="2114"/>
      <c r="EQ209" s="2114"/>
      <c r="ER209" s="2117"/>
      <c r="ES209" s="417"/>
      <c r="ET209" s="2116" t="s">
        <v>1369</v>
      </c>
      <c r="EU209" s="2114"/>
      <c r="EV209" s="2117"/>
      <c r="EW209" s="417"/>
      <c r="EX209" s="2116">
        <v>11</v>
      </c>
      <c r="EY209" s="2117"/>
      <c r="EZ209" s="418"/>
      <c r="FZ209" s="416"/>
      <c r="GA209" s="2116" t="str">
        <f>'Вывод расчетов'!$CC$9</f>
        <v>Раздел 2</v>
      </c>
      <c r="GB209" s="2114"/>
      <c r="GC209" s="2114"/>
      <c r="GD209" s="417"/>
      <c r="GE209" s="2116" t="str">
        <f>'Вывод расчетов'!$CF$9</f>
        <v>Расчет обмотки статора</v>
      </c>
      <c r="GF209" s="2114"/>
      <c r="GG209" s="2114"/>
      <c r="GH209" s="2114"/>
      <c r="GI209" s="2114"/>
      <c r="GJ209" s="2114"/>
      <c r="GK209" s="2114"/>
      <c r="GL209" s="2114"/>
      <c r="GM209" s="2114"/>
      <c r="GN209" s="2114"/>
      <c r="GO209" s="2114"/>
      <c r="GP209" s="2117"/>
      <c r="GQ209" s="417"/>
      <c r="GR209" s="2116" t="s">
        <v>1369</v>
      </c>
      <c r="GS209" s="2114"/>
      <c r="GT209" s="2117"/>
      <c r="GU209" s="417"/>
      <c r="GV209" s="2116">
        <v>11</v>
      </c>
      <c r="GW209" s="2117"/>
      <c r="GX209" s="418"/>
      <c r="GY209" s="416"/>
      <c r="GZ209" s="2116" t="str">
        <f>'Вывод расчетов'!$CC$9</f>
        <v>Раздел 2</v>
      </c>
      <c r="HA209" s="2114"/>
      <c r="HB209" s="2114"/>
      <c r="HC209" s="417"/>
      <c r="HD209" s="2116" t="str">
        <f>'Вывод расчетов'!$CF$9</f>
        <v>Расчет обмотки статора</v>
      </c>
      <c r="HE209" s="2114"/>
      <c r="HF209" s="2114"/>
      <c r="HG209" s="2114"/>
      <c r="HH209" s="2114"/>
      <c r="HI209" s="2114"/>
      <c r="HJ209" s="2114"/>
      <c r="HK209" s="2114"/>
      <c r="HL209" s="2114"/>
      <c r="HM209" s="2114"/>
      <c r="HN209" s="2114"/>
      <c r="HO209" s="2117"/>
      <c r="HP209" s="417"/>
      <c r="HQ209" s="2116" t="s">
        <v>1369</v>
      </c>
      <c r="HR209" s="2114"/>
      <c r="HS209" s="2117"/>
      <c r="HT209" s="417"/>
      <c r="HU209" s="2116">
        <v>11</v>
      </c>
      <c r="HV209" s="2117"/>
      <c r="HW209" s="418"/>
    </row>
    <row r="210" spans="107:231" ht="24" customHeight="1" thickBot="1">
      <c r="EB210" s="2113" t="s">
        <v>1111</v>
      </c>
      <c r="EC210" s="2114"/>
      <c r="ED210" s="2114"/>
      <c r="EE210" s="2114"/>
      <c r="EF210" s="2114"/>
      <c r="EG210" s="2114"/>
      <c r="EH210" s="2114"/>
      <c r="EI210" s="2114"/>
      <c r="EJ210" s="2114"/>
      <c r="EK210" s="2114"/>
      <c r="EL210" s="2114"/>
      <c r="EM210" s="2114"/>
      <c r="EN210" s="2114"/>
      <c r="EO210" s="2114"/>
      <c r="EP210" s="2114"/>
      <c r="EQ210" s="2114"/>
      <c r="ER210" s="2114"/>
      <c r="ES210" s="2114"/>
      <c r="ET210" s="2114"/>
      <c r="EU210" s="2114"/>
      <c r="EV210" s="2114"/>
      <c r="EW210" s="2114"/>
      <c r="EX210" s="2114"/>
      <c r="EY210" s="2114"/>
      <c r="EZ210" s="2115"/>
      <c r="FZ210" s="2113" t="s">
        <v>1111</v>
      </c>
      <c r="GA210" s="2114"/>
      <c r="GB210" s="2114"/>
      <c r="GC210" s="2114"/>
      <c r="GD210" s="2114"/>
      <c r="GE210" s="2114"/>
      <c r="GF210" s="2114"/>
      <c r="GG210" s="2114"/>
      <c r="GH210" s="2114"/>
      <c r="GI210" s="2114"/>
      <c r="GJ210" s="2114"/>
      <c r="GK210" s="2114"/>
      <c r="GL210" s="2114"/>
      <c r="GM210" s="2114"/>
      <c r="GN210" s="2114"/>
      <c r="GO210" s="2114"/>
      <c r="GP210" s="2114"/>
      <c r="GQ210" s="2114"/>
      <c r="GR210" s="2114"/>
      <c r="GS210" s="2114"/>
      <c r="GT210" s="2114"/>
      <c r="GU210" s="2114"/>
      <c r="GV210" s="2114"/>
      <c r="GW210" s="2114"/>
      <c r="GX210" s="2115"/>
      <c r="GY210" s="2113" t="s">
        <v>1111</v>
      </c>
      <c r="GZ210" s="2114"/>
      <c r="HA210" s="2114"/>
      <c r="HB210" s="2114"/>
      <c r="HC210" s="2114"/>
      <c r="HD210" s="2114"/>
      <c r="HE210" s="2114"/>
      <c r="HF210" s="2114"/>
      <c r="HG210" s="2114"/>
      <c r="HH210" s="2114"/>
      <c r="HI210" s="2114"/>
      <c r="HJ210" s="2114"/>
      <c r="HK210" s="2114"/>
      <c r="HL210" s="2114"/>
      <c r="HM210" s="2114"/>
      <c r="HN210" s="2114"/>
      <c r="HO210" s="2114"/>
      <c r="HP210" s="2114"/>
      <c r="HQ210" s="2114"/>
      <c r="HR210" s="2114"/>
      <c r="HS210" s="2114"/>
      <c r="HT210" s="2114"/>
      <c r="HU210" s="2114"/>
      <c r="HV210" s="2114"/>
      <c r="HW210" s="2115"/>
    </row>
    <row r="211" spans="107:231" ht="24" customHeight="1">
      <c r="EB211" s="409"/>
      <c r="EC211" s="410"/>
      <c r="ED211" s="410"/>
      <c r="EE211" s="410"/>
      <c r="EF211" s="410"/>
      <c r="EG211" s="410"/>
      <c r="EH211" s="410"/>
      <c r="EI211" s="410"/>
      <c r="EJ211" s="410"/>
      <c r="EK211" s="410"/>
      <c r="EL211" s="410"/>
      <c r="EM211" s="410"/>
      <c r="EN211" s="410"/>
      <c r="EO211" s="410"/>
      <c r="EP211" s="410"/>
      <c r="EQ211" s="410"/>
      <c r="ER211" s="410"/>
      <c r="ES211" s="410"/>
      <c r="ET211" s="410"/>
      <c r="EU211" s="410"/>
      <c r="EV211" s="410"/>
      <c r="EW211" s="410"/>
      <c r="EX211" s="410"/>
      <c r="EY211" s="410"/>
      <c r="EZ211" s="419"/>
      <c r="FZ211" s="409"/>
      <c r="GA211" s="410"/>
      <c r="GB211" s="410"/>
      <c r="GC211" s="410"/>
      <c r="GD211" s="410"/>
      <c r="GE211" s="410"/>
      <c r="GF211" s="410"/>
      <c r="GG211" s="410"/>
      <c r="GH211" s="410"/>
      <c r="GI211" s="410"/>
      <c r="GJ211" s="410"/>
      <c r="GK211" s="410"/>
      <c r="GL211" s="410"/>
      <c r="GM211" s="410"/>
      <c r="GN211" s="410"/>
      <c r="GO211" s="410"/>
      <c r="GP211" s="410"/>
      <c r="GQ211" s="410"/>
      <c r="GR211" s="410"/>
      <c r="GS211" s="410"/>
      <c r="GT211" s="410"/>
      <c r="GU211" s="410"/>
      <c r="GV211" s="410"/>
      <c r="GW211" s="410"/>
      <c r="GX211" s="419"/>
      <c r="GY211" s="409"/>
      <c r="GZ211" s="410"/>
      <c r="HA211" s="410"/>
      <c r="HB211" s="410"/>
      <c r="HC211" s="410"/>
      <c r="HD211" s="410"/>
      <c r="HE211" s="410"/>
      <c r="HF211" s="410"/>
      <c r="HG211" s="410"/>
      <c r="HH211" s="410"/>
      <c r="HI211" s="410"/>
      <c r="HJ211" s="410"/>
      <c r="HK211" s="410"/>
      <c r="HL211" s="410"/>
      <c r="HM211" s="410"/>
      <c r="HN211" s="410"/>
      <c r="HO211" s="410"/>
      <c r="HP211" s="410"/>
      <c r="HQ211" s="410"/>
      <c r="HR211" s="410"/>
      <c r="HS211" s="410"/>
      <c r="HT211" s="410"/>
      <c r="HU211" s="410"/>
      <c r="HV211" s="410"/>
      <c r="HW211" s="419"/>
    </row>
    <row r="212" spans="107:231" ht="24" customHeight="1">
      <c r="EB212" s="411"/>
      <c r="EC212" s="408"/>
      <c r="ED212" s="408"/>
      <c r="EE212" s="408"/>
      <c r="EF212" s="408"/>
      <c r="EG212" s="408"/>
      <c r="EH212" s="408"/>
      <c r="EI212" s="408"/>
      <c r="EJ212" s="408"/>
      <c r="EK212" s="408"/>
      <c r="EL212" s="408"/>
      <c r="EM212" s="408"/>
      <c r="EN212" s="408"/>
      <c r="EO212" s="408"/>
      <c r="EP212" s="408"/>
      <c r="EQ212" s="408"/>
      <c r="ER212" s="408"/>
      <c r="ES212" s="408"/>
      <c r="ET212" s="408"/>
      <c r="EU212" s="408"/>
      <c r="EV212" s="408"/>
      <c r="EW212" s="408"/>
      <c r="EX212" s="408"/>
      <c r="EY212" s="408"/>
      <c r="EZ212" s="412"/>
      <c r="FZ212" s="411"/>
      <c r="GA212" s="408"/>
      <c r="GB212" s="408"/>
      <c r="GC212" s="408"/>
      <c r="GD212" s="408"/>
      <c r="GE212" s="408"/>
      <c r="GF212" s="408"/>
      <c r="GG212" s="408"/>
      <c r="GH212" s="408"/>
      <c r="GI212" s="408"/>
      <c r="GJ212" s="408"/>
      <c r="GK212" s="408"/>
      <c r="GL212" s="408"/>
      <c r="GM212" s="408"/>
      <c r="GN212" s="408"/>
      <c r="GO212" s="408"/>
      <c r="GP212" s="408"/>
      <c r="GQ212" s="408"/>
      <c r="GR212" s="408"/>
      <c r="GS212" s="408"/>
      <c r="GT212" s="408"/>
      <c r="GU212" s="408"/>
      <c r="GV212" s="408"/>
      <c r="GW212" s="408"/>
      <c r="GX212" s="412"/>
      <c r="GY212" s="411"/>
      <c r="GZ212" s="408"/>
      <c r="HA212" s="408"/>
      <c r="HB212" s="408"/>
      <c r="HC212" s="408"/>
      <c r="HD212" s="408"/>
      <c r="HE212" s="408"/>
      <c r="HF212" s="408"/>
      <c r="HG212" s="408"/>
      <c r="HH212" s="408"/>
      <c r="HI212" s="408"/>
      <c r="HJ212" s="408"/>
      <c r="HK212" s="408"/>
      <c r="HL212" s="408"/>
      <c r="HM212" s="408"/>
      <c r="HN212" s="408"/>
      <c r="HO212" s="408"/>
      <c r="HP212" s="408"/>
      <c r="HQ212" s="408"/>
      <c r="HR212" s="408"/>
      <c r="HS212" s="408"/>
      <c r="HT212" s="408"/>
      <c r="HU212" s="408"/>
      <c r="HV212" s="408"/>
      <c r="HW212" s="412"/>
    </row>
    <row r="213" spans="107:231" ht="24" customHeight="1">
      <c r="EB213" s="411"/>
      <c r="EC213" s="408"/>
      <c r="ED213" s="408"/>
      <c r="EE213" s="408"/>
      <c r="EF213" s="408"/>
      <c r="EG213" s="408"/>
      <c r="EH213" s="408"/>
      <c r="EI213" s="408"/>
      <c r="EJ213" s="408"/>
      <c r="EK213" s="408"/>
      <c r="EL213" s="408"/>
      <c r="EM213" s="408"/>
      <c r="EN213" s="408"/>
      <c r="EO213" s="408"/>
      <c r="EP213" s="408"/>
      <c r="EQ213" s="408"/>
      <c r="ER213" s="408"/>
      <c r="ES213" s="408"/>
      <c r="ET213" s="408"/>
      <c r="EU213" s="408"/>
      <c r="EV213" s="408"/>
      <c r="EW213" s="408"/>
      <c r="EX213" s="408"/>
      <c r="EY213" s="408"/>
      <c r="EZ213" s="412"/>
      <c r="FZ213" s="411"/>
      <c r="GA213" s="408"/>
      <c r="GB213" s="408"/>
      <c r="GC213" s="408"/>
      <c r="GD213" s="408"/>
      <c r="GE213" s="408"/>
      <c r="GF213" s="408"/>
      <c r="GG213" s="408"/>
      <c r="GH213" s="408"/>
      <c r="GI213" s="408"/>
      <c r="GJ213" s="408"/>
      <c r="GK213" s="408"/>
      <c r="GL213" s="408"/>
      <c r="GM213" s="408"/>
      <c r="GN213" s="408"/>
      <c r="GO213" s="408"/>
      <c r="GP213" s="408"/>
      <c r="GQ213" s="408"/>
      <c r="GR213" s="408"/>
      <c r="GS213" s="408"/>
      <c r="GT213" s="408"/>
      <c r="GU213" s="408"/>
      <c r="GV213" s="408"/>
      <c r="GW213" s="408"/>
      <c r="GX213" s="412"/>
      <c r="GY213" s="411"/>
      <c r="GZ213" s="408"/>
      <c r="HA213" s="408"/>
      <c r="HB213" s="408"/>
      <c r="HC213" s="408"/>
      <c r="HD213" s="408"/>
      <c r="HE213" s="408"/>
      <c r="HF213" s="408"/>
      <c r="HG213" s="408"/>
      <c r="HH213" s="408"/>
      <c r="HI213" s="408"/>
      <c r="HJ213" s="408"/>
      <c r="HK213" s="408"/>
      <c r="HL213" s="408"/>
      <c r="HM213" s="408"/>
      <c r="HN213" s="408"/>
      <c r="HO213" s="408"/>
      <c r="HP213" s="408"/>
      <c r="HQ213" s="408"/>
      <c r="HR213" s="408"/>
      <c r="HS213" s="408"/>
      <c r="HT213" s="408"/>
      <c r="HU213" s="408"/>
      <c r="HV213" s="408"/>
      <c r="HW213" s="412"/>
    </row>
    <row r="214" spans="107:231" ht="24" customHeight="1">
      <c r="EB214" s="411"/>
      <c r="EC214" s="408"/>
      <c r="ED214" s="408"/>
      <c r="EE214" s="408"/>
      <c r="EF214" s="408"/>
      <c r="EG214" s="408"/>
      <c r="EH214" s="408"/>
      <c r="EI214" s="408"/>
      <c r="EJ214" s="408"/>
      <c r="EK214" s="408"/>
      <c r="EL214" s="408"/>
      <c r="EM214" s="408"/>
      <c r="EN214" s="408"/>
      <c r="EO214" s="408"/>
      <c r="EP214" s="408"/>
      <c r="EQ214" s="408"/>
      <c r="ER214" s="408"/>
      <c r="ES214" s="408"/>
      <c r="ET214" s="408"/>
      <c r="EU214" s="408"/>
      <c r="EV214" s="408"/>
      <c r="EW214" s="408"/>
      <c r="EX214" s="408"/>
      <c r="EY214" s="408"/>
      <c r="EZ214" s="412"/>
      <c r="FZ214" s="411"/>
      <c r="GA214" s="408"/>
      <c r="GB214" s="408"/>
      <c r="GC214" s="408"/>
      <c r="GD214" s="408"/>
      <c r="GE214" s="408"/>
      <c r="GF214" s="408"/>
      <c r="GG214" s="408"/>
      <c r="GH214" s="408"/>
      <c r="GI214" s="408"/>
      <c r="GJ214" s="408"/>
      <c r="GK214" s="408"/>
      <c r="GL214" s="408"/>
      <c r="GM214" s="408"/>
      <c r="GN214" s="408"/>
      <c r="GO214" s="408"/>
      <c r="GP214" s="408"/>
      <c r="GQ214" s="408"/>
      <c r="GR214" s="408"/>
      <c r="GS214" s="408"/>
      <c r="GT214" s="408"/>
      <c r="GU214" s="408"/>
      <c r="GV214" s="408"/>
      <c r="GW214" s="408"/>
      <c r="GX214" s="412"/>
      <c r="GY214" s="411"/>
      <c r="GZ214" s="408"/>
      <c r="HA214" s="408"/>
      <c r="HB214" s="408"/>
      <c r="HC214" s="408"/>
      <c r="HD214" s="408"/>
      <c r="HE214" s="408"/>
      <c r="HF214" s="408"/>
      <c r="HG214" s="408"/>
      <c r="HH214" s="408"/>
      <c r="HI214" s="408"/>
      <c r="HJ214" s="408"/>
      <c r="HK214" s="408"/>
      <c r="HL214" s="408"/>
      <c r="HM214" s="408"/>
      <c r="HN214" s="408"/>
      <c r="HO214" s="408"/>
      <c r="HP214" s="408"/>
      <c r="HQ214" s="408"/>
      <c r="HR214" s="408"/>
      <c r="HS214" s="408"/>
      <c r="HT214" s="408"/>
      <c r="HU214" s="408"/>
      <c r="HV214" s="408"/>
      <c r="HW214" s="412"/>
    </row>
    <row r="215" spans="107:231" ht="24" customHeight="1">
      <c r="EB215" s="411"/>
      <c r="EC215" s="408"/>
      <c r="ED215" s="408"/>
      <c r="EE215" s="408"/>
      <c r="EF215" s="408"/>
      <c r="EG215" s="408"/>
      <c r="EH215" s="408"/>
      <c r="EI215" s="408"/>
      <c r="EJ215" s="408"/>
      <c r="EK215" s="408"/>
      <c r="EL215" s="408"/>
      <c r="EM215" s="408"/>
      <c r="EN215" s="408"/>
      <c r="EO215" s="408"/>
      <c r="EP215" s="408"/>
      <c r="EQ215" s="408"/>
      <c r="ER215" s="408"/>
      <c r="ES215" s="408"/>
      <c r="ET215" s="408"/>
      <c r="EU215" s="408"/>
      <c r="EV215" s="408"/>
      <c r="EW215" s="408"/>
      <c r="EX215" s="408"/>
      <c r="EY215" s="408"/>
      <c r="EZ215" s="412"/>
      <c r="FZ215" s="411"/>
      <c r="GA215" s="408"/>
      <c r="GB215" s="408"/>
      <c r="GC215" s="408"/>
      <c r="GD215" s="408"/>
      <c r="GE215" s="408"/>
      <c r="GF215" s="408"/>
      <c r="GG215" s="408"/>
      <c r="GH215" s="408"/>
      <c r="GI215" s="408"/>
      <c r="GJ215" s="408"/>
      <c r="GK215" s="408"/>
      <c r="GL215" s="408"/>
      <c r="GM215" s="408"/>
      <c r="GN215" s="408"/>
      <c r="GO215" s="408"/>
      <c r="GP215" s="408"/>
      <c r="GQ215" s="408"/>
      <c r="GR215" s="408"/>
      <c r="GS215" s="408"/>
      <c r="GT215" s="408"/>
      <c r="GU215" s="408"/>
      <c r="GV215" s="408"/>
      <c r="GW215" s="408"/>
      <c r="GX215" s="412"/>
      <c r="GY215" s="411"/>
      <c r="GZ215" s="408"/>
      <c r="HA215" s="408"/>
      <c r="HB215" s="408"/>
      <c r="HC215" s="408"/>
      <c r="HD215" s="408"/>
      <c r="HE215" s="408"/>
      <c r="HF215" s="408"/>
      <c r="HG215" s="408"/>
      <c r="HH215" s="408"/>
      <c r="HI215" s="408"/>
      <c r="HJ215" s="408"/>
      <c r="HK215" s="408"/>
      <c r="HL215" s="408"/>
      <c r="HM215" s="408"/>
      <c r="HN215" s="408"/>
      <c r="HO215" s="408"/>
      <c r="HP215" s="408"/>
      <c r="HQ215" s="408"/>
      <c r="HR215" s="408"/>
      <c r="HS215" s="408"/>
      <c r="HT215" s="408"/>
      <c r="HU215" s="408"/>
      <c r="HV215" s="408"/>
      <c r="HW215" s="412"/>
    </row>
    <row r="216" spans="107:231" ht="24" customHeight="1">
      <c r="EB216" s="411"/>
      <c r="EC216" s="408"/>
      <c r="ED216" s="408"/>
      <c r="EE216" s="408"/>
      <c r="EF216" s="408"/>
      <c r="EG216" s="408"/>
      <c r="EH216" s="408"/>
      <c r="EI216" s="408"/>
      <c r="EJ216" s="408"/>
      <c r="EK216" s="408"/>
      <c r="EL216" s="408"/>
      <c r="EM216" s="408"/>
      <c r="EN216" s="408"/>
      <c r="EO216" s="408"/>
      <c r="EP216" s="408"/>
      <c r="EQ216" s="408"/>
      <c r="ER216" s="408"/>
      <c r="ES216" s="408"/>
      <c r="ET216" s="408"/>
      <c r="EU216" s="408"/>
      <c r="EV216" s="408"/>
      <c r="EW216" s="408"/>
      <c r="EX216" s="408"/>
      <c r="EY216" s="408"/>
      <c r="EZ216" s="412"/>
      <c r="FZ216" s="411"/>
      <c r="GA216" s="408"/>
      <c r="GB216" s="408"/>
      <c r="GC216" s="408"/>
      <c r="GD216" s="408"/>
      <c r="GE216" s="408"/>
      <c r="GF216" s="408"/>
      <c r="GG216" s="408"/>
      <c r="GH216" s="408"/>
      <c r="GI216" s="408"/>
      <c r="GJ216" s="408"/>
      <c r="GK216" s="408"/>
      <c r="GL216" s="408"/>
      <c r="GM216" s="408"/>
      <c r="GN216" s="408"/>
      <c r="GO216" s="408"/>
      <c r="GP216" s="408"/>
      <c r="GQ216" s="408"/>
      <c r="GR216" s="408"/>
      <c r="GS216" s="408"/>
      <c r="GT216" s="408"/>
      <c r="GU216" s="408"/>
      <c r="GV216" s="408"/>
      <c r="GW216" s="408"/>
      <c r="GX216" s="412"/>
      <c r="GY216" s="411"/>
      <c r="GZ216" s="408"/>
      <c r="HA216" s="408"/>
      <c r="HB216" s="408"/>
      <c r="HC216" s="408"/>
      <c r="HD216" s="408"/>
      <c r="HE216" s="408"/>
      <c r="HF216" s="408"/>
      <c r="HG216" s="408"/>
      <c r="HH216" s="408"/>
      <c r="HI216" s="408"/>
      <c r="HJ216" s="408"/>
      <c r="HK216" s="408"/>
      <c r="HL216" s="408"/>
      <c r="HM216" s="408"/>
      <c r="HN216" s="408"/>
      <c r="HO216" s="408"/>
      <c r="HP216" s="408"/>
      <c r="HQ216" s="408"/>
      <c r="HR216" s="408"/>
      <c r="HS216" s="408"/>
      <c r="HT216" s="408"/>
      <c r="HU216" s="408"/>
      <c r="HV216" s="408"/>
      <c r="HW216" s="412"/>
    </row>
    <row r="217" spans="107:231" ht="24" customHeight="1">
      <c r="EB217" s="411"/>
      <c r="EC217" s="408"/>
      <c r="ED217" s="408"/>
      <c r="EE217" s="408"/>
      <c r="EF217" s="408"/>
      <c r="EG217" s="408"/>
      <c r="EH217" s="408"/>
      <c r="EI217" s="408"/>
      <c r="EJ217" s="408"/>
      <c r="EK217" s="408"/>
      <c r="EL217" s="408"/>
      <c r="EM217" s="408"/>
      <c r="EN217" s="408"/>
      <c r="EO217" s="408"/>
      <c r="EP217" s="408"/>
      <c r="EQ217" s="408"/>
      <c r="ER217" s="408"/>
      <c r="ES217" s="408"/>
      <c r="ET217" s="408"/>
      <c r="EU217" s="408"/>
      <c r="EV217" s="408"/>
      <c r="EW217" s="408"/>
      <c r="EX217" s="408"/>
      <c r="EY217" s="408"/>
      <c r="EZ217" s="412"/>
      <c r="FZ217" s="411"/>
      <c r="GA217" s="408"/>
      <c r="GB217" s="408"/>
      <c r="GC217" s="408"/>
      <c r="GD217" s="408"/>
      <c r="GE217" s="408"/>
      <c r="GF217" s="408"/>
      <c r="GG217" s="408"/>
      <c r="GH217" s="408"/>
      <c r="GI217" s="408"/>
      <c r="GJ217" s="408"/>
      <c r="GK217" s="408"/>
      <c r="GL217" s="408"/>
      <c r="GM217" s="408"/>
      <c r="GN217" s="408"/>
      <c r="GO217" s="408"/>
      <c r="GP217" s="408"/>
      <c r="GQ217" s="408"/>
      <c r="GR217" s="408"/>
      <c r="GS217" s="408"/>
      <c r="GT217" s="408"/>
      <c r="GU217" s="408"/>
      <c r="GV217" s="408"/>
      <c r="GW217" s="408"/>
      <c r="GX217" s="412"/>
      <c r="GY217" s="411"/>
      <c r="GZ217" s="408"/>
      <c r="HA217" s="408"/>
      <c r="HB217" s="408"/>
      <c r="HC217" s="408"/>
      <c r="HD217" s="408"/>
      <c r="HE217" s="408"/>
      <c r="HF217" s="408"/>
      <c r="HG217" s="408"/>
      <c r="HH217" s="408"/>
      <c r="HI217" s="408"/>
      <c r="HJ217" s="408"/>
      <c r="HK217" s="408"/>
      <c r="HL217" s="408"/>
      <c r="HM217" s="408"/>
      <c r="HN217" s="408"/>
      <c r="HO217" s="408"/>
      <c r="HP217" s="408"/>
      <c r="HQ217" s="408"/>
      <c r="HR217" s="408"/>
      <c r="HS217" s="408"/>
      <c r="HT217" s="408"/>
      <c r="HU217" s="408"/>
      <c r="HV217" s="408"/>
      <c r="HW217" s="412"/>
    </row>
    <row r="218" spans="107:231" ht="24" customHeight="1">
      <c r="EB218" s="411"/>
      <c r="EC218" s="408"/>
      <c r="ED218" s="408"/>
      <c r="EE218" s="408"/>
      <c r="EF218" s="408"/>
      <c r="EG218" s="408"/>
      <c r="EH218" s="408"/>
      <c r="EI218" s="408"/>
      <c r="EJ218" s="408"/>
      <c r="EK218" s="408"/>
      <c r="EL218" s="408"/>
      <c r="EM218" s="408"/>
      <c r="EN218" s="408"/>
      <c r="EO218" s="408"/>
      <c r="EP218" s="408"/>
      <c r="EQ218" s="408"/>
      <c r="ER218" s="408"/>
      <c r="ES218" s="408"/>
      <c r="ET218" s="408"/>
      <c r="EU218" s="408"/>
      <c r="EV218" s="408"/>
      <c r="EW218" s="408"/>
      <c r="EX218" s="408"/>
      <c r="EY218" s="408"/>
      <c r="EZ218" s="412"/>
      <c r="FZ218" s="411"/>
      <c r="GA218" s="408"/>
      <c r="GB218" s="408"/>
      <c r="GC218" s="408"/>
      <c r="GD218" s="408"/>
      <c r="GE218" s="408"/>
      <c r="GF218" s="408"/>
      <c r="GG218" s="408"/>
      <c r="GH218" s="408"/>
      <c r="GI218" s="408"/>
      <c r="GJ218" s="408"/>
      <c r="GK218" s="408"/>
      <c r="GL218" s="408"/>
      <c r="GM218" s="408"/>
      <c r="GN218" s="408"/>
      <c r="GO218" s="408"/>
      <c r="GP218" s="408"/>
      <c r="GQ218" s="408"/>
      <c r="GR218" s="408"/>
      <c r="GS218" s="408"/>
      <c r="GT218" s="408"/>
      <c r="GU218" s="408"/>
      <c r="GV218" s="408"/>
      <c r="GW218" s="408"/>
      <c r="GX218" s="412"/>
      <c r="GY218" s="411"/>
      <c r="GZ218" s="408"/>
      <c r="HA218" s="408"/>
      <c r="HB218" s="408"/>
      <c r="HC218" s="408"/>
      <c r="HD218" s="408"/>
      <c r="HE218" s="408"/>
      <c r="HF218" s="408"/>
      <c r="HG218" s="408"/>
      <c r="HH218" s="408"/>
      <c r="HI218" s="408"/>
      <c r="HJ218" s="408"/>
      <c r="HK218" s="408"/>
      <c r="HL218" s="408"/>
      <c r="HM218" s="408"/>
      <c r="HN218" s="408"/>
      <c r="HO218" s="408"/>
      <c r="HP218" s="408"/>
      <c r="HQ218" s="408"/>
      <c r="HR218" s="408"/>
      <c r="HS218" s="408"/>
      <c r="HT218" s="408"/>
      <c r="HU218" s="408"/>
      <c r="HV218" s="408"/>
      <c r="HW218" s="412"/>
    </row>
    <row r="219" spans="107:231" ht="24" customHeight="1">
      <c r="EB219" s="411"/>
      <c r="EC219" s="408"/>
      <c r="ED219" s="408"/>
      <c r="EE219" s="408"/>
      <c r="EF219" s="408"/>
      <c r="EG219" s="408"/>
      <c r="EH219" s="408"/>
      <c r="EI219" s="408"/>
      <c r="EJ219" s="408"/>
      <c r="EK219" s="408"/>
      <c r="EL219" s="408"/>
      <c r="EM219" s="408"/>
      <c r="EN219" s="408"/>
      <c r="EO219" s="408"/>
      <c r="EP219" s="408"/>
      <c r="EQ219" s="408"/>
      <c r="ER219" s="408"/>
      <c r="ES219" s="408"/>
      <c r="ET219" s="408"/>
      <c r="EU219" s="408"/>
      <c r="EV219" s="408"/>
      <c r="EW219" s="408"/>
      <c r="EX219" s="408"/>
      <c r="EY219" s="408"/>
      <c r="EZ219" s="412"/>
      <c r="FZ219" s="411"/>
      <c r="GA219" s="408"/>
      <c r="GB219" s="408"/>
      <c r="GC219" s="408"/>
      <c r="GD219" s="408"/>
      <c r="GE219" s="408"/>
      <c r="GF219" s="408"/>
      <c r="GG219" s="408"/>
      <c r="GH219" s="408"/>
      <c r="GI219" s="408"/>
      <c r="GJ219" s="408"/>
      <c r="GK219" s="408"/>
      <c r="GL219" s="408"/>
      <c r="GM219" s="408"/>
      <c r="GN219" s="408"/>
      <c r="GO219" s="408"/>
      <c r="GP219" s="408"/>
      <c r="GQ219" s="408"/>
      <c r="GR219" s="408"/>
      <c r="GS219" s="408"/>
      <c r="GT219" s="408"/>
      <c r="GU219" s="408"/>
      <c r="GV219" s="408"/>
      <c r="GW219" s="408"/>
      <c r="GX219" s="412"/>
      <c r="GY219" s="411"/>
      <c r="GZ219" s="408"/>
      <c r="HA219" s="408"/>
      <c r="HB219" s="408"/>
      <c r="HC219" s="408"/>
      <c r="HD219" s="408"/>
      <c r="HE219" s="408"/>
      <c r="HF219" s="408"/>
      <c r="HG219" s="408"/>
      <c r="HH219" s="408"/>
      <c r="HI219" s="408"/>
      <c r="HJ219" s="408"/>
      <c r="HK219" s="408"/>
      <c r="HL219" s="408"/>
      <c r="HM219" s="408"/>
      <c r="HN219" s="408"/>
      <c r="HO219" s="408"/>
      <c r="HP219" s="408"/>
      <c r="HQ219" s="408"/>
      <c r="HR219" s="408"/>
      <c r="HS219" s="408"/>
      <c r="HT219" s="408"/>
      <c r="HU219" s="408"/>
      <c r="HV219" s="408"/>
      <c r="HW219" s="412"/>
    </row>
    <row r="220" spans="107:231" ht="24" customHeight="1">
      <c r="EB220" s="411"/>
      <c r="EC220" s="408"/>
      <c r="ED220" s="408"/>
      <c r="EE220" s="408"/>
      <c r="EF220" s="408"/>
      <c r="EG220" s="408"/>
      <c r="EH220" s="408"/>
      <c r="EI220" s="408"/>
      <c r="EJ220" s="408"/>
      <c r="EK220" s="408"/>
      <c r="EL220" s="408"/>
      <c r="EM220" s="408"/>
      <c r="EN220" s="408"/>
      <c r="EO220" s="408"/>
      <c r="EP220" s="408"/>
      <c r="EQ220" s="408"/>
      <c r="ER220" s="408"/>
      <c r="ES220" s="408"/>
      <c r="ET220" s="408"/>
      <c r="EU220" s="408"/>
      <c r="EV220" s="408"/>
      <c r="EW220" s="408"/>
      <c r="EX220" s="408"/>
      <c r="EY220" s="408"/>
      <c r="EZ220" s="412"/>
      <c r="FZ220" s="411"/>
      <c r="GA220" s="408"/>
      <c r="GB220" s="408"/>
      <c r="GC220" s="408"/>
      <c r="GD220" s="408"/>
      <c r="GE220" s="408"/>
      <c r="GF220" s="408"/>
      <c r="GG220" s="408"/>
      <c r="GH220" s="408"/>
      <c r="GI220" s="408"/>
      <c r="GJ220" s="408"/>
      <c r="GK220" s="408"/>
      <c r="GL220" s="408"/>
      <c r="GM220" s="408"/>
      <c r="GN220" s="408"/>
      <c r="GO220" s="408"/>
      <c r="GP220" s="408"/>
      <c r="GQ220" s="408"/>
      <c r="GR220" s="408"/>
      <c r="GS220" s="408"/>
      <c r="GT220" s="408"/>
      <c r="GU220" s="408"/>
      <c r="GV220" s="408"/>
      <c r="GW220" s="408"/>
      <c r="GX220" s="412"/>
      <c r="GY220" s="411"/>
      <c r="GZ220" s="408"/>
      <c r="HA220" s="408"/>
      <c r="HB220" s="408"/>
      <c r="HC220" s="408"/>
      <c r="HD220" s="408"/>
      <c r="HE220" s="408"/>
      <c r="HF220" s="408"/>
      <c r="HG220" s="408"/>
      <c r="HH220" s="408"/>
      <c r="HI220" s="408"/>
      <c r="HJ220" s="408"/>
      <c r="HK220" s="408"/>
      <c r="HL220" s="408"/>
      <c r="HM220" s="408"/>
      <c r="HN220" s="408"/>
      <c r="HO220" s="408"/>
      <c r="HP220" s="408"/>
      <c r="HQ220" s="408"/>
      <c r="HR220" s="408"/>
      <c r="HS220" s="408"/>
      <c r="HT220" s="408"/>
      <c r="HU220" s="408"/>
      <c r="HV220" s="408"/>
      <c r="HW220" s="412"/>
    </row>
    <row r="221" spans="107:231" ht="24" customHeight="1">
      <c r="EB221" s="411"/>
      <c r="EC221" s="408"/>
      <c r="ED221" s="408"/>
      <c r="EE221" s="408"/>
      <c r="EF221" s="408"/>
      <c r="EG221" s="408"/>
      <c r="EH221" s="408"/>
      <c r="EI221" s="408"/>
      <c r="EJ221" s="408"/>
      <c r="EK221" s="408"/>
      <c r="EL221" s="408"/>
      <c r="EM221" s="408"/>
      <c r="EN221" s="408"/>
      <c r="EO221" s="408"/>
      <c r="EP221" s="408"/>
      <c r="EQ221" s="408"/>
      <c r="ER221" s="408"/>
      <c r="ES221" s="408"/>
      <c r="ET221" s="408"/>
      <c r="EU221" s="408"/>
      <c r="EV221" s="408"/>
      <c r="EW221" s="408"/>
      <c r="EX221" s="408"/>
      <c r="EY221" s="408"/>
      <c r="EZ221" s="412"/>
      <c r="FZ221" s="411"/>
      <c r="GA221" s="408"/>
      <c r="GB221" s="408"/>
      <c r="GC221" s="408"/>
      <c r="GD221" s="408"/>
      <c r="GE221" s="408"/>
      <c r="GF221" s="408"/>
      <c r="GG221" s="408"/>
      <c r="GH221" s="408"/>
      <c r="GI221" s="408"/>
      <c r="GJ221" s="408"/>
      <c r="GK221" s="408"/>
      <c r="GL221" s="408"/>
      <c r="GM221" s="408"/>
      <c r="GN221" s="408"/>
      <c r="GO221" s="408"/>
      <c r="GP221" s="408"/>
      <c r="GQ221" s="408"/>
      <c r="GR221" s="408"/>
      <c r="GS221" s="408"/>
      <c r="GT221" s="408"/>
      <c r="GU221" s="408"/>
      <c r="GV221" s="408"/>
      <c r="GW221" s="408"/>
      <c r="GX221" s="412"/>
      <c r="GY221" s="411"/>
      <c r="GZ221" s="408"/>
      <c r="HA221" s="408"/>
      <c r="HB221" s="408"/>
      <c r="HC221" s="408"/>
      <c r="HD221" s="408"/>
      <c r="HE221" s="408"/>
      <c r="HF221" s="408"/>
      <c r="HG221" s="408"/>
      <c r="HH221" s="408"/>
      <c r="HI221" s="408"/>
      <c r="HJ221" s="408"/>
      <c r="HK221" s="408"/>
      <c r="HL221" s="408"/>
      <c r="HM221" s="408"/>
      <c r="HN221" s="408"/>
      <c r="HO221" s="408"/>
      <c r="HP221" s="408"/>
      <c r="HQ221" s="408"/>
      <c r="HR221" s="408"/>
      <c r="HS221" s="408"/>
      <c r="HT221" s="408"/>
      <c r="HU221" s="408"/>
      <c r="HV221" s="408"/>
      <c r="HW221" s="412"/>
    </row>
    <row r="222" spans="107:231" ht="24" customHeight="1">
      <c r="EB222" s="411"/>
      <c r="EC222" s="408"/>
      <c r="ED222" s="408"/>
      <c r="EE222" s="408"/>
      <c r="EF222" s="408"/>
      <c r="EG222" s="408"/>
      <c r="EH222" s="408"/>
      <c r="EI222" s="408"/>
      <c r="EJ222" s="408"/>
      <c r="EK222" s="408"/>
      <c r="EL222" s="408"/>
      <c r="EM222" s="408"/>
      <c r="EN222" s="408"/>
      <c r="EO222" s="408"/>
      <c r="EP222" s="408"/>
      <c r="EQ222" s="408"/>
      <c r="ER222" s="408"/>
      <c r="ES222" s="408"/>
      <c r="ET222" s="408"/>
      <c r="EU222" s="408"/>
      <c r="EV222" s="408"/>
      <c r="EW222" s="408"/>
      <c r="EX222" s="408"/>
      <c r="EY222" s="408"/>
      <c r="EZ222" s="412"/>
      <c r="FZ222" s="411"/>
      <c r="GA222" s="408"/>
      <c r="GB222" s="408"/>
      <c r="GC222" s="408"/>
      <c r="GD222" s="408"/>
      <c r="GE222" s="408"/>
      <c r="GF222" s="408"/>
      <c r="GG222" s="408"/>
      <c r="GH222" s="408"/>
      <c r="GI222" s="408"/>
      <c r="GJ222" s="408"/>
      <c r="GK222" s="408"/>
      <c r="GL222" s="408"/>
      <c r="GM222" s="408"/>
      <c r="GN222" s="408"/>
      <c r="GO222" s="408"/>
      <c r="GP222" s="408"/>
      <c r="GQ222" s="408"/>
      <c r="GR222" s="408"/>
      <c r="GS222" s="408"/>
      <c r="GT222" s="408"/>
      <c r="GU222" s="408"/>
      <c r="GV222" s="408"/>
      <c r="GW222" s="408"/>
      <c r="GX222" s="412"/>
      <c r="GY222" s="411"/>
      <c r="GZ222" s="408"/>
      <c r="HA222" s="408"/>
      <c r="HB222" s="408"/>
      <c r="HC222" s="408"/>
      <c r="HD222" s="408"/>
      <c r="HE222" s="408"/>
      <c r="HF222" s="408"/>
      <c r="HG222" s="408"/>
      <c r="HH222" s="408"/>
      <c r="HI222" s="408"/>
      <c r="HJ222" s="408"/>
      <c r="HK222" s="408"/>
      <c r="HL222" s="408"/>
      <c r="HM222" s="408"/>
      <c r="HN222" s="408"/>
      <c r="HO222" s="408"/>
      <c r="HP222" s="408"/>
      <c r="HQ222" s="408"/>
      <c r="HR222" s="408"/>
      <c r="HS222" s="408"/>
      <c r="HT222" s="408"/>
      <c r="HU222" s="408"/>
      <c r="HV222" s="408"/>
      <c r="HW222" s="412"/>
    </row>
    <row r="223" spans="107:231" ht="24" customHeight="1">
      <c r="EB223" s="411"/>
      <c r="EC223" s="408"/>
      <c r="ED223" s="408"/>
      <c r="EE223" s="408"/>
      <c r="EF223" s="408"/>
      <c r="EG223" s="408"/>
      <c r="EH223" s="408"/>
      <c r="EI223" s="408"/>
      <c r="EJ223" s="408"/>
      <c r="EK223" s="408"/>
      <c r="EL223" s="408"/>
      <c r="EM223" s="408"/>
      <c r="EN223" s="408"/>
      <c r="EO223" s="408"/>
      <c r="EP223" s="408"/>
      <c r="EQ223" s="408"/>
      <c r="ER223" s="408"/>
      <c r="ES223" s="408"/>
      <c r="ET223" s="408"/>
      <c r="EU223" s="408"/>
      <c r="EV223" s="408"/>
      <c r="EW223" s="408"/>
      <c r="EX223" s="408"/>
      <c r="EY223" s="408"/>
      <c r="EZ223" s="412"/>
      <c r="FZ223" s="411"/>
      <c r="GA223" s="408"/>
      <c r="GB223" s="408"/>
      <c r="GC223" s="408"/>
      <c r="GD223" s="408"/>
      <c r="GE223" s="408"/>
      <c r="GF223" s="408"/>
      <c r="GG223" s="408"/>
      <c r="GH223" s="408"/>
      <c r="GI223" s="408"/>
      <c r="GJ223" s="408"/>
      <c r="GK223" s="408"/>
      <c r="GL223" s="408"/>
      <c r="GM223" s="408"/>
      <c r="GN223" s="408"/>
      <c r="GO223" s="408"/>
      <c r="GP223" s="408"/>
      <c r="GQ223" s="408"/>
      <c r="GR223" s="408"/>
      <c r="GS223" s="408"/>
      <c r="GT223" s="408"/>
      <c r="GU223" s="408"/>
      <c r="GV223" s="408"/>
      <c r="GW223" s="408"/>
      <c r="GX223" s="412"/>
      <c r="GY223" s="411"/>
      <c r="GZ223" s="408"/>
      <c r="HA223" s="408"/>
      <c r="HB223" s="408"/>
      <c r="HC223" s="408"/>
      <c r="HD223" s="408"/>
      <c r="HE223" s="408"/>
      <c r="HF223" s="408"/>
      <c r="HG223" s="408"/>
      <c r="HH223" s="408"/>
      <c r="HI223" s="408"/>
      <c r="HJ223" s="408"/>
      <c r="HK223" s="408"/>
      <c r="HL223" s="408"/>
      <c r="HM223" s="408"/>
      <c r="HN223" s="408"/>
      <c r="HO223" s="408"/>
      <c r="HP223" s="408"/>
      <c r="HQ223" s="408"/>
      <c r="HR223" s="408"/>
      <c r="HS223" s="408"/>
      <c r="HT223" s="408"/>
      <c r="HU223" s="408"/>
      <c r="HV223" s="408"/>
      <c r="HW223" s="412"/>
    </row>
    <row r="224" spans="107:231" ht="24" customHeight="1">
      <c r="EB224" s="411"/>
      <c r="EC224" s="408"/>
      <c r="ED224" s="408"/>
      <c r="EE224" s="408"/>
      <c r="EF224" s="408"/>
      <c r="EG224" s="408"/>
      <c r="EH224" s="408"/>
      <c r="EI224" s="408"/>
      <c r="EJ224" s="408"/>
      <c r="EK224" s="408"/>
      <c r="EL224" s="408"/>
      <c r="EM224" s="408"/>
      <c r="EN224" s="408"/>
      <c r="EO224" s="408"/>
      <c r="EP224" s="408"/>
      <c r="EQ224" s="408"/>
      <c r="ER224" s="408"/>
      <c r="ES224" s="408"/>
      <c r="ET224" s="408"/>
      <c r="EU224" s="408"/>
      <c r="EV224" s="408"/>
      <c r="EW224" s="408"/>
      <c r="EX224" s="408"/>
      <c r="EY224" s="408"/>
      <c r="EZ224" s="412"/>
      <c r="FZ224" s="411"/>
      <c r="GA224" s="408"/>
      <c r="GB224" s="408"/>
      <c r="GC224" s="408"/>
      <c r="GD224" s="408"/>
      <c r="GE224" s="408"/>
      <c r="GF224" s="408"/>
      <c r="GG224" s="408"/>
      <c r="GH224" s="408"/>
      <c r="GI224" s="408"/>
      <c r="GJ224" s="408"/>
      <c r="GK224" s="408"/>
      <c r="GL224" s="408"/>
      <c r="GM224" s="408"/>
      <c r="GN224" s="408"/>
      <c r="GO224" s="408"/>
      <c r="GP224" s="408"/>
      <c r="GQ224" s="408"/>
      <c r="GR224" s="408"/>
      <c r="GS224" s="408"/>
      <c r="GT224" s="408"/>
      <c r="GU224" s="408"/>
      <c r="GV224" s="408"/>
      <c r="GW224" s="408"/>
      <c r="GX224" s="412"/>
      <c r="GY224" s="411"/>
      <c r="GZ224" s="408"/>
      <c r="HA224" s="408"/>
      <c r="HB224" s="408"/>
      <c r="HC224" s="408"/>
      <c r="HD224" s="408"/>
      <c r="HE224" s="408"/>
      <c r="HF224" s="408"/>
      <c r="HG224" s="408"/>
      <c r="HH224" s="408"/>
      <c r="HI224" s="408"/>
      <c r="HJ224" s="408"/>
      <c r="HK224" s="408"/>
      <c r="HL224" s="408"/>
      <c r="HM224" s="408"/>
      <c r="HN224" s="408"/>
      <c r="HO224" s="408"/>
      <c r="HP224" s="408"/>
      <c r="HQ224" s="408"/>
      <c r="HR224" s="408"/>
      <c r="HS224" s="408"/>
      <c r="HT224" s="408"/>
      <c r="HU224" s="408"/>
      <c r="HV224" s="408"/>
      <c r="HW224" s="412"/>
    </row>
    <row r="225" spans="132:231" ht="24" customHeight="1">
      <c r="EB225" s="411"/>
      <c r="EC225" s="408"/>
      <c r="ED225" s="408"/>
      <c r="EE225" s="408"/>
      <c r="EF225" s="408"/>
      <c r="EG225" s="408"/>
      <c r="EH225" s="408"/>
      <c r="EI225" s="408"/>
      <c r="EJ225" s="408"/>
      <c r="EK225" s="408"/>
      <c r="EL225" s="408"/>
      <c r="EM225" s="408"/>
      <c r="EN225" s="408"/>
      <c r="EO225" s="408"/>
      <c r="EP225" s="408"/>
      <c r="EQ225" s="408"/>
      <c r="ER225" s="408"/>
      <c r="ES225" s="408"/>
      <c r="ET225" s="408"/>
      <c r="EU225" s="408"/>
      <c r="EV225" s="408"/>
      <c r="EW225" s="408"/>
      <c r="EX225" s="408"/>
      <c r="EY225" s="408"/>
      <c r="EZ225" s="412"/>
      <c r="FZ225" s="411"/>
      <c r="GA225" s="408"/>
      <c r="GB225" s="408"/>
      <c r="GC225" s="408"/>
      <c r="GD225" s="408"/>
      <c r="GE225" s="408"/>
      <c r="GF225" s="408"/>
      <c r="GG225" s="408"/>
      <c r="GH225" s="408"/>
      <c r="GI225" s="408"/>
      <c r="GJ225" s="408"/>
      <c r="GK225" s="408"/>
      <c r="GL225" s="408"/>
      <c r="GM225" s="408"/>
      <c r="GN225" s="408"/>
      <c r="GO225" s="408"/>
      <c r="GP225" s="408"/>
      <c r="GQ225" s="408"/>
      <c r="GR225" s="408"/>
      <c r="GS225" s="408"/>
      <c r="GT225" s="408"/>
      <c r="GU225" s="408"/>
      <c r="GV225" s="408"/>
      <c r="GW225" s="408"/>
      <c r="GX225" s="412"/>
      <c r="GY225" s="411"/>
      <c r="GZ225" s="408"/>
      <c r="HA225" s="408"/>
      <c r="HB225" s="408"/>
      <c r="HC225" s="408"/>
      <c r="HD225" s="408"/>
      <c r="HE225" s="408"/>
      <c r="HF225" s="408"/>
      <c r="HG225" s="408"/>
      <c r="HH225" s="408"/>
      <c r="HI225" s="408"/>
      <c r="HJ225" s="408"/>
      <c r="HK225" s="408"/>
      <c r="HL225" s="408"/>
      <c r="HM225" s="408"/>
      <c r="HN225" s="408"/>
      <c r="HO225" s="408"/>
      <c r="HP225" s="408"/>
      <c r="HQ225" s="408"/>
      <c r="HR225" s="408"/>
      <c r="HS225" s="408"/>
      <c r="HT225" s="408"/>
      <c r="HU225" s="408"/>
      <c r="HV225" s="408"/>
      <c r="HW225" s="412"/>
    </row>
    <row r="226" spans="132:231" ht="24" customHeight="1">
      <c r="EB226" s="411"/>
      <c r="EC226" s="408"/>
      <c r="ED226" s="408"/>
      <c r="EE226" s="408"/>
      <c r="EF226" s="408"/>
      <c r="EG226" s="408"/>
      <c r="EH226" s="408"/>
      <c r="EI226" s="408"/>
      <c r="EJ226" s="408"/>
      <c r="EK226" s="408"/>
      <c r="EL226" s="408"/>
      <c r="EM226" s="408"/>
      <c r="EN226" s="408"/>
      <c r="EO226" s="408"/>
      <c r="EP226" s="408"/>
      <c r="EQ226" s="408"/>
      <c r="ER226" s="408"/>
      <c r="ES226" s="408"/>
      <c r="ET226" s="408"/>
      <c r="EU226" s="408"/>
      <c r="EV226" s="408"/>
      <c r="EW226" s="408"/>
      <c r="EX226" s="408"/>
      <c r="EY226" s="408"/>
      <c r="EZ226" s="412"/>
      <c r="FZ226" s="411"/>
      <c r="GA226" s="408"/>
      <c r="GB226" s="408"/>
      <c r="GC226" s="408"/>
      <c r="GD226" s="408"/>
      <c r="GE226" s="408"/>
      <c r="GF226" s="408"/>
      <c r="GG226" s="408"/>
      <c r="GH226" s="408"/>
      <c r="GI226" s="408"/>
      <c r="GJ226" s="408"/>
      <c r="GK226" s="408"/>
      <c r="GL226" s="408"/>
      <c r="GM226" s="408"/>
      <c r="GN226" s="408"/>
      <c r="GO226" s="408"/>
      <c r="GP226" s="408"/>
      <c r="GQ226" s="408"/>
      <c r="GR226" s="408"/>
      <c r="GS226" s="408"/>
      <c r="GT226" s="408"/>
      <c r="GU226" s="408"/>
      <c r="GV226" s="408"/>
      <c r="GW226" s="408"/>
      <c r="GX226" s="412"/>
      <c r="GY226" s="411"/>
      <c r="GZ226" s="408"/>
      <c r="HA226" s="408"/>
      <c r="HB226" s="408"/>
      <c r="HC226" s="408"/>
      <c r="HD226" s="408"/>
      <c r="HE226" s="408"/>
      <c r="HF226" s="408"/>
      <c r="HG226" s="408"/>
      <c r="HH226" s="408"/>
      <c r="HI226" s="408"/>
      <c r="HJ226" s="408"/>
      <c r="HK226" s="408"/>
      <c r="HL226" s="408"/>
      <c r="HM226" s="408"/>
      <c r="HN226" s="408"/>
      <c r="HO226" s="408"/>
      <c r="HP226" s="408"/>
      <c r="HQ226" s="408"/>
      <c r="HR226" s="408"/>
      <c r="HS226" s="408"/>
      <c r="HT226" s="408"/>
      <c r="HU226" s="408"/>
      <c r="HV226" s="408"/>
      <c r="HW226" s="412"/>
    </row>
    <row r="227" spans="132:231" ht="24" customHeight="1" thickBot="1">
      <c r="EB227" s="411"/>
      <c r="EC227" s="413"/>
      <c r="ED227" s="413"/>
      <c r="EE227" s="413"/>
      <c r="EF227" s="408"/>
      <c r="EG227" s="408"/>
      <c r="EH227" s="408"/>
      <c r="EI227" s="408"/>
      <c r="EJ227" s="408"/>
      <c r="EK227" s="408"/>
      <c r="EL227" s="408"/>
      <c r="EM227" s="408"/>
      <c r="EN227" s="408"/>
      <c r="EO227" s="408"/>
      <c r="EP227" s="408"/>
      <c r="EQ227" s="408"/>
      <c r="ER227" s="408"/>
      <c r="ES227" s="408"/>
      <c r="ET227" s="408"/>
      <c r="EU227" s="408"/>
      <c r="EV227" s="408"/>
      <c r="EW227" s="408"/>
      <c r="EX227" s="408"/>
      <c r="EY227" s="408"/>
      <c r="EZ227" s="412"/>
      <c r="FZ227" s="411"/>
      <c r="GA227" s="413"/>
      <c r="GB227" s="413"/>
      <c r="GC227" s="413"/>
      <c r="GD227" s="408"/>
      <c r="GE227" s="408"/>
      <c r="GF227" s="408"/>
      <c r="GG227" s="408"/>
      <c r="GH227" s="408"/>
      <c r="GI227" s="408"/>
      <c r="GJ227" s="408"/>
      <c r="GK227" s="408"/>
      <c r="GL227" s="408"/>
      <c r="GM227" s="408"/>
      <c r="GN227" s="408"/>
      <c r="GO227" s="408"/>
      <c r="GP227" s="408"/>
      <c r="GQ227" s="408"/>
      <c r="GR227" s="408"/>
      <c r="GS227" s="408"/>
      <c r="GT227" s="408"/>
      <c r="GU227" s="408"/>
      <c r="GV227" s="408"/>
      <c r="GW227" s="408"/>
      <c r="GX227" s="412"/>
      <c r="GY227" s="411"/>
      <c r="GZ227" s="413"/>
      <c r="HA227" s="413"/>
      <c r="HB227" s="413"/>
      <c r="HC227" s="408"/>
      <c r="HD227" s="408"/>
      <c r="HE227" s="408"/>
      <c r="HF227" s="408"/>
      <c r="HG227" s="408"/>
      <c r="HH227" s="408"/>
      <c r="HI227" s="408"/>
      <c r="HJ227" s="408"/>
      <c r="HK227" s="408"/>
      <c r="HL227" s="408"/>
      <c r="HM227" s="408"/>
      <c r="HN227" s="408"/>
      <c r="HO227" s="408"/>
      <c r="HP227" s="408"/>
      <c r="HQ227" s="408"/>
      <c r="HR227" s="408"/>
      <c r="HS227" s="408"/>
      <c r="HT227" s="408"/>
      <c r="HU227" s="408"/>
      <c r="HV227" s="408"/>
      <c r="HW227" s="412"/>
    </row>
    <row r="228" spans="132:231" ht="24" customHeight="1" thickBot="1">
      <c r="EB228" s="416"/>
      <c r="EC228" s="2116" t="str">
        <f>'Вывод расчетов'!$CC$9</f>
        <v>Раздел 2</v>
      </c>
      <c r="ED228" s="2114"/>
      <c r="EE228" s="2114"/>
      <c r="EF228" s="417"/>
      <c r="EG228" s="2116" t="str">
        <f>'Вывод расчетов'!$CF$9</f>
        <v>Расчет обмотки статора</v>
      </c>
      <c r="EH228" s="2114"/>
      <c r="EI228" s="2114"/>
      <c r="EJ228" s="2114"/>
      <c r="EK228" s="2114"/>
      <c r="EL228" s="2114"/>
      <c r="EM228" s="2114"/>
      <c r="EN228" s="2114"/>
      <c r="EO228" s="2114"/>
      <c r="EP228" s="2114"/>
      <c r="EQ228" s="2114"/>
      <c r="ER228" s="2117"/>
      <c r="ES228" s="417"/>
      <c r="ET228" s="2116" t="s">
        <v>1369</v>
      </c>
      <c r="EU228" s="2114"/>
      <c r="EV228" s="2117"/>
      <c r="EW228" s="417"/>
      <c r="EX228" s="2116">
        <v>11</v>
      </c>
      <c r="EY228" s="2117"/>
      <c r="EZ228" s="418"/>
      <c r="FZ228" s="416"/>
      <c r="GA228" s="2116" t="str">
        <f>'Вывод расчетов'!$CC$9</f>
        <v>Раздел 2</v>
      </c>
      <c r="GB228" s="2114"/>
      <c r="GC228" s="2114"/>
      <c r="GD228" s="417"/>
      <c r="GE228" s="2116" t="str">
        <f>'Вывод расчетов'!$CF$9</f>
        <v>Расчет обмотки статора</v>
      </c>
      <c r="GF228" s="2114"/>
      <c r="GG228" s="2114"/>
      <c r="GH228" s="2114"/>
      <c r="GI228" s="2114"/>
      <c r="GJ228" s="2114"/>
      <c r="GK228" s="2114"/>
      <c r="GL228" s="2114"/>
      <c r="GM228" s="2114"/>
      <c r="GN228" s="2114"/>
      <c r="GO228" s="2114"/>
      <c r="GP228" s="2117"/>
      <c r="GQ228" s="417"/>
      <c r="GR228" s="2116" t="s">
        <v>1369</v>
      </c>
      <c r="GS228" s="2114"/>
      <c r="GT228" s="2117"/>
      <c r="GU228" s="417"/>
      <c r="GV228" s="2116">
        <v>11</v>
      </c>
      <c r="GW228" s="2117"/>
      <c r="GX228" s="418"/>
      <c r="GY228" s="416"/>
      <c r="GZ228" s="2116" t="str">
        <f>'Вывод расчетов'!$CC$9</f>
        <v>Раздел 2</v>
      </c>
      <c r="HA228" s="2114"/>
      <c r="HB228" s="2114"/>
      <c r="HC228" s="417"/>
      <c r="HD228" s="2116" t="str">
        <f>'Вывод расчетов'!$CF$9</f>
        <v>Расчет обмотки статора</v>
      </c>
      <c r="HE228" s="2114"/>
      <c r="HF228" s="2114"/>
      <c r="HG228" s="2114"/>
      <c r="HH228" s="2114"/>
      <c r="HI228" s="2114"/>
      <c r="HJ228" s="2114"/>
      <c r="HK228" s="2114"/>
      <c r="HL228" s="2114"/>
      <c r="HM228" s="2114"/>
      <c r="HN228" s="2114"/>
      <c r="HO228" s="2117"/>
      <c r="HP228" s="417"/>
      <c r="HQ228" s="2116" t="s">
        <v>1369</v>
      </c>
      <c r="HR228" s="2114"/>
      <c r="HS228" s="2117"/>
      <c r="HT228" s="417"/>
      <c r="HU228" s="2116">
        <v>11</v>
      </c>
      <c r="HV228" s="2117"/>
      <c r="HW228" s="418"/>
    </row>
    <row r="229" spans="132:231" ht="24" customHeight="1" thickBot="1">
      <c r="EB229" s="2113" t="s">
        <v>1111</v>
      </c>
      <c r="EC229" s="2114"/>
      <c r="ED229" s="2114"/>
      <c r="EE229" s="2114"/>
      <c r="EF229" s="2114"/>
      <c r="EG229" s="2114"/>
      <c r="EH229" s="2114"/>
      <c r="EI229" s="2114"/>
      <c r="EJ229" s="2114"/>
      <c r="EK229" s="2114"/>
      <c r="EL229" s="2114"/>
      <c r="EM229" s="2114"/>
      <c r="EN229" s="2114"/>
      <c r="EO229" s="2114"/>
      <c r="EP229" s="2114"/>
      <c r="EQ229" s="2114"/>
      <c r="ER229" s="2114"/>
      <c r="ES229" s="2114"/>
      <c r="ET229" s="2114"/>
      <c r="EU229" s="2114"/>
      <c r="EV229" s="2114"/>
      <c r="EW229" s="2114"/>
      <c r="EX229" s="2114"/>
      <c r="EY229" s="2114"/>
      <c r="EZ229" s="2115"/>
      <c r="FZ229" s="2113" t="s">
        <v>1111</v>
      </c>
      <c r="GA229" s="2114"/>
      <c r="GB229" s="2114"/>
      <c r="GC229" s="2114"/>
      <c r="GD229" s="2114"/>
      <c r="GE229" s="2114"/>
      <c r="GF229" s="2114"/>
      <c r="GG229" s="2114"/>
      <c r="GH229" s="2114"/>
      <c r="GI229" s="2114"/>
      <c r="GJ229" s="2114"/>
      <c r="GK229" s="2114"/>
      <c r="GL229" s="2114"/>
      <c r="GM229" s="2114"/>
      <c r="GN229" s="2114"/>
      <c r="GO229" s="2114"/>
      <c r="GP229" s="2114"/>
      <c r="GQ229" s="2114"/>
      <c r="GR229" s="2114"/>
      <c r="GS229" s="2114"/>
      <c r="GT229" s="2114"/>
      <c r="GU229" s="2114"/>
      <c r="GV229" s="2114"/>
      <c r="GW229" s="2114"/>
      <c r="GX229" s="2115"/>
      <c r="GY229" s="2113" t="s">
        <v>1111</v>
      </c>
      <c r="GZ229" s="2114"/>
      <c r="HA229" s="2114"/>
      <c r="HB229" s="2114"/>
      <c r="HC229" s="2114"/>
      <c r="HD229" s="2114"/>
      <c r="HE229" s="2114"/>
      <c r="HF229" s="2114"/>
      <c r="HG229" s="2114"/>
      <c r="HH229" s="2114"/>
      <c r="HI229" s="2114"/>
      <c r="HJ229" s="2114"/>
      <c r="HK229" s="2114"/>
      <c r="HL229" s="2114"/>
      <c r="HM229" s="2114"/>
      <c r="HN229" s="2114"/>
      <c r="HO229" s="2114"/>
      <c r="HP229" s="2114"/>
      <c r="HQ229" s="2114"/>
      <c r="HR229" s="2114"/>
      <c r="HS229" s="2114"/>
      <c r="HT229" s="2114"/>
      <c r="HU229" s="2114"/>
      <c r="HV229" s="2114"/>
      <c r="HW229" s="2115"/>
    </row>
    <row r="230" spans="132:231" ht="24" customHeight="1">
      <c r="EB230" s="409"/>
      <c r="EC230" s="410"/>
      <c r="ED230" s="410"/>
      <c r="EE230" s="410"/>
      <c r="EF230" s="410"/>
      <c r="EG230" s="410"/>
      <c r="EH230" s="410"/>
      <c r="EI230" s="410"/>
      <c r="EJ230" s="410"/>
      <c r="EK230" s="410"/>
      <c r="EL230" s="410"/>
      <c r="EM230" s="410"/>
      <c r="EN230" s="410"/>
      <c r="EO230" s="410"/>
      <c r="EP230" s="410"/>
      <c r="EQ230" s="410"/>
      <c r="ER230" s="410"/>
      <c r="ES230" s="410"/>
      <c r="ET230" s="410"/>
      <c r="EU230" s="410"/>
      <c r="EV230" s="410"/>
      <c r="EW230" s="410"/>
      <c r="EX230" s="410"/>
      <c r="EY230" s="410"/>
      <c r="EZ230" s="419"/>
      <c r="FZ230" s="409"/>
      <c r="GA230" s="410"/>
      <c r="GB230" s="410"/>
      <c r="GC230" s="410"/>
      <c r="GD230" s="410"/>
      <c r="GE230" s="410"/>
      <c r="GF230" s="410"/>
      <c r="GG230" s="410"/>
      <c r="GH230" s="410"/>
      <c r="GI230" s="410"/>
      <c r="GJ230" s="410"/>
      <c r="GK230" s="410"/>
      <c r="GL230" s="410"/>
      <c r="GM230" s="410"/>
      <c r="GN230" s="410"/>
      <c r="GO230" s="410"/>
      <c r="GP230" s="410"/>
      <c r="GQ230" s="410"/>
      <c r="GR230" s="410"/>
      <c r="GS230" s="410"/>
      <c r="GT230" s="410"/>
      <c r="GU230" s="410"/>
      <c r="GV230" s="410"/>
      <c r="GW230" s="410"/>
      <c r="GX230" s="419"/>
      <c r="GY230" s="409"/>
      <c r="GZ230" s="410"/>
      <c r="HA230" s="410"/>
      <c r="HB230" s="410"/>
      <c r="HC230" s="410"/>
      <c r="HD230" s="410"/>
      <c r="HE230" s="410"/>
      <c r="HF230" s="410"/>
      <c r="HG230" s="410"/>
      <c r="HH230" s="410"/>
      <c r="HI230" s="410"/>
      <c r="HJ230" s="410"/>
      <c r="HK230" s="410"/>
      <c r="HL230" s="410"/>
      <c r="HM230" s="410"/>
      <c r="HN230" s="410"/>
      <c r="HO230" s="410"/>
      <c r="HP230" s="410"/>
      <c r="HQ230" s="410"/>
      <c r="HR230" s="410"/>
      <c r="HS230" s="410"/>
      <c r="HT230" s="410"/>
      <c r="HU230" s="410"/>
      <c r="HV230" s="410"/>
      <c r="HW230" s="419"/>
    </row>
    <row r="231" spans="132:231" ht="24" customHeight="1">
      <c r="EB231" s="411"/>
      <c r="EC231" s="408"/>
      <c r="ED231" s="408"/>
      <c r="EE231" s="408"/>
      <c r="EF231" s="408"/>
      <c r="EG231" s="408"/>
      <c r="EH231" s="408"/>
      <c r="EI231" s="408"/>
      <c r="EJ231" s="408"/>
      <c r="EK231" s="408"/>
      <c r="EL231" s="408"/>
      <c r="EM231" s="408"/>
      <c r="EN231" s="408"/>
      <c r="EO231" s="408"/>
      <c r="EP231" s="408"/>
      <c r="EQ231" s="408"/>
      <c r="ER231" s="408"/>
      <c r="ES231" s="408"/>
      <c r="ET231" s="408"/>
      <c r="EU231" s="408"/>
      <c r="EV231" s="408"/>
      <c r="EW231" s="408"/>
      <c r="EX231" s="408"/>
      <c r="EY231" s="408"/>
      <c r="EZ231" s="412"/>
      <c r="FZ231" s="411"/>
      <c r="GA231" s="408"/>
      <c r="GB231" s="408"/>
      <c r="GC231" s="408"/>
      <c r="GD231" s="408"/>
      <c r="GE231" s="408"/>
      <c r="GF231" s="408"/>
      <c r="GG231" s="408"/>
      <c r="GH231" s="408"/>
      <c r="GI231" s="408"/>
      <c r="GJ231" s="408"/>
      <c r="GK231" s="408"/>
      <c r="GL231" s="408"/>
      <c r="GM231" s="408"/>
      <c r="GN231" s="408"/>
      <c r="GO231" s="408"/>
      <c r="GP231" s="408"/>
      <c r="GQ231" s="408"/>
      <c r="GR231" s="408"/>
      <c r="GS231" s="408"/>
      <c r="GT231" s="408"/>
      <c r="GU231" s="408"/>
      <c r="GV231" s="408"/>
      <c r="GW231" s="408"/>
      <c r="GX231" s="412"/>
      <c r="GY231" s="411"/>
      <c r="GZ231" s="408"/>
      <c r="HA231" s="408"/>
      <c r="HB231" s="408"/>
      <c r="HC231" s="408"/>
      <c r="HD231" s="408"/>
      <c r="HE231" s="408"/>
      <c r="HF231" s="408"/>
      <c r="HG231" s="408"/>
      <c r="HH231" s="408"/>
      <c r="HI231" s="408"/>
      <c r="HJ231" s="408"/>
      <c r="HK231" s="408"/>
      <c r="HL231" s="408"/>
      <c r="HM231" s="408"/>
      <c r="HN231" s="408"/>
      <c r="HO231" s="408"/>
      <c r="HP231" s="408"/>
      <c r="HQ231" s="408"/>
      <c r="HR231" s="408"/>
      <c r="HS231" s="408"/>
      <c r="HT231" s="408"/>
      <c r="HU231" s="408"/>
      <c r="HV231" s="408"/>
      <c r="HW231" s="412"/>
    </row>
    <row r="232" spans="132:231" ht="24" customHeight="1">
      <c r="EB232" s="411"/>
      <c r="EC232" s="408"/>
      <c r="ED232" s="408"/>
      <c r="EE232" s="408"/>
      <c r="EF232" s="408"/>
      <c r="EG232" s="408"/>
      <c r="EH232" s="408"/>
      <c r="EI232" s="408"/>
      <c r="EJ232" s="408"/>
      <c r="EK232" s="408"/>
      <c r="EL232" s="408"/>
      <c r="EM232" s="408"/>
      <c r="EN232" s="408"/>
      <c r="EO232" s="408"/>
      <c r="EP232" s="408"/>
      <c r="EQ232" s="408"/>
      <c r="ER232" s="408"/>
      <c r="ES232" s="408"/>
      <c r="ET232" s="408"/>
      <c r="EU232" s="408"/>
      <c r="EV232" s="408"/>
      <c r="EW232" s="408"/>
      <c r="EX232" s="408"/>
      <c r="EY232" s="408"/>
      <c r="EZ232" s="412"/>
      <c r="FZ232" s="411"/>
      <c r="GA232" s="408"/>
      <c r="GB232" s="408"/>
      <c r="GC232" s="408"/>
      <c r="GD232" s="408"/>
      <c r="GE232" s="408"/>
      <c r="GF232" s="408"/>
      <c r="GG232" s="408"/>
      <c r="GH232" s="408"/>
      <c r="GI232" s="408"/>
      <c r="GJ232" s="408"/>
      <c r="GK232" s="408"/>
      <c r="GL232" s="408"/>
      <c r="GM232" s="408"/>
      <c r="GN232" s="408"/>
      <c r="GO232" s="408"/>
      <c r="GP232" s="408"/>
      <c r="GQ232" s="408"/>
      <c r="GR232" s="408"/>
      <c r="GS232" s="408"/>
      <c r="GT232" s="408"/>
      <c r="GU232" s="408"/>
      <c r="GV232" s="408"/>
      <c r="GW232" s="408"/>
      <c r="GX232" s="412"/>
      <c r="GY232" s="411"/>
      <c r="GZ232" s="408"/>
      <c r="HA232" s="408"/>
      <c r="HB232" s="408"/>
      <c r="HC232" s="408"/>
      <c r="HD232" s="408"/>
      <c r="HE232" s="408"/>
      <c r="HF232" s="408"/>
      <c r="HG232" s="408"/>
      <c r="HH232" s="408"/>
      <c r="HI232" s="408"/>
      <c r="HJ232" s="408"/>
      <c r="HK232" s="408"/>
      <c r="HL232" s="408"/>
      <c r="HM232" s="408"/>
      <c r="HN232" s="408"/>
      <c r="HO232" s="408"/>
      <c r="HP232" s="408"/>
      <c r="HQ232" s="408"/>
      <c r="HR232" s="408"/>
      <c r="HS232" s="408"/>
      <c r="HT232" s="408"/>
      <c r="HU232" s="408"/>
      <c r="HV232" s="408"/>
      <c r="HW232" s="412"/>
    </row>
    <row r="233" spans="132:231" ht="24" customHeight="1">
      <c r="EB233" s="411"/>
      <c r="EC233" s="408"/>
      <c r="ED233" s="408"/>
      <c r="EE233" s="408"/>
      <c r="EF233" s="408"/>
      <c r="EG233" s="408"/>
      <c r="EH233" s="408"/>
      <c r="EI233" s="408"/>
      <c r="EJ233" s="408"/>
      <c r="EK233" s="408"/>
      <c r="EL233" s="408"/>
      <c r="EM233" s="408"/>
      <c r="EN233" s="408"/>
      <c r="EO233" s="408"/>
      <c r="EP233" s="408"/>
      <c r="EQ233" s="408"/>
      <c r="ER233" s="408"/>
      <c r="ES233" s="408"/>
      <c r="ET233" s="408"/>
      <c r="EU233" s="408"/>
      <c r="EV233" s="408"/>
      <c r="EW233" s="408"/>
      <c r="EX233" s="408"/>
      <c r="EY233" s="408"/>
      <c r="EZ233" s="412"/>
      <c r="FZ233" s="411"/>
      <c r="GA233" s="408"/>
      <c r="GB233" s="408"/>
      <c r="GC233" s="408"/>
      <c r="GD233" s="408"/>
      <c r="GE233" s="408"/>
      <c r="GF233" s="408"/>
      <c r="GG233" s="408"/>
      <c r="GH233" s="408"/>
      <c r="GI233" s="408"/>
      <c r="GJ233" s="408"/>
      <c r="GK233" s="408"/>
      <c r="GL233" s="408"/>
      <c r="GM233" s="408"/>
      <c r="GN233" s="408"/>
      <c r="GO233" s="408"/>
      <c r="GP233" s="408"/>
      <c r="GQ233" s="408"/>
      <c r="GR233" s="408"/>
      <c r="GS233" s="408"/>
      <c r="GT233" s="408"/>
      <c r="GU233" s="408"/>
      <c r="GV233" s="408"/>
      <c r="GW233" s="408"/>
      <c r="GX233" s="412"/>
      <c r="GY233" s="411"/>
      <c r="GZ233" s="408"/>
      <c r="HA233" s="408"/>
      <c r="HB233" s="408"/>
      <c r="HC233" s="408"/>
      <c r="HD233" s="408"/>
      <c r="HE233" s="408"/>
      <c r="HF233" s="408"/>
      <c r="HG233" s="408"/>
      <c r="HH233" s="408"/>
      <c r="HI233" s="408"/>
      <c r="HJ233" s="408"/>
      <c r="HK233" s="408"/>
      <c r="HL233" s="408"/>
      <c r="HM233" s="408"/>
      <c r="HN233" s="408"/>
      <c r="HO233" s="408"/>
      <c r="HP233" s="408"/>
      <c r="HQ233" s="408"/>
      <c r="HR233" s="408"/>
      <c r="HS233" s="408"/>
      <c r="HT233" s="408"/>
      <c r="HU233" s="408"/>
      <c r="HV233" s="408"/>
      <c r="HW233" s="412"/>
    </row>
    <row r="234" spans="132:231" ht="24" customHeight="1">
      <c r="EB234" s="411"/>
      <c r="EC234" s="408"/>
      <c r="ED234" s="408"/>
      <c r="EE234" s="408"/>
      <c r="EF234" s="408"/>
      <c r="EG234" s="408"/>
      <c r="EH234" s="408"/>
      <c r="EI234" s="408"/>
      <c r="EJ234" s="408"/>
      <c r="EK234" s="408"/>
      <c r="EL234" s="408"/>
      <c r="EM234" s="408"/>
      <c r="EN234" s="408"/>
      <c r="EO234" s="408"/>
      <c r="EP234" s="408"/>
      <c r="EQ234" s="408"/>
      <c r="ER234" s="408"/>
      <c r="ES234" s="408"/>
      <c r="ET234" s="408"/>
      <c r="EU234" s="408"/>
      <c r="EV234" s="408"/>
      <c r="EW234" s="408"/>
      <c r="EX234" s="408"/>
      <c r="EY234" s="408"/>
      <c r="EZ234" s="412"/>
      <c r="FZ234" s="411"/>
      <c r="GA234" s="408"/>
      <c r="GB234" s="408"/>
      <c r="GC234" s="408"/>
      <c r="GD234" s="408"/>
      <c r="GE234" s="408"/>
      <c r="GF234" s="408"/>
      <c r="GG234" s="408"/>
      <c r="GH234" s="408"/>
      <c r="GI234" s="408"/>
      <c r="GJ234" s="408"/>
      <c r="GK234" s="408"/>
      <c r="GL234" s="408"/>
      <c r="GM234" s="408"/>
      <c r="GN234" s="408"/>
      <c r="GO234" s="408"/>
      <c r="GP234" s="408"/>
      <c r="GQ234" s="408"/>
      <c r="GR234" s="408"/>
      <c r="GS234" s="408"/>
      <c r="GT234" s="408"/>
      <c r="GU234" s="408"/>
      <c r="GV234" s="408"/>
      <c r="GW234" s="408"/>
      <c r="GX234" s="412"/>
      <c r="GY234" s="411"/>
      <c r="GZ234" s="408"/>
      <c r="HA234" s="408"/>
      <c r="HB234" s="408"/>
      <c r="HC234" s="408"/>
      <c r="HD234" s="408"/>
      <c r="HE234" s="408"/>
      <c r="HF234" s="408"/>
      <c r="HG234" s="408"/>
      <c r="HH234" s="408"/>
      <c r="HI234" s="408"/>
      <c r="HJ234" s="408"/>
      <c r="HK234" s="408"/>
      <c r="HL234" s="408"/>
      <c r="HM234" s="408"/>
      <c r="HN234" s="408"/>
      <c r="HO234" s="408"/>
      <c r="HP234" s="408"/>
      <c r="HQ234" s="408"/>
      <c r="HR234" s="408"/>
      <c r="HS234" s="408"/>
      <c r="HT234" s="408"/>
      <c r="HU234" s="408"/>
      <c r="HV234" s="408"/>
      <c r="HW234" s="412"/>
    </row>
    <row r="235" spans="132:231" ht="24" customHeight="1">
      <c r="EB235" s="411"/>
      <c r="EC235" s="408"/>
      <c r="ED235" s="408"/>
      <c r="EE235" s="408"/>
      <c r="EF235" s="408"/>
      <c r="EG235" s="408"/>
      <c r="EH235" s="408"/>
      <c r="EI235" s="408"/>
      <c r="EJ235" s="408"/>
      <c r="EK235" s="408"/>
      <c r="EL235" s="408"/>
      <c r="EM235" s="408"/>
      <c r="EN235" s="408"/>
      <c r="EO235" s="408"/>
      <c r="EP235" s="408"/>
      <c r="EQ235" s="408"/>
      <c r="ER235" s="408"/>
      <c r="ES235" s="408"/>
      <c r="ET235" s="408"/>
      <c r="EU235" s="408"/>
      <c r="EV235" s="408"/>
      <c r="EW235" s="408"/>
      <c r="EX235" s="408"/>
      <c r="EY235" s="408"/>
      <c r="EZ235" s="412"/>
      <c r="FZ235" s="411"/>
      <c r="GA235" s="408"/>
      <c r="GB235" s="408"/>
      <c r="GC235" s="408"/>
      <c r="GD235" s="408"/>
      <c r="GE235" s="408"/>
      <c r="GF235" s="408"/>
      <c r="GG235" s="408"/>
      <c r="GH235" s="408"/>
      <c r="GI235" s="408"/>
      <c r="GJ235" s="408"/>
      <c r="GK235" s="408"/>
      <c r="GL235" s="408"/>
      <c r="GM235" s="408"/>
      <c r="GN235" s="408"/>
      <c r="GO235" s="408"/>
      <c r="GP235" s="408"/>
      <c r="GQ235" s="408"/>
      <c r="GR235" s="408"/>
      <c r="GS235" s="408"/>
      <c r="GT235" s="408"/>
      <c r="GU235" s="408"/>
      <c r="GV235" s="408"/>
      <c r="GW235" s="408"/>
      <c r="GX235" s="412"/>
      <c r="GY235" s="411"/>
      <c r="GZ235" s="408"/>
      <c r="HA235" s="408"/>
      <c r="HB235" s="408"/>
      <c r="HC235" s="408"/>
      <c r="HD235" s="408"/>
      <c r="HE235" s="408"/>
      <c r="HF235" s="408"/>
      <c r="HG235" s="408"/>
      <c r="HH235" s="408"/>
      <c r="HI235" s="408"/>
      <c r="HJ235" s="408"/>
      <c r="HK235" s="408"/>
      <c r="HL235" s="408"/>
      <c r="HM235" s="408"/>
      <c r="HN235" s="408"/>
      <c r="HO235" s="408"/>
      <c r="HP235" s="408"/>
      <c r="HQ235" s="408"/>
      <c r="HR235" s="408"/>
      <c r="HS235" s="408"/>
      <c r="HT235" s="408"/>
      <c r="HU235" s="408"/>
      <c r="HV235" s="408"/>
      <c r="HW235" s="412"/>
    </row>
    <row r="236" spans="132:231" ht="24" customHeight="1">
      <c r="EB236" s="411"/>
      <c r="EC236" s="408"/>
      <c r="ED236" s="408"/>
      <c r="EE236" s="408"/>
      <c r="EF236" s="408"/>
      <c r="EG236" s="408"/>
      <c r="EH236" s="408"/>
      <c r="EI236" s="408"/>
      <c r="EJ236" s="408"/>
      <c r="EK236" s="408"/>
      <c r="EL236" s="408"/>
      <c r="EM236" s="408"/>
      <c r="EN236" s="408"/>
      <c r="EO236" s="408"/>
      <c r="EP236" s="408"/>
      <c r="EQ236" s="408"/>
      <c r="ER236" s="408"/>
      <c r="ES236" s="408"/>
      <c r="ET236" s="408"/>
      <c r="EU236" s="408"/>
      <c r="EV236" s="408"/>
      <c r="EW236" s="408"/>
      <c r="EX236" s="408"/>
      <c r="EY236" s="408"/>
      <c r="EZ236" s="412"/>
      <c r="FZ236" s="411"/>
      <c r="GA236" s="408"/>
      <c r="GB236" s="408"/>
      <c r="GC236" s="408"/>
      <c r="GD236" s="408"/>
      <c r="GE236" s="408"/>
      <c r="GF236" s="408"/>
      <c r="GG236" s="408"/>
      <c r="GH236" s="408"/>
      <c r="GI236" s="408"/>
      <c r="GJ236" s="408"/>
      <c r="GK236" s="408"/>
      <c r="GL236" s="408"/>
      <c r="GM236" s="408"/>
      <c r="GN236" s="408"/>
      <c r="GO236" s="408"/>
      <c r="GP236" s="408"/>
      <c r="GQ236" s="408"/>
      <c r="GR236" s="408"/>
      <c r="GS236" s="408"/>
      <c r="GT236" s="408"/>
      <c r="GU236" s="408"/>
      <c r="GV236" s="408"/>
      <c r="GW236" s="408"/>
      <c r="GX236" s="412"/>
      <c r="GY236" s="411"/>
      <c r="GZ236" s="408"/>
      <c r="HA236" s="408"/>
      <c r="HB236" s="408"/>
      <c r="HC236" s="408"/>
      <c r="HD236" s="408"/>
      <c r="HE236" s="408"/>
      <c r="HF236" s="408"/>
      <c r="HG236" s="408"/>
      <c r="HH236" s="408"/>
      <c r="HI236" s="408"/>
      <c r="HJ236" s="408"/>
      <c r="HK236" s="408"/>
      <c r="HL236" s="408"/>
      <c r="HM236" s="408"/>
      <c r="HN236" s="408"/>
      <c r="HO236" s="408"/>
      <c r="HP236" s="408"/>
      <c r="HQ236" s="408"/>
      <c r="HR236" s="408"/>
      <c r="HS236" s="408"/>
      <c r="HT236" s="408"/>
      <c r="HU236" s="408"/>
      <c r="HV236" s="408"/>
      <c r="HW236" s="412"/>
    </row>
    <row r="237" spans="132:231" ht="24" customHeight="1">
      <c r="EB237" s="411"/>
      <c r="EC237" s="408"/>
      <c r="ED237" s="408"/>
      <c r="EE237" s="408"/>
      <c r="EF237" s="408"/>
      <c r="EG237" s="408"/>
      <c r="EH237" s="408"/>
      <c r="EI237" s="408"/>
      <c r="EJ237" s="408"/>
      <c r="EK237" s="408"/>
      <c r="EL237" s="408"/>
      <c r="EM237" s="408"/>
      <c r="EN237" s="408"/>
      <c r="EO237" s="408"/>
      <c r="EP237" s="408"/>
      <c r="EQ237" s="408"/>
      <c r="ER237" s="408"/>
      <c r="ES237" s="408"/>
      <c r="ET237" s="408"/>
      <c r="EU237" s="408"/>
      <c r="EV237" s="408"/>
      <c r="EW237" s="408"/>
      <c r="EX237" s="408"/>
      <c r="EY237" s="408"/>
      <c r="EZ237" s="412"/>
      <c r="FZ237" s="411"/>
      <c r="GA237" s="408"/>
      <c r="GB237" s="408"/>
      <c r="GC237" s="408"/>
      <c r="GD237" s="408"/>
      <c r="GE237" s="408"/>
      <c r="GF237" s="408"/>
      <c r="GG237" s="408"/>
      <c r="GH237" s="408"/>
      <c r="GI237" s="408"/>
      <c r="GJ237" s="408"/>
      <c r="GK237" s="408"/>
      <c r="GL237" s="408"/>
      <c r="GM237" s="408"/>
      <c r="GN237" s="408"/>
      <c r="GO237" s="408"/>
      <c r="GP237" s="408"/>
      <c r="GQ237" s="408"/>
      <c r="GR237" s="408"/>
      <c r="GS237" s="408"/>
      <c r="GT237" s="408"/>
      <c r="GU237" s="408"/>
      <c r="GV237" s="408"/>
      <c r="GW237" s="408"/>
      <c r="GX237" s="412"/>
      <c r="GY237" s="411"/>
      <c r="GZ237" s="408"/>
      <c r="HA237" s="408"/>
      <c r="HB237" s="408"/>
      <c r="HC237" s="408"/>
      <c r="HD237" s="408"/>
      <c r="HE237" s="408"/>
      <c r="HF237" s="408"/>
      <c r="HG237" s="408"/>
      <c r="HH237" s="408"/>
      <c r="HI237" s="408"/>
      <c r="HJ237" s="408"/>
      <c r="HK237" s="408"/>
      <c r="HL237" s="408"/>
      <c r="HM237" s="408"/>
      <c r="HN237" s="408"/>
      <c r="HO237" s="408"/>
      <c r="HP237" s="408"/>
      <c r="HQ237" s="408"/>
      <c r="HR237" s="408"/>
      <c r="HS237" s="408"/>
      <c r="HT237" s="408"/>
      <c r="HU237" s="408"/>
      <c r="HV237" s="408"/>
      <c r="HW237" s="412"/>
    </row>
    <row r="238" spans="132:231" ht="24" customHeight="1">
      <c r="EB238" s="411"/>
      <c r="EC238" s="408"/>
      <c r="ED238" s="408"/>
      <c r="EE238" s="408"/>
      <c r="EF238" s="408"/>
      <c r="EG238" s="408"/>
      <c r="EH238" s="408"/>
      <c r="EI238" s="408"/>
      <c r="EJ238" s="408"/>
      <c r="EK238" s="408"/>
      <c r="EL238" s="408"/>
      <c r="EM238" s="408"/>
      <c r="EN238" s="408"/>
      <c r="EO238" s="408"/>
      <c r="EP238" s="408"/>
      <c r="EQ238" s="408"/>
      <c r="ER238" s="408"/>
      <c r="ES238" s="408"/>
      <c r="ET238" s="408"/>
      <c r="EU238" s="408"/>
      <c r="EV238" s="408"/>
      <c r="EW238" s="408"/>
      <c r="EX238" s="408"/>
      <c r="EY238" s="408"/>
      <c r="EZ238" s="412"/>
      <c r="FZ238" s="411"/>
      <c r="GA238" s="408"/>
      <c r="GB238" s="408"/>
      <c r="GC238" s="408"/>
      <c r="GD238" s="408"/>
      <c r="GE238" s="408"/>
      <c r="GF238" s="408"/>
      <c r="GG238" s="408"/>
      <c r="GH238" s="408"/>
      <c r="GI238" s="408"/>
      <c r="GJ238" s="408"/>
      <c r="GK238" s="408"/>
      <c r="GL238" s="408"/>
      <c r="GM238" s="408"/>
      <c r="GN238" s="408"/>
      <c r="GO238" s="408"/>
      <c r="GP238" s="408"/>
      <c r="GQ238" s="408"/>
      <c r="GR238" s="408"/>
      <c r="GS238" s="408"/>
      <c r="GT238" s="408"/>
      <c r="GU238" s="408"/>
      <c r="GV238" s="408"/>
      <c r="GW238" s="408"/>
      <c r="GX238" s="412"/>
      <c r="GY238" s="411"/>
      <c r="GZ238" s="408"/>
      <c r="HA238" s="408"/>
      <c r="HB238" s="408"/>
      <c r="HC238" s="408"/>
      <c r="HD238" s="408"/>
      <c r="HE238" s="408"/>
      <c r="HF238" s="408"/>
      <c r="HG238" s="408"/>
      <c r="HH238" s="408"/>
      <c r="HI238" s="408"/>
      <c r="HJ238" s="408"/>
      <c r="HK238" s="408"/>
      <c r="HL238" s="408"/>
      <c r="HM238" s="408"/>
      <c r="HN238" s="408"/>
      <c r="HO238" s="408"/>
      <c r="HP238" s="408"/>
      <c r="HQ238" s="408"/>
      <c r="HR238" s="408"/>
      <c r="HS238" s="408"/>
      <c r="HT238" s="408"/>
      <c r="HU238" s="408"/>
      <c r="HV238" s="408"/>
      <c r="HW238" s="412"/>
    </row>
    <row r="239" spans="132:231" ht="24" customHeight="1">
      <c r="EB239" s="411"/>
      <c r="EC239" s="408"/>
      <c r="ED239" s="408"/>
      <c r="EE239" s="408"/>
      <c r="EF239" s="408"/>
      <c r="EG239" s="408"/>
      <c r="EH239" s="408"/>
      <c r="EI239" s="408"/>
      <c r="EJ239" s="408"/>
      <c r="EK239" s="408"/>
      <c r="EL239" s="408"/>
      <c r="EM239" s="408"/>
      <c r="EN239" s="408"/>
      <c r="EO239" s="408"/>
      <c r="EP239" s="408"/>
      <c r="EQ239" s="408"/>
      <c r="ER239" s="408"/>
      <c r="ES239" s="408"/>
      <c r="ET239" s="408"/>
      <c r="EU239" s="408"/>
      <c r="EV239" s="408"/>
      <c r="EW239" s="408"/>
      <c r="EX239" s="408"/>
      <c r="EY239" s="408"/>
      <c r="EZ239" s="412"/>
      <c r="FZ239" s="411"/>
      <c r="GA239" s="408"/>
      <c r="GB239" s="408"/>
      <c r="GC239" s="408"/>
      <c r="GD239" s="408"/>
      <c r="GE239" s="408"/>
      <c r="GF239" s="408"/>
      <c r="GG239" s="408"/>
      <c r="GH239" s="408"/>
      <c r="GI239" s="408"/>
      <c r="GJ239" s="408"/>
      <c r="GK239" s="408"/>
      <c r="GL239" s="408"/>
      <c r="GM239" s="408"/>
      <c r="GN239" s="408"/>
      <c r="GO239" s="408"/>
      <c r="GP239" s="408"/>
      <c r="GQ239" s="408"/>
      <c r="GR239" s="408"/>
      <c r="GS239" s="408"/>
      <c r="GT239" s="408"/>
      <c r="GU239" s="408"/>
      <c r="GV239" s="408"/>
      <c r="GW239" s="408"/>
      <c r="GX239" s="412"/>
      <c r="GY239" s="411"/>
      <c r="GZ239" s="408"/>
      <c r="HA239" s="408"/>
      <c r="HB239" s="408"/>
      <c r="HC239" s="408"/>
      <c r="HD239" s="408"/>
      <c r="HE239" s="408"/>
      <c r="HF239" s="408"/>
      <c r="HG239" s="408"/>
      <c r="HH239" s="408"/>
      <c r="HI239" s="408"/>
      <c r="HJ239" s="408"/>
      <c r="HK239" s="408"/>
      <c r="HL239" s="408"/>
      <c r="HM239" s="408"/>
      <c r="HN239" s="408"/>
      <c r="HO239" s="408"/>
      <c r="HP239" s="408"/>
      <c r="HQ239" s="408"/>
      <c r="HR239" s="408"/>
      <c r="HS239" s="408"/>
      <c r="HT239" s="408"/>
      <c r="HU239" s="408"/>
      <c r="HV239" s="408"/>
      <c r="HW239" s="412"/>
    </row>
    <row r="240" spans="132:231" ht="24" customHeight="1">
      <c r="EB240" s="411"/>
      <c r="EC240" s="408"/>
      <c r="ED240" s="408"/>
      <c r="EE240" s="408"/>
      <c r="EF240" s="408"/>
      <c r="EG240" s="408"/>
      <c r="EH240" s="408"/>
      <c r="EI240" s="408"/>
      <c r="EJ240" s="408"/>
      <c r="EK240" s="408"/>
      <c r="EL240" s="408"/>
      <c r="EM240" s="408"/>
      <c r="EN240" s="408"/>
      <c r="EO240" s="408"/>
      <c r="EP240" s="408"/>
      <c r="EQ240" s="408"/>
      <c r="ER240" s="408"/>
      <c r="ES240" s="408"/>
      <c r="ET240" s="408"/>
      <c r="EU240" s="408"/>
      <c r="EV240" s="408"/>
      <c r="EW240" s="408"/>
      <c r="EX240" s="408"/>
      <c r="EY240" s="408"/>
      <c r="EZ240" s="412"/>
      <c r="FZ240" s="411"/>
      <c r="GA240" s="408"/>
      <c r="GB240" s="408"/>
      <c r="GC240" s="408"/>
      <c r="GD240" s="408"/>
      <c r="GE240" s="408"/>
      <c r="GF240" s="408"/>
      <c r="GG240" s="408"/>
      <c r="GH240" s="408"/>
      <c r="GI240" s="408"/>
      <c r="GJ240" s="408"/>
      <c r="GK240" s="408"/>
      <c r="GL240" s="408"/>
      <c r="GM240" s="408"/>
      <c r="GN240" s="408"/>
      <c r="GO240" s="408"/>
      <c r="GP240" s="408"/>
      <c r="GQ240" s="408"/>
      <c r="GR240" s="408"/>
      <c r="GS240" s="408"/>
      <c r="GT240" s="408"/>
      <c r="GU240" s="408"/>
      <c r="GV240" s="408"/>
      <c r="GW240" s="408"/>
      <c r="GX240" s="412"/>
      <c r="GY240" s="411"/>
      <c r="GZ240" s="408"/>
      <c r="HA240" s="408"/>
      <c r="HB240" s="408"/>
      <c r="HC240" s="408"/>
      <c r="HD240" s="408"/>
      <c r="HE240" s="408"/>
      <c r="HF240" s="408"/>
      <c r="HG240" s="408"/>
      <c r="HH240" s="408"/>
      <c r="HI240" s="408"/>
      <c r="HJ240" s="408"/>
      <c r="HK240" s="408"/>
      <c r="HL240" s="408"/>
      <c r="HM240" s="408"/>
      <c r="HN240" s="408"/>
      <c r="HO240" s="408"/>
      <c r="HP240" s="408"/>
      <c r="HQ240" s="408"/>
      <c r="HR240" s="408"/>
      <c r="HS240" s="408"/>
      <c r="HT240" s="408"/>
      <c r="HU240" s="408"/>
      <c r="HV240" s="408"/>
      <c r="HW240" s="412"/>
    </row>
    <row r="241" spans="132:231" ht="24" customHeight="1">
      <c r="EB241" s="411"/>
      <c r="EC241" s="408"/>
      <c r="ED241" s="408"/>
      <c r="EE241" s="408"/>
      <c r="EF241" s="408"/>
      <c r="EG241" s="408"/>
      <c r="EH241" s="408"/>
      <c r="EI241" s="408"/>
      <c r="EJ241" s="408"/>
      <c r="EK241" s="408"/>
      <c r="EL241" s="408"/>
      <c r="EM241" s="408"/>
      <c r="EN241" s="408"/>
      <c r="EO241" s="408"/>
      <c r="EP241" s="408"/>
      <c r="EQ241" s="408"/>
      <c r="ER241" s="408"/>
      <c r="ES241" s="408"/>
      <c r="ET241" s="408"/>
      <c r="EU241" s="408"/>
      <c r="EV241" s="408"/>
      <c r="EW241" s="408"/>
      <c r="EX241" s="408"/>
      <c r="EY241" s="408"/>
      <c r="EZ241" s="412"/>
      <c r="FZ241" s="411"/>
      <c r="GA241" s="408"/>
      <c r="GB241" s="408"/>
      <c r="GC241" s="408"/>
      <c r="GD241" s="408"/>
      <c r="GE241" s="408"/>
      <c r="GF241" s="408"/>
      <c r="GG241" s="408"/>
      <c r="GH241" s="408"/>
      <c r="GI241" s="408"/>
      <c r="GJ241" s="408"/>
      <c r="GK241" s="408"/>
      <c r="GL241" s="408"/>
      <c r="GM241" s="408"/>
      <c r="GN241" s="408"/>
      <c r="GO241" s="408"/>
      <c r="GP241" s="408"/>
      <c r="GQ241" s="408"/>
      <c r="GR241" s="408"/>
      <c r="GS241" s="408"/>
      <c r="GT241" s="408"/>
      <c r="GU241" s="408"/>
      <c r="GV241" s="408"/>
      <c r="GW241" s="408"/>
      <c r="GX241" s="412"/>
      <c r="GY241" s="411"/>
      <c r="GZ241" s="408"/>
      <c r="HA241" s="408"/>
      <c r="HB241" s="408"/>
      <c r="HC241" s="408"/>
      <c r="HD241" s="408"/>
      <c r="HE241" s="408"/>
      <c r="HF241" s="408"/>
      <c r="HG241" s="408"/>
      <c r="HH241" s="408"/>
      <c r="HI241" s="408"/>
      <c r="HJ241" s="408"/>
      <c r="HK241" s="408"/>
      <c r="HL241" s="408"/>
      <c r="HM241" s="408"/>
      <c r="HN241" s="408"/>
      <c r="HO241" s="408"/>
      <c r="HP241" s="408"/>
      <c r="HQ241" s="408"/>
      <c r="HR241" s="408"/>
      <c r="HS241" s="408"/>
      <c r="HT241" s="408"/>
      <c r="HU241" s="408"/>
      <c r="HV241" s="408"/>
      <c r="HW241" s="412"/>
    </row>
    <row r="242" spans="132:231" ht="24" customHeight="1">
      <c r="EB242" s="411"/>
      <c r="EC242" s="408"/>
      <c r="ED242" s="408"/>
      <c r="EE242" s="408"/>
      <c r="EF242" s="408"/>
      <c r="EG242" s="408"/>
      <c r="EH242" s="408"/>
      <c r="EI242" s="408"/>
      <c r="EJ242" s="408"/>
      <c r="EK242" s="408"/>
      <c r="EL242" s="408"/>
      <c r="EM242" s="408"/>
      <c r="EN242" s="408"/>
      <c r="EO242" s="408"/>
      <c r="EP242" s="408"/>
      <c r="EQ242" s="408"/>
      <c r="ER242" s="408"/>
      <c r="ES242" s="408"/>
      <c r="ET242" s="408"/>
      <c r="EU242" s="408"/>
      <c r="EV242" s="408"/>
      <c r="EW242" s="408"/>
      <c r="EX242" s="408"/>
      <c r="EY242" s="408"/>
      <c r="EZ242" s="412"/>
      <c r="FZ242" s="411"/>
      <c r="GA242" s="408"/>
      <c r="GB242" s="408"/>
      <c r="GC242" s="408"/>
      <c r="GD242" s="408"/>
      <c r="GE242" s="408"/>
      <c r="GF242" s="408"/>
      <c r="GG242" s="408"/>
      <c r="GH242" s="408"/>
      <c r="GI242" s="408"/>
      <c r="GJ242" s="408"/>
      <c r="GK242" s="408"/>
      <c r="GL242" s="408"/>
      <c r="GM242" s="408"/>
      <c r="GN242" s="408"/>
      <c r="GO242" s="408"/>
      <c r="GP242" s="408"/>
      <c r="GQ242" s="408"/>
      <c r="GR242" s="408"/>
      <c r="GS242" s="408"/>
      <c r="GT242" s="408"/>
      <c r="GU242" s="408"/>
      <c r="GV242" s="408"/>
      <c r="GW242" s="408"/>
      <c r="GX242" s="412"/>
      <c r="GY242" s="411"/>
      <c r="GZ242" s="408"/>
      <c r="HA242" s="408"/>
      <c r="HB242" s="408"/>
      <c r="HC242" s="408"/>
      <c r="HD242" s="408"/>
      <c r="HE242" s="408"/>
      <c r="HF242" s="408"/>
      <c r="HG242" s="408"/>
      <c r="HH242" s="408"/>
      <c r="HI242" s="408"/>
      <c r="HJ242" s="408"/>
      <c r="HK242" s="408"/>
      <c r="HL242" s="408"/>
      <c r="HM242" s="408"/>
      <c r="HN242" s="408"/>
      <c r="HO242" s="408"/>
      <c r="HP242" s="408"/>
      <c r="HQ242" s="408"/>
      <c r="HR242" s="408"/>
      <c r="HS242" s="408"/>
      <c r="HT242" s="408"/>
      <c r="HU242" s="408"/>
      <c r="HV242" s="408"/>
      <c r="HW242" s="412"/>
    </row>
    <row r="243" spans="132:231" ht="24" customHeight="1">
      <c r="EB243" s="411"/>
      <c r="EC243" s="408"/>
      <c r="ED243" s="408"/>
      <c r="EE243" s="408"/>
      <c r="EF243" s="408"/>
      <c r="EG243" s="408"/>
      <c r="EH243" s="408"/>
      <c r="EI243" s="408"/>
      <c r="EJ243" s="408"/>
      <c r="EK243" s="408"/>
      <c r="EL243" s="408"/>
      <c r="EM243" s="408"/>
      <c r="EN243" s="408"/>
      <c r="EO243" s="408"/>
      <c r="EP243" s="408"/>
      <c r="EQ243" s="408"/>
      <c r="ER243" s="408"/>
      <c r="ES243" s="408"/>
      <c r="ET243" s="408"/>
      <c r="EU243" s="408"/>
      <c r="EV243" s="408"/>
      <c r="EW243" s="408"/>
      <c r="EX243" s="408"/>
      <c r="EY243" s="408"/>
      <c r="EZ243" s="412"/>
      <c r="FZ243" s="411"/>
      <c r="GA243" s="408"/>
      <c r="GB243" s="408"/>
      <c r="GC243" s="408"/>
      <c r="GD243" s="408"/>
      <c r="GE243" s="408"/>
      <c r="GF243" s="408"/>
      <c r="GG243" s="408"/>
      <c r="GH243" s="408"/>
      <c r="GI243" s="408"/>
      <c r="GJ243" s="408"/>
      <c r="GK243" s="408"/>
      <c r="GL243" s="408"/>
      <c r="GM243" s="408"/>
      <c r="GN243" s="408"/>
      <c r="GO243" s="408"/>
      <c r="GP243" s="408"/>
      <c r="GQ243" s="408"/>
      <c r="GR243" s="408"/>
      <c r="GS243" s="408"/>
      <c r="GT243" s="408"/>
      <c r="GU243" s="408"/>
      <c r="GV243" s="408"/>
      <c r="GW243" s="408"/>
      <c r="GX243" s="412"/>
      <c r="GY243" s="411"/>
      <c r="GZ243" s="408"/>
      <c r="HA243" s="408"/>
      <c r="HB243" s="408"/>
      <c r="HC243" s="408"/>
      <c r="HD243" s="408"/>
      <c r="HE243" s="408"/>
      <c r="HF243" s="408"/>
      <c r="HG243" s="408"/>
      <c r="HH243" s="408"/>
      <c r="HI243" s="408"/>
      <c r="HJ243" s="408"/>
      <c r="HK243" s="408"/>
      <c r="HL243" s="408"/>
      <c r="HM243" s="408"/>
      <c r="HN243" s="408"/>
      <c r="HO243" s="408"/>
      <c r="HP243" s="408"/>
      <c r="HQ243" s="408"/>
      <c r="HR243" s="408"/>
      <c r="HS243" s="408"/>
      <c r="HT243" s="408"/>
      <c r="HU243" s="408"/>
      <c r="HV243" s="408"/>
      <c r="HW243" s="412"/>
    </row>
    <row r="244" spans="132:231" ht="24" customHeight="1">
      <c r="EB244" s="411"/>
      <c r="EC244" s="408"/>
      <c r="ED244" s="408"/>
      <c r="EE244" s="408"/>
      <c r="EF244" s="408"/>
      <c r="EG244" s="408"/>
      <c r="EH244" s="408"/>
      <c r="EI244" s="408"/>
      <c r="EJ244" s="408"/>
      <c r="EK244" s="408"/>
      <c r="EL244" s="408"/>
      <c r="EM244" s="408"/>
      <c r="EN244" s="408"/>
      <c r="EO244" s="408"/>
      <c r="EP244" s="408"/>
      <c r="EQ244" s="408"/>
      <c r="ER244" s="408"/>
      <c r="ES244" s="408"/>
      <c r="ET244" s="408"/>
      <c r="EU244" s="408"/>
      <c r="EV244" s="408"/>
      <c r="EW244" s="408"/>
      <c r="EX244" s="408"/>
      <c r="EY244" s="408"/>
      <c r="EZ244" s="412"/>
      <c r="FZ244" s="411"/>
      <c r="GA244" s="408"/>
      <c r="GB244" s="408"/>
      <c r="GC244" s="408"/>
      <c r="GD244" s="408"/>
      <c r="GE244" s="408"/>
      <c r="GF244" s="408"/>
      <c r="GG244" s="408"/>
      <c r="GH244" s="408"/>
      <c r="GI244" s="408"/>
      <c r="GJ244" s="408"/>
      <c r="GK244" s="408"/>
      <c r="GL244" s="408"/>
      <c r="GM244" s="408"/>
      <c r="GN244" s="408"/>
      <c r="GO244" s="408"/>
      <c r="GP244" s="408"/>
      <c r="GQ244" s="408"/>
      <c r="GR244" s="408"/>
      <c r="GS244" s="408"/>
      <c r="GT244" s="408"/>
      <c r="GU244" s="408"/>
      <c r="GV244" s="408"/>
      <c r="GW244" s="408"/>
      <c r="GX244" s="412"/>
      <c r="GY244" s="411"/>
      <c r="GZ244" s="408"/>
      <c r="HA244" s="408"/>
      <c r="HB244" s="408"/>
      <c r="HC244" s="408"/>
      <c r="HD244" s="408"/>
      <c r="HE244" s="408"/>
      <c r="HF244" s="408"/>
      <c r="HG244" s="408"/>
      <c r="HH244" s="408"/>
      <c r="HI244" s="408"/>
      <c r="HJ244" s="408"/>
      <c r="HK244" s="408"/>
      <c r="HL244" s="408"/>
      <c r="HM244" s="408"/>
      <c r="HN244" s="408"/>
      <c r="HO244" s="408"/>
      <c r="HP244" s="408"/>
      <c r="HQ244" s="408"/>
      <c r="HR244" s="408"/>
      <c r="HS244" s="408"/>
      <c r="HT244" s="408"/>
      <c r="HU244" s="408"/>
      <c r="HV244" s="408"/>
      <c r="HW244" s="412"/>
    </row>
    <row r="245" spans="132:231" ht="24" customHeight="1">
      <c r="EB245" s="411"/>
      <c r="EC245" s="408"/>
      <c r="ED245" s="408"/>
      <c r="EE245" s="408"/>
      <c r="EF245" s="408"/>
      <c r="EG245" s="408"/>
      <c r="EH245" s="408"/>
      <c r="EI245" s="408"/>
      <c r="EJ245" s="408"/>
      <c r="EK245" s="408"/>
      <c r="EL245" s="408"/>
      <c r="EM245" s="408"/>
      <c r="EN245" s="408"/>
      <c r="EO245" s="408"/>
      <c r="EP245" s="408"/>
      <c r="EQ245" s="408"/>
      <c r="ER245" s="408"/>
      <c r="ES245" s="408"/>
      <c r="ET245" s="408"/>
      <c r="EU245" s="408"/>
      <c r="EV245" s="408"/>
      <c r="EW245" s="408"/>
      <c r="EX245" s="408"/>
      <c r="EY245" s="408"/>
      <c r="EZ245" s="412"/>
      <c r="FZ245" s="411"/>
      <c r="GA245" s="408"/>
      <c r="GB245" s="408"/>
      <c r="GC245" s="408"/>
      <c r="GD245" s="408"/>
      <c r="GE245" s="408"/>
      <c r="GF245" s="408"/>
      <c r="GG245" s="408"/>
      <c r="GH245" s="408"/>
      <c r="GI245" s="408"/>
      <c r="GJ245" s="408"/>
      <c r="GK245" s="408"/>
      <c r="GL245" s="408"/>
      <c r="GM245" s="408"/>
      <c r="GN245" s="408"/>
      <c r="GO245" s="408"/>
      <c r="GP245" s="408"/>
      <c r="GQ245" s="408"/>
      <c r="GR245" s="408"/>
      <c r="GS245" s="408"/>
      <c r="GT245" s="408"/>
      <c r="GU245" s="408"/>
      <c r="GV245" s="408"/>
      <c r="GW245" s="408"/>
      <c r="GX245" s="412"/>
      <c r="GY245" s="411"/>
      <c r="GZ245" s="408"/>
      <c r="HA245" s="408"/>
      <c r="HB245" s="408"/>
      <c r="HC245" s="408"/>
      <c r="HD245" s="408"/>
      <c r="HE245" s="408"/>
      <c r="HF245" s="408"/>
      <c r="HG245" s="408"/>
      <c r="HH245" s="408"/>
      <c r="HI245" s="408"/>
      <c r="HJ245" s="408"/>
      <c r="HK245" s="408"/>
      <c r="HL245" s="408"/>
      <c r="HM245" s="408"/>
      <c r="HN245" s="408"/>
      <c r="HO245" s="408"/>
      <c r="HP245" s="408"/>
      <c r="HQ245" s="408"/>
      <c r="HR245" s="408"/>
      <c r="HS245" s="408"/>
      <c r="HT245" s="408"/>
      <c r="HU245" s="408"/>
      <c r="HV245" s="408"/>
      <c r="HW245" s="412"/>
    </row>
    <row r="246" spans="132:231" ht="24" customHeight="1" thickBot="1">
      <c r="EB246" s="411"/>
      <c r="EC246" s="413"/>
      <c r="ED246" s="413"/>
      <c r="EE246" s="413"/>
      <c r="EF246" s="408"/>
      <c r="EG246" s="408"/>
      <c r="EH246" s="408"/>
      <c r="EI246" s="408"/>
      <c r="EJ246" s="408"/>
      <c r="EK246" s="408"/>
      <c r="EL246" s="408"/>
      <c r="EM246" s="408"/>
      <c r="EN246" s="408"/>
      <c r="EO246" s="408"/>
      <c r="EP246" s="408"/>
      <c r="EQ246" s="408"/>
      <c r="ER246" s="408"/>
      <c r="ES246" s="408"/>
      <c r="ET246" s="408"/>
      <c r="EU246" s="408"/>
      <c r="EV246" s="408"/>
      <c r="EW246" s="408"/>
      <c r="EX246" s="408"/>
      <c r="EY246" s="408"/>
      <c r="EZ246" s="412"/>
      <c r="FZ246" s="411"/>
      <c r="GA246" s="413"/>
      <c r="GB246" s="413"/>
      <c r="GC246" s="413"/>
      <c r="GD246" s="408"/>
      <c r="GE246" s="408"/>
      <c r="GF246" s="408"/>
      <c r="GG246" s="408"/>
      <c r="GH246" s="408"/>
      <c r="GI246" s="408"/>
      <c r="GJ246" s="408"/>
      <c r="GK246" s="408"/>
      <c r="GL246" s="408"/>
      <c r="GM246" s="408"/>
      <c r="GN246" s="408"/>
      <c r="GO246" s="408"/>
      <c r="GP246" s="408"/>
      <c r="GQ246" s="408"/>
      <c r="GR246" s="408"/>
      <c r="GS246" s="408"/>
      <c r="GT246" s="408"/>
      <c r="GU246" s="408"/>
      <c r="GV246" s="408"/>
      <c r="GW246" s="408"/>
      <c r="GX246" s="412"/>
      <c r="GY246" s="411"/>
      <c r="GZ246" s="413"/>
      <c r="HA246" s="413"/>
      <c r="HB246" s="413"/>
      <c r="HC246" s="408"/>
      <c r="HD246" s="408"/>
      <c r="HE246" s="408"/>
      <c r="HF246" s="408"/>
      <c r="HG246" s="408"/>
      <c r="HH246" s="408"/>
      <c r="HI246" s="408"/>
      <c r="HJ246" s="408"/>
      <c r="HK246" s="408"/>
      <c r="HL246" s="408"/>
      <c r="HM246" s="408"/>
      <c r="HN246" s="408"/>
      <c r="HO246" s="408"/>
      <c r="HP246" s="408"/>
      <c r="HQ246" s="408"/>
      <c r="HR246" s="408"/>
      <c r="HS246" s="408"/>
      <c r="HT246" s="408"/>
      <c r="HU246" s="408"/>
      <c r="HV246" s="408"/>
      <c r="HW246" s="412"/>
    </row>
    <row r="247" spans="132:231" ht="24" customHeight="1" thickBot="1">
      <c r="EB247" s="416"/>
      <c r="EC247" s="2116" t="str">
        <f>'Вывод расчетов'!$CC$9</f>
        <v>Раздел 2</v>
      </c>
      <c r="ED247" s="2114"/>
      <c r="EE247" s="2114"/>
      <c r="EF247" s="417"/>
      <c r="EG247" s="2116" t="str">
        <f>'Вывод расчетов'!$CF$9</f>
        <v>Расчет обмотки статора</v>
      </c>
      <c r="EH247" s="2114"/>
      <c r="EI247" s="2114"/>
      <c r="EJ247" s="2114"/>
      <c r="EK247" s="2114"/>
      <c r="EL247" s="2114"/>
      <c r="EM247" s="2114"/>
      <c r="EN247" s="2114"/>
      <c r="EO247" s="2114"/>
      <c r="EP247" s="2114"/>
      <c r="EQ247" s="2114"/>
      <c r="ER247" s="2117"/>
      <c r="ES247" s="417"/>
      <c r="ET247" s="2116" t="s">
        <v>1369</v>
      </c>
      <c r="EU247" s="2114"/>
      <c r="EV247" s="2117"/>
      <c r="EW247" s="417"/>
      <c r="EX247" s="2116">
        <v>11</v>
      </c>
      <c r="EY247" s="2117"/>
      <c r="EZ247" s="418"/>
      <c r="FZ247" s="416"/>
      <c r="GA247" s="2116" t="str">
        <f>'Вывод расчетов'!$CC$9</f>
        <v>Раздел 2</v>
      </c>
      <c r="GB247" s="2114"/>
      <c r="GC247" s="2114"/>
      <c r="GD247" s="417"/>
      <c r="GE247" s="2116" t="str">
        <f>'Вывод расчетов'!$CF$9</f>
        <v>Расчет обмотки статора</v>
      </c>
      <c r="GF247" s="2114"/>
      <c r="GG247" s="2114"/>
      <c r="GH247" s="2114"/>
      <c r="GI247" s="2114"/>
      <c r="GJ247" s="2114"/>
      <c r="GK247" s="2114"/>
      <c r="GL247" s="2114"/>
      <c r="GM247" s="2114"/>
      <c r="GN247" s="2114"/>
      <c r="GO247" s="2114"/>
      <c r="GP247" s="2117"/>
      <c r="GQ247" s="417"/>
      <c r="GR247" s="2116" t="s">
        <v>1369</v>
      </c>
      <c r="GS247" s="2114"/>
      <c r="GT247" s="2117"/>
      <c r="GU247" s="417"/>
      <c r="GV247" s="2116">
        <v>11</v>
      </c>
      <c r="GW247" s="2117"/>
      <c r="GX247" s="418"/>
      <c r="GY247" s="416"/>
      <c r="GZ247" s="2116" t="str">
        <f>'Вывод расчетов'!$CC$9</f>
        <v>Раздел 2</v>
      </c>
      <c r="HA247" s="2114"/>
      <c r="HB247" s="2114"/>
      <c r="HC247" s="417"/>
      <c r="HD247" s="2116" t="str">
        <f>'Вывод расчетов'!$CF$9</f>
        <v>Расчет обмотки статора</v>
      </c>
      <c r="HE247" s="2114"/>
      <c r="HF247" s="2114"/>
      <c r="HG247" s="2114"/>
      <c r="HH247" s="2114"/>
      <c r="HI247" s="2114"/>
      <c r="HJ247" s="2114"/>
      <c r="HK247" s="2114"/>
      <c r="HL247" s="2114"/>
      <c r="HM247" s="2114"/>
      <c r="HN247" s="2114"/>
      <c r="HO247" s="2117"/>
      <c r="HP247" s="417"/>
      <c r="HQ247" s="2116" t="s">
        <v>1369</v>
      </c>
      <c r="HR247" s="2114"/>
      <c r="HS247" s="2117"/>
      <c r="HT247" s="417"/>
      <c r="HU247" s="2116">
        <v>11</v>
      </c>
      <c r="HV247" s="2117"/>
      <c r="HW247" s="418"/>
    </row>
    <row r="248" spans="132:231" ht="24" customHeight="1" thickBot="1">
      <c r="EB248" s="2113" t="s">
        <v>1111</v>
      </c>
      <c r="EC248" s="2114"/>
      <c r="ED248" s="2114"/>
      <c r="EE248" s="2114"/>
      <c r="EF248" s="2114"/>
      <c r="EG248" s="2114"/>
      <c r="EH248" s="2114"/>
      <c r="EI248" s="2114"/>
      <c r="EJ248" s="2114"/>
      <c r="EK248" s="2114"/>
      <c r="EL248" s="2114"/>
      <c r="EM248" s="2114"/>
      <c r="EN248" s="2114"/>
      <c r="EO248" s="2114"/>
      <c r="EP248" s="2114"/>
      <c r="EQ248" s="2114"/>
      <c r="ER248" s="2114"/>
      <c r="ES248" s="2114"/>
      <c r="ET248" s="2114"/>
      <c r="EU248" s="2114"/>
      <c r="EV248" s="2114"/>
      <c r="EW248" s="2114"/>
      <c r="EX248" s="2114"/>
      <c r="EY248" s="2114"/>
      <c r="EZ248" s="2115"/>
      <c r="FZ248" s="2113" t="s">
        <v>1111</v>
      </c>
      <c r="GA248" s="2114"/>
      <c r="GB248" s="2114"/>
      <c r="GC248" s="2114"/>
      <c r="GD248" s="2114"/>
      <c r="GE248" s="2114"/>
      <c r="GF248" s="2114"/>
      <c r="GG248" s="2114"/>
      <c r="GH248" s="2114"/>
      <c r="GI248" s="2114"/>
      <c r="GJ248" s="2114"/>
      <c r="GK248" s="2114"/>
      <c r="GL248" s="2114"/>
      <c r="GM248" s="2114"/>
      <c r="GN248" s="2114"/>
      <c r="GO248" s="2114"/>
      <c r="GP248" s="2114"/>
      <c r="GQ248" s="2114"/>
      <c r="GR248" s="2114"/>
      <c r="GS248" s="2114"/>
      <c r="GT248" s="2114"/>
      <c r="GU248" s="2114"/>
      <c r="GV248" s="2114"/>
      <c r="GW248" s="2114"/>
      <c r="GX248" s="2115"/>
      <c r="GY248" s="2113" t="s">
        <v>1111</v>
      </c>
      <c r="GZ248" s="2114"/>
      <c r="HA248" s="2114"/>
      <c r="HB248" s="2114"/>
      <c r="HC248" s="2114"/>
      <c r="HD248" s="2114"/>
      <c r="HE248" s="2114"/>
      <c r="HF248" s="2114"/>
      <c r="HG248" s="2114"/>
      <c r="HH248" s="2114"/>
      <c r="HI248" s="2114"/>
      <c r="HJ248" s="2114"/>
      <c r="HK248" s="2114"/>
      <c r="HL248" s="2114"/>
      <c r="HM248" s="2114"/>
      <c r="HN248" s="2114"/>
      <c r="HO248" s="2114"/>
      <c r="HP248" s="2114"/>
      <c r="HQ248" s="2114"/>
      <c r="HR248" s="2114"/>
      <c r="HS248" s="2114"/>
      <c r="HT248" s="2114"/>
      <c r="HU248" s="2114"/>
      <c r="HV248" s="2114"/>
      <c r="HW248" s="2115"/>
    </row>
    <row r="249" spans="132:231" ht="24" customHeight="1">
      <c r="EB249" s="409"/>
      <c r="EC249" s="410"/>
      <c r="ED249" s="410"/>
      <c r="EE249" s="410"/>
      <c r="EF249" s="410"/>
      <c r="EG249" s="410"/>
      <c r="EH249" s="410"/>
      <c r="EI249" s="410"/>
      <c r="EJ249" s="410"/>
      <c r="EK249" s="410"/>
      <c r="EL249" s="410"/>
      <c r="EM249" s="410"/>
      <c r="EN249" s="410"/>
      <c r="EO249" s="410"/>
      <c r="EP249" s="410"/>
      <c r="EQ249" s="410"/>
      <c r="ER249" s="410"/>
      <c r="ES249" s="410"/>
      <c r="ET249" s="410"/>
      <c r="EU249" s="410"/>
      <c r="EV249" s="410"/>
      <c r="EW249" s="410"/>
      <c r="EX249" s="410"/>
      <c r="EY249" s="410"/>
      <c r="EZ249" s="419"/>
      <c r="FZ249" s="409"/>
      <c r="GA249" s="410"/>
      <c r="GB249" s="410"/>
      <c r="GC249" s="410"/>
      <c r="GD249" s="410"/>
      <c r="GE249" s="410"/>
      <c r="GF249" s="410"/>
      <c r="GG249" s="410"/>
      <c r="GH249" s="410"/>
      <c r="GI249" s="410"/>
      <c r="GJ249" s="410"/>
      <c r="GK249" s="410"/>
      <c r="GL249" s="410"/>
      <c r="GM249" s="410"/>
      <c r="GN249" s="410"/>
      <c r="GO249" s="410"/>
      <c r="GP249" s="410"/>
      <c r="GQ249" s="410"/>
      <c r="GR249" s="410"/>
      <c r="GS249" s="410"/>
      <c r="GT249" s="410"/>
      <c r="GU249" s="410"/>
      <c r="GV249" s="410"/>
      <c r="GW249" s="410"/>
      <c r="GX249" s="419"/>
      <c r="GY249" s="409"/>
      <c r="GZ249" s="410"/>
      <c r="HA249" s="410"/>
      <c r="HB249" s="410"/>
      <c r="HC249" s="410"/>
      <c r="HD249" s="410"/>
      <c r="HE249" s="410"/>
      <c r="HF249" s="410"/>
      <c r="HG249" s="410"/>
      <c r="HH249" s="410"/>
      <c r="HI249" s="410"/>
      <c r="HJ249" s="410"/>
      <c r="HK249" s="410"/>
      <c r="HL249" s="410"/>
      <c r="HM249" s="410"/>
      <c r="HN249" s="410"/>
      <c r="HO249" s="410"/>
      <c r="HP249" s="410"/>
      <c r="HQ249" s="410"/>
      <c r="HR249" s="410"/>
      <c r="HS249" s="410"/>
      <c r="HT249" s="410"/>
      <c r="HU249" s="410"/>
      <c r="HV249" s="410"/>
      <c r="HW249" s="419"/>
    </row>
    <row r="250" spans="132:231" ht="24" customHeight="1">
      <c r="EB250" s="411"/>
      <c r="EC250" s="408"/>
      <c r="ED250" s="408"/>
      <c r="EE250" s="408"/>
      <c r="EF250" s="408"/>
      <c r="EG250" s="408"/>
      <c r="EH250" s="408"/>
      <c r="EI250" s="408"/>
      <c r="EJ250" s="408"/>
      <c r="EK250" s="408"/>
      <c r="EL250" s="408"/>
      <c r="EM250" s="408"/>
      <c r="EN250" s="408"/>
      <c r="EO250" s="408"/>
      <c r="EP250" s="408"/>
      <c r="EQ250" s="408"/>
      <c r="ER250" s="408"/>
      <c r="ES250" s="408"/>
      <c r="ET250" s="408"/>
      <c r="EU250" s="408"/>
      <c r="EV250" s="408"/>
      <c r="EW250" s="408"/>
      <c r="EX250" s="408"/>
      <c r="EY250" s="408"/>
      <c r="EZ250" s="412"/>
      <c r="FZ250" s="411"/>
      <c r="GA250" s="408"/>
      <c r="GB250" s="408"/>
      <c r="GC250" s="408"/>
      <c r="GD250" s="408"/>
      <c r="GE250" s="408"/>
      <c r="GF250" s="408"/>
      <c r="GG250" s="408"/>
      <c r="GH250" s="408"/>
      <c r="GI250" s="408"/>
      <c r="GJ250" s="408"/>
      <c r="GK250" s="408"/>
      <c r="GL250" s="408"/>
      <c r="GM250" s="408"/>
      <c r="GN250" s="408"/>
      <c r="GO250" s="408"/>
      <c r="GP250" s="408"/>
      <c r="GQ250" s="408"/>
      <c r="GR250" s="408"/>
      <c r="GS250" s="408"/>
      <c r="GT250" s="408"/>
      <c r="GU250" s="408"/>
      <c r="GV250" s="408"/>
      <c r="GW250" s="408"/>
      <c r="GX250" s="412"/>
      <c r="GY250" s="411"/>
      <c r="GZ250" s="408"/>
      <c r="HA250" s="408"/>
      <c r="HB250" s="408"/>
      <c r="HC250" s="408"/>
      <c r="HD250" s="408"/>
      <c r="HE250" s="408"/>
      <c r="HF250" s="408"/>
      <c r="HG250" s="408"/>
      <c r="HH250" s="408"/>
      <c r="HI250" s="408"/>
      <c r="HJ250" s="408"/>
      <c r="HK250" s="408"/>
      <c r="HL250" s="408"/>
      <c r="HM250" s="408"/>
      <c r="HN250" s="408"/>
      <c r="HO250" s="408"/>
      <c r="HP250" s="408"/>
      <c r="HQ250" s="408"/>
      <c r="HR250" s="408"/>
      <c r="HS250" s="408"/>
      <c r="HT250" s="408"/>
      <c r="HU250" s="408"/>
      <c r="HV250" s="408"/>
      <c r="HW250" s="412"/>
    </row>
    <row r="251" spans="132:231" ht="24" customHeight="1">
      <c r="EB251" s="411"/>
      <c r="EC251" s="408"/>
      <c r="ED251" s="408"/>
      <c r="EE251" s="408"/>
      <c r="EF251" s="408"/>
      <c r="EG251" s="408"/>
      <c r="EH251" s="408"/>
      <c r="EI251" s="408"/>
      <c r="EJ251" s="408"/>
      <c r="EK251" s="408"/>
      <c r="EL251" s="408"/>
      <c r="EM251" s="408"/>
      <c r="EN251" s="408"/>
      <c r="EO251" s="408"/>
      <c r="EP251" s="408"/>
      <c r="EQ251" s="408"/>
      <c r="ER251" s="408"/>
      <c r="ES251" s="408"/>
      <c r="ET251" s="408"/>
      <c r="EU251" s="408"/>
      <c r="EV251" s="408"/>
      <c r="EW251" s="408"/>
      <c r="EX251" s="408"/>
      <c r="EY251" s="408"/>
      <c r="EZ251" s="412"/>
      <c r="FZ251" s="411"/>
      <c r="GA251" s="408"/>
      <c r="GB251" s="408"/>
      <c r="GC251" s="408"/>
      <c r="GD251" s="408"/>
      <c r="GE251" s="408"/>
      <c r="GF251" s="408"/>
      <c r="GG251" s="408"/>
      <c r="GH251" s="408"/>
      <c r="GI251" s="408"/>
      <c r="GJ251" s="408"/>
      <c r="GK251" s="408"/>
      <c r="GL251" s="408"/>
      <c r="GM251" s="408"/>
      <c r="GN251" s="408"/>
      <c r="GO251" s="408"/>
      <c r="GP251" s="408"/>
      <c r="GQ251" s="408"/>
      <c r="GR251" s="408"/>
      <c r="GS251" s="408"/>
      <c r="GT251" s="408"/>
      <c r="GU251" s="408"/>
      <c r="GV251" s="408"/>
      <c r="GW251" s="408"/>
      <c r="GX251" s="412"/>
      <c r="GY251" s="411"/>
      <c r="GZ251" s="408"/>
      <c r="HA251" s="408"/>
      <c r="HB251" s="408"/>
      <c r="HC251" s="408"/>
      <c r="HD251" s="408"/>
      <c r="HE251" s="408"/>
      <c r="HF251" s="408"/>
      <c r="HG251" s="408"/>
      <c r="HH251" s="408"/>
      <c r="HI251" s="408"/>
      <c r="HJ251" s="408"/>
      <c r="HK251" s="408"/>
      <c r="HL251" s="408"/>
      <c r="HM251" s="408"/>
      <c r="HN251" s="408"/>
      <c r="HO251" s="408"/>
      <c r="HP251" s="408"/>
      <c r="HQ251" s="408"/>
      <c r="HR251" s="408"/>
      <c r="HS251" s="408"/>
      <c r="HT251" s="408"/>
      <c r="HU251" s="408"/>
      <c r="HV251" s="408"/>
      <c r="HW251" s="412"/>
    </row>
    <row r="252" spans="132:231" ht="24" customHeight="1">
      <c r="EB252" s="411"/>
      <c r="EC252" s="408"/>
      <c r="ED252" s="408"/>
      <c r="EE252" s="408"/>
      <c r="EF252" s="408"/>
      <c r="EG252" s="408"/>
      <c r="EH252" s="408"/>
      <c r="EI252" s="408"/>
      <c r="EJ252" s="408"/>
      <c r="EK252" s="408"/>
      <c r="EL252" s="408"/>
      <c r="EM252" s="408"/>
      <c r="EN252" s="408"/>
      <c r="EO252" s="408"/>
      <c r="EP252" s="408"/>
      <c r="EQ252" s="408"/>
      <c r="ER252" s="408"/>
      <c r="ES252" s="408"/>
      <c r="ET252" s="408"/>
      <c r="EU252" s="408"/>
      <c r="EV252" s="408"/>
      <c r="EW252" s="408"/>
      <c r="EX252" s="408"/>
      <c r="EY252" s="408"/>
      <c r="EZ252" s="412"/>
      <c r="FZ252" s="411"/>
      <c r="GA252" s="408"/>
      <c r="GB252" s="408"/>
      <c r="GC252" s="408"/>
      <c r="GD252" s="408"/>
      <c r="GE252" s="408"/>
      <c r="GF252" s="408"/>
      <c r="GG252" s="408"/>
      <c r="GH252" s="408"/>
      <c r="GI252" s="408"/>
      <c r="GJ252" s="408"/>
      <c r="GK252" s="408"/>
      <c r="GL252" s="408"/>
      <c r="GM252" s="408"/>
      <c r="GN252" s="408"/>
      <c r="GO252" s="408"/>
      <c r="GP252" s="408"/>
      <c r="GQ252" s="408"/>
      <c r="GR252" s="408"/>
      <c r="GS252" s="408"/>
      <c r="GT252" s="408"/>
      <c r="GU252" s="408"/>
      <c r="GV252" s="408"/>
      <c r="GW252" s="408"/>
      <c r="GX252" s="412"/>
      <c r="GY252" s="411"/>
      <c r="GZ252" s="408"/>
      <c r="HA252" s="408"/>
      <c r="HB252" s="408"/>
      <c r="HC252" s="408"/>
      <c r="HD252" s="408"/>
      <c r="HE252" s="408"/>
      <c r="HF252" s="408"/>
      <c r="HG252" s="408"/>
      <c r="HH252" s="408"/>
      <c r="HI252" s="408"/>
      <c r="HJ252" s="408"/>
      <c r="HK252" s="408"/>
      <c r="HL252" s="408"/>
      <c r="HM252" s="408"/>
      <c r="HN252" s="408"/>
      <c r="HO252" s="408"/>
      <c r="HP252" s="408"/>
      <c r="HQ252" s="408"/>
      <c r="HR252" s="408"/>
      <c r="HS252" s="408"/>
      <c r="HT252" s="408"/>
      <c r="HU252" s="408"/>
      <c r="HV252" s="408"/>
      <c r="HW252" s="412"/>
    </row>
    <row r="253" spans="132:231" ht="24" customHeight="1">
      <c r="EB253" s="411"/>
      <c r="EC253" s="408"/>
      <c r="ED253" s="408"/>
      <c r="EE253" s="408"/>
      <c r="EF253" s="408"/>
      <c r="EG253" s="408"/>
      <c r="EH253" s="408"/>
      <c r="EI253" s="408"/>
      <c r="EJ253" s="408"/>
      <c r="EK253" s="408"/>
      <c r="EL253" s="408"/>
      <c r="EM253" s="408"/>
      <c r="EN253" s="408"/>
      <c r="EO253" s="408"/>
      <c r="EP253" s="408"/>
      <c r="EQ253" s="408"/>
      <c r="ER253" s="408"/>
      <c r="ES253" s="408"/>
      <c r="ET253" s="408"/>
      <c r="EU253" s="408"/>
      <c r="EV253" s="408"/>
      <c r="EW253" s="408"/>
      <c r="EX253" s="408"/>
      <c r="EY253" s="408"/>
      <c r="EZ253" s="412"/>
      <c r="FZ253" s="411"/>
      <c r="GA253" s="408"/>
      <c r="GB253" s="408"/>
      <c r="GC253" s="408"/>
      <c r="GD253" s="408"/>
      <c r="GE253" s="408"/>
      <c r="GF253" s="408"/>
      <c r="GG253" s="408"/>
      <c r="GH253" s="408"/>
      <c r="GI253" s="408"/>
      <c r="GJ253" s="408"/>
      <c r="GK253" s="408"/>
      <c r="GL253" s="408"/>
      <c r="GM253" s="408"/>
      <c r="GN253" s="408"/>
      <c r="GO253" s="408"/>
      <c r="GP253" s="408"/>
      <c r="GQ253" s="408"/>
      <c r="GR253" s="408"/>
      <c r="GS253" s="408"/>
      <c r="GT253" s="408"/>
      <c r="GU253" s="408"/>
      <c r="GV253" s="408"/>
      <c r="GW253" s="408"/>
      <c r="GX253" s="412"/>
      <c r="GY253" s="411"/>
      <c r="GZ253" s="408"/>
      <c r="HA253" s="408"/>
      <c r="HB253" s="408"/>
      <c r="HC253" s="408"/>
      <c r="HD253" s="408"/>
      <c r="HE253" s="408"/>
      <c r="HF253" s="408"/>
      <c r="HG253" s="408"/>
      <c r="HH253" s="408"/>
      <c r="HI253" s="408"/>
      <c r="HJ253" s="408"/>
      <c r="HK253" s="408"/>
      <c r="HL253" s="408"/>
      <c r="HM253" s="408"/>
      <c r="HN253" s="408"/>
      <c r="HO253" s="408"/>
      <c r="HP253" s="408"/>
      <c r="HQ253" s="408"/>
      <c r="HR253" s="408"/>
      <c r="HS253" s="408"/>
      <c r="HT253" s="408"/>
      <c r="HU253" s="408"/>
      <c r="HV253" s="408"/>
      <c r="HW253" s="412"/>
    </row>
    <row r="254" spans="132:231" ht="24" customHeight="1">
      <c r="EB254" s="411"/>
      <c r="EC254" s="408"/>
      <c r="ED254" s="408"/>
      <c r="EE254" s="408"/>
      <c r="EF254" s="408"/>
      <c r="EG254" s="408"/>
      <c r="EH254" s="408"/>
      <c r="EI254" s="408"/>
      <c r="EJ254" s="408"/>
      <c r="EK254" s="408"/>
      <c r="EL254" s="408"/>
      <c r="EM254" s="408"/>
      <c r="EN254" s="408"/>
      <c r="EO254" s="408"/>
      <c r="EP254" s="408"/>
      <c r="EQ254" s="408"/>
      <c r="ER254" s="408"/>
      <c r="ES254" s="408"/>
      <c r="ET254" s="408"/>
      <c r="EU254" s="408"/>
      <c r="EV254" s="408"/>
      <c r="EW254" s="408"/>
      <c r="EX254" s="408"/>
      <c r="EY254" s="408"/>
      <c r="EZ254" s="412"/>
      <c r="FZ254" s="411"/>
      <c r="GA254" s="408"/>
      <c r="GB254" s="408"/>
      <c r="GC254" s="408"/>
      <c r="GD254" s="408"/>
      <c r="GE254" s="408"/>
      <c r="GF254" s="408"/>
      <c r="GG254" s="408"/>
      <c r="GH254" s="408"/>
      <c r="GI254" s="408"/>
      <c r="GJ254" s="408"/>
      <c r="GK254" s="408"/>
      <c r="GL254" s="408"/>
      <c r="GM254" s="408"/>
      <c r="GN254" s="408"/>
      <c r="GO254" s="408"/>
      <c r="GP254" s="408"/>
      <c r="GQ254" s="408"/>
      <c r="GR254" s="408"/>
      <c r="GS254" s="408"/>
      <c r="GT254" s="408"/>
      <c r="GU254" s="408"/>
      <c r="GV254" s="408"/>
      <c r="GW254" s="408"/>
      <c r="GX254" s="412"/>
      <c r="GY254" s="411"/>
      <c r="GZ254" s="408"/>
      <c r="HA254" s="408"/>
      <c r="HB254" s="408"/>
      <c r="HC254" s="408"/>
      <c r="HD254" s="408"/>
      <c r="HE254" s="408"/>
      <c r="HF254" s="408"/>
      <c r="HG254" s="408"/>
      <c r="HH254" s="408"/>
      <c r="HI254" s="408"/>
      <c r="HJ254" s="408"/>
      <c r="HK254" s="408"/>
      <c r="HL254" s="408"/>
      <c r="HM254" s="408"/>
      <c r="HN254" s="408"/>
      <c r="HO254" s="408"/>
      <c r="HP254" s="408"/>
      <c r="HQ254" s="408"/>
      <c r="HR254" s="408"/>
      <c r="HS254" s="408"/>
      <c r="HT254" s="408"/>
      <c r="HU254" s="408"/>
      <c r="HV254" s="408"/>
      <c r="HW254" s="412"/>
    </row>
    <row r="255" spans="132:231" ht="24" customHeight="1">
      <c r="EB255" s="411"/>
      <c r="EC255" s="408"/>
      <c r="ED255" s="408"/>
      <c r="EE255" s="408"/>
      <c r="EF255" s="408"/>
      <c r="EG255" s="408"/>
      <c r="EH255" s="408"/>
      <c r="EI255" s="408"/>
      <c r="EJ255" s="408"/>
      <c r="EK255" s="408"/>
      <c r="EL255" s="408"/>
      <c r="EM255" s="408"/>
      <c r="EN255" s="408"/>
      <c r="EO255" s="408"/>
      <c r="EP255" s="408"/>
      <c r="EQ255" s="408"/>
      <c r="ER255" s="408"/>
      <c r="ES255" s="408"/>
      <c r="ET255" s="408"/>
      <c r="EU255" s="408"/>
      <c r="EV255" s="408"/>
      <c r="EW255" s="408"/>
      <c r="EX255" s="408"/>
      <c r="EY255" s="408"/>
      <c r="EZ255" s="412"/>
      <c r="FZ255" s="411"/>
      <c r="GA255" s="408"/>
      <c r="GB255" s="408"/>
      <c r="GC255" s="408"/>
      <c r="GD255" s="408"/>
      <c r="GE255" s="408"/>
      <c r="GF255" s="408"/>
      <c r="GG255" s="408"/>
      <c r="GH255" s="408"/>
      <c r="GI255" s="408"/>
      <c r="GJ255" s="408"/>
      <c r="GK255" s="408"/>
      <c r="GL255" s="408"/>
      <c r="GM255" s="408"/>
      <c r="GN255" s="408"/>
      <c r="GO255" s="408"/>
      <c r="GP255" s="408"/>
      <c r="GQ255" s="408"/>
      <c r="GR255" s="408"/>
      <c r="GS255" s="408"/>
      <c r="GT255" s="408"/>
      <c r="GU255" s="408"/>
      <c r="GV255" s="408"/>
      <c r="GW255" s="408"/>
      <c r="GX255" s="412"/>
      <c r="GY255" s="411"/>
      <c r="GZ255" s="408"/>
      <c r="HA255" s="408"/>
      <c r="HB255" s="408"/>
      <c r="HC255" s="408"/>
      <c r="HD255" s="408"/>
      <c r="HE255" s="408"/>
      <c r="HF255" s="408"/>
      <c r="HG255" s="408"/>
      <c r="HH255" s="408"/>
      <c r="HI255" s="408"/>
      <c r="HJ255" s="408"/>
      <c r="HK255" s="408"/>
      <c r="HL255" s="408"/>
      <c r="HM255" s="408"/>
      <c r="HN255" s="408"/>
      <c r="HO255" s="408"/>
      <c r="HP255" s="408"/>
      <c r="HQ255" s="408"/>
      <c r="HR255" s="408"/>
      <c r="HS255" s="408"/>
      <c r="HT255" s="408"/>
      <c r="HU255" s="408"/>
      <c r="HV255" s="408"/>
      <c r="HW255" s="412"/>
    </row>
    <row r="256" spans="132:231" ht="24" customHeight="1">
      <c r="EB256" s="411"/>
      <c r="EC256" s="408"/>
      <c r="ED256" s="408"/>
      <c r="EE256" s="408"/>
      <c r="EF256" s="408"/>
      <c r="EG256" s="408"/>
      <c r="EH256" s="408"/>
      <c r="EI256" s="408"/>
      <c r="EJ256" s="408"/>
      <c r="EK256" s="408"/>
      <c r="EL256" s="408"/>
      <c r="EM256" s="408"/>
      <c r="EN256" s="408"/>
      <c r="EO256" s="408"/>
      <c r="EP256" s="408"/>
      <c r="EQ256" s="408"/>
      <c r="ER256" s="408"/>
      <c r="ES256" s="408"/>
      <c r="ET256" s="408"/>
      <c r="EU256" s="408"/>
      <c r="EV256" s="408"/>
      <c r="EW256" s="408"/>
      <c r="EX256" s="408"/>
      <c r="EY256" s="408"/>
      <c r="EZ256" s="412"/>
      <c r="FZ256" s="411"/>
      <c r="GA256" s="408"/>
      <c r="GB256" s="408"/>
      <c r="GC256" s="408"/>
      <c r="GD256" s="408"/>
      <c r="GE256" s="408"/>
      <c r="GF256" s="408"/>
      <c r="GG256" s="408"/>
      <c r="GH256" s="408"/>
      <c r="GI256" s="408"/>
      <c r="GJ256" s="408"/>
      <c r="GK256" s="408"/>
      <c r="GL256" s="408"/>
      <c r="GM256" s="408"/>
      <c r="GN256" s="408"/>
      <c r="GO256" s="408"/>
      <c r="GP256" s="408"/>
      <c r="GQ256" s="408"/>
      <c r="GR256" s="408"/>
      <c r="GS256" s="408"/>
      <c r="GT256" s="408"/>
      <c r="GU256" s="408"/>
      <c r="GV256" s="408"/>
      <c r="GW256" s="408"/>
      <c r="GX256" s="412"/>
      <c r="GY256" s="411"/>
      <c r="GZ256" s="408"/>
      <c r="HA256" s="408"/>
      <c r="HB256" s="408"/>
      <c r="HC256" s="408"/>
      <c r="HD256" s="408"/>
      <c r="HE256" s="408"/>
      <c r="HF256" s="408"/>
      <c r="HG256" s="408"/>
      <c r="HH256" s="408"/>
      <c r="HI256" s="408"/>
      <c r="HJ256" s="408"/>
      <c r="HK256" s="408"/>
      <c r="HL256" s="408"/>
      <c r="HM256" s="408"/>
      <c r="HN256" s="408"/>
      <c r="HO256" s="408"/>
      <c r="HP256" s="408"/>
      <c r="HQ256" s="408"/>
      <c r="HR256" s="408"/>
      <c r="HS256" s="408"/>
      <c r="HT256" s="408"/>
      <c r="HU256" s="408"/>
      <c r="HV256" s="408"/>
      <c r="HW256" s="412"/>
    </row>
    <row r="257" spans="132:231" ht="24" customHeight="1">
      <c r="EB257" s="411"/>
      <c r="EC257" s="408"/>
      <c r="ED257" s="408"/>
      <c r="EE257" s="408"/>
      <c r="EF257" s="408"/>
      <c r="EG257" s="408"/>
      <c r="EH257" s="408"/>
      <c r="EI257" s="408"/>
      <c r="EJ257" s="408"/>
      <c r="EK257" s="408"/>
      <c r="EL257" s="408"/>
      <c r="EM257" s="408"/>
      <c r="EN257" s="408"/>
      <c r="EO257" s="408"/>
      <c r="EP257" s="408"/>
      <c r="EQ257" s="408"/>
      <c r="ER257" s="408"/>
      <c r="ES257" s="408"/>
      <c r="ET257" s="408"/>
      <c r="EU257" s="408"/>
      <c r="EV257" s="408"/>
      <c r="EW257" s="408"/>
      <c r="EX257" s="408"/>
      <c r="EY257" s="408"/>
      <c r="EZ257" s="412"/>
      <c r="FZ257" s="411"/>
      <c r="GA257" s="408"/>
      <c r="GB257" s="408"/>
      <c r="GC257" s="408"/>
      <c r="GD257" s="408"/>
      <c r="GE257" s="408"/>
      <c r="GF257" s="408"/>
      <c r="GG257" s="408"/>
      <c r="GH257" s="408"/>
      <c r="GI257" s="408"/>
      <c r="GJ257" s="408"/>
      <c r="GK257" s="408"/>
      <c r="GL257" s="408"/>
      <c r="GM257" s="408"/>
      <c r="GN257" s="408"/>
      <c r="GO257" s="408"/>
      <c r="GP257" s="408"/>
      <c r="GQ257" s="408"/>
      <c r="GR257" s="408"/>
      <c r="GS257" s="408"/>
      <c r="GT257" s="408"/>
      <c r="GU257" s="408"/>
      <c r="GV257" s="408"/>
      <c r="GW257" s="408"/>
      <c r="GX257" s="412"/>
      <c r="GY257" s="411"/>
      <c r="GZ257" s="408"/>
      <c r="HA257" s="408"/>
      <c r="HB257" s="408"/>
      <c r="HC257" s="408"/>
      <c r="HD257" s="408"/>
      <c r="HE257" s="408"/>
      <c r="HF257" s="408"/>
      <c r="HG257" s="408"/>
      <c r="HH257" s="408"/>
      <c r="HI257" s="408"/>
      <c r="HJ257" s="408"/>
      <c r="HK257" s="408"/>
      <c r="HL257" s="408"/>
      <c r="HM257" s="408"/>
      <c r="HN257" s="408"/>
      <c r="HO257" s="408"/>
      <c r="HP257" s="408"/>
      <c r="HQ257" s="408"/>
      <c r="HR257" s="408"/>
      <c r="HS257" s="408"/>
      <c r="HT257" s="408"/>
      <c r="HU257" s="408"/>
      <c r="HV257" s="408"/>
      <c r="HW257" s="412"/>
    </row>
    <row r="258" spans="132:231" ht="24" customHeight="1">
      <c r="EB258" s="411"/>
      <c r="EC258" s="408"/>
      <c r="ED258" s="408"/>
      <c r="EE258" s="408"/>
      <c r="EF258" s="408"/>
      <c r="EG258" s="408"/>
      <c r="EH258" s="408"/>
      <c r="EI258" s="408"/>
      <c r="EJ258" s="408"/>
      <c r="EK258" s="408"/>
      <c r="EL258" s="408"/>
      <c r="EM258" s="408"/>
      <c r="EN258" s="408"/>
      <c r="EO258" s="408"/>
      <c r="EP258" s="408"/>
      <c r="EQ258" s="408"/>
      <c r="ER258" s="408"/>
      <c r="ES258" s="408"/>
      <c r="ET258" s="408"/>
      <c r="EU258" s="408"/>
      <c r="EV258" s="408"/>
      <c r="EW258" s="408"/>
      <c r="EX258" s="408"/>
      <c r="EY258" s="408"/>
      <c r="EZ258" s="412"/>
      <c r="FZ258" s="411"/>
      <c r="GA258" s="408"/>
      <c r="GB258" s="408"/>
      <c r="GC258" s="408"/>
      <c r="GD258" s="408"/>
      <c r="GE258" s="408"/>
      <c r="GF258" s="408"/>
      <c r="GG258" s="408"/>
      <c r="GH258" s="408"/>
      <c r="GI258" s="408"/>
      <c r="GJ258" s="408"/>
      <c r="GK258" s="408"/>
      <c r="GL258" s="408"/>
      <c r="GM258" s="408"/>
      <c r="GN258" s="408"/>
      <c r="GO258" s="408"/>
      <c r="GP258" s="408"/>
      <c r="GQ258" s="408"/>
      <c r="GR258" s="408"/>
      <c r="GS258" s="408"/>
      <c r="GT258" s="408"/>
      <c r="GU258" s="408"/>
      <c r="GV258" s="408"/>
      <c r="GW258" s="408"/>
      <c r="GX258" s="412"/>
      <c r="GY258" s="411"/>
      <c r="GZ258" s="408"/>
      <c r="HA258" s="408"/>
      <c r="HB258" s="408"/>
      <c r="HC258" s="408"/>
      <c r="HD258" s="408"/>
      <c r="HE258" s="408"/>
      <c r="HF258" s="408"/>
      <c r="HG258" s="408"/>
      <c r="HH258" s="408"/>
      <c r="HI258" s="408"/>
      <c r="HJ258" s="408"/>
      <c r="HK258" s="408"/>
      <c r="HL258" s="408"/>
      <c r="HM258" s="408"/>
      <c r="HN258" s="408"/>
      <c r="HO258" s="408"/>
      <c r="HP258" s="408"/>
      <c r="HQ258" s="408"/>
      <c r="HR258" s="408"/>
      <c r="HS258" s="408"/>
      <c r="HT258" s="408"/>
      <c r="HU258" s="408"/>
      <c r="HV258" s="408"/>
      <c r="HW258" s="412"/>
    </row>
    <row r="259" spans="132:231" ht="24" customHeight="1">
      <c r="EB259" s="411"/>
      <c r="EC259" s="408"/>
      <c r="ED259" s="408"/>
      <c r="EE259" s="408"/>
      <c r="EF259" s="408"/>
      <c r="EG259" s="408"/>
      <c r="EH259" s="408"/>
      <c r="EI259" s="408"/>
      <c r="EJ259" s="408"/>
      <c r="EK259" s="408"/>
      <c r="EL259" s="408"/>
      <c r="EM259" s="408"/>
      <c r="EN259" s="408"/>
      <c r="EO259" s="408"/>
      <c r="EP259" s="408"/>
      <c r="EQ259" s="408"/>
      <c r="ER259" s="408"/>
      <c r="ES259" s="408"/>
      <c r="ET259" s="408"/>
      <c r="EU259" s="408"/>
      <c r="EV259" s="408"/>
      <c r="EW259" s="408"/>
      <c r="EX259" s="408"/>
      <c r="EY259" s="408"/>
      <c r="EZ259" s="412"/>
      <c r="FZ259" s="411"/>
      <c r="GA259" s="408"/>
      <c r="GB259" s="408"/>
      <c r="GC259" s="408"/>
      <c r="GD259" s="408"/>
      <c r="GE259" s="408"/>
      <c r="GF259" s="408"/>
      <c r="GG259" s="408"/>
      <c r="GH259" s="408"/>
      <c r="GI259" s="408"/>
      <c r="GJ259" s="408"/>
      <c r="GK259" s="408"/>
      <c r="GL259" s="408"/>
      <c r="GM259" s="408"/>
      <c r="GN259" s="408"/>
      <c r="GO259" s="408"/>
      <c r="GP259" s="408"/>
      <c r="GQ259" s="408"/>
      <c r="GR259" s="408"/>
      <c r="GS259" s="408"/>
      <c r="GT259" s="408"/>
      <c r="GU259" s="408"/>
      <c r="GV259" s="408"/>
      <c r="GW259" s="408"/>
      <c r="GX259" s="412"/>
      <c r="GY259" s="411"/>
      <c r="GZ259" s="408"/>
      <c r="HA259" s="408"/>
      <c r="HB259" s="408"/>
      <c r="HC259" s="408"/>
      <c r="HD259" s="408"/>
      <c r="HE259" s="408"/>
      <c r="HF259" s="408"/>
      <c r="HG259" s="408"/>
      <c r="HH259" s="408"/>
      <c r="HI259" s="408"/>
      <c r="HJ259" s="408"/>
      <c r="HK259" s="408"/>
      <c r="HL259" s="408"/>
      <c r="HM259" s="408"/>
      <c r="HN259" s="408"/>
      <c r="HO259" s="408"/>
      <c r="HP259" s="408"/>
      <c r="HQ259" s="408"/>
      <c r="HR259" s="408"/>
      <c r="HS259" s="408"/>
      <c r="HT259" s="408"/>
      <c r="HU259" s="408"/>
      <c r="HV259" s="408"/>
      <c r="HW259" s="412"/>
    </row>
    <row r="260" spans="132:231" ht="24" customHeight="1">
      <c r="EB260" s="411"/>
      <c r="EC260" s="408"/>
      <c r="ED260" s="408"/>
      <c r="EE260" s="408"/>
      <c r="EF260" s="408"/>
      <c r="EG260" s="408"/>
      <c r="EH260" s="408"/>
      <c r="EI260" s="408"/>
      <c r="EJ260" s="408"/>
      <c r="EK260" s="408"/>
      <c r="EL260" s="408"/>
      <c r="EM260" s="408"/>
      <c r="EN260" s="408"/>
      <c r="EO260" s="408"/>
      <c r="EP260" s="408"/>
      <c r="EQ260" s="408"/>
      <c r="ER260" s="408"/>
      <c r="ES260" s="408"/>
      <c r="ET260" s="408"/>
      <c r="EU260" s="408"/>
      <c r="EV260" s="408"/>
      <c r="EW260" s="408"/>
      <c r="EX260" s="408"/>
      <c r="EY260" s="408"/>
      <c r="EZ260" s="412"/>
      <c r="FZ260" s="411"/>
      <c r="GA260" s="408"/>
      <c r="GB260" s="408"/>
      <c r="GC260" s="408"/>
      <c r="GD260" s="408"/>
      <c r="GE260" s="408"/>
      <c r="GF260" s="408"/>
      <c r="GG260" s="408"/>
      <c r="GH260" s="408"/>
      <c r="GI260" s="408"/>
      <c r="GJ260" s="408"/>
      <c r="GK260" s="408"/>
      <c r="GL260" s="408"/>
      <c r="GM260" s="408"/>
      <c r="GN260" s="408"/>
      <c r="GO260" s="408"/>
      <c r="GP260" s="408"/>
      <c r="GQ260" s="408"/>
      <c r="GR260" s="408"/>
      <c r="GS260" s="408"/>
      <c r="GT260" s="408"/>
      <c r="GU260" s="408"/>
      <c r="GV260" s="408"/>
      <c r="GW260" s="408"/>
      <c r="GX260" s="412"/>
      <c r="GY260" s="411"/>
      <c r="GZ260" s="408"/>
      <c r="HA260" s="408"/>
      <c r="HB260" s="408"/>
      <c r="HC260" s="408"/>
      <c r="HD260" s="408"/>
      <c r="HE260" s="408"/>
      <c r="HF260" s="408"/>
      <c r="HG260" s="408"/>
      <c r="HH260" s="408"/>
      <c r="HI260" s="408"/>
      <c r="HJ260" s="408"/>
      <c r="HK260" s="408"/>
      <c r="HL260" s="408"/>
      <c r="HM260" s="408"/>
      <c r="HN260" s="408"/>
      <c r="HO260" s="408"/>
      <c r="HP260" s="408"/>
      <c r="HQ260" s="408"/>
      <c r="HR260" s="408"/>
      <c r="HS260" s="408"/>
      <c r="HT260" s="408"/>
      <c r="HU260" s="408"/>
      <c r="HV260" s="408"/>
      <c r="HW260" s="412"/>
    </row>
    <row r="261" spans="132:231" ht="24" customHeight="1">
      <c r="EB261" s="411"/>
      <c r="EC261" s="408"/>
      <c r="ED261" s="408"/>
      <c r="EE261" s="408"/>
      <c r="EF261" s="408"/>
      <c r="EG261" s="408"/>
      <c r="EH261" s="408"/>
      <c r="EI261" s="408"/>
      <c r="EJ261" s="408"/>
      <c r="EK261" s="408"/>
      <c r="EL261" s="408"/>
      <c r="EM261" s="408"/>
      <c r="EN261" s="408"/>
      <c r="EO261" s="408"/>
      <c r="EP261" s="408"/>
      <c r="EQ261" s="408"/>
      <c r="ER261" s="408"/>
      <c r="ES261" s="408"/>
      <c r="ET261" s="408"/>
      <c r="EU261" s="408"/>
      <c r="EV261" s="408"/>
      <c r="EW261" s="408"/>
      <c r="EX261" s="408"/>
      <c r="EY261" s="408"/>
      <c r="EZ261" s="412"/>
      <c r="FZ261" s="411"/>
      <c r="GA261" s="408"/>
      <c r="GB261" s="408"/>
      <c r="GC261" s="408"/>
      <c r="GD261" s="408"/>
      <c r="GE261" s="408"/>
      <c r="GF261" s="408"/>
      <c r="GG261" s="408"/>
      <c r="GH261" s="408"/>
      <c r="GI261" s="408"/>
      <c r="GJ261" s="408"/>
      <c r="GK261" s="408"/>
      <c r="GL261" s="408"/>
      <c r="GM261" s="408"/>
      <c r="GN261" s="408"/>
      <c r="GO261" s="408"/>
      <c r="GP261" s="408"/>
      <c r="GQ261" s="408"/>
      <c r="GR261" s="408"/>
      <c r="GS261" s="408"/>
      <c r="GT261" s="408"/>
      <c r="GU261" s="408"/>
      <c r="GV261" s="408"/>
      <c r="GW261" s="408"/>
      <c r="GX261" s="412"/>
      <c r="GY261" s="411"/>
      <c r="GZ261" s="408"/>
      <c r="HA261" s="408"/>
      <c r="HB261" s="408"/>
      <c r="HC261" s="408"/>
      <c r="HD261" s="408"/>
      <c r="HE261" s="408"/>
      <c r="HF261" s="408"/>
      <c r="HG261" s="408"/>
      <c r="HH261" s="408"/>
      <c r="HI261" s="408"/>
      <c r="HJ261" s="408"/>
      <c r="HK261" s="408"/>
      <c r="HL261" s="408"/>
      <c r="HM261" s="408"/>
      <c r="HN261" s="408"/>
      <c r="HO261" s="408"/>
      <c r="HP261" s="408"/>
      <c r="HQ261" s="408"/>
      <c r="HR261" s="408"/>
      <c r="HS261" s="408"/>
      <c r="HT261" s="408"/>
      <c r="HU261" s="408"/>
      <c r="HV261" s="408"/>
      <c r="HW261" s="412"/>
    </row>
    <row r="262" spans="132:231" ht="24" customHeight="1">
      <c r="EB262" s="411"/>
      <c r="EC262" s="408"/>
      <c r="ED262" s="408"/>
      <c r="EE262" s="408"/>
      <c r="EF262" s="408"/>
      <c r="EG262" s="408"/>
      <c r="EH262" s="408"/>
      <c r="EI262" s="408"/>
      <c r="EJ262" s="408"/>
      <c r="EK262" s="408"/>
      <c r="EL262" s="408"/>
      <c r="EM262" s="408"/>
      <c r="EN262" s="408"/>
      <c r="EO262" s="408"/>
      <c r="EP262" s="408"/>
      <c r="EQ262" s="408"/>
      <c r="ER262" s="408"/>
      <c r="ES262" s="408"/>
      <c r="ET262" s="408"/>
      <c r="EU262" s="408"/>
      <c r="EV262" s="408"/>
      <c r="EW262" s="408"/>
      <c r="EX262" s="408"/>
      <c r="EY262" s="408"/>
      <c r="EZ262" s="412"/>
      <c r="FZ262" s="411"/>
      <c r="GA262" s="408"/>
      <c r="GB262" s="408"/>
      <c r="GC262" s="408"/>
      <c r="GD262" s="408"/>
      <c r="GE262" s="408"/>
      <c r="GF262" s="408"/>
      <c r="GG262" s="408"/>
      <c r="GH262" s="408"/>
      <c r="GI262" s="408"/>
      <c r="GJ262" s="408"/>
      <c r="GK262" s="408"/>
      <c r="GL262" s="408"/>
      <c r="GM262" s="408"/>
      <c r="GN262" s="408"/>
      <c r="GO262" s="408"/>
      <c r="GP262" s="408"/>
      <c r="GQ262" s="408"/>
      <c r="GR262" s="408"/>
      <c r="GS262" s="408"/>
      <c r="GT262" s="408"/>
      <c r="GU262" s="408"/>
      <c r="GV262" s="408"/>
      <c r="GW262" s="408"/>
      <c r="GX262" s="412"/>
      <c r="GY262" s="411"/>
      <c r="GZ262" s="408"/>
      <c r="HA262" s="408"/>
      <c r="HB262" s="408"/>
      <c r="HC262" s="408"/>
      <c r="HD262" s="408"/>
      <c r="HE262" s="408"/>
      <c r="HF262" s="408"/>
      <c r="HG262" s="408"/>
      <c r="HH262" s="408"/>
      <c r="HI262" s="408"/>
      <c r="HJ262" s="408"/>
      <c r="HK262" s="408"/>
      <c r="HL262" s="408"/>
      <c r="HM262" s="408"/>
      <c r="HN262" s="408"/>
      <c r="HO262" s="408"/>
      <c r="HP262" s="408"/>
      <c r="HQ262" s="408"/>
      <c r="HR262" s="408"/>
      <c r="HS262" s="408"/>
      <c r="HT262" s="408"/>
      <c r="HU262" s="408"/>
      <c r="HV262" s="408"/>
      <c r="HW262" s="412"/>
    </row>
    <row r="263" spans="132:231" ht="24" customHeight="1">
      <c r="EB263" s="411"/>
      <c r="EC263" s="408"/>
      <c r="ED263" s="408"/>
      <c r="EE263" s="408"/>
      <c r="EF263" s="408"/>
      <c r="EG263" s="408"/>
      <c r="EH263" s="408"/>
      <c r="EI263" s="408"/>
      <c r="EJ263" s="408"/>
      <c r="EK263" s="408"/>
      <c r="EL263" s="408"/>
      <c r="EM263" s="408"/>
      <c r="EN263" s="408"/>
      <c r="EO263" s="408"/>
      <c r="EP263" s="408"/>
      <c r="EQ263" s="408"/>
      <c r="ER263" s="408"/>
      <c r="ES263" s="408"/>
      <c r="ET263" s="408"/>
      <c r="EU263" s="408"/>
      <c r="EV263" s="408"/>
      <c r="EW263" s="408"/>
      <c r="EX263" s="408"/>
      <c r="EY263" s="408"/>
      <c r="EZ263" s="412"/>
      <c r="FZ263" s="411"/>
      <c r="GA263" s="408"/>
      <c r="GB263" s="408"/>
      <c r="GC263" s="408"/>
      <c r="GD263" s="408"/>
      <c r="GE263" s="408"/>
      <c r="GF263" s="408"/>
      <c r="GG263" s="408"/>
      <c r="GH263" s="408"/>
      <c r="GI263" s="408"/>
      <c r="GJ263" s="408"/>
      <c r="GK263" s="408"/>
      <c r="GL263" s="408"/>
      <c r="GM263" s="408"/>
      <c r="GN263" s="408"/>
      <c r="GO263" s="408"/>
      <c r="GP263" s="408"/>
      <c r="GQ263" s="408"/>
      <c r="GR263" s="408"/>
      <c r="GS263" s="408"/>
      <c r="GT263" s="408"/>
      <c r="GU263" s="408"/>
      <c r="GV263" s="408"/>
      <c r="GW263" s="408"/>
      <c r="GX263" s="412"/>
      <c r="GY263" s="411"/>
      <c r="GZ263" s="408"/>
      <c r="HA263" s="408"/>
      <c r="HB263" s="408"/>
      <c r="HC263" s="408"/>
      <c r="HD263" s="408"/>
      <c r="HE263" s="408"/>
      <c r="HF263" s="408"/>
      <c r="HG263" s="408"/>
      <c r="HH263" s="408"/>
      <c r="HI263" s="408"/>
      <c r="HJ263" s="408"/>
      <c r="HK263" s="408"/>
      <c r="HL263" s="408"/>
      <c r="HM263" s="408"/>
      <c r="HN263" s="408"/>
      <c r="HO263" s="408"/>
      <c r="HP263" s="408"/>
      <c r="HQ263" s="408"/>
      <c r="HR263" s="408"/>
      <c r="HS263" s="408"/>
      <c r="HT263" s="408"/>
      <c r="HU263" s="408"/>
      <c r="HV263" s="408"/>
      <c r="HW263" s="412"/>
    </row>
    <row r="264" spans="132:231" ht="24" customHeight="1">
      <c r="EB264" s="411"/>
      <c r="EC264" s="408"/>
      <c r="ED264" s="408"/>
      <c r="EE264" s="408"/>
      <c r="EF264" s="408"/>
      <c r="EG264" s="408"/>
      <c r="EH264" s="408"/>
      <c r="EI264" s="408"/>
      <c r="EJ264" s="408"/>
      <c r="EK264" s="408"/>
      <c r="EL264" s="408"/>
      <c r="EM264" s="408"/>
      <c r="EN264" s="408"/>
      <c r="EO264" s="408"/>
      <c r="EP264" s="408"/>
      <c r="EQ264" s="408"/>
      <c r="ER264" s="408"/>
      <c r="ES264" s="408"/>
      <c r="ET264" s="408"/>
      <c r="EU264" s="408"/>
      <c r="EV264" s="408"/>
      <c r="EW264" s="408"/>
      <c r="EX264" s="408"/>
      <c r="EY264" s="408"/>
      <c r="EZ264" s="412"/>
      <c r="FZ264" s="411"/>
      <c r="GA264" s="408"/>
      <c r="GB264" s="408"/>
      <c r="GC264" s="408"/>
      <c r="GD264" s="408"/>
      <c r="GE264" s="408"/>
      <c r="GF264" s="408"/>
      <c r="GG264" s="408"/>
      <c r="GH264" s="408"/>
      <c r="GI264" s="408"/>
      <c r="GJ264" s="408"/>
      <c r="GK264" s="408"/>
      <c r="GL264" s="408"/>
      <c r="GM264" s="408"/>
      <c r="GN264" s="408"/>
      <c r="GO264" s="408"/>
      <c r="GP264" s="408"/>
      <c r="GQ264" s="408"/>
      <c r="GR264" s="408"/>
      <c r="GS264" s="408"/>
      <c r="GT264" s="408"/>
      <c r="GU264" s="408"/>
      <c r="GV264" s="408"/>
      <c r="GW264" s="408"/>
      <c r="GX264" s="412"/>
      <c r="GY264" s="411"/>
      <c r="GZ264" s="408"/>
      <c r="HA264" s="408"/>
      <c r="HB264" s="408"/>
      <c r="HC264" s="408"/>
      <c r="HD264" s="408"/>
      <c r="HE264" s="408"/>
      <c r="HF264" s="408"/>
      <c r="HG264" s="408"/>
      <c r="HH264" s="408"/>
      <c r="HI264" s="408"/>
      <c r="HJ264" s="408"/>
      <c r="HK264" s="408"/>
      <c r="HL264" s="408"/>
      <c r="HM264" s="408"/>
      <c r="HN264" s="408"/>
      <c r="HO264" s="408"/>
      <c r="HP264" s="408"/>
      <c r="HQ264" s="408"/>
      <c r="HR264" s="408"/>
      <c r="HS264" s="408"/>
      <c r="HT264" s="408"/>
      <c r="HU264" s="408"/>
      <c r="HV264" s="408"/>
      <c r="HW264" s="412"/>
    </row>
    <row r="265" spans="132:231" ht="24" customHeight="1" thickBot="1">
      <c r="EB265" s="411"/>
      <c r="EC265" s="413"/>
      <c r="ED265" s="413"/>
      <c r="EE265" s="413"/>
      <c r="EF265" s="408"/>
      <c r="EG265" s="408"/>
      <c r="EH265" s="408"/>
      <c r="EI265" s="408"/>
      <c r="EJ265" s="408"/>
      <c r="EK265" s="408"/>
      <c r="EL265" s="408"/>
      <c r="EM265" s="408"/>
      <c r="EN265" s="408"/>
      <c r="EO265" s="408"/>
      <c r="EP265" s="408"/>
      <c r="EQ265" s="408"/>
      <c r="ER265" s="408"/>
      <c r="ES265" s="408"/>
      <c r="ET265" s="408"/>
      <c r="EU265" s="408"/>
      <c r="EV265" s="408"/>
      <c r="EW265" s="408"/>
      <c r="EX265" s="408"/>
      <c r="EY265" s="408"/>
      <c r="EZ265" s="412"/>
      <c r="FZ265" s="411"/>
      <c r="GA265" s="413"/>
      <c r="GB265" s="413"/>
      <c r="GC265" s="413"/>
      <c r="GD265" s="408"/>
      <c r="GE265" s="408"/>
      <c r="GF265" s="408"/>
      <c r="GG265" s="408"/>
      <c r="GH265" s="408"/>
      <c r="GI265" s="408"/>
      <c r="GJ265" s="408"/>
      <c r="GK265" s="408"/>
      <c r="GL265" s="408"/>
      <c r="GM265" s="408"/>
      <c r="GN265" s="408"/>
      <c r="GO265" s="408"/>
      <c r="GP265" s="408"/>
      <c r="GQ265" s="408"/>
      <c r="GR265" s="408"/>
      <c r="GS265" s="408"/>
      <c r="GT265" s="408"/>
      <c r="GU265" s="408"/>
      <c r="GV265" s="408"/>
      <c r="GW265" s="408"/>
      <c r="GX265" s="412"/>
      <c r="GY265" s="411"/>
      <c r="GZ265" s="413"/>
      <c r="HA265" s="413"/>
      <c r="HB265" s="413"/>
      <c r="HC265" s="408"/>
      <c r="HD265" s="408"/>
      <c r="HE265" s="408"/>
      <c r="HF265" s="408"/>
      <c r="HG265" s="408"/>
      <c r="HH265" s="408"/>
      <c r="HI265" s="408"/>
      <c r="HJ265" s="408"/>
      <c r="HK265" s="408"/>
      <c r="HL265" s="408"/>
      <c r="HM265" s="408"/>
      <c r="HN265" s="408"/>
      <c r="HO265" s="408"/>
      <c r="HP265" s="408"/>
      <c r="HQ265" s="408"/>
      <c r="HR265" s="408"/>
      <c r="HS265" s="408"/>
      <c r="HT265" s="408"/>
      <c r="HU265" s="408"/>
      <c r="HV265" s="408"/>
      <c r="HW265" s="412"/>
    </row>
    <row r="266" spans="132:231" ht="24" customHeight="1" thickBot="1">
      <c r="EB266" s="416"/>
      <c r="EC266" s="2116" t="str">
        <f>'Вывод расчетов'!$CC$9</f>
        <v>Раздел 2</v>
      </c>
      <c r="ED266" s="2114"/>
      <c r="EE266" s="2114"/>
      <c r="EF266" s="417"/>
      <c r="EG266" s="2116" t="str">
        <f>'Вывод расчетов'!$CF$9</f>
        <v>Расчет обмотки статора</v>
      </c>
      <c r="EH266" s="2114"/>
      <c r="EI266" s="2114"/>
      <c r="EJ266" s="2114"/>
      <c r="EK266" s="2114"/>
      <c r="EL266" s="2114"/>
      <c r="EM266" s="2114"/>
      <c r="EN266" s="2114"/>
      <c r="EO266" s="2114"/>
      <c r="EP266" s="2114"/>
      <c r="EQ266" s="2114"/>
      <c r="ER266" s="2117"/>
      <c r="ES266" s="417"/>
      <c r="ET266" s="2116" t="s">
        <v>1369</v>
      </c>
      <c r="EU266" s="2114"/>
      <c r="EV266" s="2117"/>
      <c r="EW266" s="417"/>
      <c r="EX266" s="2116">
        <v>11</v>
      </c>
      <c r="EY266" s="2117"/>
      <c r="EZ266" s="418"/>
      <c r="FZ266" s="416"/>
      <c r="GA266" s="2116" t="str">
        <f>'Вывод расчетов'!$CC$9</f>
        <v>Раздел 2</v>
      </c>
      <c r="GB266" s="2114"/>
      <c r="GC266" s="2114"/>
      <c r="GD266" s="417"/>
      <c r="GE266" s="2116" t="str">
        <f>'Вывод расчетов'!$CF$9</f>
        <v>Расчет обмотки статора</v>
      </c>
      <c r="GF266" s="2114"/>
      <c r="GG266" s="2114"/>
      <c r="GH266" s="2114"/>
      <c r="GI266" s="2114"/>
      <c r="GJ266" s="2114"/>
      <c r="GK266" s="2114"/>
      <c r="GL266" s="2114"/>
      <c r="GM266" s="2114"/>
      <c r="GN266" s="2114"/>
      <c r="GO266" s="2114"/>
      <c r="GP266" s="2117"/>
      <c r="GQ266" s="417"/>
      <c r="GR266" s="2116" t="s">
        <v>1369</v>
      </c>
      <c r="GS266" s="2114"/>
      <c r="GT266" s="2117"/>
      <c r="GU266" s="417"/>
      <c r="GV266" s="2116">
        <v>11</v>
      </c>
      <c r="GW266" s="2117"/>
      <c r="GX266" s="418"/>
      <c r="GY266" s="416"/>
      <c r="GZ266" s="2116" t="str">
        <f>'Вывод расчетов'!$CC$9</f>
        <v>Раздел 2</v>
      </c>
      <c r="HA266" s="2114"/>
      <c r="HB266" s="2114"/>
      <c r="HC266" s="417"/>
      <c r="HD266" s="2116" t="str">
        <f>'Вывод расчетов'!$CF$9</f>
        <v>Расчет обмотки статора</v>
      </c>
      <c r="HE266" s="2114"/>
      <c r="HF266" s="2114"/>
      <c r="HG266" s="2114"/>
      <c r="HH266" s="2114"/>
      <c r="HI266" s="2114"/>
      <c r="HJ266" s="2114"/>
      <c r="HK266" s="2114"/>
      <c r="HL266" s="2114"/>
      <c r="HM266" s="2114"/>
      <c r="HN266" s="2114"/>
      <c r="HO266" s="2117"/>
      <c r="HP266" s="417"/>
      <c r="HQ266" s="2116" t="s">
        <v>1369</v>
      </c>
      <c r="HR266" s="2114"/>
      <c r="HS266" s="2117"/>
      <c r="HT266" s="417"/>
      <c r="HU266" s="2116">
        <v>11</v>
      </c>
      <c r="HV266" s="2117"/>
      <c r="HW266" s="418"/>
    </row>
    <row r="267" spans="132:231" ht="24" customHeight="1" thickBot="1">
      <c r="EB267" s="2113" t="s">
        <v>1111</v>
      </c>
      <c r="EC267" s="2114"/>
      <c r="ED267" s="2114"/>
      <c r="EE267" s="2114"/>
      <c r="EF267" s="2114"/>
      <c r="EG267" s="2114"/>
      <c r="EH267" s="2114"/>
      <c r="EI267" s="2114"/>
      <c r="EJ267" s="2114"/>
      <c r="EK267" s="2114"/>
      <c r="EL267" s="2114"/>
      <c r="EM267" s="2114"/>
      <c r="EN267" s="2114"/>
      <c r="EO267" s="2114"/>
      <c r="EP267" s="2114"/>
      <c r="EQ267" s="2114"/>
      <c r="ER267" s="2114"/>
      <c r="ES267" s="2114"/>
      <c r="ET267" s="2114"/>
      <c r="EU267" s="2114"/>
      <c r="EV267" s="2114"/>
      <c r="EW267" s="2114"/>
      <c r="EX267" s="2114"/>
      <c r="EY267" s="2114"/>
      <c r="EZ267" s="2115"/>
      <c r="FZ267" s="2113" t="s">
        <v>1111</v>
      </c>
      <c r="GA267" s="2114"/>
      <c r="GB267" s="2114"/>
      <c r="GC267" s="2114"/>
      <c r="GD267" s="2114"/>
      <c r="GE267" s="2114"/>
      <c r="GF267" s="2114"/>
      <c r="GG267" s="2114"/>
      <c r="GH267" s="2114"/>
      <c r="GI267" s="2114"/>
      <c r="GJ267" s="2114"/>
      <c r="GK267" s="2114"/>
      <c r="GL267" s="2114"/>
      <c r="GM267" s="2114"/>
      <c r="GN267" s="2114"/>
      <c r="GO267" s="2114"/>
      <c r="GP267" s="2114"/>
      <c r="GQ267" s="2114"/>
      <c r="GR267" s="2114"/>
      <c r="GS267" s="2114"/>
      <c r="GT267" s="2114"/>
      <c r="GU267" s="2114"/>
      <c r="GV267" s="2114"/>
      <c r="GW267" s="2114"/>
      <c r="GX267" s="2115"/>
    </row>
    <row r="268" spans="132:231" ht="24" customHeight="1">
      <c r="EB268" s="409"/>
      <c r="EC268" s="410"/>
      <c r="ED268" s="410"/>
      <c r="EE268" s="410"/>
      <c r="EF268" s="410"/>
      <c r="EG268" s="410"/>
      <c r="EH268" s="410"/>
      <c r="EI268" s="410"/>
      <c r="EJ268" s="410"/>
      <c r="EK268" s="410"/>
      <c r="EL268" s="410"/>
      <c r="EM268" s="410"/>
      <c r="EN268" s="410"/>
      <c r="EO268" s="410"/>
      <c r="EP268" s="410"/>
      <c r="EQ268" s="410"/>
      <c r="ER268" s="410"/>
      <c r="ES268" s="410"/>
      <c r="ET268" s="410"/>
      <c r="EU268" s="410"/>
      <c r="EV268" s="410"/>
      <c r="EW268" s="410"/>
      <c r="EX268" s="410"/>
      <c r="EY268" s="410"/>
      <c r="EZ268" s="419"/>
      <c r="FZ268" s="409"/>
      <c r="GA268" s="410"/>
      <c r="GB268" s="410"/>
      <c r="GC268" s="410"/>
      <c r="GD268" s="410"/>
      <c r="GE268" s="410"/>
      <c r="GF268" s="410"/>
      <c r="GG268" s="410"/>
      <c r="GH268" s="410"/>
      <c r="GI268" s="410"/>
      <c r="GJ268" s="410"/>
      <c r="GK268" s="410"/>
      <c r="GL268" s="410"/>
      <c r="GM268" s="410"/>
      <c r="GN268" s="410"/>
      <c r="GO268" s="410"/>
      <c r="GP268" s="410"/>
      <c r="GQ268" s="410"/>
      <c r="GR268" s="410"/>
      <c r="GS268" s="410"/>
      <c r="GT268" s="410"/>
      <c r="GU268" s="410"/>
      <c r="GV268" s="410"/>
      <c r="GW268" s="410"/>
      <c r="GX268" s="419"/>
    </row>
    <row r="269" spans="132:231" ht="24" customHeight="1">
      <c r="EB269" s="411"/>
      <c r="EC269" s="408"/>
      <c r="ED269" s="408"/>
      <c r="EE269" s="408"/>
      <c r="EF269" s="408"/>
      <c r="EG269" s="408"/>
      <c r="EH269" s="408"/>
      <c r="EI269" s="408"/>
      <c r="EJ269" s="408"/>
      <c r="EK269" s="408"/>
      <c r="EL269" s="408"/>
      <c r="EM269" s="408"/>
      <c r="EN269" s="408"/>
      <c r="EO269" s="408"/>
      <c r="EP269" s="408"/>
      <c r="EQ269" s="408"/>
      <c r="ER269" s="408"/>
      <c r="ES269" s="408"/>
      <c r="ET269" s="408"/>
      <c r="EU269" s="408"/>
      <c r="EV269" s="408"/>
      <c r="EW269" s="408"/>
      <c r="EX269" s="408"/>
      <c r="EY269" s="408"/>
      <c r="EZ269" s="412"/>
      <c r="FZ269" s="411"/>
      <c r="GA269" s="408"/>
      <c r="GB269" s="408"/>
      <c r="GC269" s="408"/>
      <c r="GD269" s="408"/>
      <c r="GE269" s="408"/>
      <c r="GF269" s="408"/>
      <c r="GG269" s="408"/>
      <c r="GH269" s="408"/>
      <c r="GI269" s="408"/>
      <c r="GJ269" s="408"/>
      <c r="GK269" s="408"/>
      <c r="GL269" s="408"/>
      <c r="GM269" s="408"/>
      <c r="GN269" s="408"/>
      <c r="GO269" s="408"/>
      <c r="GP269" s="408"/>
      <c r="GQ269" s="408"/>
      <c r="GR269" s="408"/>
      <c r="GS269" s="408"/>
      <c r="GT269" s="408"/>
      <c r="GU269" s="408"/>
      <c r="GV269" s="408"/>
      <c r="GW269" s="408"/>
      <c r="GX269" s="412"/>
    </row>
    <row r="270" spans="132:231" ht="24" customHeight="1">
      <c r="EB270" s="411"/>
      <c r="EC270" s="408"/>
      <c r="ED270" s="408"/>
      <c r="EE270" s="408"/>
      <c r="EF270" s="408"/>
      <c r="EG270" s="408"/>
      <c r="EH270" s="408"/>
      <c r="EI270" s="408"/>
      <c r="EJ270" s="408"/>
      <c r="EK270" s="408"/>
      <c r="EL270" s="408"/>
      <c r="EM270" s="408"/>
      <c r="EN270" s="408"/>
      <c r="EO270" s="408"/>
      <c r="EP270" s="408"/>
      <c r="EQ270" s="408"/>
      <c r="ER270" s="408"/>
      <c r="ES270" s="408"/>
      <c r="ET270" s="408"/>
      <c r="EU270" s="408"/>
      <c r="EV270" s="408"/>
      <c r="EW270" s="408"/>
      <c r="EX270" s="408"/>
      <c r="EY270" s="408"/>
      <c r="EZ270" s="412"/>
      <c r="FZ270" s="411"/>
      <c r="GA270" s="408"/>
      <c r="GB270" s="408"/>
      <c r="GC270" s="408"/>
      <c r="GD270" s="408"/>
      <c r="GE270" s="408"/>
      <c r="GF270" s="408"/>
      <c r="GG270" s="408"/>
      <c r="GH270" s="408"/>
      <c r="GI270" s="408"/>
      <c r="GJ270" s="408"/>
      <c r="GK270" s="408"/>
      <c r="GL270" s="408"/>
      <c r="GM270" s="408"/>
      <c r="GN270" s="408"/>
      <c r="GO270" s="408"/>
      <c r="GP270" s="408"/>
      <c r="GQ270" s="408"/>
      <c r="GR270" s="408"/>
      <c r="GS270" s="408"/>
      <c r="GT270" s="408"/>
      <c r="GU270" s="408"/>
      <c r="GV270" s="408"/>
      <c r="GW270" s="408"/>
      <c r="GX270" s="412"/>
    </row>
    <row r="271" spans="132:231" ht="24" customHeight="1">
      <c r="EB271" s="411"/>
      <c r="EC271" s="408"/>
      <c r="ED271" s="408"/>
      <c r="EE271" s="408"/>
      <c r="EF271" s="408"/>
      <c r="EG271" s="408"/>
      <c r="EH271" s="408"/>
      <c r="EI271" s="408"/>
      <c r="EJ271" s="408"/>
      <c r="EK271" s="408"/>
      <c r="EL271" s="408"/>
      <c r="EM271" s="408"/>
      <c r="EN271" s="408"/>
      <c r="EO271" s="408"/>
      <c r="EP271" s="408"/>
      <c r="EQ271" s="408"/>
      <c r="ER271" s="408"/>
      <c r="ES271" s="408"/>
      <c r="ET271" s="408"/>
      <c r="EU271" s="408"/>
      <c r="EV271" s="408"/>
      <c r="EW271" s="408"/>
      <c r="EX271" s="408"/>
      <c r="EY271" s="408"/>
      <c r="EZ271" s="412"/>
      <c r="FZ271" s="411"/>
      <c r="GA271" s="408"/>
      <c r="GB271" s="408"/>
      <c r="GC271" s="408"/>
      <c r="GD271" s="408"/>
      <c r="GE271" s="408"/>
      <c r="GF271" s="408"/>
      <c r="GG271" s="408"/>
      <c r="GH271" s="408"/>
      <c r="GI271" s="408"/>
      <c r="GJ271" s="408"/>
      <c r="GK271" s="408"/>
      <c r="GL271" s="408"/>
      <c r="GM271" s="408"/>
      <c r="GN271" s="408"/>
      <c r="GO271" s="408"/>
      <c r="GP271" s="408"/>
      <c r="GQ271" s="408"/>
      <c r="GR271" s="408"/>
      <c r="GS271" s="408"/>
      <c r="GT271" s="408"/>
      <c r="GU271" s="408"/>
      <c r="GV271" s="408"/>
      <c r="GW271" s="408"/>
      <c r="GX271" s="412"/>
    </row>
    <row r="272" spans="132:231" ht="24" customHeight="1">
      <c r="EB272" s="411"/>
      <c r="EC272" s="408"/>
      <c r="ED272" s="408"/>
      <c r="EE272" s="408"/>
      <c r="EF272" s="408"/>
      <c r="EG272" s="408"/>
      <c r="EH272" s="408"/>
      <c r="EI272" s="408"/>
      <c r="EJ272" s="408"/>
      <c r="EK272" s="408"/>
      <c r="EL272" s="408"/>
      <c r="EM272" s="408"/>
      <c r="EN272" s="408"/>
      <c r="EO272" s="408"/>
      <c r="EP272" s="408"/>
      <c r="EQ272" s="408"/>
      <c r="ER272" s="408"/>
      <c r="ES272" s="408"/>
      <c r="ET272" s="408"/>
      <c r="EU272" s="408"/>
      <c r="EV272" s="408"/>
      <c r="EW272" s="408"/>
      <c r="EX272" s="408"/>
      <c r="EY272" s="408"/>
      <c r="EZ272" s="412"/>
      <c r="FZ272" s="411"/>
      <c r="GA272" s="408"/>
      <c r="GB272" s="408"/>
      <c r="GC272" s="408"/>
      <c r="GD272" s="408"/>
      <c r="GE272" s="408"/>
      <c r="GF272" s="408"/>
      <c r="GG272" s="408"/>
      <c r="GH272" s="408"/>
      <c r="GI272" s="408"/>
      <c r="GJ272" s="408"/>
      <c r="GK272" s="408"/>
      <c r="GL272" s="408"/>
      <c r="GM272" s="408"/>
      <c r="GN272" s="408"/>
      <c r="GO272" s="408"/>
      <c r="GP272" s="408"/>
      <c r="GQ272" s="408"/>
      <c r="GR272" s="408"/>
      <c r="GS272" s="408"/>
      <c r="GT272" s="408"/>
      <c r="GU272" s="408"/>
      <c r="GV272" s="408"/>
      <c r="GW272" s="408"/>
      <c r="GX272" s="412"/>
    </row>
    <row r="273" spans="132:206" ht="24" customHeight="1">
      <c r="EB273" s="411"/>
      <c r="EC273" s="408"/>
      <c r="ED273" s="408"/>
      <c r="EE273" s="408"/>
      <c r="EF273" s="408"/>
      <c r="EG273" s="408"/>
      <c r="EH273" s="408"/>
      <c r="EI273" s="408"/>
      <c r="EJ273" s="408"/>
      <c r="EK273" s="408"/>
      <c r="EL273" s="408"/>
      <c r="EM273" s="408"/>
      <c r="EN273" s="408"/>
      <c r="EO273" s="408"/>
      <c r="EP273" s="408"/>
      <c r="EQ273" s="408"/>
      <c r="ER273" s="408"/>
      <c r="ES273" s="408"/>
      <c r="ET273" s="408"/>
      <c r="EU273" s="408"/>
      <c r="EV273" s="408"/>
      <c r="EW273" s="408"/>
      <c r="EX273" s="408"/>
      <c r="EY273" s="408"/>
      <c r="EZ273" s="412"/>
      <c r="FZ273" s="411"/>
      <c r="GA273" s="408"/>
      <c r="GB273" s="408"/>
      <c r="GC273" s="408"/>
      <c r="GD273" s="408"/>
      <c r="GE273" s="408"/>
      <c r="GF273" s="408"/>
      <c r="GG273" s="408"/>
      <c r="GH273" s="408"/>
      <c r="GI273" s="408"/>
      <c r="GJ273" s="408"/>
      <c r="GK273" s="408"/>
      <c r="GL273" s="408"/>
      <c r="GM273" s="408"/>
      <c r="GN273" s="408"/>
      <c r="GO273" s="408"/>
      <c r="GP273" s="408"/>
      <c r="GQ273" s="408"/>
      <c r="GR273" s="408"/>
      <c r="GS273" s="408"/>
      <c r="GT273" s="408"/>
      <c r="GU273" s="408"/>
      <c r="GV273" s="408"/>
      <c r="GW273" s="408"/>
      <c r="GX273" s="412"/>
    </row>
    <row r="274" spans="132:206" ht="24" customHeight="1">
      <c r="EB274" s="411"/>
      <c r="EC274" s="408"/>
      <c r="ED274" s="408"/>
      <c r="EE274" s="408"/>
      <c r="EF274" s="408"/>
      <c r="EG274" s="408"/>
      <c r="EH274" s="408"/>
      <c r="EI274" s="408"/>
      <c r="EJ274" s="408"/>
      <c r="EK274" s="408"/>
      <c r="EL274" s="408"/>
      <c r="EM274" s="408"/>
      <c r="EN274" s="408"/>
      <c r="EO274" s="408"/>
      <c r="EP274" s="408"/>
      <c r="EQ274" s="408"/>
      <c r="ER274" s="408"/>
      <c r="ES274" s="408"/>
      <c r="ET274" s="408"/>
      <c r="EU274" s="408"/>
      <c r="EV274" s="408"/>
      <c r="EW274" s="408"/>
      <c r="EX274" s="408"/>
      <c r="EY274" s="408"/>
      <c r="EZ274" s="412"/>
      <c r="FZ274" s="411"/>
      <c r="GA274" s="408"/>
      <c r="GB274" s="408"/>
      <c r="GC274" s="408"/>
      <c r="GD274" s="408"/>
      <c r="GE274" s="408"/>
      <c r="GF274" s="408"/>
      <c r="GG274" s="408"/>
      <c r="GH274" s="408"/>
      <c r="GI274" s="408"/>
      <c r="GJ274" s="408"/>
      <c r="GK274" s="408"/>
      <c r="GL274" s="408"/>
      <c r="GM274" s="408"/>
      <c r="GN274" s="408"/>
      <c r="GO274" s="408"/>
      <c r="GP274" s="408"/>
      <c r="GQ274" s="408"/>
      <c r="GR274" s="408"/>
      <c r="GS274" s="408"/>
      <c r="GT274" s="408"/>
      <c r="GU274" s="408"/>
      <c r="GV274" s="408"/>
      <c r="GW274" s="408"/>
      <c r="GX274" s="412"/>
    </row>
    <row r="275" spans="132:206" ht="24" customHeight="1">
      <c r="EB275" s="411"/>
      <c r="EC275" s="408"/>
      <c r="ED275" s="408"/>
      <c r="EE275" s="408"/>
      <c r="EF275" s="408"/>
      <c r="EG275" s="408"/>
      <c r="EH275" s="408"/>
      <c r="EI275" s="408"/>
      <c r="EJ275" s="408"/>
      <c r="EK275" s="408"/>
      <c r="EL275" s="408"/>
      <c r="EM275" s="408"/>
      <c r="EN275" s="408"/>
      <c r="EO275" s="408"/>
      <c r="EP275" s="408"/>
      <c r="EQ275" s="408"/>
      <c r="ER275" s="408"/>
      <c r="ES275" s="408"/>
      <c r="ET275" s="408"/>
      <c r="EU275" s="408"/>
      <c r="EV275" s="408"/>
      <c r="EW275" s="408"/>
      <c r="EX275" s="408"/>
      <c r="EY275" s="408"/>
      <c r="EZ275" s="412"/>
      <c r="FZ275" s="411"/>
      <c r="GA275" s="408"/>
      <c r="GB275" s="408"/>
      <c r="GC275" s="408"/>
      <c r="GD275" s="408"/>
      <c r="GE275" s="408"/>
      <c r="GF275" s="408"/>
      <c r="GG275" s="408"/>
      <c r="GH275" s="408"/>
      <c r="GI275" s="408"/>
      <c r="GJ275" s="408"/>
      <c r="GK275" s="408"/>
      <c r="GL275" s="408"/>
      <c r="GM275" s="408"/>
      <c r="GN275" s="408"/>
      <c r="GO275" s="408"/>
      <c r="GP275" s="408"/>
      <c r="GQ275" s="408"/>
      <c r="GR275" s="408"/>
      <c r="GS275" s="408"/>
      <c r="GT275" s="408"/>
      <c r="GU275" s="408"/>
      <c r="GV275" s="408"/>
      <c r="GW275" s="408"/>
      <c r="GX275" s="412"/>
    </row>
    <row r="276" spans="132:206" ht="24" customHeight="1">
      <c r="EB276" s="411"/>
      <c r="EC276" s="408"/>
      <c r="ED276" s="408"/>
      <c r="EE276" s="408"/>
      <c r="EF276" s="408"/>
      <c r="EG276" s="408"/>
      <c r="EH276" s="408"/>
      <c r="EI276" s="408"/>
      <c r="EJ276" s="408"/>
      <c r="EK276" s="408"/>
      <c r="EL276" s="408"/>
      <c r="EM276" s="408"/>
      <c r="EN276" s="408"/>
      <c r="EO276" s="408"/>
      <c r="EP276" s="408"/>
      <c r="EQ276" s="408"/>
      <c r="ER276" s="408"/>
      <c r="ES276" s="408"/>
      <c r="ET276" s="408"/>
      <c r="EU276" s="408"/>
      <c r="EV276" s="408"/>
      <c r="EW276" s="408"/>
      <c r="EX276" s="408"/>
      <c r="EY276" s="408"/>
      <c r="EZ276" s="412"/>
      <c r="FZ276" s="411"/>
      <c r="GA276" s="408"/>
      <c r="GB276" s="408"/>
      <c r="GC276" s="408"/>
      <c r="GD276" s="408"/>
      <c r="GE276" s="408"/>
      <c r="GF276" s="408"/>
      <c r="GG276" s="408"/>
      <c r="GH276" s="408"/>
      <c r="GI276" s="408"/>
      <c r="GJ276" s="408"/>
      <c r="GK276" s="408"/>
      <c r="GL276" s="408"/>
      <c r="GM276" s="408"/>
      <c r="GN276" s="408"/>
      <c r="GO276" s="408"/>
      <c r="GP276" s="408"/>
      <c r="GQ276" s="408"/>
      <c r="GR276" s="408"/>
      <c r="GS276" s="408"/>
      <c r="GT276" s="408"/>
      <c r="GU276" s="408"/>
      <c r="GV276" s="408"/>
      <c r="GW276" s="408"/>
      <c r="GX276" s="412"/>
    </row>
    <row r="277" spans="132:206" ht="24" customHeight="1">
      <c r="EB277" s="411"/>
      <c r="EC277" s="408"/>
      <c r="ED277" s="408"/>
      <c r="EE277" s="408"/>
      <c r="EF277" s="408"/>
      <c r="EG277" s="408"/>
      <c r="EH277" s="408"/>
      <c r="EI277" s="408"/>
      <c r="EJ277" s="408"/>
      <c r="EK277" s="408"/>
      <c r="EL277" s="408"/>
      <c r="EM277" s="408"/>
      <c r="EN277" s="408"/>
      <c r="EO277" s="408"/>
      <c r="EP277" s="408"/>
      <c r="EQ277" s="408"/>
      <c r="ER277" s="408"/>
      <c r="ES277" s="408"/>
      <c r="ET277" s="408"/>
      <c r="EU277" s="408"/>
      <c r="EV277" s="408"/>
      <c r="EW277" s="408"/>
      <c r="EX277" s="408"/>
      <c r="EY277" s="408"/>
      <c r="EZ277" s="412"/>
      <c r="FZ277" s="411"/>
      <c r="GA277" s="408"/>
      <c r="GB277" s="408"/>
      <c r="GC277" s="408"/>
      <c r="GD277" s="408"/>
      <c r="GE277" s="408"/>
      <c r="GF277" s="408"/>
      <c r="GG277" s="408"/>
      <c r="GH277" s="408"/>
      <c r="GI277" s="408"/>
      <c r="GJ277" s="408"/>
      <c r="GK277" s="408"/>
      <c r="GL277" s="408"/>
      <c r="GM277" s="408"/>
      <c r="GN277" s="408"/>
      <c r="GO277" s="408"/>
      <c r="GP277" s="408"/>
      <c r="GQ277" s="408"/>
      <c r="GR277" s="408"/>
      <c r="GS277" s="408"/>
      <c r="GT277" s="408"/>
      <c r="GU277" s="408"/>
      <c r="GV277" s="408"/>
      <c r="GW277" s="408"/>
      <c r="GX277" s="412"/>
    </row>
    <row r="278" spans="132:206" ht="24" customHeight="1">
      <c r="EB278" s="411"/>
      <c r="EC278" s="408"/>
      <c r="ED278" s="408"/>
      <c r="EE278" s="408"/>
      <c r="EF278" s="408"/>
      <c r="EG278" s="408"/>
      <c r="EH278" s="408"/>
      <c r="EI278" s="408"/>
      <c r="EJ278" s="408"/>
      <c r="EK278" s="408"/>
      <c r="EL278" s="408"/>
      <c r="EM278" s="408"/>
      <c r="EN278" s="408"/>
      <c r="EO278" s="408"/>
      <c r="EP278" s="408"/>
      <c r="EQ278" s="408"/>
      <c r="ER278" s="408"/>
      <c r="ES278" s="408"/>
      <c r="ET278" s="408"/>
      <c r="EU278" s="408"/>
      <c r="EV278" s="408"/>
      <c r="EW278" s="408"/>
      <c r="EX278" s="408"/>
      <c r="EY278" s="408"/>
      <c r="EZ278" s="412"/>
      <c r="FZ278" s="411"/>
      <c r="GA278" s="408"/>
      <c r="GB278" s="408"/>
      <c r="GC278" s="408"/>
      <c r="GD278" s="408"/>
      <c r="GE278" s="408"/>
      <c r="GF278" s="408"/>
      <c r="GG278" s="408"/>
      <c r="GH278" s="408"/>
      <c r="GI278" s="408"/>
      <c r="GJ278" s="408"/>
      <c r="GK278" s="408"/>
      <c r="GL278" s="408"/>
      <c r="GM278" s="408"/>
      <c r="GN278" s="408"/>
      <c r="GO278" s="408"/>
      <c r="GP278" s="408"/>
      <c r="GQ278" s="408"/>
      <c r="GR278" s="408"/>
      <c r="GS278" s="408"/>
      <c r="GT278" s="408"/>
      <c r="GU278" s="408"/>
      <c r="GV278" s="408"/>
      <c r="GW278" s="408"/>
      <c r="GX278" s="412"/>
    </row>
    <row r="279" spans="132:206" ht="24" customHeight="1">
      <c r="EB279" s="411"/>
      <c r="EC279" s="408"/>
      <c r="ED279" s="408"/>
      <c r="EE279" s="408"/>
      <c r="EF279" s="408"/>
      <c r="EG279" s="408"/>
      <c r="EH279" s="408"/>
      <c r="EI279" s="408"/>
      <c r="EJ279" s="408"/>
      <c r="EK279" s="408"/>
      <c r="EL279" s="408"/>
      <c r="EM279" s="408"/>
      <c r="EN279" s="408"/>
      <c r="EO279" s="408"/>
      <c r="EP279" s="408"/>
      <c r="EQ279" s="408"/>
      <c r="ER279" s="408"/>
      <c r="ES279" s="408"/>
      <c r="ET279" s="408"/>
      <c r="EU279" s="408"/>
      <c r="EV279" s="408"/>
      <c r="EW279" s="408"/>
      <c r="EX279" s="408"/>
      <c r="EY279" s="408"/>
      <c r="EZ279" s="412"/>
      <c r="FZ279" s="411"/>
      <c r="GA279" s="408"/>
      <c r="GB279" s="408"/>
      <c r="GC279" s="408"/>
      <c r="GD279" s="408"/>
      <c r="GE279" s="408"/>
      <c r="GF279" s="408"/>
      <c r="GG279" s="408"/>
      <c r="GH279" s="408"/>
      <c r="GI279" s="408"/>
      <c r="GJ279" s="408"/>
      <c r="GK279" s="408"/>
      <c r="GL279" s="408"/>
      <c r="GM279" s="408"/>
      <c r="GN279" s="408"/>
      <c r="GO279" s="408"/>
      <c r="GP279" s="408"/>
      <c r="GQ279" s="408"/>
      <c r="GR279" s="408"/>
      <c r="GS279" s="408"/>
      <c r="GT279" s="408"/>
      <c r="GU279" s="408"/>
      <c r="GV279" s="408"/>
      <c r="GW279" s="408"/>
      <c r="GX279" s="412"/>
    </row>
    <row r="280" spans="132:206" ht="24" customHeight="1">
      <c r="EB280" s="411"/>
      <c r="EC280" s="408"/>
      <c r="ED280" s="408"/>
      <c r="EE280" s="408"/>
      <c r="EF280" s="408"/>
      <c r="EG280" s="408"/>
      <c r="EH280" s="408"/>
      <c r="EI280" s="408"/>
      <c r="EJ280" s="408"/>
      <c r="EK280" s="408"/>
      <c r="EL280" s="408"/>
      <c r="EM280" s="408"/>
      <c r="EN280" s="408"/>
      <c r="EO280" s="408"/>
      <c r="EP280" s="408"/>
      <c r="EQ280" s="408"/>
      <c r="ER280" s="408"/>
      <c r="ES280" s="408"/>
      <c r="ET280" s="408"/>
      <c r="EU280" s="408"/>
      <c r="EV280" s="408"/>
      <c r="EW280" s="408"/>
      <c r="EX280" s="408"/>
      <c r="EY280" s="408"/>
      <c r="EZ280" s="412"/>
      <c r="FZ280" s="411"/>
      <c r="GA280" s="408"/>
      <c r="GB280" s="408"/>
      <c r="GC280" s="408"/>
      <c r="GD280" s="408"/>
      <c r="GE280" s="408"/>
      <c r="GF280" s="408"/>
      <c r="GG280" s="408"/>
      <c r="GH280" s="408"/>
      <c r="GI280" s="408"/>
      <c r="GJ280" s="408"/>
      <c r="GK280" s="408"/>
      <c r="GL280" s="408"/>
      <c r="GM280" s="408"/>
      <c r="GN280" s="408"/>
      <c r="GO280" s="408"/>
      <c r="GP280" s="408"/>
      <c r="GQ280" s="408"/>
      <c r="GR280" s="408"/>
      <c r="GS280" s="408"/>
      <c r="GT280" s="408"/>
      <c r="GU280" s="408"/>
      <c r="GV280" s="408"/>
      <c r="GW280" s="408"/>
      <c r="GX280" s="412"/>
    </row>
    <row r="281" spans="132:206" ht="24" customHeight="1">
      <c r="EB281" s="411"/>
      <c r="EC281" s="408"/>
      <c r="ED281" s="408"/>
      <c r="EE281" s="408"/>
      <c r="EF281" s="408"/>
      <c r="EG281" s="408"/>
      <c r="EH281" s="408"/>
      <c r="EI281" s="408"/>
      <c r="EJ281" s="408"/>
      <c r="EK281" s="408"/>
      <c r="EL281" s="408"/>
      <c r="EM281" s="408"/>
      <c r="EN281" s="408"/>
      <c r="EO281" s="408"/>
      <c r="EP281" s="408"/>
      <c r="EQ281" s="408"/>
      <c r="ER281" s="408"/>
      <c r="ES281" s="408"/>
      <c r="ET281" s="408"/>
      <c r="EU281" s="408"/>
      <c r="EV281" s="408"/>
      <c r="EW281" s="408"/>
      <c r="EX281" s="408"/>
      <c r="EY281" s="408"/>
      <c r="EZ281" s="412"/>
      <c r="FZ281" s="411"/>
      <c r="GA281" s="408"/>
      <c r="GB281" s="408"/>
      <c r="GC281" s="408"/>
      <c r="GD281" s="408"/>
      <c r="GE281" s="408"/>
      <c r="GF281" s="408"/>
      <c r="GG281" s="408"/>
      <c r="GH281" s="408"/>
      <c r="GI281" s="408"/>
      <c r="GJ281" s="408"/>
      <c r="GK281" s="408"/>
      <c r="GL281" s="408"/>
      <c r="GM281" s="408"/>
      <c r="GN281" s="408"/>
      <c r="GO281" s="408"/>
      <c r="GP281" s="408"/>
      <c r="GQ281" s="408"/>
      <c r="GR281" s="408"/>
      <c r="GS281" s="408"/>
      <c r="GT281" s="408"/>
      <c r="GU281" s="408"/>
      <c r="GV281" s="408"/>
      <c r="GW281" s="408"/>
      <c r="GX281" s="412"/>
    </row>
    <row r="282" spans="132:206" ht="24" customHeight="1">
      <c r="EB282" s="411"/>
      <c r="EC282" s="408"/>
      <c r="ED282" s="408"/>
      <c r="EE282" s="408"/>
      <c r="EF282" s="408"/>
      <c r="EG282" s="408"/>
      <c r="EH282" s="408"/>
      <c r="EI282" s="408"/>
      <c r="EJ282" s="408"/>
      <c r="EK282" s="408"/>
      <c r="EL282" s="408"/>
      <c r="EM282" s="408"/>
      <c r="EN282" s="408"/>
      <c r="EO282" s="408"/>
      <c r="EP282" s="408"/>
      <c r="EQ282" s="408"/>
      <c r="ER282" s="408"/>
      <c r="ES282" s="408"/>
      <c r="ET282" s="408"/>
      <c r="EU282" s="408"/>
      <c r="EV282" s="408"/>
      <c r="EW282" s="408"/>
      <c r="EX282" s="408"/>
      <c r="EY282" s="408"/>
      <c r="EZ282" s="412"/>
      <c r="FZ282" s="411"/>
      <c r="GA282" s="408"/>
      <c r="GB282" s="408"/>
      <c r="GC282" s="408"/>
      <c r="GD282" s="408"/>
      <c r="GE282" s="408"/>
      <c r="GF282" s="408"/>
      <c r="GG282" s="408"/>
      <c r="GH282" s="408"/>
      <c r="GI282" s="408"/>
      <c r="GJ282" s="408"/>
      <c r="GK282" s="408"/>
      <c r="GL282" s="408"/>
      <c r="GM282" s="408"/>
      <c r="GN282" s="408"/>
      <c r="GO282" s="408"/>
      <c r="GP282" s="408"/>
      <c r="GQ282" s="408"/>
      <c r="GR282" s="408"/>
      <c r="GS282" s="408"/>
      <c r="GT282" s="408"/>
      <c r="GU282" s="408"/>
      <c r="GV282" s="408"/>
      <c r="GW282" s="408"/>
      <c r="GX282" s="412"/>
    </row>
    <row r="283" spans="132:206" ht="24" customHeight="1">
      <c r="EB283" s="411"/>
      <c r="EC283" s="408"/>
      <c r="ED283" s="408"/>
      <c r="EE283" s="408"/>
      <c r="EF283" s="408"/>
      <c r="EG283" s="408"/>
      <c r="EH283" s="408"/>
      <c r="EI283" s="408"/>
      <c r="EJ283" s="408"/>
      <c r="EK283" s="408"/>
      <c r="EL283" s="408"/>
      <c r="EM283" s="408"/>
      <c r="EN283" s="408"/>
      <c r="EO283" s="408"/>
      <c r="EP283" s="408"/>
      <c r="EQ283" s="408"/>
      <c r="ER283" s="408"/>
      <c r="ES283" s="408"/>
      <c r="ET283" s="408"/>
      <c r="EU283" s="408"/>
      <c r="EV283" s="408"/>
      <c r="EW283" s="408"/>
      <c r="EX283" s="408"/>
      <c r="EY283" s="408"/>
      <c r="EZ283" s="412"/>
      <c r="FZ283" s="411"/>
      <c r="GA283" s="408"/>
      <c r="GB283" s="408"/>
      <c r="GC283" s="408"/>
      <c r="GD283" s="408"/>
      <c r="GE283" s="408"/>
      <c r="GF283" s="408"/>
      <c r="GG283" s="408"/>
      <c r="GH283" s="408"/>
      <c r="GI283" s="408"/>
      <c r="GJ283" s="408"/>
      <c r="GK283" s="408"/>
      <c r="GL283" s="408"/>
      <c r="GM283" s="408"/>
      <c r="GN283" s="408"/>
      <c r="GO283" s="408"/>
      <c r="GP283" s="408"/>
      <c r="GQ283" s="408"/>
      <c r="GR283" s="408"/>
      <c r="GS283" s="408"/>
      <c r="GT283" s="408"/>
      <c r="GU283" s="408"/>
      <c r="GV283" s="408"/>
      <c r="GW283" s="408"/>
      <c r="GX283" s="412"/>
    </row>
    <row r="284" spans="132:206" ht="24" customHeight="1" thickBot="1">
      <c r="EB284" s="411"/>
      <c r="EC284" s="413"/>
      <c r="ED284" s="413"/>
      <c r="EE284" s="413"/>
      <c r="EF284" s="408"/>
      <c r="EG284" s="408"/>
      <c r="EH284" s="408"/>
      <c r="EI284" s="408"/>
      <c r="EJ284" s="408"/>
      <c r="EK284" s="408"/>
      <c r="EL284" s="408"/>
      <c r="EM284" s="408"/>
      <c r="EN284" s="408"/>
      <c r="EO284" s="408"/>
      <c r="EP284" s="408"/>
      <c r="EQ284" s="408"/>
      <c r="ER284" s="408"/>
      <c r="ES284" s="408"/>
      <c r="ET284" s="408"/>
      <c r="EU284" s="408"/>
      <c r="EV284" s="408"/>
      <c r="EW284" s="408"/>
      <c r="EX284" s="408"/>
      <c r="EY284" s="408"/>
      <c r="EZ284" s="412"/>
      <c r="FZ284" s="411"/>
      <c r="GA284" s="413"/>
      <c r="GB284" s="413"/>
      <c r="GC284" s="413"/>
      <c r="GD284" s="408"/>
      <c r="GE284" s="408"/>
      <c r="GF284" s="408"/>
      <c r="GG284" s="408"/>
      <c r="GH284" s="408"/>
      <c r="GI284" s="408"/>
      <c r="GJ284" s="408"/>
      <c r="GK284" s="408"/>
      <c r="GL284" s="408"/>
      <c r="GM284" s="408"/>
      <c r="GN284" s="408"/>
      <c r="GO284" s="408"/>
      <c r="GP284" s="408"/>
      <c r="GQ284" s="408"/>
      <c r="GR284" s="408"/>
      <c r="GS284" s="408"/>
      <c r="GT284" s="408"/>
      <c r="GU284" s="408"/>
      <c r="GV284" s="408"/>
      <c r="GW284" s="408"/>
      <c r="GX284" s="412"/>
    </row>
    <row r="285" spans="132:206" ht="24" customHeight="1" thickBot="1">
      <c r="EB285" s="416"/>
      <c r="EC285" s="2116" t="str">
        <f>'Вывод расчетов'!$CC$9</f>
        <v>Раздел 2</v>
      </c>
      <c r="ED285" s="2114"/>
      <c r="EE285" s="2114"/>
      <c r="EF285" s="417"/>
      <c r="EG285" s="2116" t="str">
        <f>'Вывод расчетов'!$CF$9</f>
        <v>Расчет обмотки статора</v>
      </c>
      <c r="EH285" s="2114"/>
      <c r="EI285" s="2114"/>
      <c r="EJ285" s="2114"/>
      <c r="EK285" s="2114"/>
      <c r="EL285" s="2114"/>
      <c r="EM285" s="2114"/>
      <c r="EN285" s="2114"/>
      <c r="EO285" s="2114"/>
      <c r="EP285" s="2114"/>
      <c r="EQ285" s="2114"/>
      <c r="ER285" s="2117"/>
      <c r="ES285" s="417"/>
      <c r="ET285" s="2116" t="s">
        <v>1369</v>
      </c>
      <c r="EU285" s="2114"/>
      <c r="EV285" s="2117"/>
      <c r="EW285" s="417"/>
      <c r="EX285" s="2116">
        <v>11</v>
      </c>
      <c r="EY285" s="2117"/>
      <c r="EZ285" s="418"/>
      <c r="FZ285" s="416"/>
      <c r="GA285" s="2116" t="str">
        <f>'Вывод расчетов'!$CC$9</f>
        <v>Раздел 2</v>
      </c>
      <c r="GB285" s="2114"/>
      <c r="GC285" s="2114"/>
      <c r="GD285" s="417"/>
      <c r="GE285" s="2116" t="str">
        <f>'Вывод расчетов'!$CF$9</f>
        <v>Расчет обмотки статора</v>
      </c>
      <c r="GF285" s="2114"/>
      <c r="GG285" s="2114"/>
      <c r="GH285" s="2114"/>
      <c r="GI285" s="2114"/>
      <c r="GJ285" s="2114"/>
      <c r="GK285" s="2114"/>
      <c r="GL285" s="2114"/>
      <c r="GM285" s="2114"/>
      <c r="GN285" s="2114"/>
      <c r="GO285" s="2114"/>
      <c r="GP285" s="2117"/>
      <c r="GQ285" s="417"/>
      <c r="GR285" s="2116" t="s">
        <v>1369</v>
      </c>
      <c r="GS285" s="2114"/>
      <c r="GT285" s="2117"/>
      <c r="GU285" s="417"/>
      <c r="GV285" s="2116">
        <v>11</v>
      </c>
      <c r="GW285" s="2117"/>
      <c r="GX285" s="418"/>
    </row>
    <row r="286" spans="132:206" ht="24" customHeight="1" thickBot="1">
      <c r="EB286" s="2113" t="s">
        <v>1111</v>
      </c>
      <c r="EC286" s="2114"/>
      <c r="ED286" s="2114"/>
      <c r="EE286" s="2114"/>
      <c r="EF286" s="2114"/>
      <c r="EG286" s="2114"/>
      <c r="EH286" s="2114"/>
      <c r="EI286" s="2114"/>
      <c r="EJ286" s="2114"/>
      <c r="EK286" s="2114"/>
      <c r="EL286" s="2114"/>
      <c r="EM286" s="2114"/>
      <c r="EN286" s="2114"/>
      <c r="EO286" s="2114"/>
      <c r="EP286" s="2114"/>
      <c r="EQ286" s="2114"/>
      <c r="ER286" s="2114"/>
      <c r="ES286" s="2114"/>
      <c r="ET286" s="2114"/>
      <c r="EU286" s="2114"/>
      <c r="EV286" s="2114"/>
      <c r="EW286" s="2114"/>
      <c r="EX286" s="2114"/>
      <c r="EY286" s="2114"/>
      <c r="EZ286" s="2115"/>
      <c r="FZ286" s="2113" t="s">
        <v>1111</v>
      </c>
      <c r="GA286" s="2114"/>
      <c r="GB286" s="2114"/>
      <c r="GC286" s="2114"/>
      <c r="GD286" s="2114"/>
      <c r="GE286" s="2114"/>
      <c r="GF286" s="2114"/>
      <c r="GG286" s="2114"/>
      <c r="GH286" s="2114"/>
      <c r="GI286" s="2114"/>
      <c r="GJ286" s="2114"/>
      <c r="GK286" s="2114"/>
      <c r="GL286" s="2114"/>
      <c r="GM286" s="2114"/>
      <c r="GN286" s="2114"/>
      <c r="GO286" s="2114"/>
      <c r="GP286" s="2114"/>
      <c r="GQ286" s="2114"/>
      <c r="GR286" s="2114"/>
      <c r="GS286" s="2114"/>
      <c r="GT286" s="2114"/>
      <c r="GU286" s="2114"/>
      <c r="GV286" s="2114"/>
      <c r="GW286" s="2114"/>
      <c r="GX286" s="2115"/>
    </row>
    <row r="287" spans="132:206" ht="24" customHeight="1">
      <c r="EB287" s="409"/>
      <c r="EC287" s="410"/>
      <c r="ED287" s="410"/>
      <c r="EE287" s="410"/>
      <c r="EF287" s="410"/>
      <c r="EG287" s="410"/>
      <c r="EH287" s="410"/>
      <c r="EI287" s="410"/>
      <c r="EJ287" s="410"/>
      <c r="EK287" s="410"/>
      <c r="EL287" s="410"/>
      <c r="EM287" s="410"/>
      <c r="EN287" s="410"/>
      <c r="EO287" s="410"/>
      <c r="EP287" s="410"/>
      <c r="EQ287" s="410"/>
      <c r="ER287" s="410"/>
      <c r="ES287" s="410"/>
      <c r="ET287" s="410"/>
      <c r="EU287" s="410"/>
      <c r="EV287" s="410"/>
      <c r="EW287" s="410"/>
      <c r="EX287" s="410"/>
      <c r="EY287" s="410"/>
      <c r="EZ287" s="419"/>
      <c r="FZ287" s="409"/>
      <c r="GA287" s="410"/>
      <c r="GB287" s="410"/>
      <c r="GC287" s="410"/>
      <c r="GD287" s="410"/>
      <c r="GE287" s="410"/>
      <c r="GF287" s="410"/>
      <c r="GG287" s="410"/>
      <c r="GH287" s="410"/>
      <c r="GI287" s="410"/>
      <c r="GJ287" s="410"/>
      <c r="GK287" s="410"/>
      <c r="GL287" s="410"/>
      <c r="GM287" s="410"/>
      <c r="GN287" s="410"/>
      <c r="GO287" s="410"/>
      <c r="GP287" s="410"/>
      <c r="GQ287" s="410"/>
      <c r="GR287" s="410"/>
      <c r="GS287" s="410"/>
      <c r="GT287" s="410"/>
      <c r="GU287" s="410"/>
      <c r="GV287" s="410"/>
      <c r="GW287" s="410"/>
      <c r="GX287" s="419"/>
    </row>
    <row r="288" spans="132:206" ht="24" customHeight="1">
      <c r="EB288" s="411"/>
      <c r="EC288" s="408"/>
      <c r="ED288" s="408"/>
      <c r="EE288" s="408"/>
      <c r="EF288" s="408"/>
      <c r="EG288" s="408"/>
      <c r="EH288" s="408"/>
      <c r="EI288" s="408"/>
      <c r="EJ288" s="408"/>
      <c r="EK288" s="408"/>
      <c r="EL288" s="408"/>
      <c r="EM288" s="408"/>
      <c r="EN288" s="408"/>
      <c r="EO288" s="408"/>
      <c r="EP288" s="408"/>
      <c r="EQ288" s="408"/>
      <c r="ER288" s="408"/>
      <c r="ES288" s="408"/>
      <c r="ET288" s="408"/>
      <c r="EU288" s="408"/>
      <c r="EV288" s="408"/>
      <c r="EW288" s="408"/>
      <c r="EX288" s="408"/>
      <c r="EY288" s="408"/>
      <c r="EZ288" s="412"/>
      <c r="FZ288" s="411"/>
      <c r="GA288" s="408"/>
      <c r="GB288" s="408"/>
      <c r="GC288" s="408"/>
      <c r="GD288" s="408"/>
      <c r="GE288" s="408"/>
      <c r="GF288" s="408"/>
      <c r="GG288" s="408"/>
      <c r="GH288" s="408"/>
      <c r="GI288" s="408"/>
      <c r="GJ288" s="408"/>
      <c r="GK288" s="408"/>
      <c r="GL288" s="408"/>
      <c r="GM288" s="408"/>
      <c r="GN288" s="408"/>
      <c r="GO288" s="408"/>
      <c r="GP288" s="408"/>
      <c r="GQ288" s="408"/>
      <c r="GR288" s="408"/>
      <c r="GS288" s="408"/>
      <c r="GT288" s="408"/>
      <c r="GU288" s="408"/>
      <c r="GV288" s="408"/>
      <c r="GW288" s="408"/>
      <c r="GX288" s="412"/>
    </row>
    <row r="289" spans="132:206" ht="24" customHeight="1">
      <c r="EB289" s="411"/>
      <c r="EC289" s="408"/>
      <c r="ED289" s="408"/>
      <c r="EE289" s="408"/>
      <c r="EF289" s="408"/>
      <c r="EG289" s="408"/>
      <c r="EH289" s="408"/>
      <c r="EI289" s="408"/>
      <c r="EJ289" s="408"/>
      <c r="EK289" s="408"/>
      <c r="EL289" s="408"/>
      <c r="EM289" s="408"/>
      <c r="EN289" s="408"/>
      <c r="EO289" s="408"/>
      <c r="EP289" s="408"/>
      <c r="EQ289" s="408"/>
      <c r="ER289" s="408"/>
      <c r="ES289" s="408"/>
      <c r="ET289" s="408"/>
      <c r="EU289" s="408"/>
      <c r="EV289" s="408"/>
      <c r="EW289" s="408"/>
      <c r="EX289" s="408"/>
      <c r="EY289" s="408"/>
      <c r="EZ289" s="412"/>
      <c r="FZ289" s="411"/>
      <c r="GA289" s="408"/>
      <c r="GB289" s="408"/>
      <c r="GC289" s="408"/>
      <c r="GD289" s="408"/>
      <c r="GE289" s="408"/>
      <c r="GF289" s="408"/>
      <c r="GG289" s="408"/>
      <c r="GH289" s="408"/>
      <c r="GI289" s="408"/>
      <c r="GJ289" s="408"/>
      <c r="GK289" s="408"/>
      <c r="GL289" s="408"/>
      <c r="GM289" s="408"/>
      <c r="GN289" s="408"/>
      <c r="GO289" s="408"/>
      <c r="GP289" s="408"/>
      <c r="GQ289" s="408"/>
      <c r="GR289" s="408"/>
      <c r="GS289" s="408"/>
      <c r="GT289" s="408"/>
      <c r="GU289" s="408"/>
      <c r="GV289" s="408"/>
      <c r="GW289" s="408"/>
      <c r="GX289" s="412"/>
    </row>
    <row r="290" spans="132:206" ht="24" customHeight="1">
      <c r="EB290" s="411"/>
      <c r="EC290" s="408"/>
      <c r="ED290" s="408"/>
      <c r="EE290" s="408"/>
      <c r="EF290" s="408"/>
      <c r="EG290" s="408"/>
      <c r="EH290" s="408"/>
      <c r="EI290" s="408"/>
      <c r="EJ290" s="408"/>
      <c r="EK290" s="408"/>
      <c r="EL290" s="408"/>
      <c r="EM290" s="408"/>
      <c r="EN290" s="408"/>
      <c r="EO290" s="408"/>
      <c r="EP290" s="408"/>
      <c r="EQ290" s="408"/>
      <c r="ER290" s="408"/>
      <c r="ES290" s="408"/>
      <c r="ET290" s="408"/>
      <c r="EU290" s="408"/>
      <c r="EV290" s="408"/>
      <c r="EW290" s="408"/>
      <c r="EX290" s="408"/>
      <c r="EY290" s="408"/>
      <c r="EZ290" s="412"/>
      <c r="FZ290" s="411"/>
      <c r="GA290" s="408"/>
      <c r="GB290" s="408"/>
      <c r="GC290" s="408"/>
      <c r="GD290" s="408"/>
      <c r="GE290" s="408"/>
      <c r="GF290" s="408"/>
      <c r="GG290" s="408"/>
      <c r="GH290" s="408"/>
      <c r="GI290" s="408"/>
      <c r="GJ290" s="408"/>
      <c r="GK290" s="408"/>
      <c r="GL290" s="408"/>
      <c r="GM290" s="408"/>
      <c r="GN290" s="408"/>
      <c r="GO290" s="408"/>
      <c r="GP290" s="408"/>
      <c r="GQ290" s="408"/>
      <c r="GR290" s="408"/>
      <c r="GS290" s="408"/>
      <c r="GT290" s="408"/>
      <c r="GU290" s="408"/>
      <c r="GV290" s="408"/>
      <c r="GW290" s="408"/>
      <c r="GX290" s="412"/>
    </row>
    <row r="291" spans="132:206" ht="24" customHeight="1">
      <c r="EB291" s="411"/>
      <c r="EC291" s="408"/>
      <c r="ED291" s="408"/>
      <c r="EE291" s="408"/>
      <c r="EF291" s="408"/>
      <c r="EG291" s="408"/>
      <c r="EH291" s="408"/>
      <c r="EI291" s="408"/>
      <c r="EJ291" s="408"/>
      <c r="EK291" s="408"/>
      <c r="EL291" s="408"/>
      <c r="EM291" s="408"/>
      <c r="EN291" s="408"/>
      <c r="EO291" s="408"/>
      <c r="EP291" s="408"/>
      <c r="EQ291" s="408"/>
      <c r="ER291" s="408"/>
      <c r="ES291" s="408"/>
      <c r="ET291" s="408"/>
      <c r="EU291" s="408"/>
      <c r="EV291" s="408"/>
      <c r="EW291" s="408"/>
      <c r="EX291" s="408"/>
      <c r="EY291" s="408"/>
      <c r="EZ291" s="412"/>
      <c r="FZ291" s="411"/>
      <c r="GA291" s="408"/>
      <c r="GB291" s="408"/>
      <c r="GC291" s="408"/>
      <c r="GD291" s="408"/>
      <c r="GE291" s="408"/>
      <c r="GF291" s="408"/>
      <c r="GG291" s="408"/>
      <c r="GH291" s="408"/>
      <c r="GI291" s="408"/>
      <c r="GJ291" s="408"/>
      <c r="GK291" s="408"/>
      <c r="GL291" s="408"/>
      <c r="GM291" s="408"/>
      <c r="GN291" s="408"/>
      <c r="GO291" s="408"/>
      <c r="GP291" s="408"/>
      <c r="GQ291" s="408"/>
      <c r="GR291" s="408"/>
      <c r="GS291" s="408"/>
      <c r="GT291" s="408"/>
      <c r="GU291" s="408"/>
      <c r="GV291" s="408"/>
      <c r="GW291" s="408"/>
      <c r="GX291" s="412"/>
    </row>
    <row r="292" spans="132:206" ht="24" customHeight="1">
      <c r="EB292" s="411"/>
      <c r="EC292" s="408"/>
      <c r="ED292" s="408"/>
      <c r="EE292" s="408"/>
      <c r="EF292" s="408"/>
      <c r="EG292" s="408"/>
      <c r="EH292" s="408"/>
      <c r="EI292" s="408"/>
      <c r="EJ292" s="408"/>
      <c r="EK292" s="408"/>
      <c r="EL292" s="408"/>
      <c r="EM292" s="408"/>
      <c r="EN292" s="408"/>
      <c r="EO292" s="408"/>
      <c r="EP292" s="408"/>
      <c r="EQ292" s="408"/>
      <c r="ER292" s="408"/>
      <c r="ES292" s="408"/>
      <c r="ET292" s="408"/>
      <c r="EU292" s="408"/>
      <c r="EV292" s="408"/>
      <c r="EW292" s="408"/>
      <c r="EX292" s="408"/>
      <c r="EY292" s="408"/>
      <c r="EZ292" s="412"/>
      <c r="FZ292" s="411"/>
      <c r="GA292" s="408"/>
      <c r="GB292" s="408"/>
      <c r="GC292" s="408"/>
      <c r="GD292" s="408"/>
      <c r="GE292" s="408"/>
      <c r="GF292" s="408"/>
      <c r="GG292" s="408"/>
      <c r="GH292" s="408"/>
      <c r="GI292" s="408"/>
      <c r="GJ292" s="408"/>
      <c r="GK292" s="408"/>
      <c r="GL292" s="408"/>
      <c r="GM292" s="408"/>
      <c r="GN292" s="408"/>
      <c r="GO292" s="408"/>
      <c r="GP292" s="408"/>
      <c r="GQ292" s="408"/>
      <c r="GR292" s="408"/>
      <c r="GS292" s="408"/>
      <c r="GT292" s="408"/>
      <c r="GU292" s="408"/>
      <c r="GV292" s="408"/>
      <c r="GW292" s="408"/>
      <c r="GX292" s="412"/>
    </row>
    <row r="293" spans="132:206" ht="24" customHeight="1">
      <c r="EB293" s="411"/>
      <c r="EC293" s="408"/>
      <c r="ED293" s="408"/>
      <c r="EE293" s="408"/>
      <c r="EF293" s="408"/>
      <c r="EG293" s="408"/>
      <c r="EH293" s="408"/>
      <c r="EI293" s="408"/>
      <c r="EJ293" s="408"/>
      <c r="EK293" s="408"/>
      <c r="EL293" s="408"/>
      <c r="EM293" s="408"/>
      <c r="EN293" s="408"/>
      <c r="EO293" s="408"/>
      <c r="EP293" s="408"/>
      <c r="EQ293" s="408"/>
      <c r="ER293" s="408"/>
      <c r="ES293" s="408"/>
      <c r="ET293" s="408"/>
      <c r="EU293" s="408"/>
      <c r="EV293" s="408"/>
      <c r="EW293" s="408"/>
      <c r="EX293" s="408"/>
      <c r="EY293" s="408"/>
      <c r="EZ293" s="412"/>
      <c r="FZ293" s="411"/>
      <c r="GA293" s="408"/>
      <c r="GB293" s="408"/>
      <c r="GC293" s="408"/>
      <c r="GD293" s="408"/>
      <c r="GE293" s="408"/>
      <c r="GF293" s="408"/>
      <c r="GG293" s="408"/>
      <c r="GH293" s="408"/>
      <c r="GI293" s="408"/>
      <c r="GJ293" s="408"/>
      <c r="GK293" s="408"/>
      <c r="GL293" s="408"/>
      <c r="GM293" s="408"/>
      <c r="GN293" s="408"/>
      <c r="GO293" s="408"/>
      <c r="GP293" s="408"/>
      <c r="GQ293" s="408"/>
      <c r="GR293" s="408"/>
      <c r="GS293" s="408"/>
      <c r="GT293" s="408"/>
      <c r="GU293" s="408"/>
      <c r="GV293" s="408"/>
      <c r="GW293" s="408"/>
      <c r="GX293" s="412"/>
    </row>
    <row r="294" spans="132:206" ht="24" customHeight="1">
      <c r="EB294" s="411"/>
      <c r="EC294" s="408"/>
      <c r="ED294" s="408"/>
      <c r="EE294" s="408"/>
      <c r="EF294" s="408"/>
      <c r="EG294" s="408"/>
      <c r="EH294" s="408"/>
      <c r="EI294" s="408"/>
      <c r="EJ294" s="408"/>
      <c r="EK294" s="408"/>
      <c r="EL294" s="408"/>
      <c r="EM294" s="408"/>
      <c r="EN294" s="408"/>
      <c r="EO294" s="408"/>
      <c r="EP294" s="408"/>
      <c r="EQ294" s="408"/>
      <c r="ER294" s="408"/>
      <c r="ES294" s="408"/>
      <c r="ET294" s="408"/>
      <c r="EU294" s="408"/>
      <c r="EV294" s="408"/>
      <c r="EW294" s="408"/>
      <c r="EX294" s="408"/>
      <c r="EY294" s="408"/>
      <c r="EZ294" s="412"/>
      <c r="FZ294" s="411"/>
      <c r="GA294" s="408"/>
      <c r="GB294" s="408"/>
      <c r="GC294" s="408"/>
      <c r="GD294" s="408"/>
      <c r="GE294" s="408"/>
      <c r="GF294" s="408"/>
      <c r="GG294" s="408"/>
      <c r="GH294" s="408"/>
      <c r="GI294" s="408"/>
      <c r="GJ294" s="408"/>
      <c r="GK294" s="408"/>
      <c r="GL294" s="408"/>
      <c r="GM294" s="408"/>
      <c r="GN294" s="408"/>
      <c r="GO294" s="408"/>
      <c r="GP294" s="408"/>
      <c r="GQ294" s="408"/>
      <c r="GR294" s="408"/>
      <c r="GS294" s="408"/>
      <c r="GT294" s="408"/>
      <c r="GU294" s="408"/>
      <c r="GV294" s="408"/>
      <c r="GW294" s="408"/>
      <c r="GX294" s="412"/>
    </row>
    <row r="295" spans="132:206" ht="24" customHeight="1">
      <c r="EB295" s="411"/>
      <c r="EC295" s="408"/>
      <c r="ED295" s="408"/>
      <c r="EE295" s="408"/>
      <c r="EF295" s="408"/>
      <c r="EG295" s="408"/>
      <c r="EH295" s="408"/>
      <c r="EI295" s="408"/>
      <c r="EJ295" s="408"/>
      <c r="EK295" s="408"/>
      <c r="EL295" s="408"/>
      <c r="EM295" s="408"/>
      <c r="EN295" s="408"/>
      <c r="EO295" s="408"/>
      <c r="EP295" s="408"/>
      <c r="EQ295" s="408"/>
      <c r="ER295" s="408"/>
      <c r="ES295" s="408"/>
      <c r="ET295" s="408"/>
      <c r="EU295" s="408"/>
      <c r="EV295" s="408"/>
      <c r="EW295" s="408"/>
      <c r="EX295" s="408"/>
      <c r="EY295" s="408"/>
      <c r="EZ295" s="412"/>
      <c r="FZ295" s="411"/>
      <c r="GA295" s="408"/>
      <c r="GB295" s="408"/>
      <c r="GC295" s="408"/>
      <c r="GD295" s="408"/>
      <c r="GE295" s="408"/>
      <c r="GF295" s="408"/>
      <c r="GG295" s="408"/>
      <c r="GH295" s="408"/>
      <c r="GI295" s="408"/>
      <c r="GJ295" s="408"/>
      <c r="GK295" s="408"/>
      <c r="GL295" s="408"/>
      <c r="GM295" s="408"/>
      <c r="GN295" s="408"/>
      <c r="GO295" s="408"/>
      <c r="GP295" s="408"/>
      <c r="GQ295" s="408"/>
      <c r="GR295" s="408"/>
      <c r="GS295" s="408"/>
      <c r="GT295" s="408"/>
      <c r="GU295" s="408"/>
      <c r="GV295" s="408"/>
      <c r="GW295" s="408"/>
      <c r="GX295" s="412"/>
    </row>
    <row r="296" spans="132:206" ht="24" customHeight="1">
      <c r="EB296" s="411"/>
      <c r="EC296" s="408"/>
      <c r="ED296" s="408"/>
      <c r="EE296" s="408"/>
      <c r="EF296" s="408"/>
      <c r="EG296" s="408"/>
      <c r="EH296" s="408"/>
      <c r="EI296" s="408"/>
      <c r="EJ296" s="408"/>
      <c r="EK296" s="408"/>
      <c r="EL296" s="408"/>
      <c r="EM296" s="408"/>
      <c r="EN296" s="408"/>
      <c r="EO296" s="408"/>
      <c r="EP296" s="408"/>
      <c r="EQ296" s="408"/>
      <c r="ER296" s="408"/>
      <c r="ES296" s="408"/>
      <c r="ET296" s="408"/>
      <c r="EU296" s="408"/>
      <c r="EV296" s="408"/>
      <c r="EW296" s="408"/>
      <c r="EX296" s="408"/>
      <c r="EY296" s="408"/>
      <c r="EZ296" s="412"/>
      <c r="FZ296" s="411"/>
      <c r="GA296" s="408"/>
      <c r="GB296" s="408"/>
      <c r="GC296" s="408"/>
      <c r="GD296" s="408"/>
      <c r="GE296" s="408"/>
      <c r="GF296" s="408"/>
      <c r="GG296" s="408"/>
      <c r="GH296" s="408"/>
      <c r="GI296" s="408"/>
      <c r="GJ296" s="408"/>
      <c r="GK296" s="408"/>
      <c r="GL296" s="408"/>
      <c r="GM296" s="408"/>
      <c r="GN296" s="408"/>
      <c r="GO296" s="408"/>
      <c r="GP296" s="408"/>
      <c r="GQ296" s="408"/>
      <c r="GR296" s="408"/>
      <c r="GS296" s="408"/>
      <c r="GT296" s="408"/>
      <c r="GU296" s="408"/>
      <c r="GV296" s="408"/>
      <c r="GW296" s="408"/>
      <c r="GX296" s="412"/>
    </row>
    <row r="297" spans="132:206" ht="24" customHeight="1">
      <c r="EB297" s="411"/>
      <c r="EC297" s="408"/>
      <c r="ED297" s="408"/>
      <c r="EE297" s="408"/>
      <c r="EF297" s="408"/>
      <c r="EG297" s="408"/>
      <c r="EH297" s="408"/>
      <c r="EI297" s="408"/>
      <c r="EJ297" s="408"/>
      <c r="EK297" s="408"/>
      <c r="EL297" s="408"/>
      <c r="EM297" s="408"/>
      <c r="EN297" s="408"/>
      <c r="EO297" s="408"/>
      <c r="EP297" s="408"/>
      <c r="EQ297" s="408"/>
      <c r="ER297" s="408"/>
      <c r="ES297" s="408"/>
      <c r="ET297" s="408"/>
      <c r="EU297" s="408"/>
      <c r="EV297" s="408"/>
      <c r="EW297" s="408"/>
      <c r="EX297" s="408"/>
      <c r="EY297" s="408"/>
      <c r="EZ297" s="412"/>
      <c r="FZ297" s="411"/>
      <c r="GA297" s="408"/>
      <c r="GB297" s="408"/>
      <c r="GC297" s="408"/>
      <c r="GD297" s="408"/>
      <c r="GE297" s="408"/>
      <c r="GF297" s="408"/>
      <c r="GG297" s="408"/>
      <c r="GH297" s="408"/>
      <c r="GI297" s="408"/>
      <c r="GJ297" s="408"/>
      <c r="GK297" s="408"/>
      <c r="GL297" s="408"/>
      <c r="GM297" s="408"/>
      <c r="GN297" s="408"/>
      <c r="GO297" s="408"/>
      <c r="GP297" s="408"/>
      <c r="GQ297" s="408"/>
      <c r="GR297" s="408"/>
      <c r="GS297" s="408"/>
      <c r="GT297" s="408"/>
      <c r="GU297" s="408"/>
      <c r="GV297" s="408"/>
      <c r="GW297" s="408"/>
      <c r="GX297" s="412"/>
    </row>
    <row r="298" spans="132:206" ht="24" customHeight="1">
      <c r="EB298" s="411"/>
      <c r="EC298" s="408"/>
      <c r="ED298" s="408"/>
      <c r="EE298" s="408"/>
      <c r="EF298" s="408"/>
      <c r="EG298" s="408"/>
      <c r="EH298" s="408"/>
      <c r="EI298" s="408"/>
      <c r="EJ298" s="408"/>
      <c r="EK298" s="408"/>
      <c r="EL298" s="408"/>
      <c r="EM298" s="408"/>
      <c r="EN298" s="408"/>
      <c r="EO298" s="408"/>
      <c r="EP298" s="408"/>
      <c r="EQ298" s="408"/>
      <c r="ER298" s="408"/>
      <c r="ES298" s="408"/>
      <c r="ET298" s="408"/>
      <c r="EU298" s="408"/>
      <c r="EV298" s="408"/>
      <c r="EW298" s="408"/>
      <c r="EX298" s="408"/>
      <c r="EY298" s="408"/>
      <c r="EZ298" s="412"/>
      <c r="FZ298" s="411"/>
      <c r="GA298" s="408"/>
      <c r="GB298" s="408"/>
      <c r="GC298" s="408"/>
      <c r="GD298" s="408"/>
      <c r="GE298" s="408"/>
      <c r="GF298" s="408"/>
      <c r="GG298" s="408"/>
      <c r="GH298" s="408"/>
      <c r="GI298" s="408"/>
      <c r="GJ298" s="408"/>
      <c r="GK298" s="408"/>
      <c r="GL298" s="408"/>
      <c r="GM298" s="408"/>
      <c r="GN298" s="408"/>
      <c r="GO298" s="408"/>
      <c r="GP298" s="408"/>
      <c r="GQ298" s="408"/>
      <c r="GR298" s="408"/>
      <c r="GS298" s="408"/>
      <c r="GT298" s="408"/>
      <c r="GU298" s="408"/>
      <c r="GV298" s="408"/>
      <c r="GW298" s="408"/>
      <c r="GX298" s="412"/>
    </row>
    <row r="299" spans="132:206" ht="24" customHeight="1">
      <c r="EB299" s="411"/>
      <c r="EC299" s="408"/>
      <c r="ED299" s="408"/>
      <c r="EE299" s="408"/>
      <c r="EF299" s="408"/>
      <c r="EG299" s="408"/>
      <c r="EH299" s="408"/>
      <c r="EI299" s="408"/>
      <c r="EJ299" s="408"/>
      <c r="EK299" s="408"/>
      <c r="EL299" s="408"/>
      <c r="EM299" s="408"/>
      <c r="EN299" s="408"/>
      <c r="EO299" s="408"/>
      <c r="EP299" s="408"/>
      <c r="EQ299" s="408"/>
      <c r="ER299" s="408"/>
      <c r="ES299" s="408"/>
      <c r="ET299" s="408"/>
      <c r="EU299" s="408"/>
      <c r="EV299" s="408"/>
      <c r="EW299" s="408"/>
      <c r="EX299" s="408"/>
      <c r="EY299" s="408"/>
      <c r="EZ299" s="412"/>
      <c r="FZ299" s="411"/>
      <c r="GA299" s="408"/>
      <c r="GB299" s="408"/>
      <c r="GC299" s="408"/>
      <c r="GD299" s="408"/>
      <c r="GE299" s="408"/>
      <c r="GF299" s="408"/>
      <c r="GG299" s="408"/>
      <c r="GH299" s="408"/>
      <c r="GI299" s="408"/>
      <c r="GJ299" s="408"/>
      <c r="GK299" s="408"/>
      <c r="GL299" s="408"/>
      <c r="GM299" s="408"/>
      <c r="GN299" s="408"/>
      <c r="GO299" s="408"/>
      <c r="GP299" s="408"/>
      <c r="GQ299" s="408"/>
      <c r="GR299" s="408"/>
      <c r="GS299" s="408"/>
      <c r="GT299" s="408"/>
      <c r="GU299" s="408"/>
      <c r="GV299" s="408"/>
      <c r="GW299" s="408"/>
      <c r="GX299" s="412"/>
    </row>
    <row r="300" spans="132:206" ht="24" customHeight="1">
      <c r="EB300" s="411"/>
      <c r="EC300" s="408"/>
      <c r="ED300" s="408"/>
      <c r="EE300" s="408"/>
      <c r="EF300" s="408"/>
      <c r="EG300" s="408"/>
      <c r="EH300" s="408"/>
      <c r="EI300" s="408"/>
      <c r="EJ300" s="408"/>
      <c r="EK300" s="408"/>
      <c r="EL300" s="408"/>
      <c r="EM300" s="408"/>
      <c r="EN300" s="408"/>
      <c r="EO300" s="408"/>
      <c r="EP300" s="408"/>
      <c r="EQ300" s="408"/>
      <c r="ER300" s="408"/>
      <c r="ES300" s="408"/>
      <c r="ET300" s="408"/>
      <c r="EU300" s="408"/>
      <c r="EV300" s="408"/>
      <c r="EW300" s="408"/>
      <c r="EX300" s="408"/>
      <c r="EY300" s="408"/>
      <c r="EZ300" s="412"/>
      <c r="FZ300" s="411"/>
      <c r="GA300" s="408"/>
      <c r="GB300" s="408"/>
      <c r="GC300" s="408"/>
      <c r="GD300" s="408"/>
      <c r="GE300" s="408"/>
      <c r="GF300" s="408"/>
      <c r="GG300" s="408"/>
      <c r="GH300" s="408"/>
      <c r="GI300" s="408"/>
      <c r="GJ300" s="408"/>
      <c r="GK300" s="408"/>
      <c r="GL300" s="408"/>
      <c r="GM300" s="408"/>
      <c r="GN300" s="408"/>
      <c r="GO300" s="408"/>
      <c r="GP300" s="408"/>
      <c r="GQ300" s="408"/>
      <c r="GR300" s="408"/>
      <c r="GS300" s="408"/>
      <c r="GT300" s="408"/>
      <c r="GU300" s="408"/>
      <c r="GV300" s="408"/>
      <c r="GW300" s="408"/>
      <c r="GX300" s="412"/>
    </row>
    <row r="301" spans="132:206" ht="24" customHeight="1">
      <c r="EB301" s="411"/>
      <c r="EC301" s="408"/>
      <c r="ED301" s="408"/>
      <c r="EE301" s="408"/>
      <c r="EF301" s="408"/>
      <c r="EG301" s="408"/>
      <c r="EH301" s="408"/>
      <c r="EI301" s="408"/>
      <c r="EJ301" s="408"/>
      <c r="EK301" s="408"/>
      <c r="EL301" s="408"/>
      <c r="EM301" s="408"/>
      <c r="EN301" s="408"/>
      <c r="EO301" s="408"/>
      <c r="EP301" s="408"/>
      <c r="EQ301" s="408"/>
      <c r="ER301" s="408"/>
      <c r="ES301" s="408"/>
      <c r="ET301" s="408"/>
      <c r="EU301" s="408"/>
      <c r="EV301" s="408"/>
      <c r="EW301" s="408"/>
      <c r="EX301" s="408"/>
      <c r="EY301" s="408"/>
      <c r="EZ301" s="412"/>
      <c r="FZ301" s="411"/>
      <c r="GA301" s="408"/>
      <c r="GB301" s="408"/>
      <c r="GC301" s="408"/>
      <c r="GD301" s="408"/>
      <c r="GE301" s="408"/>
      <c r="GF301" s="408"/>
      <c r="GG301" s="408"/>
      <c r="GH301" s="408"/>
      <c r="GI301" s="408"/>
      <c r="GJ301" s="408"/>
      <c r="GK301" s="408"/>
      <c r="GL301" s="408"/>
      <c r="GM301" s="408"/>
      <c r="GN301" s="408"/>
      <c r="GO301" s="408"/>
      <c r="GP301" s="408"/>
      <c r="GQ301" s="408"/>
      <c r="GR301" s="408"/>
      <c r="GS301" s="408"/>
      <c r="GT301" s="408"/>
      <c r="GU301" s="408"/>
      <c r="GV301" s="408"/>
      <c r="GW301" s="408"/>
      <c r="GX301" s="412"/>
    </row>
    <row r="302" spans="132:206" ht="24" customHeight="1">
      <c r="EB302" s="411"/>
      <c r="EC302" s="408"/>
      <c r="ED302" s="408"/>
      <c r="EE302" s="408"/>
      <c r="EF302" s="408"/>
      <c r="EG302" s="408"/>
      <c r="EH302" s="408"/>
      <c r="EI302" s="408"/>
      <c r="EJ302" s="408"/>
      <c r="EK302" s="408"/>
      <c r="EL302" s="408"/>
      <c r="EM302" s="408"/>
      <c r="EN302" s="408"/>
      <c r="EO302" s="408"/>
      <c r="EP302" s="408"/>
      <c r="EQ302" s="408"/>
      <c r="ER302" s="408"/>
      <c r="ES302" s="408"/>
      <c r="ET302" s="408"/>
      <c r="EU302" s="408"/>
      <c r="EV302" s="408"/>
      <c r="EW302" s="408"/>
      <c r="EX302" s="408"/>
      <c r="EY302" s="408"/>
      <c r="EZ302" s="412"/>
      <c r="FZ302" s="411"/>
      <c r="GA302" s="408"/>
      <c r="GB302" s="408"/>
      <c r="GC302" s="408"/>
      <c r="GD302" s="408"/>
      <c r="GE302" s="408"/>
      <c r="GF302" s="408"/>
      <c r="GG302" s="408"/>
      <c r="GH302" s="408"/>
      <c r="GI302" s="408"/>
      <c r="GJ302" s="408"/>
      <c r="GK302" s="408"/>
      <c r="GL302" s="408"/>
      <c r="GM302" s="408"/>
      <c r="GN302" s="408"/>
      <c r="GO302" s="408"/>
      <c r="GP302" s="408"/>
      <c r="GQ302" s="408"/>
      <c r="GR302" s="408"/>
      <c r="GS302" s="408"/>
      <c r="GT302" s="408"/>
      <c r="GU302" s="408"/>
      <c r="GV302" s="408"/>
      <c r="GW302" s="408"/>
      <c r="GX302" s="412"/>
    </row>
    <row r="303" spans="132:206" ht="24" customHeight="1" thickBot="1">
      <c r="EB303" s="411"/>
      <c r="EC303" s="413"/>
      <c r="ED303" s="413"/>
      <c r="EE303" s="413"/>
      <c r="EF303" s="408"/>
      <c r="EG303" s="408"/>
      <c r="EH303" s="408"/>
      <c r="EI303" s="408"/>
      <c r="EJ303" s="408"/>
      <c r="EK303" s="408"/>
      <c r="EL303" s="408"/>
      <c r="EM303" s="408"/>
      <c r="EN303" s="408"/>
      <c r="EO303" s="408"/>
      <c r="EP303" s="408"/>
      <c r="EQ303" s="408"/>
      <c r="ER303" s="408"/>
      <c r="ES303" s="408"/>
      <c r="ET303" s="408"/>
      <c r="EU303" s="408"/>
      <c r="EV303" s="408"/>
      <c r="EW303" s="408"/>
      <c r="EX303" s="408"/>
      <c r="EY303" s="408"/>
      <c r="EZ303" s="412"/>
      <c r="FZ303" s="411"/>
      <c r="GA303" s="413"/>
      <c r="GB303" s="413"/>
      <c r="GC303" s="413"/>
      <c r="GD303" s="408"/>
      <c r="GE303" s="408"/>
      <c r="GF303" s="408"/>
      <c r="GG303" s="408"/>
      <c r="GH303" s="408"/>
      <c r="GI303" s="408"/>
      <c r="GJ303" s="408"/>
      <c r="GK303" s="408"/>
      <c r="GL303" s="408"/>
      <c r="GM303" s="408"/>
      <c r="GN303" s="408"/>
      <c r="GO303" s="408"/>
      <c r="GP303" s="408"/>
      <c r="GQ303" s="408"/>
      <c r="GR303" s="408"/>
      <c r="GS303" s="408"/>
      <c r="GT303" s="408"/>
      <c r="GU303" s="408"/>
      <c r="GV303" s="408"/>
      <c r="GW303" s="408"/>
      <c r="GX303" s="412"/>
    </row>
    <row r="304" spans="132:206" ht="24" customHeight="1" thickBot="1">
      <c r="EB304" s="416"/>
      <c r="EC304" s="2116" t="str">
        <f>'Вывод расчетов'!$CC$9</f>
        <v>Раздел 2</v>
      </c>
      <c r="ED304" s="2114"/>
      <c r="EE304" s="2114"/>
      <c r="EF304" s="417"/>
      <c r="EG304" s="2116" t="str">
        <f>'Вывод расчетов'!$CF$9</f>
        <v>Расчет обмотки статора</v>
      </c>
      <c r="EH304" s="2114"/>
      <c r="EI304" s="2114"/>
      <c r="EJ304" s="2114"/>
      <c r="EK304" s="2114"/>
      <c r="EL304" s="2114"/>
      <c r="EM304" s="2114"/>
      <c r="EN304" s="2114"/>
      <c r="EO304" s="2114"/>
      <c r="EP304" s="2114"/>
      <c r="EQ304" s="2114"/>
      <c r="ER304" s="2117"/>
      <c r="ES304" s="417"/>
      <c r="ET304" s="2116" t="s">
        <v>1369</v>
      </c>
      <c r="EU304" s="2114"/>
      <c r="EV304" s="2117"/>
      <c r="EW304" s="417"/>
      <c r="EX304" s="2116">
        <v>11</v>
      </c>
      <c r="EY304" s="2117"/>
      <c r="EZ304" s="418"/>
      <c r="FZ304" s="416"/>
      <c r="GA304" s="2116" t="str">
        <f>'Вывод расчетов'!$CC$9</f>
        <v>Раздел 2</v>
      </c>
      <c r="GB304" s="2114"/>
      <c r="GC304" s="2114"/>
      <c r="GD304" s="417"/>
      <c r="GE304" s="2116" t="str">
        <f>'Вывод расчетов'!$CF$9</f>
        <v>Расчет обмотки статора</v>
      </c>
      <c r="GF304" s="2114"/>
      <c r="GG304" s="2114"/>
      <c r="GH304" s="2114"/>
      <c r="GI304" s="2114"/>
      <c r="GJ304" s="2114"/>
      <c r="GK304" s="2114"/>
      <c r="GL304" s="2114"/>
      <c r="GM304" s="2114"/>
      <c r="GN304" s="2114"/>
      <c r="GO304" s="2114"/>
      <c r="GP304" s="2117"/>
      <c r="GQ304" s="417"/>
      <c r="GR304" s="2116" t="s">
        <v>1369</v>
      </c>
      <c r="GS304" s="2114"/>
      <c r="GT304" s="2117"/>
      <c r="GU304" s="417"/>
      <c r="GV304" s="2116">
        <v>11</v>
      </c>
      <c r="GW304" s="2117"/>
      <c r="GX304" s="418"/>
    </row>
    <row r="305" spans="182:206" ht="24" customHeight="1" thickBot="1">
      <c r="FZ305" s="2113" t="s">
        <v>1111</v>
      </c>
      <c r="GA305" s="2114"/>
      <c r="GB305" s="2114"/>
      <c r="GC305" s="2114"/>
      <c r="GD305" s="2114"/>
      <c r="GE305" s="2114"/>
      <c r="GF305" s="2114"/>
      <c r="GG305" s="2114"/>
      <c r="GH305" s="2114"/>
      <c r="GI305" s="2114"/>
      <c r="GJ305" s="2114"/>
      <c r="GK305" s="2114"/>
      <c r="GL305" s="2114"/>
      <c r="GM305" s="2114"/>
      <c r="GN305" s="2114"/>
      <c r="GO305" s="2114"/>
      <c r="GP305" s="2114"/>
      <c r="GQ305" s="2114"/>
      <c r="GR305" s="2114"/>
      <c r="GS305" s="2114"/>
      <c r="GT305" s="2114"/>
      <c r="GU305" s="2114"/>
      <c r="GV305" s="2114"/>
      <c r="GW305" s="2114"/>
      <c r="GX305" s="2115"/>
    </row>
    <row r="306" spans="182:206" ht="24" customHeight="1">
      <c r="FZ306" s="409"/>
      <c r="GA306" s="410"/>
      <c r="GB306" s="410"/>
      <c r="GC306" s="410"/>
      <c r="GD306" s="410"/>
      <c r="GE306" s="410"/>
      <c r="GF306" s="410"/>
      <c r="GG306" s="410"/>
      <c r="GH306" s="410"/>
      <c r="GI306" s="410"/>
      <c r="GJ306" s="410"/>
      <c r="GK306" s="410"/>
      <c r="GL306" s="410"/>
      <c r="GM306" s="410"/>
      <c r="GN306" s="410"/>
      <c r="GO306" s="410"/>
      <c r="GP306" s="410"/>
      <c r="GQ306" s="410"/>
      <c r="GR306" s="410"/>
      <c r="GS306" s="410"/>
      <c r="GT306" s="410"/>
      <c r="GU306" s="410"/>
      <c r="GV306" s="410"/>
      <c r="GW306" s="410"/>
      <c r="GX306" s="419"/>
    </row>
    <row r="307" spans="182:206" ht="24" customHeight="1">
      <c r="FZ307" s="411"/>
      <c r="GA307" s="408"/>
      <c r="GB307" s="408"/>
      <c r="GC307" s="408"/>
      <c r="GD307" s="408"/>
      <c r="GE307" s="408"/>
      <c r="GF307" s="408"/>
      <c r="GG307" s="408"/>
      <c r="GH307" s="408"/>
      <c r="GI307" s="408"/>
      <c r="GJ307" s="408"/>
      <c r="GK307" s="408"/>
      <c r="GL307" s="408"/>
      <c r="GM307" s="408"/>
      <c r="GN307" s="408"/>
      <c r="GO307" s="408"/>
      <c r="GP307" s="408"/>
      <c r="GQ307" s="408"/>
      <c r="GR307" s="408"/>
      <c r="GS307" s="408"/>
      <c r="GT307" s="408"/>
      <c r="GU307" s="408"/>
      <c r="GV307" s="408"/>
      <c r="GW307" s="408"/>
      <c r="GX307" s="412"/>
    </row>
    <row r="308" spans="182:206" ht="24" customHeight="1">
      <c r="FZ308" s="411"/>
      <c r="GA308" s="408"/>
      <c r="GB308" s="408"/>
      <c r="GC308" s="408"/>
      <c r="GD308" s="408"/>
      <c r="GE308" s="408"/>
      <c r="GF308" s="408"/>
      <c r="GG308" s="408"/>
      <c r="GH308" s="408"/>
      <c r="GI308" s="408"/>
      <c r="GJ308" s="408"/>
      <c r="GK308" s="408"/>
      <c r="GL308" s="408"/>
      <c r="GM308" s="408"/>
      <c r="GN308" s="408"/>
      <c r="GO308" s="408"/>
      <c r="GP308" s="408"/>
      <c r="GQ308" s="408"/>
      <c r="GR308" s="408"/>
      <c r="GS308" s="408"/>
      <c r="GT308" s="408"/>
      <c r="GU308" s="408"/>
      <c r="GV308" s="408"/>
      <c r="GW308" s="408"/>
      <c r="GX308" s="412"/>
    </row>
    <row r="309" spans="182:206" ht="24" customHeight="1">
      <c r="FZ309" s="411"/>
      <c r="GA309" s="408"/>
      <c r="GB309" s="408"/>
      <c r="GC309" s="408"/>
      <c r="GD309" s="408"/>
      <c r="GE309" s="408"/>
      <c r="GF309" s="408"/>
      <c r="GG309" s="408"/>
      <c r="GH309" s="408"/>
      <c r="GI309" s="408"/>
      <c r="GJ309" s="408"/>
      <c r="GK309" s="408"/>
      <c r="GL309" s="408"/>
      <c r="GM309" s="408"/>
      <c r="GN309" s="408"/>
      <c r="GO309" s="408"/>
      <c r="GP309" s="408"/>
      <c r="GQ309" s="408"/>
      <c r="GR309" s="408"/>
      <c r="GS309" s="408"/>
      <c r="GT309" s="408"/>
      <c r="GU309" s="408"/>
      <c r="GV309" s="408"/>
      <c r="GW309" s="408"/>
      <c r="GX309" s="412"/>
    </row>
    <row r="310" spans="182:206" ht="24" customHeight="1">
      <c r="FZ310" s="411"/>
      <c r="GA310" s="408"/>
      <c r="GB310" s="408"/>
      <c r="GC310" s="408"/>
      <c r="GD310" s="408"/>
      <c r="GE310" s="408"/>
      <c r="GF310" s="408"/>
      <c r="GG310" s="408"/>
      <c r="GH310" s="408"/>
      <c r="GI310" s="408"/>
      <c r="GJ310" s="408"/>
      <c r="GK310" s="408"/>
      <c r="GL310" s="408"/>
      <c r="GM310" s="408"/>
      <c r="GN310" s="408"/>
      <c r="GO310" s="408"/>
      <c r="GP310" s="408"/>
      <c r="GQ310" s="408"/>
      <c r="GR310" s="408"/>
      <c r="GS310" s="408"/>
      <c r="GT310" s="408"/>
      <c r="GU310" s="408"/>
      <c r="GV310" s="408"/>
      <c r="GW310" s="408"/>
      <c r="GX310" s="412"/>
    </row>
    <row r="311" spans="182:206" ht="24" customHeight="1">
      <c r="FZ311" s="411"/>
      <c r="GA311" s="408"/>
      <c r="GB311" s="408"/>
      <c r="GC311" s="408"/>
      <c r="GD311" s="408"/>
      <c r="GE311" s="408"/>
      <c r="GF311" s="408"/>
      <c r="GG311" s="408"/>
      <c r="GH311" s="408"/>
      <c r="GI311" s="408"/>
      <c r="GJ311" s="408"/>
      <c r="GK311" s="408"/>
      <c r="GL311" s="408"/>
      <c r="GM311" s="408"/>
      <c r="GN311" s="408"/>
      <c r="GO311" s="408"/>
      <c r="GP311" s="408"/>
      <c r="GQ311" s="408"/>
      <c r="GR311" s="408"/>
      <c r="GS311" s="408"/>
      <c r="GT311" s="408"/>
      <c r="GU311" s="408"/>
      <c r="GV311" s="408"/>
      <c r="GW311" s="408"/>
      <c r="GX311" s="412"/>
    </row>
    <row r="312" spans="182:206" ht="24" customHeight="1">
      <c r="FZ312" s="411"/>
      <c r="GA312" s="408"/>
      <c r="GB312" s="408"/>
      <c r="GC312" s="408"/>
      <c r="GD312" s="408"/>
      <c r="GE312" s="408"/>
      <c r="GF312" s="408"/>
      <c r="GG312" s="408"/>
      <c r="GH312" s="408"/>
      <c r="GI312" s="408"/>
      <c r="GJ312" s="408"/>
      <c r="GK312" s="408"/>
      <c r="GL312" s="408"/>
      <c r="GM312" s="408"/>
      <c r="GN312" s="408"/>
      <c r="GO312" s="408"/>
      <c r="GP312" s="408"/>
      <c r="GQ312" s="408"/>
      <c r="GR312" s="408"/>
      <c r="GS312" s="408"/>
      <c r="GT312" s="408"/>
      <c r="GU312" s="408"/>
      <c r="GV312" s="408"/>
      <c r="GW312" s="408"/>
      <c r="GX312" s="412"/>
    </row>
    <row r="313" spans="182:206" ht="24" customHeight="1">
      <c r="FZ313" s="411"/>
      <c r="GA313" s="408"/>
      <c r="GB313" s="408"/>
      <c r="GC313" s="408"/>
      <c r="GD313" s="408"/>
      <c r="GE313" s="408"/>
      <c r="GF313" s="408"/>
      <c r="GG313" s="408"/>
      <c r="GH313" s="408"/>
      <c r="GI313" s="408"/>
      <c r="GJ313" s="408"/>
      <c r="GK313" s="408"/>
      <c r="GL313" s="408"/>
      <c r="GM313" s="408"/>
      <c r="GN313" s="408"/>
      <c r="GO313" s="408"/>
      <c r="GP313" s="408"/>
      <c r="GQ313" s="408"/>
      <c r="GR313" s="408"/>
      <c r="GS313" s="408"/>
      <c r="GT313" s="408"/>
      <c r="GU313" s="408"/>
      <c r="GV313" s="408"/>
      <c r="GW313" s="408"/>
      <c r="GX313" s="412"/>
    </row>
    <row r="314" spans="182:206" ht="24" customHeight="1">
      <c r="FZ314" s="411"/>
      <c r="GA314" s="408"/>
      <c r="GB314" s="408"/>
      <c r="GC314" s="408"/>
      <c r="GD314" s="408"/>
      <c r="GE314" s="408"/>
      <c r="GF314" s="408"/>
      <c r="GG314" s="408"/>
      <c r="GH314" s="408"/>
      <c r="GI314" s="408"/>
      <c r="GJ314" s="408"/>
      <c r="GK314" s="408"/>
      <c r="GL314" s="408"/>
      <c r="GM314" s="408"/>
      <c r="GN314" s="408"/>
      <c r="GO314" s="408"/>
      <c r="GP314" s="408"/>
      <c r="GQ314" s="408"/>
      <c r="GR314" s="408"/>
      <c r="GS314" s="408"/>
      <c r="GT314" s="408"/>
      <c r="GU314" s="408"/>
      <c r="GV314" s="408"/>
      <c r="GW314" s="408"/>
      <c r="GX314" s="412"/>
    </row>
    <row r="315" spans="182:206" ht="24" customHeight="1">
      <c r="FZ315" s="411"/>
      <c r="GA315" s="408"/>
      <c r="GB315" s="408"/>
      <c r="GC315" s="408"/>
      <c r="GD315" s="408"/>
      <c r="GE315" s="408"/>
      <c r="GF315" s="408"/>
      <c r="GG315" s="408"/>
      <c r="GH315" s="408"/>
      <c r="GI315" s="408"/>
      <c r="GJ315" s="408"/>
      <c r="GK315" s="408"/>
      <c r="GL315" s="408"/>
      <c r="GM315" s="408"/>
      <c r="GN315" s="408"/>
      <c r="GO315" s="408"/>
      <c r="GP315" s="408"/>
      <c r="GQ315" s="408"/>
      <c r="GR315" s="408"/>
      <c r="GS315" s="408"/>
      <c r="GT315" s="408"/>
      <c r="GU315" s="408"/>
      <c r="GV315" s="408"/>
      <c r="GW315" s="408"/>
      <c r="GX315" s="412"/>
    </row>
    <row r="316" spans="182:206" ht="24" customHeight="1">
      <c r="FZ316" s="411"/>
      <c r="GA316" s="408"/>
      <c r="GB316" s="408"/>
      <c r="GC316" s="408"/>
      <c r="GD316" s="408"/>
      <c r="GE316" s="408"/>
      <c r="GF316" s="408"/>
      <c r="GG316" s="408"/>
      <c r="GH316" s="408"/>
      <c r="GI316" s="408"/>
      <c r="GJ316" s="408"/>
      <c r="GK316" s="408"/>
      <c r="GL316" s="408"/>
      <c r="GM316" s="408"/>
      <c r="GN316" s="408"/>
      <c r="GO316" s="408"/>
      <c r="GP316" s="408"/>
      <c r="GQ316" s="408"/>
      <c r="GR316" s="408"/>
      <c r="GS316" s="408"/>
      <c r="GT316" s="408"/>
      <c r="GU316" s="408"/>
      <c r="GV316" s="408"/>
      <c r="GW316" s="408"/>
      <c r="GX316" s="412"/>
    </row>
    <row r="317" spans="182:206" ht="24" customHeight="1">
      <c r="FZ317" s="411"/>
      <c r="GA317" s="408"/>
      <c r="GB317" s="408"/>
      <c r="GC317" s="408"/>
      <c r="GD317" s="408"/>
      <c r="GE317" s="408"/>
      <c r="GF317" s="408"/>
      <c r="GG317" s="408"/>
      <c r="GH317" s="408"/>
      <c r="GI317" s="408"/>
      <c r="GJ317" s="408"/>
      <c r="GK317" s="408"/>
      <c r="GL317" s="408"/>
      <c r="GM317" s="408"/>
      <c r="GN317" s="408"/>
      <c r="GO317" s="408"/>
      <c r="GP317" s="408"/>
      <c r="GQ317" s="408"/>
      <c r="GR317" s="408"/>
      <c r="GS317" s="408"/>
      <c r="GT317" s="408"/>
      <c r="GU317" s="408"/>
      <c r="GV317" s="408"/>
      <c r="GW317" s="408"/>
      <c r="GX317" s="412"/>
    </row>
    <row r="318" spans="182:206" ht="24" customHeight="1">
      <c r="FZ318" s="411"/>
      <c r="GA318" s="408"/>
      <c r="GB318" s="408"/>
      <c r="GC318" s="408"/>
      <c r="GD318" s="408"/>
      <c r="GE318" s="408"/>
      <c r="GF318" s="408"/>
      <c r="GG318" s="408"/>
      <c r="GH318" s="408"/>
      <c r="GI318" s="408"/>
      <c r="GJ318" s="408"/>
      <c r="GK318" s="408"/>
      <c r="GL318" s="408"/>
      <c r="GM318" s="408"/>
      <c r="GN318" s="408"/>
      <c r="GO318" s="408"/>
      <c r="GP318" s="408"/>
      <c r="GQ318" s="408"/>
      <c r="GR318" s="408"/>
      <c r="GS318" s="408"/>
      <c r="GT318" s="408"/>
      <c r="GU318" s="408"/>
      <c r="GV318" s="408"/>
      <c r="GW318" s="408"/>
      <c r="GX318" s="412"/>
    </row>
    <row r="319" spans="182:206" ht="24" customHeight="1">
      <c r="FZ319" s="411"/>
      <c r="GA319" s="408"/>
      <c r="GB319" s="408"/>
      <c r="GC319" s="408"/>
      <c r="GD319" s="408"/>
      <c r="GE319" s="408"/>
      <c r="GF319" s="408"/>
      <c r="GG319" s="408"/>
      <c r="GH319" s="408"/>
      <c r="GI319" s="408"/>
      <c r="GJ319" s="408"/>
      <c r="GK319" s="408"/>
      <c r="GL319" s="408"/>
      <c r="GM319" s="408"/>
      <c r="GN319" s="408"/>
      <c r="GO319" s="408"/>
      <c r="GP319" s="408"/>
      <c r="GQ319" s="408"/>
      <c r="GR319" s="408"/>
      <c r="GS319" s="408"/>
      <c r="GT319" s="408"/>
      <c r="GU319" s="408"/>
      <c r="GV319" s="408"/>
      <c r="GW319" s="408"/>
      <c r="GX319" s="412"/>
    </row>
    <row r="320" spans="182:206" ht="24" customHeight="1">
      <c r="FZ320" s="411"/>
      <c r="GA320" s="408"/>
      <c r="GB320" s="408"/>
      <c r="GC320" s="408"/>
      <c r="GD320" s="408"/>
      <c r="GE320" s="408"/>
      <c r="GF320" s="408"/>
      <c r="GG320" s="408"/>
      <c r="GH320" s="408"/>
      <c r="GI320" s="408"/>
      <c r="GJ320" s="408"/>
      <c r="GK320" s="408"/>
      <c r="GL320" s="408"/>
      <c r="GM320" s="408"/>
      <c r="GN320" s="408"/>
      <c r="GO320" s="408"/>
      <c r="GP320" s="408"/>
      <c r="GQ320" s="408"/>
      <c r="GR320" s="408"/>
      <c r="GS320" s="408"/>
      <c r="GT320" s="408"/>
      <c r="GU320" s="408"/>
      <c r="GV320" s="408"/>
      <c r="GW320" s="408"/>
      <c r="GX320" s="412"/>
    </row>
    <row r="321" spans="182:206" ht="24" customHeight="1">
      <c r="FZ321" s="411"/>
      <c r="GA321" s="408"/>
      <c r="GB321" s="408"/>
      <c r="GC321" s="408"/>
      <c r="GD321" s="408"/>
      <c r="GE321" s="408"/>
      <c r="GF321" s="408"/>
      <c r="GG321" s="408"/>
      <c r="GH321" s="408"/>
      <c r="GI321" s="408"/>
      <c r="GJ321" s="408"/>
      <c r="GK321" s="408"/>
      <c r="GL321" s="408"/>
      <c r="GM321" s="408"/>
      <c r="GN321" s="408"/>
      <c r="GO321" s="408"/>
      <c r="GP321" s="408"/>
      <c r="GQ321" s="408"/>
      <c r="GR321" s="408"/>
      <c r="GS321" s="408"/>
      <c r="GT321" s="408"/>
      <c r="GU321" s="408"/>
      <c r="GV321" s="408"/>
      <c r="GW321" s="408"/>
      <c r="GX321" s="412"/>
    </row>
    <row r="322" spans="182:206" ht="24" customHeight="1" thickBot="1">
      <c r="FZ322" s="411"/>
      <c r="GA322" s="413"/>
      <c r="GB322" s="413"/>
      <c r="GC322" s="413"/>
      <c r="GD322" s="408"/>
      <c r="GE322" s="408"/>
      <c r="GF322" s="408"/>
      <c r="GG322" s="408"/>
      <c r="GH322" s="408"/>
      <c r="GI322" s="408"/>
      <c r="GJ322" s="408"/>
      <c r="GK322" s="408"/>
      <c r="GL322" s="408"/>
      <c r="GM322" s="408"/>
      <c r="GN322" s="408"/>
      <c r="GO322" s="408"/>
      <c r="GP322" s="408"/>
      <c r="GQ322" s="408"/>
      <c r="GR322" s="408"/>
      <c r="GS322" s="408"/>
      <c r="GT322" s="408"/>
      <c r="GU322" s="408"/>
      <c r="GV322" s="408"/>
      <c r="GW322" s="408"/>
      <c r="GX322" s="412"/>
    </row>
    <row r="323" spans="182:206" ht="24" customHeight="1" thickBot="1">
      <c r="FZ323" s="416"/>
      <c r="GA323" s="2116" t="str">
        <f>'Вывод расчетов'!$CC$9</f>
        <v>Раздел 2</v>
      </c>
      <c r="GB323" s="2114"/>
      <c r="GC323" s="2114"/>
      <c r="GD323" s="417"/>
      <c r="GE323" s="2116" t="str">
        <f>'Вывод расчетов'!$CF$9</f>
        <v>Расчет обмотки статора</v>
      </c>
      <c r="GF323" s="2114"/>
      <c r="GG323" s="2114"/>
      <c r="GH323" s="2114"/>
      <c r="GI323" s="2114"/>
      <c r="GJ323" s="2114"/>
      <c r="GK323" s="2114"/>
      <c r="GL323" s="2114"/>
      <c r="GM323" s="2114"/>
      <c r="GN323" s="2114"/>
      <c r="GO323" s="2114"/>
      <c r="GP323" s="2117"/>
      <c r="GQ323" s="417"/>
      <c r="GR323" s="2116" t="s">
        <v>1369</v>
      </c>
      <c r="GS323" s="2114"/>
      <c r="GT323" s="2117"/>
      <c r="GU323" s="417"/>
      <c r="GV323" s="2116">
        <v>11</v>
      </c>
      <c r="GW323" s="2117"/>
      <c r="GX323" s="418"/>
    </row>
    <row r="324" spans="182:206" ht="24" customHeight="1" thickBot="1">
      <c r="FZ324" s="2113" t="s">
        <v>1111</v>
      </c>
      <c r="GA324" s="2114"/>
      <c r="GB324" s="2114"/>
      <c r="GC324" s="2114"/>
      <c r="GD324" s="2114"/>
      <c r="GE324" s="2114"/>
      <c r="GF324" s="2114"/>
      <c r="GG324" s="2114"/>
      <c r="GH324" s="2114"/>
      <c r="GI324" s="2114"/>
      <c r="GJ324" s="2114"/>
      <c r="GK324" s="2114"/>
      <c r="GL324" s="2114"/>
      <c r="GM324" s="2114"/>
      <c r="GN324" s="2114"/>
      <c r="GO324" s="2114"/>
      <c r="GP324" s="2114"/>
      <c r="GQ324" s="2114"/>
      <c r="GR324" s="2114"/>
      <c r="GS324" s="2114"/>
      <c r="GT324" s="2114"/>
      <c r="GU324" s="2114"/>
      <c r="GV324" s="2114"/>
      <c r="GW324" s="2114"/>
      <c r="GX324" s="2115"/>
    </row>
    <row r="325" spans="182:206" ht="24" customHeight="1">
      <c r="FZ325" s="409"/>
      <c r="GA325" s="410"/>
      <c r="GB325" s="410"/>
      <c r="GC325" s="410"/>
      <c r="GD325" s="410"/>
      <c r="GE325" s="410"/>
      <c r="GF325" s="410"/>
      <c r="GG325" s="410"/>
      <c r="GH325" s="410"/>
      <c r="GI325" s="410"/>
      <c r="GJ325" s="410"/>
      <c r="GK325" s="410"/>
      <c r="GL325" s="410"/>
      <c r="GM325" s="410"/>
      <c r="GN325" s="410"/>
      <c r="GO325" s="410"/>
      <c r="GP325" s="410"/>
      <c r="GQ325" s="410"/>
      <c r="GR325" s="410"/>
      <c r="GS325" s="410"/>
      <c r="GT325" s="410"/>
      <c r="GU325" s="410"/>
      <c r="GV325" s="410"/>
      <c r="GW325" s="410"/>
      <c r="GX325" s="419"/>
    </row>
    <row r="326" spans="182:206" ht="24" customHeight="1">
      <c r="FZ326" s="411"/>
      <c r="GA326" s="408"/>
      <c r="GB326" s="408"/>
      <c r="GC326" s="408"/>
      <c r="GD326" s="408"/>
      <c r="GE326" s="408"/>
      <c r="GF326" s="408"/>
      <c r="GG326" s="408"/>
      <c r="GH326" s="408"/>
      <c r="GI326" s="408"/>
      <c r="GJ326" s="408"/>
      <c r="GK326" s="408"/>
      <c r="GL326" s="408"/>
      <c r="GM326" s="408"/>
      <c r="GN326" s="408"/>
      <c r="GO326" s="408"/>
      <c r="GP326" s="408"/>
      <c r="GQ326" s="408"/>
      <c r="GR326" s="408"/>
      <c r="GS326" s="408"/>
      <c r="GT326" s="408"/>
      <c r="GU326" s="408"/>
      <c r="GV326" s="408"/>
      <c r="GW326" s="408"/>
      <c r="GX326" s="412"/>
    </row>
    <row r="327" spans="182:206" ht="24" customHeight="1">
      <c r="FZ327" s="411"/>
      <c r="GA327" s="408"/>
      <c r="GB327" s="408"/>
      <c r="GC327" s="408"/>
      <c r="GD327" s="408"/>
      <c r="GE327" s="408"/>
      <c r="GF327" s="408"/>
      <c r="GG327" s="408"/>
      <c r="GH327" s="408"/>
      <c r="GI327" s="408"/>
      <c r="GJ327" s="408"/>
      <c r="GK327" s="408"/>
      <c r="GL327" s="408"/>
      <c r="GM327" s="408"/>
      <c r="GN327" s="408"/>
      <c r="GO327" s="408"/>
      <c r="GP327" s="408"/>
      <c r="GQ327" s="408"/>
      <c r="GR327" s="408"/>
      <c r="GS327" s="408"/>
      <c r="GT327" s="408"/>
      <c r="GU327" s="408"/>
      <c r="GV327" s="408"/>
      <c r="GW327" s="408"/>
      <c r="GX327" s="412"/>
    </row>
    <row r="328" spans="182:206" ht="24" customHeight="1">
      <c r="FZ328" s="411"/>
      <c r="GA328" s="408"/>
      <c r="GB328" s="408"/>
      <c r="GC328" s="408"/>
      <c r="GD328" s="408"/>
      <c r="GE328" s="408"/>
      <c r="GF328" s="408"/>
      <c r="GG328" s="408"/>
      <c r="GH328" s="408"/>
      <c r="GI328" s="408"/>
      <c r="GJ328" s="408"/>
      <c r="GK328" s="408"/>
      <c r="GL328" s="408"/>
      <c r="GM328" s="408"/>
      <c r="GN328" s="408"/>
      <c r="GO328" s="408"/>
      <c r="GP328" s="408"/>
      <c r="GQ328" s="408"/>
      <c r="GR328" s="408"/>
      <c r="GS328" s="408"/>
      <c r="GT328" s="408"/>
      <c r="GU328" s="408"/>
      <c r="GV328" s="408"/>
      <c r="GW328" s="408"/>
      <c r="GX328" s="412"/>
    </row>
    <row r="329" spans="182:206" ht="24" customHeight="1">
      <c r="FZ329" s="411"/>
      <c r="GA329" s="408"/>
      <c r="GB329" s="408"/>
      <c r="GC329" s="408"/>
      <c r="GD329" s="408"/>
      <c r="GE329" s="408"/>
      <c r="GF329" s="408"/>
      <c r="GG329" s="408"/>
      <c r="GH329" s="408"/>
      <c r="GI329" s="408"/>
      <c r="GJ329" s="408"/>
      <c r="GK329" s="408"/>
      <c r="GL329" s="408"/>
      <c r="GM329" s="408"/>
      <c r="GN329" s="408"/>
      <c r="GO329" s="408"/>
      <c r="GP329" s="408"/>
      <c r="GQ329" s="408"/>
      <c r="GR329" s="408"/>
      <c r="GS329" s="408"/>
      <c r="GT329" s="408"/>
      <c r="GU329" s="408"/>
      <c r="GV329" s="408"/>
      <c r="GW329" s="408"/>
      <c r="GX329" s="412"/>
    </row>
    <row r="330" spans="182:206" ht="24" customHeight="1">
      <c r="FZ330" s="411"/>
      <c r="GA330" s="408"/>
      <c r="GB330" s="408"/>
      <c r="GC330" s="408"/>
      <c r="GD330" s="408"/>
      <c r="GE330" s="408"/>
      <c r="GF330" s="408"/>
      <c r="GG330" s="408"/>
      <c r="GH330" s="408"/>
      <c r="GI330" s="408"/>
      <c r="GJ330" s="408"/>
      <c r="GK330" s="408"/>
      <c r="GL330" s="408"/>
      <c r="GM330" s="408"/>
      <c r="GN330" s="408"/>
      <c r="GO330" s="408"/>
      <c r="GP330" s="408"/>
      <c r="GQ330" s="408"/>
      <c r="GR330" s="408"/>
      <c r="GS330" s="408"/>
      <c r="GT330" s="408"/>
      <c r="GU330" s="408"/>
      <c r="GV330" s="408"/>
      <c r="GW330" s="408"/>
      <c r="GX330" s="412"/>
    </row>
    <row r="331" spans="182:206" ht="24" customHeight="1">
      <c r="FZ331" s="411"/>
      <c r="GA331" s="408"/>
      <c r="GB331" s="408"/>
      <c r="GC331" s="408"/>
      <c r="GD331" s="408"/>
      <c r="GE331" s="408"/>
      <c r="GF331" s="408"/>
      <c r="GG331" s="408"/>
      <c r="GH331" s="408"/>
      <c r="GI331" s="408"/>
      <c r="GJ331" s="408"/>
      <c r="GK331" s="408"/>
      <c r="GL331" s="408"/>
      <c r="GM331" s="408"/>
      <c r="GN331" s="408"/>
      <c r="GO331" s="408"/>
      <c r="GP331" s="408"/>
      <c r="GQ331" s="408"/>
      <c r="GR331" s="408"/>
      <c r="GS331" s="408"/>
      <c r="GT331" s="408"/>
      <c r="GU331" s="408"/>
      <c r="GV331" s="408"/>
      <c r="GW331" s="408"/>
      <c r="GX331" s="412"/>
    </row>
    <row r="332" spans="182:206" ht="24" customHeight="1">
      <c r="FZ332" s="411"/>
      <c r="GA332" s="408"/>
      <c r="GB332" s="408"/>
      <c r="GC332" s="408"/>
      <c r="GD332" s="408"/>
      <c r="GE332" s="408"/>
      <c r="GF332" s="408"/>
      <c r="GG332" s="408"/>
      <c r="GH332" s="408"/>
      <c r="GI332" s="408"/>
      <c r="GJ332" s="408"/>
      <c r="GK332" s="408"/>
      <c r="GL332" s="408"/>
      <c r="GM332" s="408"/>
      <c r="GN332" s="408"/>
      <c r="GO332" s="408"/>
      <c r="GP332" s="408"/>
      <c r="GQ332" s="408"/>
      <c r="GR332" s="408"/>
      <c r="GS332" s="408"/>
      <c r="GT332" s="408"/>
      <c r="GU332" s="408"/>
      <c r="GV332" s="408"/>
      <c r="GW332" s="408"/>
      <c r="GX332" s="412"/>
    </row>
    <row r="333" spans="182:206" ht="24" customHeight="1">
      <c r="FZ333" s="411"/>
      <c r="GA333" s="408"/>
      <c r="GB333" s="408"/>
      <c r="GC333" s="408"/>
      <c r="GD333" s="408"/>
      <c r="GE333" s="408"/>
      <c r="GF333" s="408"/>
      <c r="GG333" s="408"/>
      <c r="GH333" s="408"/>
      <c r="GI333" s="408"/>
      <c r="GJ333" s="408"/>
      <c r="GK333" s="408"/>
      <c r="GL333" s="408"/>
      <c r="GM333" s="408"/>
      <c r="GN333" s="408"/>
      <c r="GO333" s="408"/>
      <c r="GP333" s="408"/>
      <c r="GQ333" s="408"/>
      <c r="GR333" s="408"/>
      <c r="GS333" s="408"/>
      <c r="GT333" s="408"/>
      <c r="GU333" s="408"/>
      <c r="GV333" s="408"/>
      <c r="GW333" s="408"/>
      <c r="GX333" s="412"/>
    </row>
    <row r="334" spans="182:206" ht="24" customHeight="1">
      <c r="FZ334" s="411"/>
      <c r="GA334" s="408"/>
      <c r="GB334" s="408"/>
      <c r="GC334" s="408"/>
      <c r="GD334" s="408"/>
      <c r="GE334" s="408"/>
      <c r="GF334" s="408"/>
      <c r="GG334" s="408"/>
      <c r="GH334" s="408"/>
      <c r="GI334" s="408"/>
      <c r="GJ334" s="408"/>
      <c r="GK334" s="408"/>
      <c r="GL334" s="408"/>
      <c r="GM334" s="408"/>
      <c r="GN334" s="408"/>
      <c r="GO334" s="408"/>
      <c r="GP334" s="408"/>
      <c r="GQ334" s="408"/>
      <c r="GR334" s="408"/>
      <c r="GS334" s="408"/>
      <c r="GT334" s="408"/>
      <c r="GU334" s="408"/>
      <c r="GV334" s="408"/>
      <c r="GW334" s="408"/>
      <c r="GX334" s="412"/>
    </row>
    <row r="335" spans="182:206" ht="24" customHeight="1">
      <c r="FZ335" s="411"/>
      <c r="GA335" s="408"/>
      <c r="GB335" s="408"/>
      <c r="GC335" s="408"/>
      <c r="GD335" s="408"/>
      <c r="GE335" s="408"/>
      <c r="GF335" s="408"/>
      <c r="GG335" s="408"/>
      <c r="GH335" s="408"/>
      <c r="GI335" s="408"/>
      <c r="GJ335" s="408"/>
      <c r="GK335" s="408"/>
      <c r="GL335" s="408"/>
      <c r="GM335" s="408"/>
      <c r="GN335" s="408"/>
      <c r="GO335" s="408"/>
      <c r="GP335" s="408"/>
      <c r="GQ335" s="408"/>
      <c r="GR335" s="408"/>
      <c r="GS335" s="408"/>
      <c r="GT335" s="408"/>
      <c r="GU335" s="408"/>
      <c r="GV335" s="408"/>
      <c r="GW335" s="408"/>
      <c r="GX335" s="412"/>
    </row>
    <row r="336" spans="182:206" ht="24" customHeight="1">
      <c r="FZ336" s="411"/>
      <c r="GA336" s="408"/>
      <c r="GB336" s="408"/>
      <c r="GC336" s="408"/>
      <c r="GD336" s="408"/>
      <c r="GE336" s="408"/>
      <c r="GF336" s="408"/>
      <c r="GG336" s="408"/>
      <c r="GH336" s="408"/>
      <c r="GI336" s="408"/>
      <c r="GJ336" s="408"/>
      <c r="GK336" s="408"/>
      <c r="GL336" s="408"/>
      <c r="GM336" s="408"/>
      <c r="GN336" s="408"/>
      <c r="GO336" s="408"/>
      <c r="GP336" s="408"/>
      <c r="GQ336" s="408"/>
      <c r="GR336" s="408"/>
      <c r="GS336" s="408"/>
      <c r="GT336" s="408"/>
      <c r="GU336" s="408"/>
      <c r="GV336" s="408"/>
      <c r="GW336" s="408"/>
      <c r="GX336" s="412"/>
    </row>
    <row r="337" spans="182:206" ht="24" customHeight="1">
      <c r="FZ337" s="411"/>
      <c r="GA337" s="408"/>
      <c r="GB337" s="408"/>
      <c r="GC337" s="408"/>
      <c r="GD337" s="408"/>
      <c r="GE337" s="408"/>
      <c r="GF337" s="408"/>
      <c r="GG337" s="408"/>
      <c r="GH337" s="408"/>
      <c r="GI337" s="408"/>
      <c r="GJ337" s="408"/>
      <c r="GK337" s="408"/>
      <c r="GL337" s="408"/>
      <c r="GM337" s="408"/>
      <c r="GN337" s="408"/>
      <c r="GO337" s="408"/>
      <c r="GP337" s="408"/>
      <c r="GQ337" s="408"/>
      <c r="GR337" s="408"/>
      <c r="GS337" s="408"/>
      <c r="GT337" s="408"/>
      <c r="GU337" s="408"/>
      <c r="GV337" s="408"/>
      <c r="GW337" s="408"/>
      <c r="GX337" s="412"/>
    </row>
    <row r="338" spans="182:206" ht="24" customHeight="1">
      <c r="FZ338" s="411"/>
      <c r="GA338" s="408"/>
      <c r="GB338" s="408"/>
      <c r="GC338" s="408"/>
      <c r="GD338" s="408"/>
      <c r="GE338" s="408"/>
      <c r="GF338" s="408"/>
      <c r="GG338" s="408"/>
      <c r="GH338" s="408"/>
      <c r="GI338" s="408"/>
      <c r="GJ338" s="408"/>
      <c r="GK338" s="408"/>
      <c r="GL338" s="408"/>
      <c r="GM338" s="408"/>
      <c r="GN338" s="408"/>
      <c r="GO338" s="408"/>
      <c r="GP338" s="408"/>
      <c r="GQ338" s="408"/>
      <c r="GR338" s="408"/>
      <c r="GS338" s="408"/>
      <c r="GT338" s="408"/>
      <c r="GU338" s="408"/>
      <c r="GV338" s="408"/>
      <c r="GW338" s="408"/>
      <c r="GX338" s="412"/>
    </row>
    <row r="339" spans="182:206" ht="24" customHeight="1">
      <c r="FZ339" s="411"/>
      <c r="GA339" s="408"/>
      <c r="GB339" s="408"/>
      <c r="GC339" s="408"/>
      <c r="GD339" s="408"/>
      <c r="GE339" s="408"/>
      <c r="GF339" s="408"/>
      <c r="GG339" s="408"/>
      <c r="GH339" s="408"/>
      <c r="GI339" s="408"/>
      <c r="GJ339" s="408"/>
      <c r="GK339" s="408"/>
      <c r="GL339" s="408"/>
      <c r="GM339" s="408"/>
      <c r="GN339" s="408"/>
      <c r="GO339" s="408"/>
      <c r="GP339" s="408"/>
      <c r="GQ339" s="408"/>
      <c r="GR339" s="408"/>
      <c r="GS339" s="408"/>
      <c r="GT339" s="408"/>
      <c r="GU339" s="408"/>
      <c r="GV339" s="408"/>
      <c r="GW339" s="408"/>
      <c r="GX339" s="412"/>
    </row>
    <row r="340" spans="182:206" ht="24" customHeight="1">
      <c r="FZ340" s="411"/>
      <c r="GA340" s="408"/>
      <c r="GB340" s="408"/>
      <c r="GC340" s="408"/>
      <c r="GD340" s="408"/>
      <c r="GE340" s="408"/>
      <c r="GF340" s="408"/>
      <c r="GG340" s="408"/>
      <c r="GH340" s="408"/>
      <c r="GI340" s="408"/>
      <c r="GJ340" s="408"/>
      <c r="GK340" s="408"/>
      <c r="GL340" s="408"/>
      <c r="GM340" s="408"/>
      <c r="GN340" s="408"/>
      <c r="GO340" s="408"/>
      <c r="GP340" s="408"/>
      <c r="GQ340" s="408"/>
      <c r="GR340" s="408"/>
      <c r="GS340" s="408"/>
      <c r="GT340" s="408"/>
      <c r="GU340" s="408"/>
      <c r="GV340" s="408"/>
      <c r="GW340" s="408"/>
      <c r="GX340" s="412"/>
    </row>
    <row r="341" spans="182:206" ht="24" customHeight="1" thickBot="1">
      <c r="FZ341" s="411"/>
      <c r="GA341" s="413"/>
      <c r="GB341" s="413"/>
      <c r="GC341" s="413"/>
      <c r="GD341" s="408"/>
      <c r="GE341" s="408"/>
      <c r="GF341" s="408"/>
      <c r="GG341" s="408"/>
      <c r="GH341" s="408"/>
      <c r="GI341" s="408"/>
      <c r="GJ341" s="408"/>
      <c r="GK341" s="408"/>
      <c r="GL341" s="408"/>
      <c r="GM341" s="408"/>
      <c r="GN341" s="408"/>
      <c r="GO341" s="408"/>
      <c r="GP341" s="408"/>
      <c r="GQ341" s="408"/>
      <c r="GR341" s="408"/>
      <c r="GS341" s="408"/>
      <c r="GT341" s="408"/>
      <c r="GU341" s="408"/>
      <c r="GV341" s="408"/>
      <c r="GW341" s="408"/>
      <c r="GX341" s="412"/>
    </row>
    <row r="342" spans="182:206" ht="24" customHeight="1" thickBot="1">
      <c r="FZ342" s="416"/>
      <c r="GA342" s="2116" t="str">
        <f>'Вывод расчетов'!$CC$9</f>
        <v>Раздел 2</v>
      </c>
      <c r="GB342" s="2114"/>
      <c r="GC342" s="2114"/>
      <c r="GD342" s="417"/>
      <c r="GE342" s="2116" t="str">
        <f>'Вывод расчетов'!$CF$9</f>
        <v>Расчет обмотки статора</v>
      </c>
      <c r="GF342" s="2114"/>
      <c r="GG342" s="2114"/>
      <c r="GH342" s="2114"/>
      <c r="GI342" s="2114"/>
      <c r="GJ342" s="2114"/>
      <c r="GK342" s="2114"/>
      <c r="GL342" s="2114"/>
      <c r="GM342" s="2114"/>
      <c r="GN342" s="2114"/>
      <c r="GO342" s="2114"/>
      <c r="GP342" s="2117"/>
      <c r="GQ342" s="417"/>
      <c r="GR342" s="2116" t="s">
        <v>1369</v>
      </c>
      <c r="GS342" s="2114"/>
      <c r="GT342" s="2117"/>
      <c r="GU342" s="417"/>
      <c r="GV342" s="2116">
        <v>11</v>
      </c>
      <c r="GW342" s="2117"/>
      <c r="GX342" s="418"/>
    </row>
    <row r="343" spans="182:206" ht="24" customHeight="1" thickBot="1">
      <c r="FZ343" s="2113" t="s">
        <v>1111</v>
      </c>
      <c r="GA343" s="2114"/>
      <c r="GB343" s="2114"/>
      <c r="GC343" s="2114"/>
      <c r="GD343" s="2114"/>
      <c r="GE343" s="2114"/>
      <c r="GF343" s="2114"/>
      <c r="GG343" s="2114"/>
      <c r="GH343" s="2114"/>
      <c r="GI343" s="2114"/>
      <c r="GJ343" s="2114"/>
      <c r="GK343" s="2114"/>
      <c r="GL343" s="2114"/>
      <c r="GM343" s="2114"/>
      <c r="GN343" s="2114"/>
      <c r="GO343" s="2114"/>
      <c r="GP343" s="2114"/>
      <c r="GQ343" s="2114"/>
      <c r="GR343" s="2114"/>
      <c r="GS343" s="2114"/>
      <c r="GT343" s="2114"/>
      <c r="GU343" s="2114"/>
      <c r="GV343" s="2114"/>
      <c r="GW343" s="2114"/>
      <c r="GX343" s="2115"/>
    </row>
    <row r="344" spans="182:206" ht="24" customHeight="1">
      <c r="FZ344" s="409"/>
      <c r="GA344" s="410"/>
      <c r="GB344" s="410"/>
      <c r="GC344" s="410"/>
      <c r="GD344" s="410"/>
      <c r="GE344" s="410"/>
      <c r="GF344" s="410"/>
      <c r="GG344" s="410"/>
      <c r="GH344" s="410"/>
      <c r="GI344" s="410"/>
      <c r="GJ344" s="410"/>
      <c r="GK344" s="410"/>
      <c r="GL344" s="410"/>
      <c r="GM344" s="410"/>
      <c r="GN344" s="410"/>
      <c r="GO344" s="410"/>
      <c r="GP344" s="410"/>
      <c r="GQ344" s="410"/>
      <c r="GR344" s="410"/>
      <c r="GS344" s="410"/>
      <c r="GT344" s="410"/>
      <c r="GU344" s="410"/>
      <c r="GV344" s="410"/>
      <c r="GW344" s="410"/>
      <c r="GX344" s="419"/>
    </row>
    <row r="345" spans="182:206" ht="24" customHeight="1">
      <c r="FZ345" s="411"/>
      <c r="GA345" s="408"/>
      <c r="GB345" s="408"/>
      <c r="GC345" s="408"/>
      <c r="GD345" s="408"/>
      <c r="GE345" s="408"/>
      <c r="GF345" s="408"/>
      <c r="GG345" s="408"/>
      <c r="GH345" s="408"/>
      <c r="GI345" s="408"/>
      <c r="GJ345" s="408"/>
      <c r="GK345" s="408"/>
      <c r="GL345" s="408"/>
      <c r="GM345" s="408"/>
      <c r="GN345" s="408"/>
      <c r="GO345" s="408"/>
      <c r="GP345" s="408"/>
      <c r="GQ345" s="408"/>
      <c r="GR345" s="408"/>
      <c r="GS345" s="408"/>
      <c r="GT345" s="408"/>
      <c r="GU345" s="408"/>
      <c r="GV345" s="408"/>
      <c r="GW345" s="408"/>
      <c r="GX345" s="412"/>
    </row>
    <row r="346" spans="182:206" ht="24" customHeight="1">
      <c r="FZ346" s="411"/>
      <c r="GA346" s="408"/>
      <c r="GB346" s="408"/>
      <c r="GC346" s="408"/>
      <c r="GD346" s="408"/>
      <c r="GE346" s="408"/>
      <c r="GF346" s="408"/>
      <c r="GG346" s="408"/>
      <c r="GH346" s="408"/>
      <c r="GI346" s="408"/>
      <c r="GJ346" s="408"/>
      <c r="GK346" s="408"/>
      <c r="GL346" s="408"/>
      <c r="GM346" s="408"/>
      <c r="GN346" s="408"/>
      <c r="GO346" s="408"/>
      <c r="GP346" s="408"/>
      <c r="GQ346" s="408"/>
      <c r="GR346" s="408"/>
      <c r="GS346" s="408"/>
      <c r="GT346" s="408"/>
      <c r="GU346" s="408"/>
      <c r="GV346" s="408"/>
      <c r="GW346" s="408"/>
      <c r="GX346" s="412"/>
    </row>
    <row r="347" spans="182:206" ht="24" customHeight="1">
      <c r="FZ347" s="411"/>
      <c r="GA347" s="408"/>
      <c r="GB347" s="408"/>
      <c r="GC347" s="408"/>
      <c r="GD347" s="408"/>
      <c r="GE347" s="408"/>
      <c r="GF347" s="408"/>
      <c r="GG347" s="408"/>
      <c r="GH347" s="408"/>
      <c r="GI347" s="408"/>
      <c r="GJ347" s="408"/>
      <c r="GK347" s="408"/>
      <c r="GL347" s="408"/>
      <c r="GM347" s="408"/>
      <c r="GN347" s="408"/>
      <c r="GO347" s="408"/>
      <c r="GP347" s="408"/>
      <c r="GQ347" s="408"/>
      <c r="GR347" s="408"/>
      <c r="GS347" s="408"/>
      <c r="GT347" s="408"/>
      <c r="GU347" s="408"/>
      <c r="GV347" s="408"/>
      <c r="GW347" s="408"/>
      <c r="GX347" s="412"/>
    </row>
    <row r="348" spans="182:206" ht="24" customHeight="1">
      <c r="FZ348" s="411"/>
      <c r="GA348" s="408"/>
      <c r="GB348" s="408"/>
      <c r="GC348" s="408"/>
      <c r="GD348" s="408"/>
      <c r="GE348" s="408"/>
      <c r="GF348" s="408"/>
      <c r="GG348" s="408"/>
      <c r="GH348" s="408"/>
      <c r="GI348" s="408"/>
      <c r="GJ348" s="408"/>
      <c r="GK348" s="408"/>
      <c r="GL348" s="408"/>
      <c r="GM348" s="408"/>
      <c r="GN348" s="408"/>
      <c r="GO348" s="408"/>
      <c r="GP348" s="408"/>
      <c r="GQ348" s="408"/>
      <c r="GR348" s="408"/>
      <c r="GS348" s="408"/>
      <c r="GT348" s="408"/>
      <c r="GU348" s="408"/>
      <c r="GV348" s="408"/>
      <c r="GW348" s="408"/>
      <c r="GX348" s="412"/>
    </row>
    <row r="349" spans="182:206" ht="24" customHeight="1">
      <c r="FZ349" s="411"/>
      <c r="GA349" s="408"/>
      <c r="GB349" s="408"/>
      <c r="GC349" s="408"/>
      <c r="GD349" s="408"/>
      <c r="GE349" s="408"/>
      <c r="GF349" s="408"/>
      <c r="GG349" s="408"/>
      <c r="GH349" s="408"/>
      <c r="GI349" s="408"/>
      <c r="GJ349" s="408"/>
      <c r="GK349" s="408"/>
      <c r="GL349" s="408"/>
      <c r="GM349" s="408"/>
      <c r="GN349" s="408"/>
      <c r="GO349" s="408"/>
      <c r="GP349" s="408"/>
      <c r="GQ349" s="408"/>
      <c r="GR349" s="408"/>
      <c r="GS349" s="408"/>
      <c r="GT349" s="408"/>
      <c r="GU349" s="408"/>
      <c r="GV349" s="408"/>
      <c r="GW349" s="408"/>
      <c r="GX349" s="412"/>
    </row>
    <row r="350" spans="182:206" ht="24" customHeight="1">
      <c r="FZ350" s="411"/>
      <c r="GA350" s="408"/>
      <c r="GB350" s="408"/>
      <c r="GC350" s="408"/>
      <c r="GD350" s="408"/>
      <c r="GE350" s="408"/>
      <c r="GF350" s="408"/>
      <c r="GG350" s="408"/>
      <c r="GH350" s="408"/>
      <c r="GI350" s="408"/>
      <c r="GJ350" s="408"/>
      <c r="GK350" s="408"/>
      <c r="GL350" s="408"/>
      <c r="GM350" s="408"/>
      <c r="GN350" s="408"/>
      <c r="GO350" s="408"/>
      <c r="GP350" s="408"/>
      <c r="GQ350" s="408"/>
      <c r="GR350" s="408"/>
      <c r="GS350" s="408"/>
      <c r="GT350" s="408"/>
      <c r="GU350" s="408"/>
      <c r="GV350" s="408"/>
      <c r="GW350" s="408"/>
      <c r="GX350" s="412"/>
    </row>
    <row r="351" spans="182:206" ht="24" customHeight="1">
      <c r="FZ351" s="411"/>
      <c r="GA351" s="408"/>
      <c r="GB351" s="408"/>
      <c r="GC351" s="408"/>
      <c r="GD351" s="408"/>
      <c r="GE351" s="408"/>
      <c r="GF351" s="408"/>
      <c r="GG351" s="408"/>
      <c r="GH351" s="408"/>
      <c r="GI351" s="408"/>
      <c r="GJ351" s="408"/>
      <c r="GK351" s="408"/>
      <c r="GL351" s="408"/>
      <c r="GM351" s="408"/>
      <c r="GN351" s="408"/>
      <c r="GO351" s="408"/>
      <c r="GP351" s="408"/>
      <c r="GQ351" s="408"/>
      <c r="GR351" s="408"/>
      <c r="GS351" s="408"/>
      <c r="GT351" s="408"/>
      <c r="GU351" s="408"/>
      <c r="GV351" s="408"/>
      <c r="GW351" s="408"/>
      <c r="GX351" s="412"/>
    </row>
    <row r="352" spans="182:206" ht="24" customHeight="1">
      <c r="FZ352" s="411"/>
      <c r="GA352" s="408"/>
      <c r="GB352" s="408"/>
      <c r="GC352" s="408"/>
      <c r="GD352" s="408"/>
      <c r="GE352" s="408"/>
      <c r="GF352" s="408"/>
      <c r="GG352" s="408"/>
      <c r="GH352" s="408"/>
      <c r="GI352" s="408"/>
      <c r="GJ352" s="408"/>
      <c r="GK352" s="408"/>
      <c r="GL352" s="408"/>
      <c r="GM352" s="408"/>
      <c r="GN352" s="408"/>
      <c r="GO352" s="408"/>
      <c r="GP352" s="408"/>
      <c r="GQ352" s="408"/>
      <c r="GR352" s="408"/>
      <c r="GS352" s="408"/>
      <c r="GT352" s="408"/>
      <c r="GU352" s="408"/>
      <c r="GV352" s="408"/>
      <c r="GW352" s="408"/>
      <c r="GX352" s="412"/>
    </row>
    <row r="353" spans="182:206" ht="24" customHeight="1">
      <c r="FZ353" s="411"/>
      <c r="GA353" s="408"/>
      <c r="GB353" s="408"/>
      <c r="GC353" s="408"/>
      <c r="GD353" s="408"/>
      <c r="GE353" s="408"/>
      <c r="GF353" s="408"/>
      <c r="GG353" s="408"/>
      <c r="GH353" s="408"/>
      <c r="GI353" s="408"/>
      <c r="GJ353" s="408"/>
      <c r="GK353" s="408"/>
      <c r="GL353" s="408"/>
      <c r="GM353" s="408"/>
      <c r="GN353" s="408"/>
      <c r="GO353" s="408"/>
      <c r="GP353" s="408"/>
      <c r="GQ353" s="408"/>
      <c r="GR353" s="408"/>
      <c r="GS353" s="408"/>
      <c r="GT353" s="408"/>
      <c r="GU353" s="408"/>
      <c r="GV353" s="408"/>
      <c r="GW353" s="408"/>
      <c r="GX353" s="412"/>
    </row>
    <row r="354" spans="182:206" ht="24" customHeight="1">
      <c r="FZ354" s="411"/>
      <c r="GA354" s="408"/>
      <c r="GB354" s="408"/>
      <c r="GC354" s="408"/>
      <c r="GD354" s="408"/>
      <c r="GE354" s="408"/>
      <c r="GF354" s="408"/>
      <c r="GG354" s="408"/>
      <c r="GH354" s="408"/>
      <c r="GI354" s="408"/>
      <c r="GJ354" s="408"/>
      <c r="GK354" s="408"/>
      <c r="GL354" s="408"/>
      <c r="GM354" s="408"/>
      <c r="GN354" s="408"/>
      <c r="GO354" s="408"/>
      <c r="GP354" s="408"/>
      <c r="GQ354" s="408"/>
      <c r="GR354" s="408"/>
      <c r="GS354" s="408"/>
      <c r="GT354" s="408"/>
      <c r="GU354" s="408"/>
      <c r="GV354" s="408"/>
      <c r="GW354" s="408"/>
      <c r="GX354" s="412"/>
    </row>
    <row r="355" spans="182:206" ht="24" customHeight="1">
      <c r="FZ355" s="411"/>
      <c r="GA355" s="408"/>
      <c r="GB355" s="408"/>
      <c r="GC355" s="408"/>
      <c r="GD355" s="408"/>
      <c r="GE355" s="408"/>
      <c r="GF355" s="408"/>
      <c r="GG355" s="408"/>
      <c r="GH355" s="408"/>
      <c r="GI355" s="408"/>
      <c r="GJ355" s="408"/>
      <c r="GK355" s="408"/>
      <c r="GL355" s="408"/>
      <c r="GM355" s="408"/>
      <c r="GN355" s="408"/>
      <c r="GO355" s="408"/>
      <c r="GP355" s="408"/>
      <c r="GQ355" s="408"/>
      <c r="GR355" s="408"/>
      <c r="GS355" s="408"/>
      <c r="GT355" s="408"/>
      <c r="GU355" s="408"/>
      <c r="GV355" s="408"/>
      <c r="GW355" s="408"/>
      <c r="GX355" s="412"/>
    </row>
    <row r="356" spans="182:206" ht="24" customHeight="1">
      <c r="FZ356" s="411"/>
      <c r="GA356" s="408"/>
      <c r="GB356" s="408"/>
      <c r="GC356" s="408"/>
      <c r="GD356" s="408"/>
      <c r="GE356" s="408"/>
      <c r="GF356" s="408"/>
      <c r="GG356" s="408"/>
      <c r="GH356" s="408"/>
      <c r="GI356" s="408"/>
      <c r="GJ356" s="408"/>
      <c r="GK356" s="408"/>
      <c r="GL356" s="408"/>
      <c r="GM356" s="408"/>
      <c r="GN356" s="408"/>
      <c r="GO356" s="408"/>
      <c r="GP356" s="408"/>
      <c r="GQ356" s="408"/>
      <c r="GR356" s="408"/>
      <c r="GS356" s="408"/>
      <c r="GT356" s="408"/>
      <c r="GU356" s="408"/>
      <c r="GV356" s="408"/>
      <c r="GW356" s="408"/>
      <c r="GX356" s="412"/>
    </row>
    <row r="357" spans="182:206" ht="24" customHeight="1">
      <c r="FZ357" s="411"/>
      <c r="GA357" s="408"/>
      <c r="GB357" s="408"/>
      <c r="GC357" s="408"/>
      <c r="GD357" s="408"/>
      <c r="GE357" s="408"/>
      <c r="GF357" s="408"/>
      <c r="GG357" s="408"/>
      <c r="GH357" s="408"/>
      <c r="GI357" s="408"/>
      <c r="GJ357" s="408"/>
      <c r="GK357" s="408"/>
      <c r="GL357" s="408"/>
      <c r="GM357" s="408"/>
      <c r="GN357" s="408"/>
      <c r="GO357" s="408"/>
      <c r="GP357" s="408"/>
      <c r="GQ357" s="408"/>
      <c r="GR357" s="408"/>
      <c r="GS357" s="408"/>
      <c r="GT357" s="408"/>
      <c r="GU357" s="408"/>
      <c r="GV357" s="408"/>
      <c r="GW357" s="408"/>
      <c r="GX357" s="412"/>
    </row>
    <row r="358" spans="182:206" ht="24" customHeight="1">
      <c r="FZ358" s="411"/>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12"/>
    </row>
    <row r="359" spans="182:206" ht="24" customHeight="1">
      <c r="FZ359" s="411"/>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12"/>
    </row>
    <row r="360" spans="182:206" ht="24" customHeight="1" thickBot="1">
      <c r="FZ360" s="411"/>
      <c r="GA360" s="413"/>
      <c r="GB360" s="413"/>
      <c r="GC360" s="413"/>
      <c r="GD360" s="408"/>
      <c r="GE360" s="408"/>
      <c r="GF360" s="408"/>
      <c r="GG360" s="408"/>
      <c r="GH360" s="408"/>
      <c r="GI360" s="408"/>
      <c r="GJ360" s="408"/>
      <c r="GK360" s="408"/>
      <c r="GL360" s="408"/>
      <c r="GM360" s="408"/>
      <c r="GN360" s="408"/>
      <c r="GO360" s="408"/>
      <c r="GP360" s="408"/>
      <c r="GQ360" s="408"/>
      <c r="GR360" s="408"/>
      <c r="GS360" s="408"/>
      <c r="GT360" s="408"/>
      <c r="GU360" s="408"/>
      <c r="GV360" s="408"/>
      <c r="GW360" s="408"/>
      <c r="GX360" s="412"/>
    </row>
    <row r="361" spans="182:206" ht="24" customHeight="1" thickBot="1">
      <c r="FZ361" s="416"/>
      <c r="GA361" s="2116" t="str">
        <f>'Вывод расчетов'!$CC$9</f>
        <v>Раздел 2</v>
      </c>
      <c r="GB361" s="2114"/>
      <c r="GC361" s="2114"/>
      <c r="GD361" s="417"/>
      <c r="GE361" s="2116" t="str">
        <f>'Вывод расчетов'!$CF$9</f>
        <v>Расчет обмотки статора</v>
      </c>
      <c r="GF361" s="2114"/>
      <c r="GG361" s="2114"/>
      <c r="GH361" s="2114"/>
      <c r="GI361" s="2114"/>
      <c r="GJ361" s="2114"/>
      <c r="GK361" s="2114"/>
      <c r="GL361" s="2114"/>
      <c r="GM361" s="2114"/>
      <c r="GN361" s="2114"/>
      <c r="GO361" s="2114"/>
      <c r="GP361" s="2117"/>
      <c r="GQ361" s="417"/>
      <c r="GR361" s="2116" t="s">
        <v>1369</v>
      </c>
      <c r="GS361" s="2114"/>
      <c r="GT361" s="2117"/>
      <c r="GU361" s="417"/>
      <c r="GV361" s="2116">
        <v>11</v>
      </c>
      <c r="GW361" s="2117"/>
      <c r="GX361" s="418"/>
    </row>
    <row r="362" spans="182:206" ht="24" customHeight="1" thickBot="1">
      <c r="FZ362" s="2113" t="s">
        <v>1111</v>
      </c>
      <c r="GA362" s="2114"/>
      <c r="GB362" s="2114"/>
      <c r="GC362" s="2114"/>
      <c r="GD362" s="2114"/>
      <c r="GE362" s="2114"/>
      <c r="GF362" s="2114"/>
      <c r="GG362" s="2114"/>
      <c r="GH362" s="2114"/>
      <c r="GI362" s="2114"/>
      <c r="GJ362" s="2114"/>
      <c r="GK362" s="2114"/>
      <c r="GL362" s="2114"/>
      <c r="GM362" s="2114"/>
      <c r="GN362" s="2114"/>
      <c r="GO362" s="2114"/>
      <c r="GP362" s="2114"/>
      <c r="GQ362" s="2114"/>
      <c r="GR362" s="2114"/>
      <c r="GS362" s="2114"/>
      <c r="GT362" s="2114"/>
      <c r="GU362" s="2114"/>
      <c r="GV362" s="2114"/>
      <c r="GW362" s="2114"/>
      <c r="GX362" s="2115"/>
    </row>
    <row r="363" spans="182:206" ht="24" customHeight="1">
      <c r="FZ363" s="409"/>
      <c r="GA363" s="410"/>
      <c r="GB363" s="410"/>
      <c r="GC363" s="410"/>
      <c r="GD363" s="410"/>
      <c r="GE363" s="410"/>
      <c r="GF363" s="410"/>
      <c r="GG363" s="410"/>
      <c r="GH363" s="410"/>
      <c r="GI363" s="410"/>
      <c r="GJ363" s="410"/>
      <c r="GK363" s="410"/>
      <c r="GL363" s="410"/>
      <c r="GM363" s="410"/>
      <c r="GN363" s="410"/>
      <c r="GO363" s="410"/>
      <c r="GP363" s="410"/>
      <c r="GQ363" s="410"/>
      <c r="GR363" s="410"/>
      <c r="GS363" s="410"/>
      <c r="GT363" s="410"/>
      <c r="GU363" s="410"/>
      <c r="GV363" s="410"/>
      <c r="GW363" s="410"/>
      <c r="GX363" s="419"/>
    </row>
    <row r="364" spans="182:206" ht="24" customHeight="1">
      <c r="FZ364" s="411"/>
      <c r="GA364" s="408"/>
      <c r="GB364" s="408"/>
      <c r="GC364" s="408"/>
      <c r="GD364" s="408"/>
      <c r="GE364" s="408"/>
      <c r="GF364" s="408"/>
      <c r="GG364" s="408"/>
      <c r="GH364" s="408"/>
      <c r="GI364" s="408"/>
      <c r="GJ364" s="408"/>
      <c r="GK364" s="408"/>
      <c r="GL364" s="408"/>
      <c r="GM364" s="408"/>
      <c r="GN364" s="408"/>
      <c r="GO364" s="408"/>
      <c r="GP364" s="408"/>
      <c r="GQ364" s="408"/>
      <c r="GR364" s="408"/>
      <c r="GS364" s="408"/>
      <c r="GT364" s="408"/>
      <c r="GU364" s="408"/>
      <c r="GV364" s="408"/>
      <c r="GW364" s="408"/>
      <c r="GX364" s="412"/>
    </row>
    <row r="365" spans="182:206" ht="24" customHeight="1">
      <c r="FZ365" s="411"/>
      <c r="GA365" s="408"/>
      <c r="GB365" s="408"/>
      <c r="GC365" s="408"/>
      <c r="GD365" s="408"/>
      <c r="GE365" s="408"/>
      <c r="GF365" s="408"/>
      <c r="GG365" s="408"/>
      <c r="GH365" s="408"/>
      <c r="GI365" s="408"/>
      <c r="GJ365" s="408"/>
      <c r="GK365" s="408"/>
      <c r="GL365" s="408"/>
      <c r="GM365" s="408"/>
      <c r="GN365" s="408"/>
      <c r="GO365" s="408"/>
      <c r="GP365" s="408"/>
      <c r="GQ365" s="408"/>
      <c r="GR365" s="408"/>
      <c r="GS365" s="408"/>
      <c r="GT365" s="408"/>
      <c r="GU365" s="408"/>
      <c r="GV365" s="408"/>
      <c r="GW365" s="408"/>
      <c r="GX365" s="412"/>
    </row>
    <row r="366" spans="182:206" ht="24" customHeight="1">
      <c r="FZ366" s="411"/>
      <c r="GA366" s="408"/>
      <c r="GB366" s="408"/>
      <c r="GC366" s="408"/>
      <c r="GD366" s="408"/>
      <c r="GE366" s="408"/>
      <c r="GF366" s="408"/>
      <c r="GG366" s="408"/>
      <c r="GH366" s="408"/>
      <c r="GI366" s="408"/>
      <c r="GJ366" s="408"/>
      <c r="GK366" s="408"/>
      <c r="GL366" s="408"/>
      <c r="GM366" s="408"/>
      <c r="GN366" s="408"/>
      <c r="GO366" s="408"/>
      <c r="GP366" s="408"/>
      <c r="GQ366" s="408"/>
      <c r="GR366" s="408"/>
      <c r="GS366" s="408"/>
      <c r="GT366" s="408"/>
      <c r="GU366" s="408"/>
      <c r="GV366" s="408"/>
      <c r="GW366" s="408"/>
      <c r="GX366" s="412"/>
    </row>
    <row r="367" spans="182:206" ht="24" customHeight="1">
      <c r="FZ367" s="411"/>
      <c r="GA367" s="408"/>
      <c r="GB367" s="408"/>
      <c r="GC367" s="408"/>
      <c r="GD367" s="408"/>
      <c r="GE367" s="408"/>
      <c r="GF367" s="408"/>
      <c r="GG367" s="408"/>
      <c r="GH367" s="408"/>
      <c r="GI367" s="408"/>
      <c r="GJ367" s="408"/>
      <c r="GK367" s="408"/>
      <c r="GL367" s="408"/>
      <c r="GM367" s="408"/>
      <c r="GN367" s="408"/>
      <c r="GO367" s="408"/>
      <c r="GP367" s="408"/>
      <c r="GQ367" s="408"/>
      <c r="GR367" s="408"/>
      <c r="GS367" s="408"/>
      <c r="GT367" s="408"/>
      <c r="GU367" s="408"/>
      <c r="GV367" s="408"/>
      <c r="GW367" s="408"/>
      <c r="GX367" s="412"/>
    </row>
    <row r="368" spans="182:206" ht="24" customHeight="1">
      <c r="FZ368" s="411"/>
      <c r="GA368" s="408"/>
      <c r="GB368" s="408"/>
      <c r="GC368" s="408"/>
      <c r="GD368" s="408"/>
      <c r="GE368" s="408"/>
      <c r="GF368" s="408"/>
      <c r="GG368" s="408"/>
      <c r="GH368" s="408"/>
      <c r="GI368" s="408"/>
      <c r="GJ368" s="408"/>
      <c r="GK368" s="408"/>
      <c r="GL368" s="408"/>
      <c r="GM368" s="408"/>
      <c r="GN368" s="408"/>
      <c r="GO368" s="408"/>
      <c r="GP368" s="408"/>
      <c r="GQ368" s="408"/>
      <c r="GR368" s="408"/>
      <c r="GS368" s="408"/>
      <c r="GT368" s="408"/>
      <c r="GU368" s="408"/>
      <c r="GV368" s="408"/>
      <c r="GW368" s="408"/>
      <c r="GX368" s="412"/>
    </row>
    <row r="369" spans="182:206" ht="24" customHeight="1">
      <c r="FZ369" s="411"/>
      <c r="GA369" s="408"/>
      <c r="GB369" s="408"/>
      <c r="GC369" s="408"/>
      <c r="GD369" s="408"/>
      <c r="GE369" s="408"/>
      <c r="GF369" s="408"/>
      <c r="GG369" s="408"/>
      <c r="GH369" s="408"/>
      <c r="GI369" s="408"/>
      <c r="GJ369" s="408"/>
      <c r="GK369" s="408"/>
      <c r="GL369" s="408"/>
      <c r="GM369" s="408"/>
      <c r="GN369" s="408"/>
      <c r="GO369" s="408"/>
      <c r="GP369" s="408"/>
      <c r="GQ369" s="408"/>
      <c r="GR369" s="408"/>
      <c r="GS369" s="408"/>
      <c r="GT369" s="408"/>
      <c r="GU369" s="408"/>
      <c r="GV369" s="408"/>
      <c r="GW369" s="408"/>
      <c r="GX369" s="412"/>
    </row>
    <row r="370" spans="182:206" ht="24" customHeight="1">
      <c r="FZ370" s="411"/>
      <c r="GA370" s="408"/>
      <c r="GB370" s="408"/>
      <c r="GC370" s="408"/>
      <c r="GD370" s="408"/>
      <c r="GE370" s="408"/>
      <c r="GF370" s="408"/>
      <c r="GG370" s="408"/>
      <c r="GH370" s="408"/>
      <c r="GI370" s="408"/>
      <c r="GJ370" s="408"/>
      <c r="GK370" s="408"/>
      <c r="GL370" s="408"/>
      <c r="GM370" s="408"/>
      <c r="GN370" s="408"/>
      <c r="GO370" s="408"/>
      <c r="GP370" s="408"/>
      <c r="GQ370" s="408"/>
      <c r="GR370" s="408"/>
      <c r="GS370" s="408"/>
      <c r="GT370" s="408"/>
      <c r="GU370" s="408"/>
      <c r="GV370" s="408"/>
      <c r="GW370" s="408"/>
      <c r="GX370" s="412"/>
    </row>
    <row r="371" spans="182:206" ht="24" customHeight="1">
      <c r="FZ371" s="411"/>
      <c r="GA371" s="408"/>
      <c r="GB371" s="408"/>
      <c r="GC371" s="408"/>
      <c r="GD371" s="408"/>
      <c r="GE371" s="408"/>
      <c r="GF371" s="408"/>
      <c r="GG371" s="408"/>
      <c r="GH371" s="408"/>
      <c r="GI371" s="408"/>
      <c r="GJ371" s="408"/>
      <c r="GK371" s="408"/>
      <c r="GL371" s="408"/>
      <c r="GM371" s="408"/>
      <c r="GN371" s="408"/>
      <c r="GO371" s="408"/>
      <c r="GP371" s="408"/>
      <c r="GQ371" s="408"/>
      <c r="GR371" s="408"/>
      <c r="GS371" s="408"/>
      <c r="GT371" s="408"/>
      <c r="GU371" s="408"/>
      <c r="GV371" s="408"/>
      <c r="GW371" s="408"/>
      <c r="GX371" s="412"/>
    </row>
    <row r="372" spans="182:206" ht="24" customHeight="1">
      <c r="FZ372" s="411"/>
      <c r="GA372" s="408"/>
      <c r="GB372" s="408"/>
      <c r="GC372" s="408"/>
      <c r="GD372" s="408"/>
      <c r="GE372" s="408"/>
      <c r="GF372" s="408"/>
      <c r="GG372" s="408"/>
      <c r="GH372" s="408"/>
      <c r="GI372" s="408"/>
      <c r="GJ372" s="408"/>
      <c r="GK372" s="408"/>
      <c r="GL372" s="408"/>
      <c r="GM372" s="408"/>
      <c r="GN372" s="408"/>
      <c r="GO372" s="408"/>
      <c r="GP372" s="408"/>
      <c r="GQ372" s="408"/>
      <c r="GR372" s="408"/>
      <c r="GS372" s="408"/>
      <c r="GT372" s="408"/>
      <c r="GU372" s="408"/>
      <c r="GV372" s="408"/>
      <c r="GW372" s="408"/>
      <c r="GX372" s="412"/>
    </row>
    <row r="373" spans="182:206" ht="24" customHeight="1">
      <c r="FZ373" s="411"/>
      <c r="GA373" s="408"/>
      <c r="GB373" s="408"/>
      <c r="GC373" s="408"/>
      <c r="GD373" s="408"/>
      <c r="GE373" s="408"/>
      <c r="GF373" s="408"/>
      <c r="GG373" s="408"/>
      <c r="GH373" s="408"/>
      <c r="GI373" s="408"/>
      <c r="GJ373" s="408"/>
      <c r="GK373" s="408"/>
      <c r="GL373" s="408"/>
      <c r="GM373" s="408"/>
      <c r="GN373" s="408"/>
      <c r="GO373" s="408"/>
      <c r="GP373" s="408"/>
      <c r="GQ373" s="408"/>
      <c r="GR373" s="408"/>
      <c r="GS373" s="408"/>
      <c r="GT373" s="408"/>
      <c r="GU373" s="408"/>
      <c r="GV373" s="408"/>
      <c r="GW373" s="408"/>
      <c r="GX373" s="412"/>
    </row>
    <row r="374" spans="182:206" ht="24" customHeight="1">
      <c r="FZ374" s="411"/>
      <c r="GA374" s="408"/>
      <c r="GB374" s="408"/>
      <c r="GC374" s="408"/>
      <c r="GD374" s="408"/>
      <c r="GE374" s="408"/>
      <c r="GF374" s="408"/>
      <c r="GG374" s="408"/>
      <c r="GH374" s="408"/>
      <c r="GI374" s="408"/>
      <c r="GJ374" s="408"/>
      <c r="GK374" s="408"/>
      <c r="GL374" s="408"/>
      <c r="GM374" s="408"/>
      <c r="GN374" s="408"/>
      <c r="GO374" s="408"/>
      <c r="GP374" s="408"/>
      <c r="GQ374" s="408"/>
      <c r="GR374" s="408"/>
      <c r="GS374" s="408"/>
      <c r="GT374" s="408"/>
      <c r="GU374" s="408"/>
      <c r="GV374" s="408"/>
      <c r="GW374" s="408"/>
      <c r="GX374" s="412"/>
    </row>
    <row r="375" spans="182:206" ht="24" customHeight="1">
      <c r="FZ375" s="411"/>
      <c r="GA375" s="408"/>
      <c r="GB375" s="408"/>
      <c r="GC375" s="408"/>
      <c r="GD375" s="408"/>
      <c r="GE375" s="408"/>
      <c r="GF375" s="408"/>
      <c r="GG375" s="408"/>
      <c r="GH375" s="408"/>
      <c r="GI375" s="408"/>
      <c r="GJ375" s="408"/>
      <c r="GK375" s="408"/>
      <c r="GL375" s="408"/>
      <c r="GM375" s="408"/>
      <c r="GN375" s="408"/>
      <c r="GO375" s="408"/>
      <c r="GP375" s="408"/>
      <c r="GQ375" s="408"/>
      <c r="GR375" s="408"/>
      <c r="GS375" s="408"/>
      <c r="GT375" s="408"/>
      <c r="GU375" s="408"/>
      <c r="GV375" s="408"/>
      <c r="GW375" s="408"/>
      <c r="GX375" s="412"/>
    </row>
    <row r="376" spans="182:206" ht="24" customHeight="1">
      <c r="FZ376" s="411"/>
      <c r="GA376" s="408"/>
      <c r="GB376" s="408"/>
      <c r="GC376" s="408"/>
      <c r="GD376" s="408"/>
      <c r="GE376" s="408"/>
      <c r="GF376" s="408"/>
      <c r="GG376" s="408"/>
      <c r="GH376" s="408"/>
      <c r="GI376" s="408"/>
      <c r="GJ376" s="408"/>
      <c r="GK376" s="408"/>
      <c r="GL376" s="408"/>
      <c r="GM376" s="408"/>
      <c r="GN376" s="408"/>
      <c r="GO376" s="408"/>
      <c r="GP376" s="408"/>
      <c r="GQ376" s="408"/>
      <c r="GR376" s="408"/>
      <c r="GS376" s="408"/>
      <c r="GT376" s="408"/>
      <c r="GU376" s="408"/>
      <c r="GV376" s="408"/>
      <c r="GW376" s="408"/>
      <c r="GX376" s="412"/>
    </row>
    <row r="377" spans="182:206" ht="24" customHeight="1">
      <c r="FZ377" s="411"/>
      <c r="GA377" s="408"/>
      <c r="GB377" s="408"/>
      <c r="GC377" s="408"/>
      <c r="GD377" s="408"/>
      <c r="GE377" s="408"/>
      <c r="GF377" s="408"/>
      <c r="GG377" s="408"/>
      <c r="GH377" s="408"/>
      <c r="GI377" s="408"/>
      <c r="GJ377" s="408"/>
      <c r="GK377" s="408"/>
      <c r="GL377" s="408"/>
      <c r="GM377" s="408"/>
      <c r="GN377" s="408"/>
      <c r="GO377" s="408"/>
      <c r="GP377" s="408"/>
      <c r="GQ377" s="408"/>
      <c r="GR377" s="408"/>
      <c r="GS377" s="408"/>
      <c r="GT377" s="408"/>
      <c r="GU377" s="408"/>
      <c r="GV377" s="408"/>
      <c r="GW377" s="408"/>
      <c r="GX377" s="412"/>
    </row>
    <row r="378" spans="182:206" ht="24" customHeight="1">
      <c r="FZ378" s="411"/>
      <c r="GA378" s="408"/>
      <c r="GB378" s="408"/>
      <c r="GC378" s="408"/>
      <c r="GD378" s="408"/>
      <c r="GE378" s="408"/>
      <c r="GF378" s="408"/>
      <c r="GG378" s="408"/>
      <c r="GH378" s="408"/>
      <c r="GI378" s="408"/>
      <c r="GJ378" s="408"/>
      <c r="GK378" s="408"/>
      <c r="GL378" s="408"/>
      <c r="GM378" s="408"/>
      <c r="GN378" s="408"/>
      <c r="GO378" s="408"/>
      <c r="GP378" s="408"/>
      <c r="GQ378" s="408"/>
      <c r="GR378" s="408"/>
      <c r="GS378" s="408"/>
      <c r="GT378" s="408"/>
      <c r="GU378" s="408"/>
      <c r="GV378" s="408"/>
      <c r="GW378" s="408"/>
      <c r="GX378" s="412"/>
    </row>
    <row r="379" spans="182:206" ht="24" customHeight="1" thickBot="1">
      <c r="FZ379" s="411"/>
      <c r="GA379" s="413"/>
      <c r="GB379" s="413"/>
      <c r="GC379" s="413"/>
      <c r="GD379" s="408"/>
      <c r="GE379" s="408"/>
      <c r="GF379" s="408"/>
      <c r="GG379" s="408"/>
      <c r="GH379" s="408"/>
      <c r="GI379" s="408"/>
      <c r="GJ379" s="408"/>
      <c r="GK379" s="408"/>
      <c r="GL379" s="408"/>
      <c r="GM379" s="408"/>
      <c r="GN379" s="408"/>
      <c r="GO379" s="408"/>
      <c r="GP379" s="408"/>
      <c r="GQ379" s="408"/>
      <c r="GR379" s="408"/>
      <c r="GS379" s="408"/>
      <c r="GT379" s="408"/>
      <c r="GU379" s="408"/>
      <c r="GV379" s="408"/>
      <c r="GW379" s="408"/>
      <c r="GX379" s="412"/>
    </row>
    <row r="380" spans="182:206" ht="24" customHeight="1" thickBot="1">
      <c r="FZ380" s="416"/>
      <c r="GA380" s="2116" t="str">
        <f>'Вывод расчетов'!$CC$9</f>
        <v>Раздел 2</v>
      </c>
      <c r="GB380" s="2114"/>
      <c r="GC380" s="2114"/>
      <c r="GD380" s="417"/>
      <c r="GE380" s="2116" t="str">
        <f>'Вывод расчетов'!$CF$9</f>
        <v>Расчет обмотки статора</v>
      </c>
      <c r="GF380" s="2114"/>
      <c r="GG380" s="2114"/>
      <c r="GH380" s="2114"/>
      <c r="GI380" s="2114"/>
      <c r="GJ380" s="2114"/>
      <c r="GK380" s="2114"/>
      <c r="GL380" s="2114"/>
      <c r="GM380" s="2114"/>
      <c r="GN380" s="2114"/>
      <c r="GO380" s="2114"/>
      <c r="GP380" s="2117"/>
      <c r="GQ380" s="417"/>
      <c r="GR380" s="2116" t="s">
        <v>1369</v>
      </c>
      <c r="GS380" s="2114"/>
      <c r="GT380" s="2117"/>
      <c r="GU380" s="417"/>
      <c r="GV380" s="2116">
        <v>11</v>
      </c>
      <c r="GW380" s="2117"/>
      <c r="GX380" s="418"/>
    </row>
    <row r="381" spans="182:206" ht="24" customHeight="1" thickBot="1">
      <c r="FZ381" s="2113" t="s">
        <v>1111</v>
      </c>
      <c r="GA381" s="2114"/>
      <c r="GB381" s="2114"/>
      <c r="GC381" s="2114"/>
      <c r="GD381" s="2114"/>
      <c r="GE381" s="2114"/>
      <c r="GF381" s="2114"/>
      <c r="GG381" s="2114"/>
      <c r="GH381" s="2114"/>
      <c r="GI381" s="2114"/>
      <c r="GJ381" s="2114"/>
      <c r="GK381" s="2114"/>
      <c r="GL381" s="2114"/>
      <c r="GM381" s="2114"/>
      <c r="GN381" s="2114"/>
      <c r="GO381" s="2114"/>
      <c r="GP381" s="2114"/>
      <c r="GQ381" s="2114"/>
      <c r="GR381" s="2114"/>
      <c r="GS381" s="2114"/>
      <c r="GT381" s="2114"/>
      <c r="GU381" s="2114"/>
      <c r="GV381" s="2114"/>
      <c r="GW381" s="2114"/>
      <c r="GX381" s="2115"/>
    </row>
    <row r="382" spans="182:206" ht="24" customHeight="1">
      <c r="FZ382" s="409"/>
      <c r="GA382" s="410"/>
      <c r="GB382" s="410"/>
      <c r="GC382" s="410"/>
      <c r="GD382" s="410"/>
      <c r="GE382" s="410"/>
      <c r="GF382" s="410"/>
      <c r="GG382" s="410"/>
      <c r="GH382" s="410"/>
      <c r="GI382" s="410"/>
      <c r="GJ382" s="410"/>
      <c r="GK382" s="410"/>
      <c r="GL382" s="410"/>
      <c r="GM382" s="410"/>
      <c r="GN382" s="410"/>
      <c r="GO382" s="410"/>
      <c r="GP382" s="410"/>
      <c r="GQ382" s="410"/>
      <c r="GR382" s="410"/>
      <c r="GS382" s="410"/>
      <c r="GT382" s="410"/>
      <c r="GU382" s="410"/>
      <c r="GV382" s="410"/>
      <c r="GW382" s="410"/>
      <c r="GX382" s="419"/>
    </row>
    <row r="383" spans="182:206" ht="24" customHeight="1">
      <c r="FZ383" s="411"/>
      <c r="GA383" s="408"/>
      <c r="GB383" s="408"/>
      <c r="GC383" s="408"/>
      <c r="GD383" s="408"/>
      <c r="GE383" s="408"/>
      <c r="GF383" s="408"/>
      <c r="GG383" s="408"/>
      <c r="GH383" s="408"/>
      <c r="GI383" s="408"/>
      <c r="GJ383" s="408"/>
      <c r="GK383" s="408"/>
      <c r="GL383" s="408"/>
      <c r="GM383" s="408"/>
      <c r="GN383" s="408"/>
      <c r="GO383" s="408"/>
      <c r="GP383" s="408"/>
      <c r="GQ383" s="408"/>
      <c r="GR383" s="408"/>
      <c r="GS383" s="408"/>
      <c r="GT383" s="408"/>
      <c r="GU383" s="408"/>
      <c r="GV383" s="408"/>
      <c r="GW383" s="408"/>
      <c r="GX383" s="412"/>
    </row>
    <row r="384" spans="182:206" ht="24" customHeight="1">
      <c r="FZ384" s="411"/>
      <c r="GA384" s="408"/>
      <c r="GB384" s="408"/>
      <c r="GC384" s="408"/>
      <c r="GD384" s="408"/>
      <c r="GE384" s="408"/>
      <c r="GF384" s="408"/>
      <c r="GG384" s="408"/>
      <c r="GH384" s="408"/>
      <c r="GI384" s="408"/>
      <c r="GJ384" s="408"/>
      <c r="GK384" s="408"/>
      <c r="GL384" s="408"/>
      <c r="GM384" s="408"/>
      <c r="GN384" s="408"/>
      <c r="GO384" s="408"/>
      <c r="GP384" s="408"/>
      <c r="GQ384" s="408"/>
      <c r="GR384" s="408"/>
      <c r="GS384" s="408"/>
      <c r="GT384" s="408"/>
      <c r="GU384" s="408"/>
      <c r="GV384" s="408"/>
      <c r="GW384" s="408"/>
      <c r="GX384" s="412"/>
    </row>
    <row r="385" spans="182:206" ht="24" customHeight="1">
      <c r="FZ385" s="411"/>
      <c r="GA385" s="408"/>
      <c r="GB385" s="408"/>
      <c r="GC385" s="408"/>
      <c r="GD385" s="408"/>
      <c r="GE385" s="408"/>
      <c r="GF385" s="408"/>
      <c r="GG385" s="408"/>
      <c r="GH385" s="408"/>
      <c r="GI385" s="408"/>
      <c r="GJ385" s="408"/>
      <c r="GK385" s="408"/>
      <c r="GL385" s="408"/>
      <c r="GM385" s="408"/>
      <c r="GN385" s="408"/>
      <c r="GO385" s="408"/>
      <c r="GP385" s="408"/>
      <c r="GQ385" s="408"/>
      <c r="GR385" s="408"/>
      <c r="GS385" s="408"/>
      <c r="GT385" s="408"/>
      <c r="GU385" s="408"/>
      <c r="GV385" s="408"/>
      <c r="GW385" s="408"/>
      <c r="GX385" s="412"/>
    </row>
    <row r="386" spans="182:206" ht="24" customHeight="1">
      <c r="FZ386" s="411"/>
      <c r="GA386" s="408"/>
      <c r="GB386" s="408"/>
      <c r="GC386" s="408"/>
      <c r="GD386" s="408"/>
      <c r="GE386" s="408"/>
      <c r="GF386" s="408"/>
      <c r="GG386" s="408"/>
      <c r="GH386" s="408"/>
      <c r="GI386" s="408"/>
      <c r="GJ386" s="408"/>
      <c r="GK386" s="408"/>
      <c r="GL386" s="408"/>
      <c r="GM386" s="408"/>
      <c r="GN386" s="408"/>
      <c r="GO386" s="408"/>
      <c r="GP386" s="408"/>
      <c r="GQ386" s="408"/>
      <c r="GR386" s="408"/>
      <c r="GS386" s="408"/>
      <c r="GT386" s="408"/>
      <c r="GU386" s="408"/>
      <c r="GV386" s="408"/>
      <c r="GW386" s="408"/>
      <c r="GX386" s="412"/>
    </row>
    <row r="387" spans="182:206" ht="24" customHeight="1">
      <c r="FZ387" s="411"/>
      <c r="GA387" s="408"/>
      <c r="GB387" s="408"/>
      <c r="GC387" s="408"/>
      <c r="GD387" s="408"/>
      <c r="GE387" s="408"/>
      <c r="GF387" s="408"/>
      <c r="GG387" s="408"/>
      <c r="GH387" s="408"/>
      <c r="GI387" s="408"/>
      <c r="GJ387" s="408"/>
      <c r="GK387" s="408"/>
      <c r="GL387" s="408"/>
      <c r="GM387" s="408"/>
      <c r="GN387" s="408"/>
      <c r="GO387" s="408"/>
      <c r="GP387" s="408"/>
      <c r="GQ387" s="408"/>
      <c r="GR387" s="408"/>
      <c r="GS387" s="408"/>
      <c r="GT387" s="408"/>
      <c r="GU387" s="408"/>
      <c r="GV387" s="408"/>
      <c r="GW387" s="408"/>
      <c r="GX387" s="412"/>
    </row>
    <row r="388" spans="182:206" ht="24" customHeight="1">
      <c r="FZ388" s="411"/>
      <c r="GA388" s="408"/>
      <c r="GB388" s="408"/>
      <c r="GC388" s="408"/>
      <c r="GD388" s="408"/>
      <c r="GE388" s="408"/>
      <c r="GF388" s="408"/>
      <c r="GG388" s="408"/>
      <c r="GH388" s="408"/>
      <c r="GI388" s="408"/>
      <c r="GJ388" s="408"/>
      <c r="GK388" s="408"/>
      <c r="GL388" s="408"/>
      <c r="GM388" s="408"/>
      <c r="GN388" s="408"/>
      <c r="GO388" s="408"/>
      <c r="GP388" s="408"/>
      <c r="GQ388" s="408"/>
      <c r="GR388" s="408"/>
      <c r="GS388" s="408"/>
      <c r="GT388" s="408"/>
      <c r="GU388" s="408"/>
      <c r="GV388" s="408"/>
      <c r="GW388" s="408"/>
      <c r="GX388" s="412"/>
    </row>
    <row r="389" spans="182:206" ht="24" customHeight="1">
      <c r="FZ389" s="411"/>
      <c r="GA389" s="408"/>
      <c r="GB389" s="408"/>
      <c r="GC389" s="408"/>
      <c r="GD389" s="408"/>
      <c r="GE389" s="408"/>
      <c r="GF389" s="408"/>
      <c r="GG389" s="408"/>
      <c r="GH389" s="408"/>
      <c r="GI389" s="408"/>
      <c r="GJ389" s="408"/>
      <c r="GK389" s="408"/>
      <c r="GL389" s="408"/>
      <c r="GM389" s="408"/>
      <c r="GN389" s="408"/>
      <c r="GO389" s="408"/>
      <c r="GP389" s="408"/>
      <c r="GQ389" s="408"/>
      <c r="GR389" s="408"/>
      <c r="GS389" s="408"/>
      <c r="GT389" s="408"/>
      <c r="GU389" s="408"/>
      <c r="GV389" s="408"/>
      <c r="GW389" s="408"/>
      <c r="GX389" s="412"/>
    </row>
    <row r="390" spans="182:206" ht="24" customHeight="1">
      <c r="FZ390" s="411"/>
      <c r="GA390" s="408"/>
      <c r="GB390" s="408"/>
      <c r="GC390" s="408"/>
      <c r="GD390" s="408"/>
      <c r="GE390" s="408"/>
      <c r="GF390" s="408"/>
      <c r="GG390" s="408"/>
      <c r="GH390" s="408"/>
      <c r="GI390" s="408"/>
      <c r="GJ390" s="408"/>
      <c r="GK390" s="408"/>
      <c r="GL390" s="408"/>
      <c r="GM390" s="408"/>
      <c r="GN390" s="408"/>
      <c r="GO390" s="408"/>
      <c r="GP390" s="408"/>
      <c r="GQ390" s="408"/>
      <c r="GR390" s="408"/>
      <c r="GS390" s="408"/>
      <c r="GT390" s="408"/>
      <c r="GU390" s="408"/>
      <c r="GV390" s="408"/>
      <c r="GW390" s="408"/>
      <c r="GX390" s="412"/>
    </row>
    <row r="391" spans="182:206" ht="24" customHeight="1">
      <c r="FZ391" s="411"/>
      <c r="GA391" s="408"/>
      <c r="GB391" s="408"/>
      <c r="GC391" s="408"/>
      <c r="GD391" s="408"/>
      <c r="GE391" s="408"/>
      <c r="GF391" s="408"/>
      <c r="GG391" s="408"/>
      <c r="GH391" s="408"/>
      <c r="GI391" s="408"/>
      <c r="GJ391" s="408"/>
      <c r="GK391" s="408"/>
      <c r="GL391" s="408"/>
      <c r="GM391" s="408"/>
      <c r="GN391" s="408"/>
      <c r="GO391" s="408"/>
      <c r="GP391" s="408"/>
      <c r="GQ391" s="408"/>
      <c r="GR391" s="408"/>
      <c r="GS391" s="408"/>
      <c r="GT391" s="408"/>
      <c r="GU391" s="408"/>
      <c r="GV391" s="408"/>
      <c r="GW391" s="408"/>
      <c r="GX391" s="412"/>
    </row>
    <row r="392" spans="182:206" ht="24" customHeight="1">
      <c r="FZ392" s="411"/>
      <c r="GA392" s="408"/>
      <c r="GB392" s="408"/>
      <c r="GC392" s="408"/>
      <c r="GD392" s="408"/>
      <c r="GE392" s="408"/>
      <c r="GF392" s="408"/>
      <c r="GG392" s="408"/>
      <c r="GH392" s="408"/>
      <c r="GI392" s="408"/>
      <c r="GJ392" s="408"/>
      <c r="GK392" s="408"/>
      <c r="GL392" s="408"/>
      <c r="GM392" s="408"/>
      <c r="GN392" s="408"/>
      <c r="GO392" s="408"/>
      <c r="GP392" s="408"/>
      <c r="GQ392" s="408"/>
      <c r="GR392" s="408"/>
      <c r="GS392" s="408"/>
      <c r="GT392" s="408"/>
      <c r="GU392" s="408"/>
      <c r="GV392" s="408"/>
      <c r="GW392" s="408"/>
      <c r="GX392" s="412"/>
    </row>
    <row r="393" spans="182:206" ht="24" customHeight="1">
      <c r="FZ393" s="411"/>
      <c r="GA393" s="408"/>
      <c r="GB393" s="408"/>
      <c r="GC393" s="408"/>
      <c r="GD393" s="408"/>
      <c r="GE393" s="408"/>
      <c r="GF393" s="408"/>
      <c r="GG393" s="408"/>
      <c r="GH393" s="408"/>
      <c r="GI393" s="408"/>
      <c r="GJ393" s="408"/>
      <c r="GK393" s="408"/>
      <c r="GL393" s="408"/>
      <c r="GM393" s="408"/>
      <c r="GN393" s="408"/>
      <c r="GO393" s="408"/>
      <c r="GP393" s="408"/>
      <c r="GQ393" s="408"/>
      <c r="GR393" s="408"/>
      <c r="GS393" s="408"/>
      <c r="GT393" s="408"/>
      <c r="GU393" s="408"/>
      <c r="GV393" s="408"/>
      <c r="GW393" s="408"/>
      <c r="GX393" s="412"/>
    </row>
    <row r="394" spans="182:206" ht="24" customHeight="1">
      <c r="FZ394" s="411"/>
      <c r="GA394" s="408"/>
      <c r="GB394" s="408"/>
      <c r="GC394" s="408"/>
      <c r="GD394" s="408"/>
      <c r="GE394" s="408"/>
      <c r="GF394" s="408"/>
      <c r="GG394" s="408"/>
      <c r="GH394" s="408"/>
      <c r="GI394" s="408"/>
      <c r="GJ394" s="408"/>
      <c r="GK394" s="408"/>
      <c r="GL394" s="408"/>
      <c r="GM394" s="408"/>
      <c r="GN394" s="408"/>
      <c r="GO394" s="408"/>
      <c r="GP394" s="408"/>
      <c r="GQ394" s="408"/>
      <c r="GR394" s="408"/>
      <c r="GS394" s="408"/>
      <c r="GT394" s="408"/>
      <c r="GU394" s="408"/>
      <c r="GV394" s="408"/>
      <c r="GW394" s="408"/>
      <c r="GX394" s="412"/>
    </row>
    <row r="395" spans="182:206" ht="24" customHeight="1">
      <c r="FZ395" s="411"/>
      <c r="GA395" s="408"/>
      <c r="GB395" s="408"/>
      <c r="GC395" s="408"/>
      <c r="GD395" s="408"/>
      <c r="GE395" s="408"/>
      <c r="GF395" s="408"/>
      <c r="GG395" s="408"/>
      <c r="GH395" s="408"/>
      <c r="GI395" s="408"/>
      <c r="GJ395" s="408"/>
      <c r="GK395" s="408"/>
      <c r="GL395" s="408"/>
      <c r="GM395" s="408"/>
      <c r="GN395" s="408"/>
      <c r="GO395" s="408"/>
      <c r="GP395" s="408"/>
      <c r="GQ395" s="408"/>
      <c r="GR395" s="408"/>
      <c r="GS395" s="408"/>
      <c r="GT395" s="408"/>
      <c r="GU395" s="408"/>
      <c r="GV395" s="408"/>
      <c r="GW395" s="408"/>
      <c r="GX395" s="412"/>
    </row>
    <row r="396" spans="182:206" ht="24" customHeight="1">
      <c r="FZ396" s="411"/>
      <c r="GA396" s="408"/>
      <c r="GB396" s="408"/>
      <c r="GC396" s="408"/>
      <c r="GD396" s="408"/>
      <c r="GE396" s="408"/>
      <c r="GF396" s="408"/>
      <c r="GG396" s="408"/>
      <c r="GH396" s="408"/>
      <c r="GI396" s="408"/>
      <c r="GJ396" s="408"/>
      <c r="GK396" s="408"/>
      <c r="GL396" s="408"/>
      <c r="GM396" s="408"/>
      <c r="GN396" s="408"/>
      <c r="GO396" s="408"/>
      <c r="GP396" s="408"/>
      <c r="GQ396" s="408"/>
      <c r="GR396" s="408"/>
      <c r="GS396" s="408"/>
      <c r="GT396" s="408"/>
      <c r="GU396" s="408"/>
      <c r="GV396" s="408"/>
      <c r="GW396" s="408"/>
      <c r="GX396" s="412"/>
    </row>
    <row r="397" spans="182:206" ht="24" customHeight="1">
      <c r="FZ397" s="411"/>
      <c r="GA397" s="408"/>
      <c r="GB397" s="408"/>
      <c r="GC397" s="408"/>
      <c r="GD397" s="408"/>
      <c r="GE397" s="408"/>
      <c r="GF397" s="408"/>
      <c r="GG397" s="408"/>
      <c r="GH397" s="408"/>
      <c r="GI397" s="408"/>
      <c r="GJ397" s="408"/>
      <c r="GK397" s="408"/>
      <c r="GL397" s="408"/>
      <c r="GM397" s="408"/>
      <c r="GN397" s="408"/>
      <c r="GO397" s="408"/>
      <c r="GP397" s="408"/>
      <c r="GQ397" s="408"/>
      <c r="GR397" s="408"/>
      <c r="GS397" s="408"/>
      <c r="GT397" s="408"/>
      <c r="GU397" s="408"/>
      <c r="GV397" s="408"/>
      <c r="GW397" s="408"/>
      <c r="GX397" s="412"/>
    </row>
    <row r="398" spans="182:206" ht="24" customHeight="1" thickBot="1">
      <c r="FZ398" s="411"/>
      <c r="GA398" s="413"/>
      <c r="GB398" s="413"/>
      <c r="GC398" s="413"/>
      <c r="GD398" s="408"/>
      <c r="GE398" s="408"/>
      <c r="GF398" s="408"/>
      <c r="GG398" s="408"/>
      <c r="GH398" s="408"/>
      <c r="GI398" s="408"/>
      <c r="GJ398" s="408"/>
      <c r="GK398" s="408"/>
      <c r="GL398" s="408"/>
      <c r="GM398" s="408"/>
      <c r="GN398" s="408"/>
      <c r="GO398" s="408"/>
      <c r="GP398" s="408"/>
      <c r="GQ398" s="408"/>
      <c r="GR398" s="408"/>
      <c r="GS398" s="408"/>
      <c r="GT398" s="408"/>
      <c r="GU398" s="408"/>
      <c r="GV398" s="408"/>
      <c r="GW398" s="408"/>
      <c r="GX398" s="412"/>
    </row>
    <row r="399" spans="182:206" ht="24" customHeight="1" thickBot="1">
      <c r="FZ399" s="416"/>
      <c r="GA399" s="2116" t="str">
        <f>'Вывод расчетов'!$CC$9</f>
        <v>Раздел 2</v>
      </c>
      <c r="GB399" s="2114"/>
      <c r="GC399" s="2114"/>
      <c r="GD399" s="417"/>
      <c r="GE399" s="2116" t="str">
        <f>'Вывод расчетов'!$CF$9</f>
        <v>Расчет обмотки статора</v>
      </c>
      <c r="GF399" s="2114"/>
      <c r="GG399" s="2114"/>
      <c r="GH399" s="2114"/>
      <c r="GI399" s="2114"/>
      <c r="GJ399" s="2114"/>
      <c r="GK399" s="2114"/>
      <c r="GL399" s="2114"/>
      <c r="GM399" s="2114"/>
      <c r="GN399" s="2114"/>
      <c r="GO399" s="2114"/>
      <c r="GP399" s="2117"/>
      <c r="GQ399" s="417"/>
      <c r="GR399" s="2116" t="s">
        <v>1369</v>
      </c>
      <c r="GS399" s="2114"/>
      <c r="GT399" s="2117"/>
      <c r="GU399" s="417"/>
      <c r="GV399" s="2116">
        <v>11</v>
      </c>
      <c r="GW399" s="2117"/>
      <c r="GX399" s="418"/>
    </row>
  </sheetData>
  <mergeCells count="607">
    <mergeCell ref="AF1:BJ1"/>
    <mergeCell ref="A18:A20"/>
    <mergeCell ref="AB18:AD20"/>
    <mergeCell ref="AE18:AE20"/>
    <mergeCell ref="AA18:AA20"/>
    <mergeCell ref="Y18:Z20"/>
    <mergeCell ref="W18:X20"/>
    <mergeCell ref="G18:V20"/>
    <mergeCell ref="A21:AE21"/>
    <mergeCell ref="AR10:AS10"/>
    <mergeCell ref="AA17:AE17"/>
    <mergeCell ref="AV10:BD10"/>
    <mergeCell ref="AG10:AH10"/>
    <mergeCell ref="AT10:AU10"/>
    <mergeCell ref="A5:C7"/>
    <mergeCell ref="D5:D7"/>
    <mergeCell ref="E5:F5"/>
    <mergeCell ref="X5:Y5"/>
    <mergeCell ref="Z5:AA5"/>
    <mergeCell ref="AK11:AL11"/>
    <mergeCell ref="B19:D19"/>
    <mergeCell ref="H17:I17"/>
    <mergeCell ref="B20:D20"/>
    <mergeCell ref="AS14:AT15"/>
    <mergeCell ref="A22:AE23"/>
    <mergeCell ref="A1:AE1"/>
    <mergeCell ref="E12:O13"/>
    <mergeCell ref="S12:AC13"/>
    <mergeCell ref="E9:W10"/>
    <mergeCell ref="E6:W7"/>
    <mergeCell ref="E3:W4"/>
    <mergeCell ref="B15:W16"/>
    <mergeCell ref="A14:A16"/>
    <mergeCell ref="B14:C14"/>
    <mergeCell ref="Z15:AA16"/>
    <mergeCell ref="AB15:AB16"/>
    <mergeCell ref="AB8:AE8"/>
    <mergeCell ref="AB9:AB10"/>
    <mergeCell ref="AC9:AD10"/>
    <mergeCell ref="AE9:AE10"/>
    <mergeCell ref="E18:F18"/>
    <mergeCell ref="E20:F20"/>
    <mergeCell ref="B17:C17"/>
    <mergeCell ref="W17:X17"/>
    <mergeCell ref="Y17:Z17"/>
    <mergeCell ref="AB2:AE2"/>
    <mergeCell ref="AC6:AD7"/>
    <mergeCell ref="AE6:AE7"/>
    <mergeCell ref="B24:D24"/>
    <mergeCell ref="AB14:AE14"/>
    <mergeCell ref="X15:Y16"/>
    <mergeCell ref="AC24:AD24"/>
    <mergeCell ref="F24:W24"/>
    <mergeCell ref="A25:Z25"/>
    <mergeCell ref="X3:Y4"/>
    <mergeCell ref="Z3:AA4"/>
    <mergeCell ref="AB3:AB4"/>
    <mergeCell ref="AC3:AD4"/>
    <mergeCell ref="AE3:AE4"/>
    <mergeCell ref="A2:C4"/>
    <mergeCell ref="D2:D4"/>
    <mergeCell ref="E2:F2"/>
    <mergeCell ref="X2:Y2"/>
    <mergeCell ref="Z2:AA2"/>
    <mergeCell ref="AB5:AE5"/>
    <mergeCell ref="X6:Y7"/>
    <mergeCell ref="Z6:AA7"/>
    <mergeCell ref="AB6:AB7"/>
    <mergeCell ref="E19:F19"/>
    <mergeCell ref="J17:L17"/>
    <mergeCell ref="M17:N17"/>
    <mergeCell ref="B18:D18"/>
    <mergeCell ref="CK2:CL2"/>
    <mergeCell ref="CK3:CL3"/>
    <mergeCell ref="CP4:CQ4"/>
    <mergeCell ref="CM9:CN9"/>
    <mergeCell ref="AV11:BD15"/>
    <mergeCell ref="Y24:AA24"/>
    <mergeCell ref="BE20:CC20"/>
    <mergeCell ref="AG14:AL15"/>
    <mergeCell ref="A8:C10"/>
    <mergeCell ref="D8:D10"/>
    <mergeCell ref="E8:F8"/>
    <mergeCell ref="X8:Y8"/>
    <mergeCell ref="Z8:AA8"/>
    <mergeCell ref="X9:Y10"/>
    <mergeCell ref="Z9:AA10"/>
    <mergeCell ref="A11:C13"/>
    <mergeCell ref="D11:D13"/>
    <mergeCell ref="E11:F11"/>
    <mergeCell ref="P11:Q11"/>
    <mergeCell ref="P12:Q13"/>
    <mergeCell ref="AC15:AD16"/>
    <mergeCell ref="AE15:AE16"/>
    <mergeCell ref="AF11:AF15"/>
    <mergeCell ref="E17:G17"/>
    <mergeCell ref="R11:R13"/>
    <mergeCell ref="S11:T11"/>
    <mergeCell ref="AD11:AE11"/>
    <mergeCell ref="AD12:AE13"/>
    <mergeCell ref="AT11:AU12"/>
    <mergeCell ref="AR14:AR15"/>
    <mergeCell ref="AU14:AU15"/>
    <mergeCell ref="AG12:AH12"/>
    <mergeCell ref="AI12:AJ12"/>
    <mergeCell ref="AG13:AH13"/>
    <mergeCell ref="AI13:AJ13"/>
    <mergeCell ref="AG11:AH11"/>
    <mergeCell ref="AI11:AJ11"/>
    <mergeCell ref="AR11:AS12"/>
    <mergeCell ref="AR13:AU13"/>
    <mergeCell ref="AM11:AQ15"/>
    <mergeCell ref="AK12:AL12"/>
    <mergeCell ref="AK13:AL13"/>
    <mergeCell ref="X14:Y14"/>
    <mergeCell ref="Z14:AA14"/>
    <mergeCell ref="AG76:AI76"/>
    <mergeCell ref="AK76:AV76"/>
    <mergeCell ref="AX76:AZ76"/>
    <mergeCell ref="BB76:BC76"/>
    <mergeCell ref="BF38:BH38"/>
    <mergeCell ref="BJ38:BX38"/>
    <mergeCell ref="BZ38:CB38"/>
    <mergeCell ref="BB19:BC19"/>
    <mergeCell ref="AX19:AZ19"/>
    <mergeCell ref="AF39:BD39"/>
    <mergeCell ref="AF58:BD58"/>
    <mergeCell ref="AX38:AZ38"/>
    <mergeCell ref="BB38:BC38"/>
    <mergeCell ref="AK19:AV19"/>
    <mergeCell ref="AK38:AV38"/>
    <mergeCell ref="AG38:AI38"/>
    <mergeCell ref="AF20:BD20"/>
    <mergeCell ref="AG19:AI19"/>
    <mergeCell ref="BE39:CC39"/>
    <mergeCell ref="BF57:BH57"/>
    <mergeCell ref="BJ57:BU57"/>
    <mergeCell ref="BW57:BY57"/>
    <mergeCell ref="CA57:CB57"/>
    <mergeCell ref="BE58:CC58"/>
    <mergeCell ref="Y38:AA38"/>
    <mergeCell ref="AC38:AD38"/>
    <mergeCell ref="AG57:AI57"/>
    <mergeCell ref="AK57:AV57"/>
    <mergeCell ref="AX57:AZ57"/>
    <mergeCell ref="BB57:BC57"/>
    <mergeCell ref="A39:Z39"/>
    <mergeCell ref="A58:Z58"/>
    <mergeCell ref="B38:D38"/>
    <mergeCell ref="B57:D57"/>
    <mergeCell ref="F38:W38"/>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AF77:BD77"/>
    <mergeCell ref="AG95:AI95"/>
    <mergeCell ref="AK95:AV95"/>
    <mergeCell ref="AX95:AZ95"/>
    <mergeCell ref="BB95:BC95"/>
    <mergeCell ref="AF96:BD96"/>
    <mergeCell ref="AG114:AI114"/>
    <mergeCell ref="AK114:AV114"/>
    <mergeCell ref="AX114:AZ114"/>
    <mergeCell ref="BB114:BC114"/>
    <mergeCell ref="AF115:BD115"/>
    <mergeCell ref="AG133:AI133"/>
    <mergeCell ref="AK133:AV133"/>
    <mergeCell ref="AX133:AZ133"/>
    <mergeCell ref="BB133:BC133"/>
    <mergeCell ref="AF134:BD134"/>
    <mergeCell ref="AG152:AI152"/>
    <mergeCell ref="AK152:AV152"/>
    <mergeCell ref="AX152:AZ152"/>
    <mergeCell ref="BB152:BC152"/>
    <mergeCell ref="BE153:CC153"/>
    <mergeCell ref="BF171:BH171"/>
    <mergeCell ref="BJ171:BU171"/>
    <mergeCell ref="BW171:BY171"/>
    <mergeCell ref="CA171:CB171"/>
    <mergeCell ref="BE96:CC96"/>
    <mergeCell ref="BF114:BH114"/>
    <mergeCell ref="BJ114:BU114"/>
    <mergeCell ref="BW114:BY114"/>
    <mergeCell ref="CA114:CB114"/>
    <mergeCell ref="BE115:CC115"/>
    <mergeCell ref="BF133:BH133"/>
    <mergeCell ref="BJ133:BU133"/>
    <mergeCell ref="BW133:BY133"/>
    <mergeCell ref="CA133:CB133"/>
    <mergeCell ref="DC20:EA20"/>
    <mergeCell ref="DD38:DF38"/>
    <mergeCell ref="DH38:DS38"/>
    <mergeCell ref="DU38:DW38"/>
    <mergeCell ref="DY38:DZ38"/>
    <mergeCell ref="DC39:EA39"/>
    <mergeCell ref="BE134:CC134"/>
    <mergeCell ref="BF152:BH152"/>
    <mergeCell ref="BJ152:BU152"/>
    <mergeCell ref="BW152:BY152"/>
    <mergeCell ref="CA152:CB152"/>
    <mergeCell ref="BF76:BH76"/>
    <mergeCell ref="BJ76:BU76"/>
    <mergeCell ref="BW76:BY76"/>
    <mergeCell ref="CA76:CB76"/>
    <mergeCell ref="BE77:CC77"/>
    <mergeCell ref="BF95:BH95"/>
    <mergeCell ref="BJ95:BU95"/>
    <mergeCell ref="BW95:BY95"/>
    <mergeCell ref="CA95:CB95"/>
    <mergeCell ref="CD20:DB20"/>
    <mergeCell ref="CE38:CG38"/>
    <mergeCell ref="CI38:CT38"/>
    <mergeCell ref="CV38:CX38"/>
    <mergeCell ref="CZ38:DA38"/>
    <mergeCell ref="CD39:DB39"/>
    <mergeCell ref="CE57:CG57"/>
    <mergeCell ref="CI57:CT57"/>
    <mergeCell ref="CV57:CX57"/>
    <mergeCell ref="CZ57:DA57"/>
    <mergeCell ref="CE76:CG76"/>
    <mergeCell ref="CI76:CT76"/>
    <mergeCell ref="CV76:CX76"/>
    <mergeCell ref="CZ76:DA76"/>
    <mergeCell ref="CD58:DB58"/>
    <mergeCell ref="CD77:DB77"/>
    <mergeCell ref="CE95:CG95"/>
    <mergeCell ref="CI95:CT95"/>
    <mergeCell ref="CV95:CX95"/>
    <mergeCell ref="CZ95:DA95"/>
    <mergeCell ref="CD96:DB96"/>
    <mergeCell ref="CE114:CG114"/>
    <mergeCell ref="CI114:CT114"/>
    <mergeCell ref="CV114:CX114"/>
    <mergeCell ref="CZ114:DA114"/>
    <mergeCell ref="CD115:DB115"/>
    <mergeCell ref="CE133:CG133"/>
    <mergeCell ref="CI133:CT133"/>
    <mergeCell ref="CV133:CX133"/>
    <mergeCell ref="CZ133:DA133"/>
    <mergeCell ref="CD134:DB134"/>
    <mergeCell ref="CE152:CG152"/>
    <mergeCell ref="CI152:CT152"/>
    <mergeCell ref="CV152:CX152"/>
    <mergeCell ref="CZ152:DA152"/>
    <mergeCell ref="MA47:MY47"/>
    <mergeCell ref="MB65:MD65"/>
    <mergeCell ref="MF65:MQ65"/>
    <mergeCell ref="MS65:MU65"/>
    <mergeCell ref="MW65:MX65"/>
    <mergeCell ref="DD57:DF57"/>
    <mergeCell ref="DH57:DS57"/>
    <mergeCell ref="DU57:DW57"/>
    <mergeCell ref="DY57:DZ57"/>
    <mergeCell ref="DC58:EA58"/>
    <mergeCell ref="FZ58:GX58"/>
    <mergeCell ref="DD76:DF76"/>
    <mergeCell ref="DH76:DS76"/>
    <mergeCell ref="DU76:DW76"/>
    <mergeCell ref="DY76:DZ76"/>
    <mergeCell ref="DC77:EA77"/>
    <mergeCell ref="DD95:DF95"/>
    <mergeCell ref="DH95:DS95"/>
    <mergeCell ref="DU95:DW95"/>
    <mergeCell ref="DY95:DZ95"/>
    <mergeCell ref="DC96:EA96"/>
    <mergeCell ref="DD114:DF114"/>
    <mergeCell ref="DH114:DS114"/>
    <mergeCell ref="DU114:DW114"/>
    <mergeCell ref="DY114:DZ114"/>
    <mergeCell ref="DC115:EA115"/>
    <mergeCell ref="DD133:DF133"/>
    <mergeCell ref="DH133:DS133"/>
    <mergeCell ref="DU133:DW133"/>
    <mergeCell ref="DY133:DZ133"/>
    <mergeCell ref="DC134:EA134"/>
    <mergeCell ref="DD152:DF152"/>
    <mergeCell ref="DH152:DS152"/>
    <mergeCell ref="DU152:DW152"/>
    <mergeCell ref="DY152:DZ152"/>
    <mergeCell ref="DC153:EA153"/>
    <mergeCell ref="DD171:DF171"/>
    <mergeCell ref="DH171:DS171"/>
    <mergeCell ref="DU171:DW171"/>
    <mergeCell ref="DY171:DZ171"/>
    <mergeCell ref="DC172:EA172"/>
    <mergeCell ref="DD190:DF190"/>
    <mergeCell ref="DH190:DS190"/>
    <mergeCell ref="DU190:DW190"/>
    <mergeCell ref="DY190:DZ190"/>
    <mergeCell ref="DC191:EA191"/>
    <mergeCell ref="DD209:DF209"/>
    <mergeCell ref="DH209:DS209"/>
    <mergeCell ref="DU209:DW209"/>
    <mergeCell ref="DY209:DZ209"/>
    <mergeCell ref="NR65:NT65"/>
    <mergeCell ref="NV65:NW65"/>
    <mergeCell ref="EB20:EZ20"/>
    <mergeCell ref="EC38:EE38"/>
    <mergeCell ref="EG38:ER38"/>
    <mergeCell ref="ET38:EV38"/>
    <mergeCell ref="EX38:EY38"/>
    <mergeCell ref="EB39:EZ39"/>
    <mergeCell ref="EC57:EE57"/>
    <mergeCell ref="EG57:ER57"/>
    <mergeCell ref="ET57:EV57"/>
    <mergeCell ref="EX57:EY57"/>
    <mergeCell ref="EB58:EZ58"/>
    <mergeCell ref="FA20:FY20"/>
    <mergeCell ref="FB38:FD38"/>
    <mergeCell ref="FF38:FQ38"/>
    <mergeCell ref="FS38:FU38"/>
    <mergeCell ref="FW38:FX38"/>
    <mergeCell ref="FA39:FY39"/>
    <mergeCell ref="LB47:LZ47"/>
    <mergeCell ref="LC65:LE65"/>
    <mergeCell ref="LG65:LR65"/>
    <mergeCell ref="LT65:LV65"/>
    <mergeCell ref="LX65:LY65"/>
    <mergeCell ref="EC76:EE76"/>
    <mergeCell ref="EG76:ER76"/>
    <mergeCell ref="ET76:EV76"/>
    <mergeCell ref="EX76:EY76"/>
    <mergeCell ref="EB77:EZ77"/>
    <mergeCell ref="EC95:EE95"/>
    <mergeCell ref="EG95:ER95"/>
    <mergeCell ref="ET95:EV95"/>
    <mergeCell ref="EX95:EY95"/>
    <mergeCell ref="EB96:EZ96"/>
    <mergeCell ref="EC114:EE114"/>
    <mergeCell ref="EG114:ER114"/>
    <mergeCell ref="ET114:EV114"/>
    <mergeCell ref="EX114:EY114"/>
    <mergeCell ref="EB115:EZ115"/>
    <mergeCell ref="EC133:EE133"/>
    <mergeCell ref="EG133:ER133"/>
    <mergeCell ref="ET133:EV133"/>
    <mergeCell ref="EX133:EY133"/>
    <mergeCell ref="EB134:EZ134"/>
    <mergeCell ref="EC152:EE152"/>
    <mergeCell ref="EG152:ER152"/>
    <mergeCell ref="ET152:EV152"/>
    <mergeCell ref="EX152:EY152"/>
    <mergeCell ref="EB153:EZ153"/>
    <mergeCell ref="EC171:EE171"/>
    <mergeCell ref="EG171:ER171"/>
    <mergeCell ref="ET171:EV171"/>
    <mergeCell ref="EX171:EY171"/>
    <mergeCell ref="EB172:EZ172"/>
    <mergeCell ref="EC190:EE190"/>
    <mergeCell ref="EG190:ER190"/>
    <mergeCell ref="ET190:EV190"/>
    <mergeCell ref="EX190:EY190"/>
    <mergeCell ref="EB191:EZ191"/>
    <mergeCell ref="EC209:EE209"/>
    <mergeCell ref="EG209:ER209"/>
    <mergeCell ref="ET209:EV209"/>
    <mergeCell ref="EX209:EY209"/>
    <mergeCell ref="EB210:EZ210"/>
    <mergeCell ref="EC228:EE228"/>
    <mergeCell ref="EG228:ER228"/>
    <mergeCell ref="ET228:EV228"/>
    <mergeCell ref="EX228:EY228"/>
    <mergeCell ref="EB229:EZ229"/>
    <mergeCell ref="EC247:EE247"/>
    <mergeCell ref="EG247:ER247"/>
    <mergeCell ref="ET247:EV247"/>
    <mergeCell ref="EX247:EY247"/>
    <mergeCell ref="EB248:EZ248"/>
    <mergeCell ref="EC266:EE266"/>
    <mergeCell ref="EG266:ER266"/>
    <mergeCell ref="ET266:EV266"/>
    <mergeCell ref="EX266:EY266"/>
    <mergeCell ref="EB267:EZ267"/>
    <mergeCell ref="EC285:EE285"/>
    <mergeCell ref="EG285:ER285"/>
    <mergeCell ref="ET285:EV285"/>
    <mergeCell ref="EX285:EY285"/>
    <mergeCell ref="EB286:EZ286"/>
    <mergeCell ref="EC304:EE304"/>
    <mergeCell ref="EG304:ER304"/>
    <mergeCell ref="ET304:EV304"/>
    <mergeCell ref="EX304:EY304"/>
    <mergeCell ref="NY47:OW47"/>
    <mergeCell ref="NZ65:OB65"/>
    <mergeCell ref="OD65:OO65"/>
    <mergeCell ref="OQ65:OS65"/>
    <mergeCell ref="OU65:OV65"/>
    <mergeCell ref="FB57:FD57"/>
    <mergeCell ref="FF57:FQ57"/>
    <mergeCell ref="FS57:FU57"/>
    <mergeCell ref="FW57:FX57"/>
    <mergeCell ref="FA58:FY58"/>
    <mergeCell ref="FB76:FD76"/>
    <mergeCell ref="FF76:FQ76"/>
    <mergeCell ref="FS76:FU76"/>
    <mergeCell ref="FW76:FX76"/>
    <mergeCell ref="FA77:FY77"/>
    <mergeCell ref="FB95:FD95"/>
    <mergeCell ref="FF95:FQ95"/>
    <mergeCell ref="FS95:FU95"/>
    <mergeCell ref="FW95:FX95"/>
    <mergeCell ref="FA96:FY96"/>
    <mergeCell ref="FB114:FD114"/>
    <mergeCell ref="FF114:FQ114"/>
    <mergeCell ref="FS114:FU114"/>
    <mergeCell ref="FW114:FX114"/>
    <mergeCell ref="FA115:FY115"/>
    <mergeCell ref="FB133:FD133"/>
    <mergeCell ref="FF133:FQ133"/>
    <mergeCell ref="FS133:FU133"/>
    <mergeCell ref="FW133:FX133"/>
    <mergeCell ref="FZ20:GX20"/>
    <mergeCell ref="GA38:GC38"/>
    <mergeCell ref="GE38:GP38"/>
    <mergeCell ref="GR38:GT38"/>
    <mergeCell ref="GV38:GW38"/>
    <mergeCell ref="FZ39:GX39"/>
    <mergeCell ref="GA57:GC57"/>
    <mergeCell ref="GE57:GP57"/>
    <mergeCell ref="GR57:GT57"/>
    <mergeCell ref="GV57:GW57"/>
    <mergeCell ref="GA76:GC76"/>
    <mergeCell ref="GE76:GP76"/>
    <mergeCell ref="GR76:GT76"/>
    <mergeCell ref="GV76:GW76"/>
    <mergeCell ref="FZ77:GX77"/>
    <mergeCell ref="GA95:GC95"/>
    <mergeCell ref="GE95:GP95"/>
    <mergeCell ref="GR95:GT95"/>
    <mergeCell ref="GV95:GW95"/>
    <mergeCell ref="FZ96:GX96"/>
    <mergeCell ref="GA114:GC114"/>
    <mergeCell ref="GE114:GP114"/>
    <mergeCell ref="GR114:GT114"/>
    <mergeCell ref="GV114:GW114"/>
    <mergeCell ref="FZ115:GX115"/>
    <mergeCell ref="GA133:GC133"/>
    <mergeCell ref="GE133:GP133"/>
    <mergeCell ref="GR133:GT133"/>
    <mergeCell ref="GV133:GW133"/>
    <mergeCell ref="FZ134:GX134"/>
    <mergeCell ref="GA152:GC152"/>
    <mergeCell ref="GE152:GP152"/>
    <mergeCell ref="GR152:GT152"/>
    <mergeCell ref="GV152:GW152"/>
    <mergeCell ref="FZ153:GX153"/>
    <mergeCell ref="GA171:GC171"/>
    <mergeCell ref="GE171:GP171"/>
    <mergeCell ref="GR171:GT171"/>
    <mergeCell ref="GV171:GW171"/>
    <mergeCell ref="FZ172:GX172"/>
    <mergeCell ref="GA190:GC190"/>
    <mergeCell ref="GE190:GP190"/>
    <mergeCell ref="GR190:GT190"/>
    <mergeCell ref="GV190:GW190"/>
    <mergeCell ref="FZ191:GX191"/>
    <mergeCell ref="GA209:GC209"/>
    <mergeCell ref="GE209:GP209"/>
    <mergeCell ref="GR209:GT209"/>
    <mergeCell ref="GV209:GW209"/>
    <mergeCell ref="FZ210:GX210"/>
    <mergeCell ref="GA228:GC228"/>
    <mergeCell ref="GE228:GP228"/>
    <mergeCell ref="GR228:GT228"/>
    <mergeCell ref="GV228:GW228"/>
    <mergeCell ref="FZ229:GX229"/>
    <mergeCell ref="GA247:GC247"/>
    <mergeCell ref="GE247:GP247"/>
    <mergeCell ref="GR247:GT247"/>
    <mergeCell ref="GV247:GW247"/>
    <mergeCell ref="FZ248:GX248"/>
    <mergeCell ref="GA266:GC266"/>
    <mergeCell ref="GE266:GP266"/>
    <mergeCell ref="GR266:GT266"/>
    <mergeCell ref="GV266:GW266"/>
    <mergeCell ref="FZ267:GX267"/>
    <mergeCell ref="GA285:GC285"/>
    <mergeCell ref="GE285:GP285"/>
    <mergeCell ref="GR285:GT285"/>
    <mergeCell ref="GV285:GW285"/>
    <mergeCell ref="FZ286:GX286"/>
    <mergeCell ref="GA304:GC304"/>
    <mergeCell ref="GE304:GP304"/>
    <mergeCell ref="GR304:GT304"/>
    <mergeCell ref="GV304:GW304"/>
    <mergeCell ref="FZ305:GX305"/>
    <mergeCell ref="GA323:GC323"/>
    <mergeCell ref="GE323:GP323"/>
    <mergeCell ref="GR323:GT323"/>
    <mergeCell ref="GV323:GW323"/>
    <mergeCell ref="FZ324:GX324"/>
    <mergeCell ref="GA342:GC342"/>
    <mergeCell ref="GE342:GP342"/>
    <mergeCell ref="GR342:GT342"/>
    <mergeCell ref="GV342:GW342"/>
    <mergeCell ref="FZ343:GX343"/>
    <mergeCell ref="GA361:GC361"/>
    <mergeCell ref="GE361:GP361"/>
    <mergeCell ref="GR361:GT361"/>
    <mergeCell ref="GV361:GW361"/>
    <mergeCell ref="FZ362:GX362"/>
    <mergeCell ref="GA380:GC380"/>
    <mergeCell ref="GE380:GP380"/>
    <mergeCell ref="GR380:GT380"/>
    <mergeCell ref="GV380:GW380"/>
    <mergeCell ref="FZ381:GX381"/>
    <mergeCell ref="GA399:GC399"/>
    <mergeCell ref="GE399:GP399"/>
    <mergeCell ref="GR399:GT399"/>
    <mergeCell ref="GV399:GW399"/>
    <mergeCell ref="PW47:QU47"/>
    <mergeCell ref="PX65:PZ65"/>
    <mergeCell ref="QB65:QM65"/>
    <mergeCell ref="QO65:QQ65"/>
    <mergeCell ref="QS65:QT65"/>
    <mergeCell ref="GY20:HW20"/>
    <mergeCell ref="GZ38:HB38"/>
    <mergeCell ref="HD38:HO38"/>
    <mergeCell ref="HQ38:HS38"/>
    <mergeCell ref="HU38:HV38"/>
    <mergeCell ref="GY39:HW39"/>
    <mergeCell ref="GZ57:HB57"/>
    <mergeCell ref="HD57:HO57"/>
    <mergeCell ref="HQ57:HS57"/>
    <mergeCell ref="HU57:HV57"/>
    <mergeCell ref="GY58:HW58"/>
    <mergeCell ref="OX47:PV47"/>
    <mergeCell ref="OY65:PA65"/>
    <mergeCell ref="PC65:PN65"/>
    <mergeCell ref="PP65:PR65"/>
    <mergeCell ref="PT65:PU65"/>
    <mergeCell ref="MZ47:NX47"/>
    <mergeCell ref="NA65:NC65"/>
    <mergeCell ref="NE65:NP65"/>
    <mergeCell ref="GZ76:HB76"/>
    <mergeCell ref="HD76:HO76"/>
    <mergeCell ref="HQ76:HS76"/>
    <mergeCell ref="HU76:HV76"/>
    <mergeCell ref="GY77:HW77"/>
    <mergeCell ref="GZ95:HB95"/>
    <mergeCell ref="HD95:HO95"/>
    <mergeCell ref="HQ95:HS95"/>
    <mergeCell ref="HU95:HV95"/>
    <mergeCell ref="GY96:HW96"/>
    <mergeCell ref="GZ114:HB114"/>
    <mergeCell ref="HD114:HO114"/>
    <mergeCell ref="HQ114:HS114"/>
    <mergeCell ref="HU114:HV114"/>
    <mergeCell ref="GY115:HW115"/>
    <mergeCell ref="GZ133:HB133"/>
    <mergeCell ref="HD133:HO133"/>
    <mergeCell ref="HQ133:HS133"/>
    <mergeCell ref="HU133:HV133"/>
    <mergeCell ref="GY134:HW134"/>
    <mergeCell ref="GZ152:HB152"/>
    <mergeCell ref="HD152:HO152"/>
    <mergeCell ref="HQ152:HS152"/>
    <mergeCell ref="HU152:HV152"/>
    <mergeCell ref="GY153:HW153"/>
    <mergeCell ref="GZ171:HB171"/>
    <mergeCell ref="HD171:HO171"/>
    <mergeCell ref="HQ171:HS171"/>
    <mergeCell ref="HU171:HV171"/>
    <mergeCell ref="GY172:HW172"/>
    <mergeCell ref="GZ190:HB190"/>
    <mergeCell ref="HD190:HO190"/>
    <mergeCell ref="HQ190:HS190"/>
    <mergeCell ref="HU190:HV190"/>
    <mergeCell ref="GY191:HW191"/>
    <mergeCell ref="GZ209:HB209"/>
    <mergeCell ref="HD209:HO209"/>
    <mergeCell ref="HQ209:HS209"/>
    <mergeCell ref="HU209:HV209"/>
    <mergeCell ref="GY248:HW248"/>
    <mergeCell ref="GZ266:HB266"/>
    <mergeCell ref="HD266:HO266"/>
    <mergeCell ref="HQ266:HS266"/>
    <mergeCell ref="HU266:HV266"/>
    <mergeCell ref="GY210:HW210"/>
    <mergeCell ref="GZ228:HB228"/>
    <mergeCell ref="HD228:HO228"/>
    <mergeCell ref="HQ228:HS228"/>
    <mergeCell ref="HU228:HV228"/>
    <mergeCell ref="GY229:HW229"/>
    <mergeCell ref="GZ247:HB247"/>
    <mergeCell ref="HD247:HO247"/>
    <mergeCell ref="HQ247:HS247"/>
    <mergeCell ref="HU247:HV247"/>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14</xdr:col>
                <xdr:colOff>114300</xdr:colOff>
                <xdr:row>29</xdr:row>
                <xdr:rowOff>209550</xdr:rowOff>
              </from>
              <to>
                <xdr:col>24</xdr:col>
                <xdr:colOff>209550</xdr:colOff>
                <xdr:row>34</xdr:row>
                <xdr:rowOff>85725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71" r:id="rId6">
          <objectPr defaultSize="0" autoPict="0" r:id="rId7">
            <anchor moveWithCells="1">
              <from>
                <xdr:col>6</xdr:col>
                <xdr:colOff>38100</xdr:colOff>
                <xdr:row>21</xdr:row>
                <xdr:rowOff>76200</xdr:rowOff>
              </from>
              <to>
                <xdr:col>25</xdr:col>
                <xdr:colOff>57150</xdr:colOff>
                <xdr:row>22</xdr:row>
                <xdr:rowOff>228600</xdr:rowOff>
              </to>
            </anchor>
          </objectPr>
        </oleObject>
      </mc:Choice>
      <mc:Fallback>
        <oleObject progId="Equation.DSMT4" shapeId="1127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Вывод расчетов</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volpol</cp:lastModifiedBy>
  <cp:lastPrinted>2020-12-29T19:40:21Z</cp:lastPrinted>
  <dcterms:created xsi:type="dcterms:W3CDTF">2019-04-23T06:12:40Z</dcterms:created>
  <dcterms:modified xsi:type="dcterms:W3CDTF">2021-06-02T17:47:10Z</dcterms:modified>
</cp:coreProperties>
</file>